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pdatedFiles\"/>
    </mc:Choice>
  </mc:AlternateContent>
  <bookViews>
    <workbookView xWindow="0" yWindow="0" windowWidth="20490" windowHeight="7755" firstSheet="2" activeTab="4"/>
  </bookViews>
  <sheets>
    <sheet name="Readme" sheetId="11" r:id="rId1"/>
    <sheet name="10mgMWCNT" sheetId="2" r:id="rId2"/>
    <sheet name="COOH" sheetId="7" r:id="rId3"/>
    <sheet name="plot" sheetId="5" r:id="rId4"/>
    <sheet name="Mass" sheetId="8" r:id="rId5"/>
    <sheet name="SWCNT" sheetId="6" r:id="rId6"/>
    <sheet name="SWCNTCTAB" sheetId="3" r:id="rId7"/>
    <sheet name="MWCNT" sheetId="4" r:id="rId8"/>
    <sheet name="MDL" sheetId="10" r:id="rId9"/>
    <sheet name="SludgeOnly" sheetId="1" r:id="rId10"/>
  </sheets>
  <externalReferences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7" i="4" l="1"/>
  <c r="C204" i="4"/>
  <c r="C192" i="4"/>
  <c r="J131" i="1"/>
  <c r="J130" i="1"/>
  <c r="J129" i="1"/>
  <c r="E129" i="1"/>
  <c r="J127" i="1"/>
  <c r="J126" i="1"/>
  <c r="J125" i="1"/>
  <c r="E125" i="1"/>
  <c r="J123" i="1"/>
  <c r="J122" i="1"/>
  <c r="J121" i="1"/>
  <c r="E121" i="1"/>
  <c r="J116" i="1"/>
  <c r="J115" i="1"/>
  <c r="J114" i="1"/>
  <c r="E114" i="1"/>
  <c r="J112" i="1"/>
  <c r="J111" i="1"/>
  <c r="J110" i="1"/>
  <c r="E110" i="1"/>
  <c r="J108" i="1"/>
  <c r="J107" i="1"/>
  <c r="J106" i="1"/>
  <c r="E106" i="1"/>
  <c r="J102" i="1"/>
  <c r="E102" i="1"/>
  <c r="J101" i="1"/>
  <c r="E101" i="1"/>
  <c r="J100" i="1"/>
  <c r="E100" i="1"/>
  <c r="J98" i="1"/>
  <c r="J97" i="1"/>
  <c r="J96" i="1"/>
  <c r="E96" i="1"/>
  <c r="J93" i="1"/>
  <c r="J92" i="1"/>
  <c r="J91" i="1"/>
  <c r="E91" i="1"/>
  <c r="C138" i="4"/>
  <c r="C135" i="4"/>
  <c r="J87" i="1"/>
  <c r="J86" i="1"/>
  <c r="J85" i="1"/>
  <c r="E85" i="1"/>
  <c r="J81" i="1"/>
  <c r="J80" i="1"/>
  <c r="J79" i="1"/>
  <c r="E79" i="1"/>
  <c r="J75" i="1"/>
  <c r="J74" i="1"/>
  <c r="J73" i="1"/>
  <c r="E73" i="1"/>
  <c r="N39" i="1"/>
  <c r="E67" i="1"/>
  <c r="J67" i="1"/>
  <c r="E68" i="1"/>
  <c r="J68" i="1"/>
  <c r="E69" i="1"/>
  <c r="J69" i="1"/>
  <c r="F4" i="3" l="1"/>
  <c r="F5" i="3" s="1"/>
  <c r="AG60" i="8" l="1"/>
  <c r="AG69" i="8"/>
  <c r="Z69" i="8" l="1"/>
  <c r="Z68" i="8"/>
  <c r="Z65" i="8"/>
  <c r="Z58" i="8"/>
  <c r="Z64" i="8"/>
  <c r="Z61" i="8"/>
  <c r="Z60" i="8"/>
  <c r="Z67" i="8"/>
  <c r="Z66" i="8"/>
  <c r="Z63" i="8"/>
  <c r="Z62" i="8"/>
  <c r="Z59" i="8"/>
  <c r="Z114" i="8"/>
  <c r="T113" i="8"/>
  <c r="T107" i="8"/>
  <c r="T101" i="8"/>
  <c r="K113" i="8"/>
  <c r="K107" i="8"/>
  <c r="K102" i="8"/>
  <c r="B112" i="8"/>
  <c r="B106" i="8"/>
  <c r="B101" i="8"/>
  <c r="C83" i="8"/>
  <c r="Q63" i="8"/>
  <c r="Q62" i="8"/>
  <c r="C71" i="8" l="1"/>
  <c r="H72" i="8"/>
  <c r="H71" i="8"/>
  <c r="H70" i="8"/>
  <c r="H69" i="8"/>
  <c r="C69" i="8"/>
  <c r="H68" i="8"/>
  <c r="H67" i="8"/>
  <c r="C67" i="8"/>
  <c r="H14" i="8"/>
  <c r="H13" i="8"/>
  <c r="C13" i="8"/>
  <c r="H9" i="8"/>
  <c r="H8" i="8"/>
  <c r="H7" i="8"/>
  <c r="H6" i="8"/>
  <c r="H5" i="8"/>
  <c r="H4" i="8"/>
  <c r="C320" i="4" l="1"/>
  <c r="C321" i="4"/>
  <c r="C322" i="4"/>
  <c r="C323" i="4"/>
  <c r="C324" i="4"/>
  <c r="C319" i="4"/>
  <c r="Q62" i="4" l="1"/>
  <c r="P61" i="4"/>
  <c r="R61" i="4"/>
  <c r="S61" i="4"/>
  <c r="P62" i="4"/>
  <c r="R62" i="4"/>
  <c r="S62" i="4"/>
  <c r="O62" i="4"/>
  <c r="N62" i="4"/>
  <c r="M62" i="4"/>
  <c r="O61" i="4"/>
  <c r="N61" i="4"/>
  <c r="M61" i="4"/>
  <c r="Q61" i="4" l="1"/>
  <c r="Q194" i="8"/>
  <c r="Q195" i="8"/>
  <c r="W196" i="8"/>
  <c r="U196" i="8"/>
  <c r="S196" i="8"/>
  <c r="W195" i="8"/>
  <c r="U195" i="8"/>
  <c r="S195" i="8"/>
  <c r="W194" i="8"/>
  <c r="U194" i="8"/>
  <c r="S194" i="8"/>
  <c r="R224" i="8"/>
  <c r="Q224" i="8"/>
  <c r="N196" i="8"/>
  <c r="N195" i="8"/>
  <c r="N194" i="8"/>
  <c r="F29" i="10" l="1"/>
  <c r="G29" i="10" s="1"/>
  <c r="F20" i="10"/>
  <c r="G20" i="10" s="1"/>
  <c r="F11" i="10"/>
  <c r="G11" i="10" s="1"/>
  <c r="L14" i="10"/>
  <c r="D27" i="10"/>
  <c r="D28" i="10"/>
  <c r="D29" i="10"/>
  <c r="D30" i="10"/>
  <c r="D31" i="10"/>
  <c r="D32" i="10"/>
  <c r="D26" i="10"/>
  <c r="D18" i="10"/>
  <c r="D19" i="10"/>
  <c r="D20" i="10"/>
  <c r="D21" i="10"/>
  <c r="D22" i="10"/>
  <c r="D23" i="10"/>
  <c r="D17" i="10"/>
  <c r="D9" i="10"/>
  <c r="D10" i="10"/>
  <c r="D11" i="10"/>
  <c r="D12" i="10"/>
  <c r="D13" i="10"/>
  <c r="D14" i="10"/>
  <c r="D8" i="10"/>
  <c r="E24" i="10" l="1"/>
  <c r="E15" i="10"/>
  <c r="E33" i="10"/>
  <c r="H24" i="10" s="1"/>
  <c r="H25" i="10" s="1"/>
  <c r="H15" i="10"/>
  <c r="H16" i="10" s="1"/>
  <c r="F6" i="10"/>
  <c r="F7" i="10" s="1"/>
  <c r="Z134" i="8"/>
  <c r="Z133" i="8"/>
  <c r="Z130" i="8"/>
  <c r="Z129" i="8"/>
  <c r="Z127" i="8"/>
  <c r="Z125" i="8"/>
  <c r="U125" i="8"/>
  <c r="Q134" i="8"/>
  <c r="Q133" i="8"/>
  <c r="Q130" i="8"/>
  <c r="Q129" i="8"/>
  <c r="L210" i="8" s="1"/>
  <c r="Q126" i="8"/>
  <c r="Q125" i="8"/>
  <c r="L125" i="8"/>
  <c r="H134" i="8"/>
  <c r="H133" i="8"/>
  <c r="H130" i="8"/>
  <c r="H129" i="8"/>
  <c r="H126" i="8"/>
  <c r="H125" i="8"/>
  <c r="C125" i="8"/>
  <c r="L194" i="8"/>
  <c r="L191" i="8"/>
  <c r="L188" i="8"/>
  <c r="L203" i="8" l="1"/>
  <c r="M193" i="8"/>
  <c r="L193" i="8"/>
  <c r="L224" i="8" s="1"/>
  <c r="M190" i="8"/>
  <c r="L190" i="8"/>
  <c r="L200" i="8" s="1"/>
  <c r="L187" i="8"/>
  <c r="L207" i="8" s="1"/>
  <c r="M187" i="8"/>
  <c r="L221" i="8" l="1"/>
  <c r="L197" i="8"/>
  <c r="L218" i="8"/>
  <c r="L213" i="8"/>
  <c r="Z110" i="8"/>
  <c r="Z109" i="8"/>
  <c r="Q104" i="8"/>
  <c r="Q103" i="8"/>
  <c r="Q102" i="8"/>
  <c r="Q101" i="8"/>
  <c r="U28" i="8"/>
  <c r="AI120" i="8" l="1"/>
  <c r="AH120" i="8"/>
  <c r="AE120" i="8"/>
  <c r="AD120" i="8"/>
  <c r="AF120" i="8"/>
  <c r="AC120" i="8"/>
  <c r="AN99" i="8"/>
  <c r="AL96" i="8"/>
  <c r="AP96" i="8"/>
  <c r="AP97" i="8"/>
  <c r="AP98" i="8"/>
  <c r="AP99" i="8"/>
  <c r="AP100" i="8"/>
  <c r="AP101" i="8"/>
  <c r="AP102" i="8"/>
  <c r="AP103" i="8"/>
  <c r="AP104" i="8"/>
  <c r="AP105" i="8"/>
  <c r="AP106" i="8"/>
  <c r="AP107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95" i="8"/>
  <c r="AO96" i="8"/>
  <c r="AO97" i="8"/>
  <c r="AO98" i="8"/>
  <c r="AO99" i="8"/>
  <c r="AO100" i="8"/>
  <c r="AO101" i="8"/>
  <c r="AO102" i="8"/>
  <c r="AO103" i="8"/>
  <c r="AO104" i="8"/>
  <c r="AO105" i="8"/>
  <c r="AO106" i="8"/>
  <c r="AO107" i="8"/>
  <c r="AO108" i="8"/>
  <c r="AO109" i="8"/>
  <c r="AO110" i="8"/>
  <c r="AO111" i="8"/>
  <c r="AO112" i="8"/>
  <c r="AO113" i="8"/>
  <c r="AO114" i="8"/>
  <c r="AO115" i="8"/>
  <c r="AO116" i="8"/>
  <c r="AO117" i="8"/>
  <c r="AO118" i="8"/>
  <c r="AO119" i="8"/>
  <c r="AO95" i="8"/>
  <c r="AN96" i="8"/>
  <c r="AN97" i="8"/>
  <c r="AN98" i="8"/>
  <c r="AN100" i="8"/>
  <c r="AN101" i="8"/>
  <c r="AN102" i="8"/>
  <c r="AN103" i="8"/>
  <c r="AN104" i="8"/>
  <c r="AN105" i="8"/>
  <c r="AN106" i="8"/>
  <c r="AN107" i="8"/>
  <c r="AN108" i="8"/>
  <c r="AN109" i="8"/>
  <c r="AN110" i="8"/>
  <c r="AN111" i="8"/>
  <c r="AN112" i="8"/>
  <c r="AN113" i="8"/>
  <c r="AN114" i="8"/>
  <c r="AN115" i="8"/>
  <c r="AN116" i="8"/>
  <c r="AN117" i="8"/>
  <c r="AN118" i="8"/>
  <c r="AN119" i="8"/>
  <c r="AN95" i="8"/>
  <c r="AM96" i="8"/>
  <c r="AM97" i="8"/>
  <c r="AM98" i="8"/>
  <c r="AM99" i="8"/>
  <c r="AM100" i="8"/>
  <c r="AM101" i="8"/>
  <c r="AM102" i="8"/>
  <c r="AM103" i="8"/>
  <c r="AM104" i="8"/>
  <c r="AM105" i="8"/>
  <c r="AM106" i="8"/>
  <c r="AM107" i="8"/>
  <c r="AM108" i="8"/>
  <c r="AM109" i="8"/>
  <c r="AM110" i="8"/>
  <c r="AM111" i="8"/>
  <c r="AM112" i="8"/>
  <c r="AM113" i="8"/>
  <c r="AM114" i="8"/>
  <c r="AM115" i="8"/>
  <c r="AM116" i="8"/>
  <c r="AM117" i="8"/>
  <c r="AM118" i="8"/>
  <c r="AM119" i="8"/>
  <c r="AM95" i="8"/>
  <c r="AL97" i="8"/>
  <c r="AL98" i="8"/>
  <c r="AL99" i="8"/>
  <c r="AL100" i="8"/>
  <c r="AL101" i="8"/>
  <c r="AL102" i="8"/>
  <c r="AL103" i="8"/>
  <c r="AL104" i="8"/>
  <c r="AL105" i="8"/>
  <c r="AL106" i="8"/>
  <c r="AL107" i="8"/>
  <c r="AL108" i="8"/>
  <c r="AL109" i="8"/>
  <c r="AL110" i="8"/>
  <c r="AL111" i="8"/>
  <c r="AL112" i="8"/>
  <c r="AL113" i="8"/>
  <c r="AL114" i="8"/>
  <c r="AL115" i="8"/>
  <c r="AL116" i="8"/>
  <c r="AL117" i="8"/>
  <c r="AL118" i="8"/>
  <c r="AL119" i="8"/>
  <c r="AL95" i="8"/>
  <c r="AK96" i="8"/>
  <c r="AK97" i="8"/>
  <c r="AK98" i="8"/>
  <c r="AK99" i="8"/>
  <c r="AK100" i="8"/>
  <c r="AK101" i="8"/>
  <c r="AK102" i="8"/>
  <c r="AK103" i="8"/>
  <c r="AK104" i="8"/>
  <c r="AK105" i="8"/>
  <c r="AK106" i="8"/>
  <c r="AK107" i="8"/>
  <c r="AK108" i="8"/>
  <c r="AK109" i="8"/>
  <c r="AK110" i="8"/>
  <c r="AK111" i="8"/>
  <c r="AK112" i="8"/>
  <c r="AK113" i="8"/>
  <c r="AK114" i="8"/>
  <c r="AK115" i="8"/>
  <c r="AK116" i="8"/>
  <c r="AK117" i="8"/>
  <c r="AK118" i="8"/>
  <c r="AK119" i="8"/>
  <c r="AK95" i="8"/>
  <c r="AJ96" i="8"/>
  <c r="AJ97" i="8"/>
  <c r="AJ98" i="8"/>
  <c r="AJ99" i="8"/>
  <c r="AJ100" i="8"/>
  <c r="AJ101" i="8"/>
  <c r="AJ102" i="8"/>
  <c r="AJ103" i="8"/>
  <c r="AJ104" i="8"/>
  <c r="AJ105" i="8"/>
  <c r="AJ106" i="8"/>
  <c r="AJ107" i="8"/>
  <c r="AJ108" i="8"/>
  <c r="AJ109" i="8"/>
  <c r="AJ110" i="8"/>
  <c r="AJ111" i="8"/>
  <c r="AJ112" i="8"/>
  <c r="AJ113" i="8"/>
  <c r="AJ114" i="8"/>
  <c r="AJ115" i="8"/>
  <c r="AJ116" i="8"/>
  <c r="AJ117" i="8"/>
  <c r="AJ118" i="8"/>
  <c r="AJ119" i="8"/>
  <c r="Z108" i="8" l="1"/>
  <c r="Z107" i="8"/>
  <c r="Z104" i="8"/>
  <c r="Z103" i="8"/>
  <c r="Z102" i="8"/>
  <c r="Z101" i="8"/>
  <c r="Z98" i="8"/>
  <c r="Z97" i="8"/>
  <c r="Z96" i="8"/>
  <c r="Z95" i="8"/>
  <c r="Q115" i="8" l="1"/>
  <c r="Q114" i="8"/>
  <c r="Q113" i="8"/>
  <c r="Q112" i="8"/>
  <c r="Q109" i="8"/>
  <c r="Q108" i="8"/>
  <c r="Q107" i="8"/>
  <c r="Q106" i="8"/>
  <c r="Q98" i="8"/>
  <c r="Q97" i="8"/>
  <c r="Q96" i="8"/>
  <c r="Q95" i="8"/>
  <c r="H115" i="8"/>
  <c r="H114" i="8"/>
  <c r="H113" i="8"/>
  <c r="H112" i="8"/>
  <c r="H109" i="8"/>
  <c r="H108" i="8"/>
  <c r="H107" i="8"/>
  <c r="H106" i="8"/>
  <c r="H103" i="8"/>
  <c r="H102" i="8"/>
  <c r="H101" i="8"/>
  <c r="H100" i="8"/>
  <c r="H97" i="8"/>
  <c r="H96" i="8"/>
  <c r="H95" i="8"/>
  <c r="H94" i="8"/>
  <c r="Z113" i="8"/>
  <c r="Z116" i="8"/>
  <c r="Z115" i="8"/>
  <c r="H90" i="8"/>
  <c r="C89" i="8"/>
  <c r="C87" i="8"/>
  <c r="AG120" i="8"/>
  <c r="C81" i="8"/>
  <c r="H89" i="8"/>
  <c r="H88" i="8"/>
  <c r="H87" i="8"/>
  <c r="C85" i="8"/>
  <c r="H86" i="8"/>
  <c r="H85" i="8"/>
  <c r="H84" i="8"/>
  <c r="H83" i="8"/>
  <c r="H82" i="8"/>
  <c r="H81" i="8"/>
  <c r="AG62" i="8" l="1"/>
  <c r="AG67" i="8" l="1"/>
  <c r="AG71" i="8"/>
  <c r="AL72" i="8"/>
  <c r="AL71" i="8"/>
  <c r="AL70" i="8"/>
  <c r="AL69" i="8"/>
  <c r="AL68" i="8"/>
  <c r="AL67" i="8"/>
  <c r="U49" i="8"/>
  <c r="AG58" i="8"/>
  <c r="AL63" i="8"/>
  <c r="AL62" i="8"/>
  <c r="AL61" i="8"/>
  <c r="AL60" i="8"/>
  <c r="AL59" i="8"/>
  <c r="AL58" i="8"/>
  <c r="T47" i="8"/>
  <c r="U47" i="8"/>
  <c r="Z50" i="8"/>
  <c r="Z49" i="8"/>
  <c r="Z48" i="8"/>
  <c r="Z47" i="8"/>
  <c r="U43" i="8"/>
  <c r="U41" i="8"/>
  <c r="Z44" i="8"/>
  <c r="Z43" i="8"/>
  <c r="Z42" i="8"/>
  <c r="Z41" i="8"/>
  <c r="U37" i="8"/>
  <c r="U35" i="8"/>
  <c r="Z38" i="8"/>
  <c r="Z36" i="8"/>
  <c r="L71" i="8" l="1"/>
  <c r="Q72" i="8"/>
  <c r="Q71" i="8"/>
  <c r="L69" i="8"/>
  <c r="L67" i="8"/>
  <c r="Q70" i="8"/>
  <c r="Q69" i="8"/>
  <c r="Q68" i="8"/>
  <c r="Q67" i="8"/>
  <c r="Q61" i="8"/>
  <c r="Q60" i="8"/>
  <c r="Q59" i="8"/>
  <c r="Q58" i="8"/>
  <c r="C62" i="8"/>
  <c r="H63" i="8"/>
  <c r="H62" i="8"/>
  <c r="H61" i="8"/>
  <c r="H60" i="8"/>
  <c r="H59" i="8"/>
  <c r="H58" i="8"/>
  <c r="E21" i="8" l="1"/>
  <c r="R50" i="8" l="1"/>
  <c r="R49" i="8"/>
  <c r="M49" i="8"/>
  <c r="R48" i="8"/>
  <c r="L47" i="8"/>
  <c r="R47" i="8"/>
  <c r="M47" i="8"/>
  <c r="R44" i="8"/>
  <c r="J44" i="8"/>
  <c r="R43" i="8"/>
  <c r="M43" i="8"/>
  <c r="J43" i="8"/>
  <c r="E43" i="8"/>
  <c r="R42" i="8"/>
  <c r="L41" i="8"/>
  <c r="J42" i="8"/>
  <c r="D41" i="8"/>
  <c r="R41" i="8"/>
  <c r="M41" i="8"/>
  <c r="J41" i="8"/>
  <c r="E41" i="8"/>
  <c r="R38" i="8"/>
  <c r="J38" i="8"/>
  <c r="R37" i="8"/>
  <c r="M37" i="8"/>
  <c r="J37" i="8"/>
  <c r="E37" i="8"/>
  <c r="R36" i="8"/>
  <c r="L35" i="8"/>
  <c r="J36" i="8"/>
  <c r="D35" i="8"/>
  <c r="R35" i="8"/>
  <c r="M35" i="8"/>
  <c r="J35" i="8"/>
  <c r="E35" i="8"/>
  <c r="Z31" i="8"/>
  <c r="R31" i="8"/>
  <c r="J31" i="8"/>
  <c r="U30" i="8"/>
  <c r="R30" i="8"/>
  <c r="M30" i="8"/>
  <c r="J30" i="8"/>
  <c r="E30" i="8"/>
  <c r="Z29" i="8"/>
  <c r="T28" i="8"/>
  <c r="R29" i="8"/>
  <c r="L28" i="8"/>
  <c r="J29" i="8"/>
  <c r="D28" i="8"/>
  <c r="R28" i="8"/>
  <c r="M28" i="8"/>
  <c r="J28" i="8"/>
  <c r="E28" i="8"/>
  <c r="Z24" i="8"/>
  <c r="R24" i="8"/>
  <c r="J24" i="8"/>
  <c r="Z23" i="8"/>
  <c r="U23" i="8"/>
  <c r="R23" i="8"/>
  <c r="M23" i="8"/>
  <c r="J23" i="8"/>
  <c r="Z22" i="8"/>
  <c r="T21" i="8"/>
  <c r="R22" i="8"/>
  <c r="L21" i="8"/>
  <c r="J22" i="8"/>
  <c r="Z21" i="8"/>
  <c r="U21" i="8"/>
  <c r="R21" i="8"/>
  <c r="M21" i="8"/>
  <c r="J21" i="8"/>
  <c r="D80" i="7" l="1"/>
  <c r="D112" i="7"/>
  <c r="S136" i="6" l="1"/>
  <c r="S137" i="6"/>
  <c r="S138" i="6"/>
  <c r="S139" i="6"/>
  <c r="S140" i="6"/>
  <c r="R136" i="6"/>
  <c r="R137" i="6"/>
  <c r="R138" i="6"/>
  <c r="R139" i="6"/>
  <c r="R140" i="6"/>
  <c r="C9" i="6"/>
  <c r="C165" i="4"/>
  <c r="S307" i="4"/>
  <c r="R307" i="4"/>
  <c r="C211" i="4"/>
  <c r="C78" i="6" l="1"/>
  <c r="C126" i="6"/>
  <c r="C4" i="6"/>
  <c r="C53" i="6"/>
  <c r="C132" i="4"/>
  <c r="C178" i="4"/>
  <c r="C156" i="4" l="1"/>
  <c r="C155" i="4"/>
  <c r="S103" i="7" l="1"/>
  <c r="S104" i="7"/>
  <c r="S105" i="7"/>
  <c r="S106" i="7"/>
  <c r="S102" i="7"/>
  <c r="S135" i="6"/>
  <c r="R308" i="4"/>
  <c r="S308" i="4"/>
  <c r="S305" i="4"/>
  <c r="S306" i="4"/>
  <c r="S309" i="4"/>
  <c r="S304" i="4"/>
  <c r="R305" i="4"/>
  <c r="R306" i="4"/>
  <c r="R309" i="4"/>
  <c r="I10" i="5"/>
  <c r="I11" i="5"/>
  <c r="I12" i="5"/>
  <c r="I13" i="5"/>
  <c r="I9" i="5"/>
  <c r="D101" i="7" l="1"/>
  <c r="D106" i="7"/>
  <c r="I115" i="7"/>
  <c r="I114" i="7"/>
  <c r="I113" i="7"/>
  <c r="D113" i="7"/>
  <c r="I112" i="7"/>
  <c r="I109" i="7"/>
  <c r="I108" i="7"/>
  <c r="I107" i="7"/>
  <c r="D107" i="7"/>
  <c r="I106" i="7"/>
  <c r="I104" i="7"/>
  <c r="I103" i="7"/>
  <c r="I102" i="7"/>
  <c r="D102" i="7"/>
  <c r="I101" i="7"/>
  <c r="H123" i="6"/>
  <c r="H122" i="6"/>
  <c r="C120" i="6"/>
  <c r="C121" i="6"/>
  <c r="C133" i="6"/>
  <c r="C132" i="6"/>
  <c r="H135" i="6"/>
  <c r="H134" i="6"/>
  <c r="H133" i="6"/>
  <c r="H132" i="6"/>
  <c r="H129" i="6"/>
  <c r="H128" i="6"/>
  <c r="H127" i="6"/>
  <c r="C127" i="6"/>
  <c r="H126" i="6"/>
  <c r="H121" i="6"/>
  <c r="H120" i="6"/>
  <c r="D227" i="4"/>
  <c r="D226" i="4"/>
  <c r="I229" i="4"/>
  <c r="I228" i="4"/>
  <c r="I227" i="4"/>
  <c r="I226" i="4"/>
  <c r="D222" i="4" l="1"/>
  <c r="D221" i="4"/>
  <c r="I224" i="4"/>
  <c r="I223" i="4"/>
  <c r="I222" i="4"/>
  <c r="I221" i="4"/>
  <c r="D217" i="4"/>
  <c r="D216" i="4"/>
  <c r="I219" i="4"/>
  <c r="I218" i="4"/>
  <c r="I217" i="4"/>
  <c r="I216" i="4"/>
  <c r="C189" i="4" l="1"/>
  <c r="D95" i="7" l="1"/>
  <c r="D94" i="7"/>
  <c r="I96" i="7"/>
  <c r="I95" i="7"/>
  <c r="I94" i="7"/>
  <c r="D89" i="7"/>
  <c r="D86" i="7"/>
  <c r="D82" i="7"/>
  <c r="D79" i="7"/>
  <c r="D90" i="7"/>
  <c r="D87" i="7"/>
  <c r="D83" i="7"/>
  <c r="I91" i="7"/>
  <c r="I90" i="7"/>
  <c r="I89" i="7"/>
  <c r="I88" i="7"/>
  <c r="I87" i="7"/>
  <c r="I86" i="7"/>
  <c r="I84" i="7"/>
  <c r="I83" i="7"/>
  <c r="I82" i="7"/>
  <c r="I81" i="7"/>
  <c r="I80" i="7"/>
  <c r="I79" i="7"/>
  <c r="C112" i="6"/>
  <c r="C113" i="6"/>
  <c r="C109" i="6"/>
  <c r="H114" i="6"/>
  <c r="H113" i="6"/>
  <c r="H112" i="6"/>
  <c r="C108" i="6"/>
  <c r="H110" i="6"/>
  <c r="H109" i="6"/>
  <c r="H108" i="6"/>
  <c r="C96" i="6"/>
  <c r="C103" i="6"/>
  <c r="C100" i="6"/>
  <c r="H105" i="6"/>
  <c r="H104" i="6"/>
  <c r="C104" i="6"/>
  <c r="H103" i="6"/>
  <c r="H102" i="6"/>
  <c r="H101" i="6"/>
  <c r="C101" i="6"/>
  <c r="H100" i="6"/>
  <c r="C93" i="6"/>
  <c r="C97" i="6"/>
  <c r="C94" i="6"/>
  <c r="H98" i="6"/>
  <c r="H97" i="6"/>
  <c r="H96" i="6"/>
  <c r="H95" i="6"/>
  <c r="H94" i="6"/>
  <c r="H93" i="6"/>
  <c r="C88" i="6"/>
  <c r="C85" i="6"/>
  <c r="H90" i="6"/>
  <c r="H89" i="6"/>
  <c r="C89" i="6"/>
  <c r="H88" i="6"/>
  <c r="H87" i="6"/>
  <c r="H86" i="6"/>
  <c r="C86" i="6"/>
  <c r="H85" i="6"/>
  <c r="C160" i="4"/>
  <c r="C210" i="4"/>
  <c r="H212" i="4"/>
  <c r="H211" i="4"/>
  <c r="H210" i="4"/>
  <c r="C206" i="4"/>
  <c r="C203" i="4"/>
  <c r="H208" i="4"/>
  <c r="H207" i="4"/>
  <c r="H206" i="4"/>
  <c r="H205" i="4"/>
  <c r="H204" i="4"/>
  <c r="H203" i="4"/>
  <c r="C195" i="4"/>
  <c r="D74" i="7"/>
  <c r="H200" i="4"/>
  <c r="H199" i="4"/>
  <c r="C199" i="4"/>
  <c r="H198" i="4"/>
  <c r="C198" i="4"/>
  <c r="H197" i="4"/>
  <c r="H196" i="4"/>
  <c r="C196" i="4"/>
  <c r="H195" i="4"/>
  <c r="D75" i="7"/>
  <c r="I76" i="7"/>
  <c r="I75" i="7"/>
  <c r="I74" i="7"/>
  <c r="C80" i="6"/>
  <c r="C77" i="6"/>
  <c r="H82" i="6"/>
  <c r="H81" i="6"/>
  <c r="C81" i="6"/>
  <c r="H80" i="6"/>
  <c r="H79" i="6"/>
  <c r="H78" i="6"/>
  <c r="H77" i="6"/>
  <c r="C191" i="4"/>
  <c r="C188" i="4"/>
  <c r="H193" i="4"/>
  <c r="H192" i="4"/>
  <c r="H191" i="4"/>
  <c r="H190" i="4"/>
  <c r="H189" i="4"/>
  <c r="H188" i="4"/>
  <c r="C197" i="4" l="1"/>
  <c r="C200" i="4"/>
  <c r="M139" i="6"/>
  <c r="C180" i="4"/>
  <c r="C177" i="4"/>
  <c r="H182" i="4"/>
  <c r="H181" i="4"/>
  <c r="C181" i="4"/>
  <c r="H180" i="4"/>
  <c r="H179" i="4"/>
  <c r="H178" i="4"/>
  <c r="H177" i="4"/>
  <c r="C172" i="4" l="1"/>
  <c r="H174" i="4"/>
  <c r="H173" i="4"/>
  <c r="C173" i="4"/>
  <c r="H172" i="4"/>
  <c r="C169" i="4"/>
  <c r="H171" i="4"/>
  <c r="H170" i="4"/>
  <c r="C170" i="4"/>
  <c r="H169" i="4"/>
  <c r="C164" i="4"/>
  <c r="H166" i="4"/>
  <c r="H165" i="4"/>
  <c r="H164" i="4"/>
  <c r="D65" i="7" l="1"/>
  <c r="D66" i="7"/>
  <c r="D52" i="7"/>
  <c r="D56" i="7"/>
  <c r="D61" i="7"/>
  <c r="I67" i="7"/>
  <c r="I66" i="7"/>
  <c r="I65" i="7"/>
  <c r="I63" i="7"/>
  <c r="I62" i="7"/>
  <c r="D62" i="7"/>
  <c r="I61" i="7"/>
  <c r="D48" i="7"/>
  <c r="D44" i="7"/>
  <c r="D57" i="7"/>
  <c r="D53" i="7"/>
  <c r="I58" i="7"/>
  <c r="I57" i="7"/>
  <c r="I56" i="7"/>
  <c r="I54" i="7"/>
  <c r="I53" i="7"/>
  <c r="I52" i="7"/>
  <c r="D47" i="7"/>
  <c r="I49" i="7"/>
  <c r="I48" i="7"/>
  <c r="I47" i="7"/>
  <c r="D43" i="7"/>
  <c r="I45" i="7"/>
  <c r="I44" i="7"/>
  <c r="I43" i="7"/>
  <c r="D38" i="7"/>
  <c r="I39" i="7"/>
  <c r="I40" i="7"/>
  <c r="D39" i="7"/>
  <c r="I38" i="7"/>
  <c r="D34" i="7"/>
  <c r="I36" i="7"/>
  <c r="I35" i="7"/>
  <c r="D35" i="7"/>
  <c r="I34" i="7"/>
  <c r="D30" i="7"/>
  <c r="I32" i="7"/>
  <c r="I31" i="7"/>
  <c r="D31" i="7"/>
  <c r="I30" i="7"/>
  <c r="D23" i="7"/>
  <c r="D26" i="7"/>
  <c r="D27" i="7"/>
  <c r="D24" i="7"/>
  <c r="I28" i="7"/>
  <c r="I27" i="7"/>
  <c r="I26" i="7"/>
  <c r="I25" i="7"/>
  <c r="I24" i="7"/>
  <c r="I23" i="7"/>
  <c r="C70" i="6"/>
  <c r="C71" i="6"/>
  <c r="C68" i="6"/>
  <c r="C67" i="6"/>
  <c r="H72" i="6"/>
  <c r="H71" i="6"/>
  <c r="H70" i="6"/>
  <c r="H69" i="6"/>
  <c r="H68" i="6"/>
  <c r="H67" i="6"/>
  <c r="C159" i="4"/>
  <c r="H161" i="4"/>
  <c r="H160" i="4"/>
  <c r="H159" i="4"/>
  <c r="H157" i="4"/>
  <c r="H156" i="4"/>
  <c r="H155" i="4"/>
  <c r="C58" i="6"/>
  <c r="C61" i="6"/>
  <c r="H63" i="6"/>
  <c r="H62" i="6"/>
  <c r="C62" i="6"/>
  <c r="H61" i="6"/>
  <c r="H60" i="6"/>
  <c r="H59" i="6"/>
  <c r="C59" i="6"/>
  <c r="H58" i="6"/>
  <c r="C150" i="4"/>
  <c r="C147" i="4"/>
  <c r="H152" i="4"/>
  <c r="H151" i="4"/>
  <c r="C151" i="4"/>
  <c r="H150" i="4"/>
  <c r="H149" i="4"/>
  <c r="H148" i="4"/>
  <c r="C148" i="4"/>
  <c r="H147" i="4"/>
  <c r="D32" i="7" l="1"/>
  <c r="R103" i="7"/>
  <c r="R102" i="7"/>
  <c r="D16" i="7"/>
  <c r="T103" i="7"/>
  <c r="D17" i="7"/>
  <c r="D11" i="7"/>
  <c r="T106" i="7"/>
  <c r="R106" i="7"/>
  <c r="T105" i="7"/>
  <c r="R105" i="7"/>
  <c r="T104" i="7"/>
  <c r="R104" i="7"/>
  <c r="M103" i="7"/>
  <c r="T102" i="7"/>
  <c r="M102" i="7"/>
  <c r="D5" i="7"/>
  <c r="D4" i="7"/>
  <c r="I18" i="7"/>
  <c r="I17" i="7"/>
  <c r="I16" i="7"/>
  <c r="I12" i="7"/>
  <c r="I11" i="7"/>
  <c r="I10" i="7"/>
  <c r="D10" i="7"/>
  <c r="I6" i="7"/>
  <c r="I5" i="7"/>
  <c r="I4" i="7"/>
  <c r="C52" i="6"/>
  <c r="U136" i="6"/>
  <c r="U137" i="6"/>
  <c r="U135" i="6"/>
  <c r="T136" i="6"/>
  <c r="T137" i="6"/>
  <c r="T135" i="6"/>
  <c r="R135" i="6"/>
  <c r="H54" i="6"/>
  <c r="H53" i="6"/>
  <c r="H52" i="6"/>
  <c r="C46" i="6"/>
  <c r="C43" i="6"/>
  <c r="H48" i="6"/>
  <c r="H47" i="6"/>
  <c r="C47" i="6"/>
  <c r="H46" i="6"/>
  <c r="H45" i="6"/>
  <c r="H44" i="6"/>
  <c r="C44" i="6"/>
  <c r="H43" i="6"/>
  <c r="C41" i="6"/>
  <c r="C38" i="6"/>
  <c r="C40" i="6"/>
  <c r="H42" i="6"/>
  <c r="H41" i="6"/>
  <c r="H40" i="6"/>
  <c r="C37" i="6"/>
  <c r="H39" i="6"/>
  <c r="H38" i="6"/>
  <c r="H37" i="6"/>
  <c r="H28" i="6"/>
  <c r="C31" i="6"/>
  <c r="H33" i="6"/>
  <c r="H32" i="6"/>
  <c r="C32" i="6"/>
  <c r="H31" i="6"/>
  <c r="C28" i="6"/>
  <c r="C25" i="6"/>
  <c r="C24" i="6"/>
  <c r="H30" i="6"/>
  <c r="H29" i="6"/>
  <c r="C29" i="6"/>
  <c r="H26" i="6"/>
  <c r="H25" i="6"/>
  <c r="H24" i="6"/>
  <c r="C16" i="6"/>
  <c r="C19" i="6"/>
  <c r="H21" i="6"/>
  <c r="H20" i="6"/>
  <c r="C20" i="6"/>
  <c r="H19" i="6"/>
  <c r="C8" i="6"/>
  <c r="C15" i="6"/>
  <c r="H17" i="6"/>
  <c r="H16" i="6"/>
  <c r="H15" i="6"/>
  <c r="H10" i="6"/>
  <c r="H8" i="6"/>
  <c r="H9" i="6"/>
  <c r="C5" i="6"/>
  <c r="C145" i="4"/>
  <c r="C144" i="4"/>
  <c r="H146" i="4"/>
  <c r="H145" i="4"/>
  <c r="H144" i="4"/>
  <c r="C45" i="6" l="1"/>
  <c r="C48" i="6"/>
  <c r="C21" i="6"/>
  <c r="M135" i="6"/>
  <c r="M136" i="6"/>
  <c r="H6" i="6"/>
  <c r="H5" i="6"/>
  <c r="H4" i="6"/>
  <c r="C137" i="4"/>
  <c r="H139" i="4"/>
  <c r="H138" i="4"/>
  <c r="H137" i="4"/>
  <c r="C134" i="4"/>
  <c r="H136" i="4"/>
  <c r="H135" i="4"/>
  <c r="H134" i="4"/>
  <c r="C131" i="4"/>
  <c r="H133" i="4"/>
  <c r="H132" i="4"/>
  <c r="H131" i="4"/>
  <c r="C126" i="4"/>
  <c r="H128" i="4"/>
  <c r="H127" i="4"/>
  <c r="C127" i="4"/>
  <c r="H126" i="4"/>
  <c r="C123" i="4"/>
  <c r="C124" i="4"/>
  <c r="U307" i="4"/>
  <c r="T307" i="4"/>
  <c r="H125" i="4"/>
  <c r="H124" i="4"/>
  <c r="H123" i="4"/>
  <c r="C117" i="4"/>
  <c r="H119" i="4"/>
  <c r="H118" i="4"/>
  <c r="C118" i="4"/>
  <c r="H117" i="4"/>
  <c r="C115" i="4"/>
  <c r="C114" i="4"/>
  <c r="H116" i="4"/>
  <c r="H115" i="4"/>
  <c r="H114" i="4"/>
  <c r="K11" i="5" l="1"/>
  <c r="J11" i="5"/>
  <c r="E11" i="5"/>
  <c r="K10" i="5"/>
  <c r="J10" i="5"/>
  <c r="E10" i="5"/>
  <c r="K9" i="5"/>
  <c r="J9" i="5"/>
  <c r="E9" i="5"/>
  <c r="C100" i="4"/>
  <c r="C106" i="4"/>
  <c r="H108" i="4"/>
  <c r="H107" i="4"/>
  <c r="C107" i="4"/>
  <c r="H106" i="4"/>
  <c r="H102" i="4"/>
  <c r="H101" i="4"/>
  <c r="C101" i="4"/>
  <c r="H100" i="4"/>
  <c r="H96" i="4"/>
  <c r="H95" i="4"/>
  <c r="C95" i="4"/>
  <c r="H94" i="4"/>
  <c r="Q15" i="5" l="1"/>
  <c r="P15" i="5"/>
  <c r="Q14" i="5"/>
  <c r="P14" i="5"/>
  <c r="Q13" i="5"/>
  <c r="P13" i="5"/>
  <c r="Q12" i="5"/>
  <c r="P12" i="5"/>
  <c r="Q11" i="5"/>
  <c r="P11" i="5"/>
  <c r="Q10" i="5"/>
  <c r="P10" i="5"/>
  <c r="Q9" i="5"/>
  <c r="P9" i="5"/>
  <c r="T306" i="4" l="1"/>
  <c r="U304" i="4"/>
  <c r="U306" i="4"/>
  <c r="U305" i="4"/>
  <c r="T305" i="4"/>
  <c r="T304" i="4"/>
  <c r="R304" i="4"/>
  <c r="J64" i="4"/>
  <c r="C88" i="4"/>
  <c r="M305" i="4"/>
  <c r="C82" i="4"/>
  <c r="M304" i="4"/>
  <c r="H89" i="4"/>
  <c r="H88" i="4"/>
  <c r="H87" i="4"/>
  <c r="H83" i="4"/>
  <c r="H82" i="4"/>
  <c r="H81" i="4"/>
  <c r="C76" i="4"/>
  <c r="H77" i="4"/>
  <c r="H76" i="4"/>
  <c r="H75" i="4"/>
  <c r="C70" i="4" l="1"/>
  <c r="C71" i="4" s="1"/>
  <c r="H70" i="4"/>
  <c r="I70" i="4" s="1"/>
  <c r="H69" i="4"/>
  <c r="I69" i="4" s="1"/>
  <c r="H66" i="4"/>
  <c r="H65" i="4"/>
  <c r="I65" i="4" s="1"/>
  <c r="C65" i="4"/>
  <c r="C66" i="4" s="1"/>
  <c r="H64" i="4"/>
  <c r="I64" i="4" l="1"/>
  <c r="C60" i="4"/>
  <c r="C59" i="4"/>
  <c r="H61" i="4"/>
  <c r="H60" i="4"/>
  <c r="H59" i="4"/>
  <c r="I60" i="4" l="1"/>
  <c r="C61" i="4"/>
  <c r="B61" i="4" s="1"/>
  <c r="I61" i="4"/>
  <c r="I59" i="4"/>
  <c r="C51" i="4" l="1"/>
  <c r="C52" i="4"/>
  <c r="H53" i="4"/>
  <c r="H52" i="4"/>
  <c r="H51" i="4"/>
  <c r="C47" i="4"/>
  <c r="C46" i="4"/>
  <c r="C48" i="4" s="1"/>
  <c r="H48" i="4"/>
  <c r="I48" i="4" s="1"/>
  <c r="H47" i="4"/>
  <c r="H46" i="4"/>
  <c r="C17" i="4"/>
  <c r="C42" i="4"/>
  <c r="C41" i="4"/>
  <c r="I66" i="4" s="1"/>
  <c r="H43" i="4"/>
  <c r="I43" i="4" s="1"/>
  <c r="H42" i="4"/>
  <c r="I42" i="4" s="1"/>
  <c r="H41" i="4"/>
  <c r="C43" i="4" l="1"/>
  <c r="B43" i="4" s="1"/>
  <c r="I52" i="4"/>
  <c r="I53" i="4"/>
  <c r="I41" i="4"/>
  <c r="C53" i="4"/>
  <c r="B53" i="4" s="1"/>
  <c r="I46" i="4"/>
  <c r="I47" i="4"/>
  <c r="I51" i="4"/>
  <c r="Q9" i="4"/>
  <c r="R9" i="4" s="1"/>
  <c r="T9" i="4" s="1"/>
  <c r="U9" i="4" s="1"/>
  <c r="Q10" i="4"/>
  <c r="R10" i="4" s="1"/>
  <c r="T10" i="4" s="1"/>
  <c r="U10" i="4" s="1"/>
  <c r="Q11" i="4"/>
  <c r="R11" i="4" s="1"/>
  <c r="T11" i="4" s="1"/>
  <c r="U11" i="4" s="1"/>
  <c r="P8" i="4"/>
  <c r="Q8" i="4" s="1"/>
  <c r="R8" i="4" s="1"/>
  <c r="T8" i="4" s="1"/>
  <c r="U8" i="4" s="1"/>
  <c r="C24" i="4" l="1"/>
  <c r="C23" i="4"/>
  <c r="C30" i="4"/>
  <c r="H32" i="4"/>
  <c r="H31" i="4"/>
  <c r="C31" i="4"/>
  <c r="H30" i="4"/>
  <c r="H25" i="4"/>
  <c r="H24" i="4"/>
  <c r="I26" i="4"/>
  <c r="H23" i="4"/>
  <c r="I31" i="4" l="1"/>
  <c r="C25" i="4"/>
  <c r="C26" i="4" s="1"/>
  <c r="I23" i="4"/>
  <c r="C32" i="4"/>
  <c r="C33" i="4" s="1"/>
  <c r="I24" i="4"/>
  <c r="I25" i="4"/>
  <c r="I30" i="4"/>
  <c r="I32" i="4"/>
  <c r="C11" i="4"/>
  <c r="C16" i="4"/>
  <c r="C18" i="4" s="1"/>
  <c r="C19" i="4" s="1"/>
  <c r="H19" i="4"/>
  <c r="H18" i="4"/>
  <c r="H17" i="4"/>
  <c r="H16" i="4"/>
  <c r="H13" i="4"/>
  <c r="I17" i="4" l="1"/>
  <c r="I18" i="4"/>
  <c r="I16" i="4"/>
  <c r="I19" i="4"/>
  <c r="J13" i="4"/>
  <c r="J12" i="4"/>
  <c r="C10" i="4"/>
  <c r="I13" i="4" s="1"/>
  <c r="H12" i="4"/>
  <c r="I12" i="4" s="1"/>
  <c r="H11" i="4"/>
  <c r="H10" i="4"/>
  <c r="I11" i="4" l="1"/>
  <c r="I10" i="4"/>
  <c r="C13" i="4"/>
  <c r="J61" i="1" l="1"/>
  <c r="J63" i="1"/>
  <c r="J62" i="1"/>
  <c r="E58" i="1"/>
  <c r="J64" i="1"/>
  <c r="J60" i="1"/>
  <c r="J59" i="1"/>
  <c r="J58" i="1"/>
  <c r="K40" i="3" l="1"/>
  <c r="F40" i="3"/>
  <c r="F41" i="3" s="1"/>
  <c r="K49" i="3"/>
  <c r="K48" i="3"/>
  <c r="K47" i="3"/>
  <c r="K46" i="3"/>
  <c r="K45" i="3"/>
  <c r="K44" i="3"/>
  <c r="K43" i="3"/>
  <c r="K42" i="3"/>
  <c r="K41" i="3"/>
  <c r="S47" i="1" l="1"/>
  <c r="S46" i="1"/>
  <c r="S45" i="1"/>
  <c r="S44" i="1"/>
  <c r="S43" i="1"/>
  <c r="S42" i="1"/>
  <c r="S41" i="1"/>
  <c r="S40" i="1"/>
  <c r="S39" i="1"/>
  <c r="S38" i="1"/>
  <c r="F28" i="3"/>
  <c r="F29" i="3" s="1"/>
  <c r="K37" i="3"/>
  <c r="K36" i="3"/>
  <c r="K35" i="3"/>
  <c r="K34" i="3"/>
  <c r="K33" i="3"/>
  <c r="K32" i="3"/>
  <c r="K31" i="3"/>
  <c r="K30" i="3"/>
  <c r="K29" i="3"/>
  <c r="K28" i="3"/>
  <c r="F16" i="3"/>
  <c r="F17" i="3" s="1"/>
  <c r="K25" i="3"/>
  <c r="K24" i="3"/>
  <c r="K23" i="3"/>
  <c r="K22" i="3"/>
  <c r="K21" i="3"/>
  <c r="K20" i="3"/>
  <c r="K19" i="3"/>
  <c r="K18" i="3"/>
  <c r="K17" i="3"/>
  <c r="K16" i="3"/>
  <c r="K13" i="3"/>
  <c r="K6" i="3"/>
  <c r="K10" i="3"/>
  <c r="K12" i="3"/>
  <c r="K11" i="3"/>
  <c r="K8" i="3"/>
  <c r="K9" i="3"/>
  <c r="K7" i="3"/>
  <c r="K5" i="3"/>
  <c r="K4" i="3"/>
  <c r="E18" i="2" l="1"/>
  <c r="J13" i="2"/>
  <c r="J54" i="1"/>
  <c r="J20" i="2"/>
  <c r="J19" i="2"/>
  <c r="J18" i="2"/>
  <c r="J53" i="1"/>
  <c r="J52" i="1"/>
  <c r="J49" i="1"/>
  <c r="J50" i="1"/>
  <c r="J51" i="1"/>
  <c r="E46" i="1" l="1"/>
  <c r="J48" i="1"/>
  <c r="J47" i="1"/>
  <c r="J46" i="1"/>
  <c r="E40" i="1" l="1"/>
  <c r="J42" i="1"/>
  <c r="J41" i="1"/>
  <c r="J40" i="1"/>
  <c r="J15" i="2" l="1"/>
  <c r="E13" i="2"/>
  <c r="J14" i="2"/>
  <c r="E34" i="1"/>
  <c r="J36" i="1"/>
  <c r="J35" i="1"/>
  <c r="J34" i="1"/>
  <c r="J9" i="2" l="1"/>
  <c r="E9" i="2"/>
  <c r="J10" i="2"/>
  <c r="R32" i="1"/>
  <c r="R31" i="1"/>
  <c r="R30" i="1"/>
  <c r="R29" i="1"/>
  <c r="R25" i="1"/>
  <c r="R26" i="1"/>
  <c r="R27" i="1"/>
  <c r="R28" i="1"/>
  <c r="R22" i="1"/>
  <c r="R21" i="1"/>
  <c r="R20" i="1"/>
  <c r="R19" i="1"/>
  <c r="M15" i="1"/>
  <c r="R34" i="1"/>
  <c r="R33" i="1"/>
  <c r="R24" i="1"/>
  <c r="R23" i="1"/>
  <c r="R18" i="1"/>
  <c r="R17" i="1"/>
  <c r="R16" i="1"/>
  <c r="E4" i="2"/>
  <c r="S29" i="1" l="1"/>
  <c r="S25" i="1"/>
  <c r="S21" i="1"/>
  <c r="S33" i="1"/>
  <c r="S19" i="1"/>
  <c r="S20" i="1"/>
  <c r="S22" i="1"/>
  <c r="S16" i="1"/>
  <c r="S18" i="1"/>
  <c r="S17" i="1"/>
  <c r="S32" i="1"/>
  <c r="S28" i="1"/>
  <c r="S24" i="1"/>
  <c r="S31" i="1"/>
  <c r="S27" i="1"/>
  <c r="S23" i="1"/>
  <c r="S34" i="1"/>
  <c r="S30" i="1"/>
  <c r="S26" i="1"/>
  <c r="J6" i="2"/>
  <c r="J5" i="2"/>
  <c r="H30" i="1" l="1"/>
  <c r="H29" i="1"/>
  <c r="H28" i="1"/>
  <c r="H25" i="1"/>
  <c r="H24" i="1"/>
  <c r="H22" i="1"/>
  <c r="H23" i="1"/>
  <c r="C16" i="1"/>
  <c r="H27" i="1"/>
  <c r="H26" i="1"/>
  <c r="H21" i="1"/>
  <c r="H20" i="1"/>
  <c r="H19" i="1"/>
  <c r="H18" i="1"/>
  <c r="H17" i="1"/>
  <c r="H16" i="1"/>
  <c r="F9" i="1" l="1"/>
  <c r="F8" i="1"/>
  <c r="F7" i="1"/>
  <c r="F6" i="1"/>
  <c r="Z30" i="8" l="1"/>
  <c r="Z28" i="8"/>
  <c r="Z35" i="8"/>
  <c r="Z37" i="8"/>
</calcChain>
</file>

<file path=xl/sharedStrings.xml><?xml version="1.0" encoding="utf-8"?>
<sst xmlns="http://schemas.openxmlformats.org/spreadsheetml/2006/main" count="1621" uniqueCount="265">
  <si>
    <t>Time (sec)</t>
  </si>
  <si>
    <t>Power (W)</t>
  </si>
  <si>
    <r>
      <t>T</t>
    </r>
    <r>
      <rPr>
        <vertAlign val="subscript"/>
        <sz val="12"/>
        <color theme="1"/>
        <rFont val="宋体"/>
        <family val="3"/>
        <charset val="134"/>
      </rPr>
      <t>○</t>
    </r>
    <r>
      <rPr>
        <sz val="12"/>
        <color theme="1"/>
        <rFont val="宋体"/>
        <family val="3"/>
        <charset val="134"/>
      </rPr>
      <t xml:space="preserve"> (℃)</t>
    </r>
  </si>
  <si>
    <r>
      <t>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</si>
  <si>
    <r>
      <t>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</si>
  <si>
    <t>Sludge only</t>
  </si>
  <si>
    <t>Powerded sludege</t>
  </si>
  <si>
    <t>freeze dried</t>
  </si>
  <si>
    <t>After 1 day tumbled with balls</t>
  </si>
  <si>
    <t>After 2 day tumbled with balls</t>
  </si>
  <si>
    <t>After 4 day tumbled with balls</t>
  </si>
  <si>
    <t>no tumbled</t>
  </si>
  <si>
    <t>sludge 2</t>
  </si>
  <si>
    <t>(dark color)</t>
  </si>
  <si>
    <t>yellow color</t>
  </si>
  <si>
    <t>tumbled no balls</t>
  </si>
  <si>
    <t>mg</t>
  </si>
  <si>
    <t>after 1 night tumbled</t>
  </si>
  <si>
    <t>0.3mgMWCNT/CTAB 100mg sludge</t>
  </si>
  <si>
    <t>250ul</t>
  </si>
  <si>
    <t>200ul</t>
  </si>
  <si>
    <t>100ul</t>
  </si>
  <si>
    <t>250mgSludge+0.3mg/ml MWCNT/CTAB</t>
  </si>
  <si>
    <t>1ml</t>
  </si>
  <si>
    <t>0.3mgCNT</t>
  </si>
  <si>
    <t>10mlsludge</t>
  </si>
  <si>
    <t>freeze dry</t>
  </si>
  <si>
    <t>0.75ml</t>
  </si>
  <si>
    <t>0.5ml</t>
  </si>
  <si>
    <t>0.25ml</t>
  </si>
  <si>
    <t>CNT Mass (mg)</t>
  </si>
  <si>
    <t>CNT Mass (mg)</t>
    <phoneticPr fontId="5" type="noConversion"/>
  </si>
  <si>
    <t>100w, 20s</t>
    <phoneticPr fontId="5" type="noConversion"/>
  </si>
  <si>
    <t>130w, 20s</t>
    <phoneticPr fontId="5" type="noConversion"/>
  </si>
  <si>
    <t>130w, 30s</t>
    <phoneticPr fontId="5" type="noConversion"/>
  </si>
  <si>
    <t>∆T (℃)</t>
  </si>
  <si>
    <r>
      <t>Subtraction 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  <phoneticPr fontId="5" type="noConversion"/>
  </si>
  <si>
    <t>Sludge</t>
    <phoneticPr fontId="5" type="noConversion"/>
  </si>
  <si>
    <t>Soil</t>
    <phoneticPr fontId="5" type="noConversion"/>
  </si>
  <si>
    <t>Subtraction∆T (℃)</t>
  </si>
  <si>
    <t>100W</t>
  </si>
  <si>
    <t>130W</t>
  </si>
  <si>
    <t>Sand</t>
    <phoneticPr fontId="5" type="noConversion"/>
  </si>
  <si>
    <r>
      <t>T</t>
    </r>
    <r>
      <rPr>
        <vertAlign val="subscript"/>
        <sz val="12"/>
        <color rgb="FF7030A0"/>
        <rFont val="宋体"/>
        <family val="3"/>
        <charset val="134"/>
      </rPr>
      <t>○</t>
    </r>
    <r>
      <rPr>
        <sz val="12"/>
        <color rgb="FF7030A0"/>
        <rFont val="宋体"/>
        <family val="3"/>
        <charset val="134"/>
      </rPr>
      <t xml:space="preserve"> (℃)</t>
    </r>
  </si>
  <si>
    <r>
      <t>T (</t>
    </r>
    <r>
      <rPr>
        <sz val="12"/>
        <color rgb="FF7030A0"/>
        <rFont val="宋体"/>
        <family val="3"/>
        <charset val="134"/>
      </rPr>
      <t>℃</t>
    </r>
    <r>
      <rPr>
        <sz val="12"/>
        <color rgb="FF7030A0"/>
        <rFont val="Times New Roman"/>
        <family val="1"/>
      </rPr>
      <t>)</t>
    </r>
  </si>
  <si>
    <r>
      <t>∆T (</t>
    </r>
    <r>
      <rPr>
        <sz val="12"/>
        <color rgb="FF7030A0"/>
        <rFont val="宋体"/>
        <family val="3"/>
        <charset val="134"/>
      </rPr>
      <t>℃</t>
    </r>
    <r>
      <rPr>
        <sz val="12"/>
        <color rgb="FF7030A0"/>
        <rFont val="Times New Roman"/>
        <family val="1"/>
      </rPr>
      <t>)</t>
    </r>
  </si>
  <si>
    <t xml:space="preserve">1.25ml </t>
  </si>
  <si>
    <t>5mlsludge+1.25mlCTAB</t>
  </si>
  <si>
    <t>SWCNT</t>
  </si>
  <si>
    <t>MWCNT</t>
  </si>
  <si>
    <t>1.25ml</t>
  </si>
  <si>
    <t>0.8ml</t>
  </si>
  <si>
    <t>M-COOH</t>
  </si>
  <si>
    <t>Subtraction ∆T (℃)</t>
  </si>
  <si>
    <t>5mlsludge+1mlCTAB</t>
  </si>
  <si>
    <t>0.35ml</t>
  </si>
  <si>
    <t>0.45ml</t>
  </si>
  <si>
    <t>0.4ml</t>
  </si>
  <si>
    <t>1.5ml</t>
  </si>
  <si>
    <t>T (℃)</t>
  </si>
  <si>
    <t>2ml</t>
  </si>
  <si>
    <t>1.75ml</t>
  </si>
  <si>
    <t>1.3ml</t>
  </si>
  <si>
    <t>0.05ml</t>
  </si>
  <si>
    <t>1.8ml</t>
  </si>
  <si>
    <t>133w, 15s</t>
    <phoneticPr fontId="5" type="noConversion"/>
  </si>
  <si>
    <t>133w, 15s</t>
    <phoneticPr fontId="5" type="noConversion"/>
  </si>
  <si>
    <t>0.05ml</t>
    <phoneticPr fontId="5" type="noConversion"/>
  </si>
  <si>
    <t>1.8ml</t>
    <phoneticPr fontId="5" type="noConversion"/>
  </si>
  <si>
    <t>0.15ml</t>
  </si>
  <si>
    <t>MWCNT/Sludge</t>
    <phoneticPr fontId="5" type="noConversion"/>
  </si>
  <si>
    <t>sludge/SWCNT</t>
  </si>
  <si>
    <t>M-COOH/sludge</t>
  </si>
  <si>
    <t>0.1ml</t>
  </si>
  <si>
    <t>0.1ML</t>
  </si>
  <si>
    <t>0.3ml</t>
  </si>
  <si>
    <t>0.3ML</t>
  </si>
  <si>
    <t>0.5ML</t>
  </si>
  <si>
    <t>loss sample</t>
  </si>
  <si>
    <t>0.8ML</t>
  </si>
  <si>
    <t>1.3ML</t>
  </si>
  <si>
    <t>M</t>
  </si>
  <si>
    <t>S</t>
  </si>
  <si>
    <t>M-COOH</t>
    <phoneticPr fontId="5" type="noConversion"/>
  </si>
  <si>
    <t>5ML</t>
    <phoneticPr fontId="5" type="noConversion"/>
  </si>
  <si>
    <t>M</t>
    <phoneticPr fontId="5" type="noConversion"/>
  </si>
  <si>
    <t>0.0152g</t>
  </si>
  <si>
    <t>0.0147g</t>
  </si>
  <si>
    <t>0.0074g</t>
  </si>
  <si>
    <t>0.0047g</t>
  </si>
  <si>
    <t>3ml</t>
  </si>
  <si>
    <t>0.023g</t>
  </si>
  <si>
    <t>0.01g</t>
  </si>
  <si>
    <t>0.0072g</t>
  </si>
  <si>
    <t xml:space="preserve">         </t>
  </si>
  <si>
    <t>COOH0.5</t>
  </si>
  <si>
    <t>Low Concentration</t>
  </si>
  <si>
    <t>df=</t>
  </si>
  <si>
    <r>
      <t>t</t>
    </r>
    <r>
      <rPr>
        <vertAlign val="subscript"/>
        <sz val="11"/>
        <color theme="1"/>
        <rFont val="Times New Roman"/>
        <family val="1"/>
      </rPr>
      <t>0.99</t>
    </r>
  </si>
  <si>
    <t>MDL=STD*t value=</t>
  </si>
  <si>
    <t>MWCNT(mg)</t>
  </si>
  <si>
    <t>Sample1</t>
  </si>
  <si>
    <t>Sample2</t>
  </si>
  <si>
    <t>Sample3</t>
  </si>
  <si>
    <t>Sample4</t>
  </si>
  <si>
    <t>Sample5</t>
  </si>
  <si>
    <t>Sample6</t>
  </si>
  <si>
    <t>Sample7</t>
  </si>
  <si>
    <t>STD</t>
  </si>
  <si>
    <t>SWCNT(mg)</t>
  </si>
  <si>
    <t>M-COOH(mg)</t>
  </si>
  <si>
    <t>mgMWCNT/15.3mgsludge</t>
  </si>
  <si>
    <t>ugSWCNT/15.3msluge</t>
  </si>
  <si>
    <t>0.12-0.012</t>
  </si>
  <si>
    <t>ugMWCNT/gsludge</t>
  </si>
  <si>
    <t>sludge</t>
  </si>
  <si>
    <t>COOH</t>
  </si>
  <si>
    <t>OC</t>
  </si>
  <si>
    <t>sludge only</t>
  </si>
  <si>
    <t>AVE.</t>
  </si>
  <si>
    <t>STD.</t>
  </si>
  <si>
    <t>0.009mg</t>
  </si>
  <si>
    <t>0.012mg</t>
  </si>
  <si>
    <t>~15mg</t>
  </si>
  <si>
    <t>MWCNT in sludge</t>
  </si>
  <si>
    <t>SWCNT in sludge</t>
  </si>
  <si>
    <t>M-COOH in sludge</t>
  </si>
  <si>
    <t>0.03mg</t>
  </si>
  <si>
    <t>0.042mg</t>
  </si>
  <si>
    <t>0.075mg</t>
  </si>
  <si>
    <t>0.06mg</t>
  </si>
  <si>
    <t>sample1</t>
  </si>
  <si>
    <t>sample2</t>
  </si>
  <si>
    <t>sample3</t>
  </si>
  <si>
    <t>sample4</t>
  </si>
  <si>
    <t>sample5</t>
  </si>
  <si>
    <r>
      <t>T (</t>
    </r>
    <r>
      <rPr>
        <sz val="12"/>
        <rFont val="宋体"/>
        <family val="3"/>
        <charset val="134"/>
      </rPr>
      <t>℃</t>
    </r>
    <r>
      <rPr>
        <sz val="12"/>
        <rFont val="Times New Roman"/>
        <family val="1"/>
      </rPr>
      <t>)</t>
    </r>
  </si>
  <si>
    <r>
      <t>∆T (</t>
    </r>
    <r>
      <rPr>
        <sz val="12"/>
        <rFont val="宋体"/>
        <family val="3"/>
        <charset val="134"/>
      </rPr>
      <t>℃</t>
    </r>
    <r>
      <rPr>
        <sz val="12"/>
        <rFont val="Times New Roman"/>
        <family val="1"/>
      </rPr>
      <t>)</t>
    </r>
  </si>
  <si>
    <t>CNT-Sludge (3ml)</t>
    <phoneticPr fontId="5" type="noConversion"/>
  </si>
  <si>
    <t>Analyst:Yang He</t>
    <phoneticPr fontId="5" type="noConversion"/>
  </si>
  <si>
    <t>sample mass(g)</t>
    <phoneticPr fontId="5" type="noConversion"/>
  </si>
  <si>
    <r>
      <t>T</t>
    </r>
    <r>
      <rPr>
        <vertAlign val="subscript"/>
        <sz val="12"/>
        <rFont val="宋体"/>
        <family val="3"/>
        <charset val="134"/>
      </rPr>
      <t>○</t>
    </r>
    <r>
      <rPr>
        <sz val="12"/>
        <rFont val="Times New Roman"/>
        <family val="1"/>
      </rPr>
      <t xml:space="preserve"> (</t>
    </r>
    <r>
      <rPr>
        <sz val="12"/>
        <rFont val="宋体"/>
        <family val="3"/>
        <charset val="134"/>
      </rPr>
      <t>℃</t>
    </r>
    <r>
      <rPr>
        <sz val="12"/>
        <rFont val="Times New Roman"/>
        <family val="1"/>
      </rPr>
      <t>)</t>
    </r>
  </si>
  <si>
    <t>3ml sludge</t>
    <phoneticPr fontId="5" type="noConversion"/>
  </si>
  <si>
    <t>Sample Mass(g)</t>
    <phoneticPr fontId="5" type="noConversion"/>
  </si>
  <si>
    <r>
      <t>T</t>
    </r>
    <r>
      <rPr>
        <vertAlign val="subscript"/>
        <sz val="12"/>
        <rFont val="Times New Roman"/>
        <family val="1"/>
      </rPr>
      <t>○</t>
    </r>
    <r>
      <rPr>
        <sz val="12"/>
        <rFont val="Times New Roman"/>
        <family val="1"/>
      </rPr>
      <t xml:space="preserve"> (℃)</t>
    </r>
  </si>
  <si>
    <t>5 ml sludge</t>
    <phoneticPr fontId="5" type="noConversion"/>
  </si>
  <si>
    <t>Volume of dispersion (ml)</t>
    <phoneticPr fontId="5" type="noConversion"/>
  </si>
  <si>
    <t>MWCNT Mass (mg)</t>
    <phoneticPr fontId="5" type="noConversion"/>
  </si>
  <si>
    <t>Volume of dispersion (ml)</t>
    <phoneticPr fontId="5" type="noConversion"/>
  </si>
  <si>
    <t>MWCNT Mass (mg)</t>
    <phoneticPr fontId="5" type="noConversion"/>
  </si>
  <si>
    <t>MWCNT dispersion (0.3mg/ml)</t>
    <phoneticPr fontId="5" type="noConversion"/>
  </si>
  <si>
    <t>SWCNT dispersion 0.3mg/ml</t>
    <phoneticPr fontId="5" type="noConversion"/>
  </si>
  <si>
    <t>M-COOH dispersion 03mg/ml</t>
    <phoneticPr fontId="5" type="noConversion"/>
  </si>
  <si>
    <t>SWCNT Mass (mg)</t>
    <phoneticPr fontId="5" type="noConversion"/>
  </si>
  <si>
    <t>M-COOH mass (mg)</t>
    <phoneticPr fontId="5" type="noConversion"/>
  </si>
  <si>
    <t>\</t>
    <phoneticPr fontId="5" type="noConversion"/>
  </si>
  <si>
    <t>3ml sludge</t>
    <phoneticPr fontId="5" type="noConversion"/>
  </si>
  <si>
    <t>5ml sludge</t>
    <phoneticPr fontId="5" type="noConversion"/>
  </si>
  <si>
    <t>2/22/2016 MWCNT-Sludge (3ml and 5 ml)</t>
    <phoneticPr fontId="5" type="noConversion"/>
  </si>
  <si>
    <t>2/29/2016 SWCNT-Sludge (3ml and 5 ml)</t>
    <phoneticPr fontId="5" type="noConversion"/>
  </si>
  <si>
    <t>SWCNT dispersion (0.3mg/ml)</t>
    <phoneticPr fontId="5" type="noConversion"/>
  </si>
  <si>
    <t>MWCNT-COOH dispersion (0.3mg/ml)</t>
    <phoneticPr fontId="5" type="noConversion"/>
  </si>
  <si>
    <t>MWCNT-COOH Mass (mg)</t>
    <phoneticPr fontId="5" type="noConversion"/>
  </si>
  <si>
    <t>3ml sludge matrix</t>
    <phoneticPr fontId="5" type="noConversion"/>
  </si>
  <si>
    <t>MWCNT-COOH-Sludge (3ml and 5ml)</t>
  </si>
  <si>
    <r>
      <t>T</t>
    </r>
    <r>
      <rPr>
        <vertAlign val="subscript"/>
        <sz val="12"/>
        <color theme="8"/>
        <rFont val="宋体"/>
        <family val="3"/>
        <charset val="134"/>
      </rPr>
      <t>○</t>
    </r>
    <r>
      <rPr>
        <sz val="12"/>
        <color theme="8"/>
        <rFont val="Times New Roman"/>
        <family val="1"/>
      </rPr>
      <t xml:space="preserve"> (</t>
    </r>
    <r>
      <rPr>
        <sz val="12"/>
        <color theme="8"/>
        <rFont val="宋体"/>
        <family val="3"/>
        <charset val="134"/>
      </rPr>
      <t>℃</t>
    </r>
    <r>
      <rPr>
        <sz val="12"/>
        <color theme="8"/>
        <rFont val="Times New Roman"/>
        <family val="1"/>
      </rPr>
      <t>)</t>
    </r>
  </si>
  <si>
    <r>
      <t>T (</t>
    </r>
    <r>
      <rPr>
        <sz val="12"/>
        <color theme="8"/>
        <rFont val="宋体"/>
        <family val="3"/>
        <charset val="134"/>
      </rPr>
      <t>℃</t>
    </r>
    <r>
      <rPr>
        <sz val="12"/>
        <color theme="8"/>
        <rFont val="Times New Roman"/>
        <family val="1"/>
      </rPr>
      <t>)</t>
    </r>
  </si>
  <si>
    <r>
      <t>∆T (</t>
    </r>
    <r>
      <rPr>
        <sz val="12"/>
        <color theme="8"/>
        <rFont val="宋体"/>
        <family val="3"/>
        <charset val="134"/>
      </rPr>
      <t>℃</t>
    </r>
    <r>
      <rPr>
        <sz val="12"/>
        <color theme="8"/>
        <rFont val="Times New Roman"/>
        <family val="1"/>
      </rPr>
      <t>)</t>
    </r>
  </si>
  <si>
    <t>3/1/2016 CNTs in 1.5 ml sludge</t>
    <phoneticPr fontId="5" type="noConversion"/>
  </si>
  <si>
    <t>1.5ml sludge only</t>
    <phoneticPr fontId="5" type="noConversion"/>
  </si>
  <si>
    <t>1.5 ml sludge as matrix</t>
    <phoneticPr fontId="5" type="noConversion"/>
  </si>
  <si>
    <t>3/1/2016 CNTs in 3 ml sludge</t>
    <phoneticPr fontId="5" type="noConversion"/>
  </si>
  <si>
    <t>CNT dispersion (0.3mg/ml)</t>
    <phoneticPr fontId="5" type="noConversion"/>
  </si>
  <si>
    <t>0.3ml of MWCNT, SWCNT and MWCNT-COOH dispersion</t>
    <phoneticPr fontId="5" type="noConversion"/>
  </si>
  <si>
    <t>3/10/2016 MWCNT, SWCNT and MWCNT-COOH in 1.5 ml, 3ml and 5ml sludge</t>
    <phoneticPr fontId="5" type="noConversion"/>
  </si>
  <si>
    <t>MWCNT dispersion (0.3mg/ml)</t>
    <phoneticPr fontId="5" type="noConversion"/>
  </si>
  <si>
    <t>MWCNT in 1.5ml sludge</t>
    <phoneticPr fontId="5" type="noConversion"/>
  </si>
  <si>
    <t>MWCNT in 3ml sludge</t>
    <phoneticPr fontId="5" type="noConversion"/>
  </si>
  <si>
    <t>MWCNT in 5ml sludge</t>
    <phoneticPr fontId="5" type="noConversion"/>
  </si>
  <si>
    <t>SMWCNT in 1.5ml sludge</t>
    <phoneticPr fontId="5" type="noConversion"/>
  </si>
  <si>
    <t>SWCNT in 3ml sludge</t>
    <phoneticPr fontId="5" type="noConversion"/>
  </si>
  <si>
    <t>SWCNT in 5ml sludge</t>
    <phoneticPr fontId="5" type="noConversion"/>
  </si>
  <si>
    <t>MMWCNT-COOH in 1.5ml sludge</t>
    <phoneticPr fontId="5" type="noConversion"/>
  </si>
  <si>
    <t>MMWCNT-COOH in 3ml sludge</t>
    <phoneticPr fontId="5" type="noConversion"/>
  </si>
  <si>
    <t>MMWCNT-COOH in 5ml sludge</t>
    <phoneticPr fontId="5" type="noConversion"/>
  </si>
  <si>
    <t>5-2-2-16</t>
    <phoneticPr fontId="5" type="noConversion"/>
  </si>
  <si>
    <t>sludge mass</t>
    <phoneticPr fontId="5" type="noConversion"/>
  </si>
  <si>
    <t>Time(sec)</t>
    <phoneticPr fontId="5" type="noConversion"/>
  </si>
  <si>
    <t>Microwave power: 133W</t>
    <phoneticPr fontId="5" type="noConversion"/>
  </si>
  <si>
    <t xml:space="preserve">Sludge only </t>
    <phoneticPr fontId="5" type="noConversion"/>
  </si>
  <si>
    <t>standized temperatures</t>
    <phoneticPr fontId="5" type="noConversion"/>
  </si>
  <si>
    <t>vial broken</t>
    <phoneticPr fontId="5" type="noConversion"/>
  </si>
  <si>
    <t>Abbreviations</t>
    <phoneticPr fontId="5" type="noConversion"/>
  </si>
  <si>
    <t>CNT: Carbon nanotubes</t>
    <phoneticPr fontId="5" type="noConversion"/>
  </si>
  <si>
    <t>MWCNT:Multi walled CNT</t>
    <phoneticPr fontId="5" type="noConversion"/>
  </si>
  <si>
    <t>SWCMT:Single walled CNT</t>
    <phoneticPr fontId="5" type="noConversion"/>
  </si>
  <si>
    <t>MWCNT-COOH:Carboxylated MWCNT</t>
    <phoneticPr fontId="5" type="noConversion"/>
  </si>
  <si>
    <t>HA: Humic acid</t>
    <phoneticPr fontId="5" type="noConversion"/>
  </si>
  <si>
    <t>C60: fullerence</t>
    <phoneticPr fontId="5" type="noConversion"/>
  </si>
  <si>
    <t xml:space="preserve">GAC:Grandula actived carbon </t>
    <phoneticPr fontId="5" type="noConversion"/>
  </si>
  <si>
    <t>GO:Graphene oxide</t>
    <phoneticPr fontId="5" type="noConversion"/>
  </si>
  <si>
    <t>std: standard deviation</t>
    <phoneticPr fontId="5" type="noConversion"/>
  </si>
  <si>
    <t>IC:Inorganic carbon</t>
    <phoneticPr fontId="5" type="noConversion"/>
  </si>
  <si>
    <t>Power (W)</t>
    <phoneticPr fontId="5" type="noConversion"/>
  </si>
  <si>
    <t>microwave energy</t>
    <phoneticPr fontId="5" type="noConversion"/>
  </si>
  <si>
    <t>Time (sec)</t>
    <phoneticPr fontId="5" type="noConversion"/>
  </si>
  <si>
    <t>microwave exposure time</t>
    <phoneticPr fontId="5" type="noConversion"/>
  </si>
  <si>
    <r>
      <t>T</t>
    </r>
    <r>
      <rPr>
        <vertAlign val="subscript"/>
        <sz val="11"/>
        <rFont val="Times New Roman"/>
        <family val="1"/>
      </rPr>
      <t xml:space="preserve">o </t>
    </r>
    <r>
      <rPr>
        <sz val="11"/>
        <rFont val="Times New Roman"/>
        <family val="1"/>
      </rPr>
      <t>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  <phoneticPr fontId="5" type="noConversion"/>
  </si>
  <si>
    <t>initial temperature of sample before microwave irradiation</t>
    <phoneticPr fontId="5" type="noConversion"/>
  </si>
  <si>
    <r>
      <t>T 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  <phoneticPr fontId="5" type="noConversion"/>
  </si>
  <si>
    <t>final temperature of sample after micrwaove irradiation</t>
    <phoneticPr fontId="5" type="noConversion"/>
  </si>
  <si>
    <r>
      <t>∆T 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  <phoneticPr fontId="5" type="noConversion"/>
  </si>
  <si>
    <t>temperature change of sample before and after microwave irradiation</t>
    <phoneticPr fontId="5" type="noConversion"/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</si>
  <si>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</si>
  <si>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</si>
  <si>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</si>
  <si>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</si>
  <si>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Yang He</t>
  </si>
  <si>
    <t>Balances: AB54, used for weighing CNTs and environmental samples in nanohood</t>
    <phoneticPr fontId="1" type="noConversion"/>
  </si>
  <si>
    <t>Microwave induced heating system: Lab 131. Microwave condition: Power /Time</t>
  </si>
  <si>
    <t xml:space="preserve">8/26/2015 Microwave response of sludge only </t>
  </si>
  <si>
    <t>Analyst:Yang He</t>
  </si>
  <si>
    <t>Sample mass (g)</t>
  </si>
  <si>
    <t xml:space="preserve">10/9/2015 Microwave response of sludge only </t>
  </si>
  <si>
    <t>10/13/2015 Microwave test of MWCNT in sludge</t>
  </si>
  <si>
    <t>10.3 mg MWCNT (dry powder) was mixed with 2.0745g sludge powder)</t>
  </si>
  <si>
    <t>Mass of sample (g)</t>
  </si>
  <si>
    <t>10/20/2015 Microwave response of SWCNT in sludge</t>
  </si>
  <si>
    <t>Analyst: Yang He</t>
  </si>
  <si>
    <t>SWCNT (mg)</t>
  </si>
  <si>
    <t>sludge (g)</t>
  </si>
  <si>
    <t>Sample Mass (g)</t>
  </si>
  <si>
    <t>SWCNT mass (mg)</t>
  </si>
  <si>
    <t>Replicate1</t>
  </si>
  <si>
    <t>Replicate2</t>
  </si>
  <si>
    <t>Replicate3</t>
  </si>
  <si>
    <t>Replicate4</t>
  </si>
  <si>
    <r>
      <t>T</t>
    </r>
    <r>
      <rPr>
        <vertAlign val="subscript"/>
        <sz val="12"/>
        <rFont val="宋体"/>
        <family val="3"/>
        <charset val="134"/>
      </rPr>
      <t>○</t>
    </r>
    <r>
      <rPr>
        <sz val="12"/>
        <rFont val="宋体"/>
        <family val="3"/>
        <charset val="134"/>
      </rPr>
      <t xml:space="preserve"> (℃)</t>
    </r>
  </si>
  <si>
    <t>MWCNT mass (mg)</t>
  </si>
  <si>
    <t>volume of dispersion added</t>
  </si>
  <si>
    <t>Analyst : Yang He</t>
  </si>
  <si>
    <t>MWCNT dispersion :0.3mg/ml</t>
  </si>
  <si>
    <t>11/23/2015  Micowave response of MWCNT (dispersed by CTAB) in sludge (5ml)</t>
  </si>
  <si>
    <t>11/25/2015 Micowave response of MWCNT (dispersed by CTAB) in sludge (5ml)</t>
  </si>
  <si>
    <t>12/1/2015 Micowave response of MWCNT (dispersed by CTAB) in sludge (5ml)</t>
  </si>
  <si>
    <t>12-1-2015 5mlsludge+1mlCTAB</t>
  </si>
  <si>
    <t>sludge+CTAB</t>
  </si>
  <si>
    <t>5mlsludge+1.5mlCTAB</t>
  </si>
  <si>
    <t xml:space="preserve"> 12/3/2015 Micowave response of MWCNT (dispersed by CTAB) in sludge (5ml)</t>
  </si>
  <si>
    <t>5mlsludge+2mlCTAB</t>
  </si>
  <si>
    <t>5mlsludge+1.75mlCTAB</t>
  </si>
  <si>
    <t>Dispersion (ml)</t>
  </si>
  <si>
    <t>MWCNT (mg)</t>
  </si>
  <si>
    <t>1/9/2016 Micowave response of MWCNT (dispersed by CTAB) in sludge (5ml)</t>
  </si>
  <si>
    <t>20.2mg SWCNT dispersed in CTAB 4ml</t>
  </si>
  <si>
    <t>4ml SWCNT disperion mixed with 1g sludge</t>
  </si>
  <si>
    <t>SWCNT Dispersion: 0.3mg/ml</t>
  </si>
  <si>
    <t>5mlsludge</t>
  </si>
  <si>
    <t>11/29/2015  Micowave response of MWCNT (dispersed by CTAB) in sludge (5ml)</t>
  </si>
  <si>
    <t>12/2/2015 Micowave response of MWCNT (dispersed by CTAB) in sludge (5ml)</t>
  </si>
  <si>
    <t>11/29/2015 Micowave response of MWCNT-COOH (dispersed by CTAB) in sludge (5ml)</t>
  </si>
  <si>
    <t>1.11ml</t>
  </si>
  <si>
    <t>12/1/2015 Micowave response of MWCNT-COOH (dispersed by CTAB) in sludge (5ml)</t>
  </si>
  <si>
    <t>12/3/2015 Micowave response of MWCNT-COOH (dispersed by CTAB) in sludge (5ml)</t>
  </si>
  <si>
    <t>1/9/2016 Micowave response of MWCNT-COOH (dispersed by CTAB) in sludge (5ml)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</si>
</sst>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7030A0"/>
      <name val="Times New Roman"/>
      <family val="1"/>
    </font>
    <font>
      <vertAlign val="subscript"/>
      <sz val="12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sz val="11"/>
      <color rgb="FF7030A0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8"/>
      <name val="Times New Roman"/>
      <family val="1"/>
    </font>
    <font>
      <vertAlign val="subscript"/>
      <sz val="11"/>
      <color theme="1"/>
      <name val="Times New Roman"/>
      <family val="1"/>
    </font>
    <font>
      <sz val="12"/>
      <color theme="8"/>
      <name val="Times New Roman"/>
      <family val="1"/>
    </font>
    <font>
      <sz val="12"/>
      <name val="Times New Roman"/>
      <family val="1"/>
    </font>
    <font>
      <vertAlign val="subscript"/>
      <sz val="12"/>
      <name val="宋体"/>
      <family val="3"/>
      <charset val="134"/>
    </font>
    <font>
      <sz val="12"/>
      <name val="宋体"/>
      <family val="3"/>
      <charset val="134"/>
    </font>
    <font>
      <vertAlign val="subscript"/>
      <sz val="12"/>
      <name val="Times New Roman"/>
      <family val="1"/>
    </font>
    <font>
      <vertAlign val="subscript"/>
      <sz val="12"/>
      <color theme="8"/>
      <name val="宋体"/>
      <family val="3"/>
      <charset val="134"/>
    </font>
    <font>
      <sz val="12"/>
      <color theme="8"/>
      <name val="宋体"/>
      <family val="3"/>
      <charset val="134"/>
    </font>
    <font>
      <vertAlign val="subscript"/>
      <sz val="11"/>
      <name val="Times New Roman"/>
      <family val="1"/>
    </font>
    <font>
      <vertAlign val="superscript"/>
      <sz val="11"/>
      <name val="Calibri"/>
      <family val="2"/>
    </font>
    <font>
      <vertAlign val="superscript"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0" fillId="0" borderId="0" xfId="0" applyNumberForma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/>
    <xf numFmtId="0" fontId="4" fillId="0" borderId="4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center"/>
    </xf>
    <xf numFmtId="0" fontId="0" fillId="0" borderId="0" xfId="0"/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7" xfId="0" applyFont="1" applyBorder="1"/>
    <xf numFmtId="0" fontId="13" fillId="0" borderId="7" xfId="0" applyFont="1" applyBorder="1"/>
    <xf numFmtId="0" fontId="11" fillId="0" borderId="0" xfId="0" applyFont="1"/>
    <xf numFmtId="0" fontId="11" fillId="0" borderId="7" xfId="0" applyFont="1" applyBorder="1"/>
    <xf numFmtId="0" fontId="0" fillId="0" borderId="0" xfId="0"/>
    <xf numFmtId="0" fontId="0" fillId="2" borderId="0" xfId="0" applyFill="1"/>
    <xf numFmtId="0" fontId="14" fillId="0" borderId="0" xfId="0" applyFont="1"/>
    <xf numFmtId="0" fontId="12" fillId="0" borderId="5" xfId="0" applyFont="1" applyFill="1" applyBorder="1" applyAlignment="1">
      <alignment horizontal="center"/>
    </xf>
    <xf numFmtId="0" fontId="15" fillId="0" borderId="0" xfId="0" applyFont="1"/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2" fillId="0" borderId="0" xfId="0" applyFont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/>
    <xf numFmtId="0" fontId="0" fillId="0" borderId="0" xfId="0"/>
    <xf numFmtId="0" fontId="12" fillId="0" borderId="0" xfId="0" applyFont="1" applyBorder="1"/>
    <xf numFmtId="0" fontId="0" fillId="0" borderId="0" xfId="0"/>
    <xf numFmtId="0" fontId="0" fillId="0" borderId="0" xfId="0"/>
    <xf numFmtId="0" fontId="13" fillId="0" borderId="10" xfId="0" applyFont="1" applyBorder="1"/>
    <xf numFmtId="0" fontId="13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/>
    <xf numFmtId="0" fontId="20" fillId="0" borderId="0" xfId="0" applyFont="1"/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/>
    <xf numFmtId="0" fontId="0" fillId="0" borderId="0" xfId="0"/>
    <xf numFmtId="0" fontId="0" fillId="0" borderId="8" xfId="0" applyBorder="1"/>
    <xf numFmtId="0" fontId="0" fillId="0" borderId="0" xfId="0"/>
    <xf numFmtId="0" fontId="4" fillId="2" borderId="0" xfId="0" applyFont="1" applyFill="1"/>
    <xf numFmtId="0" fontId="0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Fill="1" applyBorder="1"/>
    <xf numFmtId="0" fontId="4" fillId="0" borderId="10" xfId="0" applyFont="1" applyBorder="1"/>
    <xf numFmtId="0" fontId="4" fillId="0" borderId="6" xfId="0" applyFont="1" applyBorder="1"/>
    <xf numFmtId="0" fontId="0" fillId="0" borderId="13" xfId="0" applyBorder="1"/>
    <xf numFmtId="0" fontId="0" fillId="0" borderId="9" xfId="0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1" fillId="0" borderId="4" xfId="0" applyFont="1" applyBorder="1"/>
    <xf numFmtId="0" fontId="0" fillId="0" borderId="0" xfId="0"/>
    <xf numFmtId="0" fontId="0" fillId="0" borderId="0" xfId="0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/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 applyAlignment="1">
      <alignment horizontal="center"/>
    </xf>
    <xf numFmtId="0" fontId="24" fillId="0" borderId="10" xfId="0" applyFont="1" applyBorder="1"/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Alignment="1">
      <alignment horizontal="left"/>
    </xf>
    <xf numFmtId="0" fontId="24" fillId="0" borderId="9" xfId="0" applyFont="1" applyBorder="1"/>
    <xf numFmtId="0" fontId="24" fillId="0" borderId="4" xfId="0" applyFont="1" applyBorder="1"/>
    <xf numFmtId="0" fontId="24" fillId="0" borderId="11" xfId="0" applyFont="1" applyBorder="1"/>
    <xf numFmtId="0" fontId="24" fillId="0" borderId="5" xfId="0" applyFont="1" applyBorder="1"/>
    <xf numFmtId="0" fontId="24" fillId="0" borderId="8" xfId="0" applyFont="1" applyBorder="1"/>
    <xf numFmtId="14" fontId="12" fillId="3" borderId="0" xfId="0" applyNumberFormat="1" applyFont="1" applyFill="1"/>
    <xf numFmtId="0" fontId="12" fillId="3" borderId="0" xfId="0" applyFont="1" applyFill="1"/>
    <xf numFmtId="0" fontId="19" fillId="0" borderId="0" xfId="0" applyFont="1"/>
    <xf numFmtId="16" fontId="24" fillId="0" borderId="0" xfId="0" applyNumberFormat="1" applyFont="1"/>
    <xf numFmtId="0" fontId="24" fillId="0" borderId="0" xfId="0" applyFont="1" applyFill="1" applyBorder="1"/>
    <xf numFmtId="0" fontId="24" fillId="0" borderId="4" xfId="0" applyFont="1" applyFill="1" applyBorder="1"/>
    <xf numFmtId="0" fontId="24" fillId="0" borderId="6" xfId="0" applyFont="1" applyBorder="1"/>
    <xf numFmtId="0" fontId="24" fillId="0" borderId="6" xfId="0" applyFont="1" applyFill="1" applyBorder="1"/>
    <xf numFmtId="0" fontId="24" fillId="0" borderId="7" xfId="0" applyFont="1" applyFill="1" applyBorder="1"/>
    <xf numFmtId="0" fontId="24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" fontId="24" fillId="3" borderId="0" xfId="0" applyNumberFormat="1" applyFont="1" applyFill="1"/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3" fillId="0" borderId="0" xfId="0" applyFont="1"/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0" borderId="1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 applyAlignment="1">
      <alignment horizontal="center"/>
    </xf>
    <xf numFmtId="16" fontId="24" fillId="3" borderId="0" xfId="0" applyNumberFormat="1" applyFont="1" applyFill="1" applyAlignment="1">
      <alignment horizontal="left"/>
    </xf>
    <xf numFmtId="0" fontId="19" fillId="0" borderId="0" xfId="0" applyFont="1" applyAlignment="1">
      <alignment horizontal="center"/>
    </xf>
    <xf numFmtId="14" fontId="24" fillId="3" borderId="0" xfId="0" applyNumberFormat="1" applyFont="1" applyFill="1"/>
    <xf numFmtId="0" fontId="24" fillId="0" borderId="1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2" xfId="0" applyFont="1" applyFill="1" applyBorder="1" applyAlignment="1"/>
    <xf numFmtId="0" fontId="24" fillId="0" borderId="13" xfId="0" applyFont="1" applyFill="1" applyBorder="1" applyAlignment="1"/>
    <xf numFmtId="0" fontId="24" fillId="0" borderId="13" xfId="0" applyFont="1" applyBorder="1" applyAlignment="1"/>
    <xf numFmtId="0" fontId="24" fillId="0" borderId="14" xfId="0" applyFont="1" applyFill="1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" fontId="0" fillId="3" borderId="0" xfId="0" applyNumberFormat="1" applyFill="1"/>
    <xf numFmtId="0" fontId="0" fillId="3" borderId="0" xfId="0" applyFill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14" fillId="3" borderId="0" xfId="0" applyNumberFormat="1" applyFont="1" applyFill="1"/>
    <xf numFmtId="0" fontId="14" fillId="0" borderId="7" xfId="0" applyFont="1" applyBorder="1"/>
    <xf numFmtId="14" fontId="0" fillId="3" borderId="0" xfId="0" applyNumberFormat="1" applyFill="1"/>
    <xf numFmtId="0" fontId="14" fillId="3" borderId="0" xfId="0" applyFont="1" applyFill="1"/>
    <xf numFmtId="0" fontId="14" fillId="0" borderId="0" xfId="0" applyFont="1" applyFill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0" xfId="0" applyFont="1" applyFill="1"/>
    <xf numFmtId="0" fontId="12" fillId="0" borderId="7" xfId="0" applyFont="1" applyFill="1" applyBorder="1"/>
    <xf numFmtId="0" fontId="12" fillId="0" borderId="8" xfId="0" applyFont="1" applyBorder="1"/>
    <xf numFmtId="0" fontId="16" fillId="3" borderId="0" xfId="0" applyFont="1" applyFill="1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MWCNT-COOH</a:t>
            </a:r>
          </a:p>
          <a:p>
            <a:pPr>
              <a:defRPr/>
            </a:pPr>
            <a:r>
              <a:rPr lang="en-US" altLang="zh-CN"/>
              <a:t>-Sludge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635764060960906E-2"/>
          <c:y val="2.3445899049852812E-2"/>
          <c:w val="0.86454427300633663"/>
          <c:h val="0.8100613630192778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753286958011366"/>
                  <c:y val="0.47224124507372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COOH!$I$125:$I$131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COOH!$J$125:$J$131</c:f>
              <c:numCache>
                <c:formatCode>General</c:formatCode>
                <c:ptCount val="7"/>
                <c:pt idx="0">
                  <c:v>1.97</c:v>
                </c:pt>
                <c:pt idx="1">
                  <c:v>2.606716454999999</c:v>
                </c:pt>
                <c:pt idx="2">
                  <c:v>3.1403431433333338</c:v>
                </c:pt>
                <c:pt idx="3">
                  <c:v>3.3135434099999999</c:v>
                </c:pt>
                <c:pt idx="4">
                  <c:v>3.8958018002690151</c:v>
                </c:pt>
                <c:pt idx="5">
                  <c:v>4.2727498324999988</c:v>
                </c:pt>
                <c:pt idx="6">
                  <c:v>5.4009681500000006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8F-41A7-993B-86981A5BF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56048"/>
        <c:axId val="682656440"/>
        <c:extLst/>
      </c:scatterChart>
      <c:valAx>
        <c:axId val="68265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6440"/>
        <c:crosses val="autoZero"/>
        <c:crossBetween val="midCat"/>
      </c:valAx>
      <c:valAx>
        <c:axId val="682656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 calibration curves (100W, 20s)</a:t>
            </a:r>
          </a:p>
        </c:rich>
      </c:tx>
      <c:layout>
        <c:manualLayout>
          <c:xMode val="edge"/>
          <c:yMode val="edge"/>
          <c:x val="0.201074974323861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5356993419311E-2"/>
          <c:y val="2.9027777777777777E-2"/>
          <c:w val="0.8743567366579178"/>
          <c:h val="0.82646653543307091"/>
        </c:manualLayout>
      </c:layout>
      <c:scatterChart>
        <c:scatterStyle val="lineMarker"/>
        <c:varyColors val="0"/>
        <c:ser>
          <c:idx val="3"/>
          <c:order val="3"/>
          <c:tx>
            <c:strRef>
              <c:f>plot!$E$5</c:f>
              <c:strCache>
                <c:ptCount val="1"/>
                <c:pt idx="0">
                  <c:v>Sludge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8575559956845886"/>
                  <c:y val="4.21532404603270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plot!$E$8:$E$13</c:f>
              <c:numCache>
                <c:formatCode>General</c:formatCode>
                <c:ptCount val="6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7.4999999999999997E-2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plot!$I$8:$I$13</c:f>
              <c:numCache>
                <c:formatCode>General</c:formatCode>
                <c:ptCount val="6"/>
                <c:pt idx="0">
                  <c:v>0</c:v>
                </c:pt>
                <c:pt idx="1">
                  <c:v>1.9788383281907111</c:v>
                </c:pt>
                <c:pt idx="2">
                  <c:v>1.212819370229679</c:v>
                </c:pt>
                <c:pt idx="3">
                  <c:v>0.59125321059964286</c:v>
                </c:pt>
                <c:pt idx="4">
                  <c:v>6.3601438718816432</c:v>
                </c:pt>
                <c:pt idx="5">
                  <c:v>10.360143871881643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6B-4910-9D0A-4235A45E5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57224"/>
        <c:axId val="6826576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plot!$M$5</c15:sqref>
                        </c15:formulaRef>
                      </c:ext>
                    </c:extLst>
                    <c:strCache>
                      <c:ptCount val="1"/>
                      <c:pt idx="0">
                        <c:v>Soil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0.21486857621058236"/>
                        <c:y val="-6.6680883639545052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plot!$E$8:$E$13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7.4999999999999997E-2</c:v>
                      </c:pt>
                      <c:pt idx="4">
                        <c:v>0.24</c:v>
                      </c:pt>
                      <c:pt idx="5">
                        <c:v>0.39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plot!$F$8:$F$13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0.63985612811835635</c:v>
                      </c:pt>
                      <c:pt idx="1">
                        <c:v>2.6186944563090675</c:v>
                      </c:pt>
                      <c:pt idx="2">
                        <c:v>1.8526754983480354</c:v>
                      </c:pt>
                      <c:pt idx="3">
                        <c:v>1.2311093387179992</c:v>
                      </c:pt>
                      <c:pt idx="4">
                        <c:v>7</c:v>
                      </c:pt>
                      <c:pt idx="5">
                        <c:v>11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0B6B-4910-9D0A-4235A45E5D51}"/>
                  </c:ext>
                </c:extLst>
              </c15:ser>
            </c15:filteredScatterSeries>
            <c15:filteredScatte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plot!$A$6</c15:sqref>
                        </c15:formulaRef>
                      </c:ext>
                    </c:extLst>
                    <c:strCache>
                      <c:ptCount val="1"/>
                      <c:pt idx="0">
                        <c:v>Sand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12700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3.2627734033245842E-2"/>
                        <c:y val="0.17930555555555555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[1]Plot!$R$5:$R$10</c15:sqref>
                        </c15:formulaRef>
                      </c:ext>
                    </c:extLst>
                    <c:strCache>
                      <c:ptCount val="6"/>
                      <c:pt idx="2">
                        <c:v>0</c:v>
                      </c:pt>
                      <c:pt idx="3">
                        <c:v>130W, 30s</c:v>
                      </c:pt>
                      <c:pt idx="4">
                        <c:v>1.626305238</c:v>
                      </c:pt>
                      <c:pt idx="5">
                        <c:v>1.90996309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[1]Plot!$S$5:$S$10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0.20530719716479151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B6B-4910-9D0A-4235A45E5D51}"/>
                  </c:ext>
                </c:extLst>
              </c15:ser>
            </c15:filteredScatterSeries>
            <c15:filteredScatterSeries>
              <c15:ser>
                <c:idx val="1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6666666666666666E-2"/>
                        <c:y val="-0.1837959317585301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[1]Plot!$D$9:$D$16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[1]Plot!$E$9:$E$16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1.1736471028352085</c:v>
                      </c:pt>
                      <c:pt idx="1">
                        <c:v>1.3343413700000002</c:v>
                      </c:pt>
                      <c:pt idx="2">
                        <c:v>1.7249762758929506</c:v>
                      </c:pt>
                      <c:pt idx="3">
                        <c:v>2.1662460608207272</c:v>
                      </c:pt>
                      <c:pt idx="4">
                        <c:v>2.3988182980577211</c:v>
                      </c:pt>
                      <c:pt idx="5">
                        <c:v>2.9044557578362702</c:v>
                      </c:pt>
                      <c:pt idx="6">
                        <c:v>3.8242827061451239</c:v>
                      </c:pt>
                      <c:pt idx="7">
                        <c:v>5.3535144661451257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B6B-4910-9D0A-4235A45E5D51}"/>
                  </c:ext>
                </c:extLst>
              </c15:ser>
            </c15:filteredScatterSeries>
          </c:ext>
        </c:extLst>
      </c:scatterChart>
      <c:valAx>
        <c:axId val="682657224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7616"/>
        <c:crosses val="autoZero"/>
        <c:crossBetween val="midCat"/>
      </c:valAx>
      <c:valAx>
        <c:axId val="6826576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6287438028579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7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540601903289682"/>
          <c:y val="0.58811057271687195"/>
          <c:w val="0.23474807980290813"/>
          <c:h val="0.25080708661417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8937007874017"/>
          <c:y val="5.5972222222222236E-2"/>
          <c:w val="0.81865507436570428"/>
          <c:h val="0.7992202537182852"/>
        </c:manualLayout>
      </c:layout>
      <c:scatterChart>
        <c:scatterStyle val="lineMarker"/>
        <c:varyColors val="0"/>
        <c:ser>
          <c:idx val="9"/>
          <c:order val="0"/>
          <c:tx>
            <c:v>0.0152g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strRef>
              <c:f>Mass!$AB$95:$AB$120</c:f>
              <c:strCach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∆T (℃)</c:v>
                </c:pt>
              </c:strCache>
            </c:strRef>
          </c:xVal>
          <c:yVal>
            <c:numRef>
              <c:f>Mass!$AL$95:$AL$120</c:f>
              <c:numCache>
                <c:formatCode>General</c:formatCode>
                <c:ptCount val="26"/>
                <c:pt idx="0">
                  <c:v>0</c:v>
                </c:pt>
                <c:pt idx="1">
                  <c:v>0.67064542595419852</c:v>
                </c:pt>
                <c:pt idx="2">
                  <c:v>1.0093674665312484</c:v>
                </c:pt>
                <c:pt idx="3">
                  <c:v>1.0148622700489831</c:v>
                </c:pt>
                <c:pt idx="4">
                  <c:v>1.0182150315174496</c:v>
                </c:pt>
                <c:pt idx="5">
                  <c:v>1.0161661217311782</c:v>
                </c:pt>
                <c:pt idx="6">
                  <c:v>1.1176562379393964</c:v>
                </c:pt>
                <c:pt idx="7">
                  <c:v>1.2778677807967611</c:v>
                </c:pt>
                <c:pt idx="8">
                  <c:v>1.2443401661122024</c:v>
                </c:pt>
                <c:pt idx="9">
                  <c:v>1.3646670499245559</c:v>
                </c:pt>
                <c:pt idx="10">
                  <c:v>1.3261312738734965</c:v>
                </c:pt>
                <c:pt idx="11">
                  <c:v>1.3682992081820409</c:v>
                </c:pt>
                <c:pt idx="12">
                  <c:v>1.3578683947246262</c:v>
                </c:pt>
                <c:pt idx="13">
                  <c:v>1.3631769337163426</c:v>
                </c:pt>
                <c:pt idx="14">
                  <c:v>1.357682130198608</c:v>
                </c:pt>
                <c:pt idx="15">
                  <c:v>1.363291046815597</c:v>
                </c:pt>
                <c:pt idx="16">
                  <c:v>1.231115384764383</c:v>
                </c:pt>
                <c:pt idx="17">
                  <c:v>1.3628975369272993</c:v>
                </c:pt>
                <c:pt idx="18">
                  <c:v>1.323875118725006</c:v>
                </c:pt>
                <c:pt idx="19">
                  <c:v>1.2416393304848192</c:v>
                </c:pt>
                <c:pt idx="20">
                  <c:v>1.0307878870241609</c:v>
                </c:pt>
                <c:pt idx="21">
                  <c:v>1.016445518520193</c:v>
                </c:pt>
                <c:pt idx="22">
                  <c:v>1.011882037632585</c:v>
                </c:pt>
                <c:pt idx="23">
                  <c:v>1.0125339634736683</c:v>
                </c:pt>
                <c:pt idx="24">
                  <c:v>1.2711622578598281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15-400E-9BD6-129A6442BA9E}"/>
            </c:ext>
          </c:extLst>
        </c:ser>
        <c:ser>
          <c:idx val="10"/>
          <c:order val="3"/>
          <c:tx>
            <c:strRef>
              <c:f>Mass!$AM$93:$AM$93</c:f>
              <c:strCache>
                <c:ptCount val="1"/>
                <c:pt idx="0">
                  <c:v>0.0072g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strRef>
              <c:f>Mass!$AB$95:$AB$120</c:f>
              <c:strCach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∆T (℃)</c:v>
                </c:pt>
              </c:strCache>
            </c:strRef>
          </c:xVal>
          <c:yVal>
            <c:numRef>
              <c:f>Mass!$AM$95:$AM$120</c:f>
              <c:numCache>
                <c:formatCode>General</c:formatCode>
                <c:ptCount val="26"/>
                <c:pt idx="0">
                  <c:v>0</c:v>
                </c:pt>
                <c:pt idx="1">
                  <c:v>0.3380701147359666</c:v>
                </c:pt>
                <c:pt idx="2">
                  <c:v>0.35837294807273068</c:v>
                </c:pt>
                <c:pt idx="3">
                  <c:v>0.66244978680907707</c:v>
                </c:pt>
                <c:pt idx="4">
                  <c:v>0.68591911708826103</c:v>
                </c:pt>
                <c:pt idx="5">
                  <c:v>0.68359081051294623</c:v>
                </c:pt>
                <c:pt idx="6">
                  <c:v>0.67343939384457485</c:v>
                </c:pt>
                <c:pt idx="7">
                  <c:v>0.52917751843797234</c:v>
                </c:pt>
                <c:pt idx="8">
                  <c:v>0.66524375469945696</c:v>
                </c:pt>
                <c:pt idx="9">
                  <c:v>0.67166988084734669</c:v>
                </c:pt>
                <c:pt idx="10">
                  <c:v>0.6761402294719332</c:v>
                </c:pt>
                <c:pt idx="11">
                  <c:v>0.67604709720893652</c:v>
                </c:pt>
                <c:pt idx="12">
                  <c:v>0.67297373252951331</c:v>
                </c:pt>
                <c:pt idx="13">
                  <c:v>0.67241493895142668</c:v>
                </c:pt>
                <c:pt idx="14">
                  <c:v>0.67735094889110314</c:v>
                </c:pt>
                <c:pt idx="15">
                  <c:v>0.68405647182800777</c:v>
                </c:pt>
                <c:pt idx="16">
                  <c:v>0.68387020730198955</c:v>
                </c:pt>
                <c:pt idx="17">
                  <c:v>0.67306686479253486</c:v>
                </c:pt>
                <c:pt idx="18">
                  <c:v>0.67977238772944304</c:v>
                </c:pt>
                <c:pt idx="19">
                  <c:v>0.67949299094039972</c:v>
                </c:pt>
                <c:pt idx="20">
                  <c:v>0.67548830363084988</c:v>
                </c:pt>
                <c:pt idx="21">
                  <c:v>0.67697841983906315</c:v>
                </c:pt>
                <c:pt idx="22">
                  <c:v>0.67399818742266149</c:v>
                </c:pt>
                <c:pt idx="23">
                  <c:v>0.67967925546641794</c:v>
                </c:pt>
                <c:pt idx="24">
                  <c:v>0.67800287473218646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15-400E-9BD6-129A6442BA9E}"/>
            </c:ext>
          </c:extLst>
        </c:ser>
        <c:ser>
          <c:idx val="11"/>
          <c:order val="4"/>
          <c:tx>
            <c:strRef>
              <c:f>Mass!$AN$93:$AN$93</c:f>
              <c:strCache>
                <c:ptCount val="1"/>
                <c:pt idx="0">
                  <c:v>0.0047g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strRef>
              <c:f>Mass!$AB$95:$AB$120</c:f>
              <c:strCach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∆T (℃)</c:v>
                </c:pt>
              </c:strCache>
            </c:strRef>
          </c:xVal>
          <c:yVal>
            <c:numRef>
              <c:f>Mass!$AN$95:$AN$120</c:f>
              <c:numCache>
                <c:formatCode>General</c:formatCode>
                <c:ptCount val="26"/>
                <c:pt idx="0">
                  <c:v>0</c:v>
                </c:pt>
                <c:pt idx="1">
                  <c:v>0.35632403828643078</c:v>
                </c:pt>
                <c:pt idx="2">
                  <c:v>0.37625434257115842</c:v>
                </c:pt>
                <c:pt idx="3">
                  <c:v>0.35027044119060946</c:v>
                </c:pt>
                <c:pt idx="4">
                  <c:v>0.52498656660237586</c:v>
                </c:pt>
                <c:pt idx="5">
                  <c:v>0.52805993128179907</c:v>
                </c:pt>
                <c:pt idx="6">
                  <c:v>0.52619728602154581</c:v>
                </c:pt>
                <c:pt idx="7">
                  <c:v>0.51409009182989962</c:v>
                </c:pt>
                <c:pt idx="8">
                  <c:v>0.5137175627778312</c:v>
                </c:pt>
                <c:pt idx="9">
                  <c:v>0.51734972103534105</c:v>
                </c:pt>
                <c:pt idx="10">
                  <c:v>0.51325190146276967</c:v>
                </c:pt>
                <c:pt idx="11">
                  <c:v>0.5196780276106594</c:v>
                </c:pt>
                <c:pt idx="12">
                  <c:v>0.52005055666269939</c:v>
                </c:pt>
                <c:pt idx="13">
                  <c:v>0.52824619580781729</c:v>
                </c:pt>
                <c:pt idx="14">
                  <c:v>0.52629041828454248</c:v>
                </c:pt>
                <c:pt idx="15">
                  <c:v>0.52433464076129255</c:v>
                </c:pt>
                <c:pt idx="16">
                  <c:v>0.52871185712288238</c:v>
                </c:pt>
                <c:pt idx="17">
                  <c:v>0.52209946644897087</c:v>
                </c:pt>
                <c:pt idx="18">
                  <c:v>0.52694234412565066</c:v>
                </c:pt>
                <c:pt idx="19">
                  <c:v>0.530015708805049</c:v>
                </c:pt>
                <c:pt idx="20">
                  <c:v>0.52349645039416259</c:v>
                </c:pt>
                <c:pt idx="21">
                  <c:v>0.52442777302428922</c:v>
                </c:pt>
                <c:pt idx="22">
                  <c:v>0.51530081124906957</c:v>
                </c:pt>
                <c:pt idx="23">
                  <c:v>0.52172693739693088</c:v>
                </c:pt>
                <c:pt idx="24">
                  <c:v>0.52768740222973065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15-400E-9BD6-129A6442B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191888"/>
        <c:axId val="471191496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1"/>
                <c:tx>
                  <c:v>0.0147g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Mass!$AB$95:$AB$120</c15:sqref>
                        </c15:formulaRef>
                      </c:ext>
                    </c:extLst>
                    <c:strCach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∆T (℃)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Mass!$AJ$95:$AJ$120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1">
                        <c:v>0.51213431430664969</c:v>
                      </c:pt>
                      <c:pt idx="2">
                        <c:v>0.56093562012527443</c:v>
                      </c:pt>
                      <c:pt idx="3">
                        <c:v>0.72326515455635132</c:v>
                      </c:pt>
                      <c:pt idx="4">
                        <c:v>0.8426607157385817</c:v>
                      </c:pt>
                      <c:pt idx="5">
                        <c:v>0.84880744509742811</c:v>
                      </c:pt>
                      <c:pt idx="6">
                        <c:v>0.84303324479062169</c:v>
                      </c:pt>
                      <c:pt idx="7">
                        <c:v>0.83884229295505008</c:v>
                      </c:pt>
                      <c:pt idx="8">
                        <c:v>0.8425675834755566</c:v>
                      </c:pt>
                      <c:pt idx="9">
                        <c:v>0.84582721268100158</c:v>
                      </c:pt>
                      <c:pt idx="10">
                        <c:v>0.84452336099883496</c:v>
                      </c:pt>
                      <c:pt idx="11">
                        <c:v>0.84312637705364324</c:v>
                      </c:pt>
                      <c:pt idx="12">
                        <c:v>0.85690995197952446</c:v>
                      </c:pt>
                      <c:pt idx="13">
                        <c:v>0.87209051085059386</c:v>
                      </c:pt>
                      <c:pt idx="14">
                        <c:v>0.9700656515399082</c:v>
                      </c:pt>
                      <c:pt idx="15">
                        <c:v>1.0661781469689728</c:v>
                      </c:pt>
                      <c:pt idx="16">
                        <c:v>1.1843629887320581</c:v>
                      </c:pt>
                      <c:pt idx="17">
                        <c:v>1.1829660047868664</c:v>
                      </c:pt>
                      <c:pt idx="18">
                        <c:v>0.86100777155207098</c:v>
                      </c:pt>
                      <c:pt idx="19">
                        <c:v>1.1331402440750935</c:v>
                      </c:pt>
                      <c:pt idx="20">
                        <c:v>1.1876226179374996</c:v>
                      </c:pt>
                      <c:pt idx="21">
                        <c:v>1.1912547761949845</c:v>
                      </c:pt>
                      <c:pt idx="22">
                        <c:v>1.1914410407210028</c:v>
                      </c:pt>
                      <c:pt idx="23">
                        <c:v>1.0825694252592122</c:v>
                      </c:pt>
                      <c:pt idx="24">
                        <c:v>0.95972797034549373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1D15-400E-9BD6-129A6442BA9E}"/>
                  </c:ext>
                </c:extLst>
              </c15:ser>
            </c15:filteredScatterSeries>
            <c15:filteredScatter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Mass!$AK$93:$AK$93</c15:sqref>
                        </c15:formulaRef>
                      </c:ext>
                    </c:extLst>
                    <c:strCache>
                      <c:ptCount val="1"/>
                      <c:pt idx="0">
                        <c:v>0.0074g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7030A0"/>
                    </a:solidFill>
                    <a:ln w="9525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Mass!$AB$95:$AB$120</c15:sqref>
                        </c15:formulaRef>
                      </c:ext>
                    </c:extLst>
                    <c:strCach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∆T (℃)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Mass!$AK$95:$AK$120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0.52079561476680425</c:v>
                      </c:pt>
                      <c:pt idx="2">
                        <c:v>0.52237886323801419</c:v>
                      </c:pt>
                      <c:pt idx="3">
                        <c:v>0.51548707577508779</c:v>
                      </c:pt>
                      <c:pt idx="4">
                        <c:v>0.52750113770371243</c:v>
                      </c:pt>
                      <c:pt idx="5">
                        <c:v>0.51334503372579121</c:v>
                      </c:pt>
                      <c:pt idx="6">
                        <c:v>0.5255453601804625</c:v>
                      </c:pt>
                      <c:pt idx="7">
                        <c:v>0.52247199550103929</c:v>
                      </c:pt>
                      <c:pt idx="8">
                        <c:v>0.52032995345174271</c:v>
                      </c:pt>
                      <c:pt idx="9">
                        <c:v>0.52060935024078603</c:v>
                      </c:pt>
                      <c:pt idx="10">
                        <c:v>0.52154067287091266</c:v>
                      </c:pt>
                      <c:pt idx="11">
                        <c:v>0.52619728602154581</c:v>
                      </c:pt>
                      <c:pt idx="12">
                        <c:v>0.52759426996673398</c:v>
                      </c:pt>
                      <c:pt idx="13">
                        <c:v>0.52731487317769066</c:v>
                      </c:pt>
                      <c:pt idx="14">
                        <c:v>0.52535909565444072</c:v>
                      </c:pt>
                      <c:pt idx="15">
                        <c:v>0.52750113770371243</c:v>
                      </c:pt>
                      <c:pt idx="16">
                        <c:v>0.52526596339141918</c:v>
                      </c:pt>
                      <c:pt idx="17">
                        <c:v>0.53001570880507387</c:v>
                      </c:pt>
                      <c:pt idx="18">
                        <c:v>0.52992257654205233</c:v>
                      </c:pt>
                      <c:pt idx="19">
                        <c:v>0.52936378296396569</c:v>
                      </c:pt>
                      <c:pt idx="20">
                        <c:v>0.53327533801051885</c:v>
                      </c:pt>
                      <c:pt idx="21">
                        <c:v>0.53383413158857707</c:v>
                      </c:pt>
                      <c:pt idx="22">
                        <c:v>0.52917751843794392</c:v>
                      </c:pt>
                      <c:pt idx="23">
                        <c:v>0.53523111553376879</c:v>
                      </c:pt>
                      <c:pt idx="24">
                        <c:v>0.83958735105915494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D15-400E-9BD6-129A6442BA9E}"/>
                  </c:ext>
                </c:extLst>
              </c15:ser>
            </c15:filteredScatterSeries>
            <c15:filteredScatterSeries>
              <c15:ser>
                <c:idx val="1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Mass!$AO$93:$AO$93</c15:sqref>
                        </c15:formulaRef>
                      </c:ext>
                    </c:extLst>
                    <c:strCache>
                      <c:ptCount val="1"/>
                      <c:pt idx="0">
                        <c:v>0.023g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Mass!$AB$95:$AB$120</c15:sqref>
                        </c15:formulaRef>
                      </c:ext>
                    </c:extLst>
                    <c:strCach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∆T (℃)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Mass!$AO$95:$AO$120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1.4289283114032933</c:v>
                      </c:pt>
                      <c:pt idx="2">
                        <c:v>2.2808091211801447</c:v>
                      </c:pt>
                      <c:pt idx="3">
                        <c:v>2.4567359660110526</c:v>
                      </c:pt>
                      <c:pt idx="4">
                        <c:v>2.7908013934374694</c:v>
                      </c:pt>
                      <c:pt idx="5">
                        <c:v>2.7935953613278492</c:v>
                      </c:pt>
                      <c:pt idx="6">
                        <c:v>3.1368808827925356</c:v>
                      </c:pt>
                      <c:pt idx="7">
                        <c:v>3.1425619508363205</c:v>
                      </c:pt>
                      <c:pt idx="8">
                        <c:v>3.480166404257222</c:v>
                      </c:pt>
                      <c:pt idx="9">
                        <c:v>3.4761617169476722</c:v>
                      </c:pt>
                      <c:pt idx="10">
                        <c:v>3.4862200013530469</c:v>
                      </c:pt>
                      <c:pt idx="11">
                        <c:v>3.4826809753585586</c:v>
                      </c:pt>
                      <c:pt idx="12">
                        <c:v>3.4815633882024137</c:v>
                      </c:pt>
                      <c:pt idx="13">
                        <c:v>3.642961600003364</c:v>
                      </c:pt>
                      <c:pt idx="14">
                        <c:v>3.819726635201377</c:v>
                      </c:pt>
                      <c:pt idx="15">
                        <c:v>3.7883410625661149</c:v>
                      </c:pt>
                      <c:pt idx="16">
                        <c:v>3.8143249639466639</c:v>
                      </c:pt>
                      <c:pt idx="17">
                        <c:v>3.8225206030917569</c:v>
                      </c:pt>
                      <c:pt idx="18">
                        <c:v>3.820937354620547</c:v>
                      </c:pt>
                      <c:pt idx="19">
                        <c:v>3.8194472384123586</c:v>
                      </c:pt>
                      <c:pt idx="20">
                        <c:v>3.8127417154754255</c:v>
                      </c:pt>
                      <c:pt idx="21">
                        <c:v>3.8179571222041453</c:v>
                      </c:pt>
                      <c:pt idx="22">
                        <c:v>3.8170257995740187</c:v>
                      </c:pt>
                      <c:pt idx="23">
                        <c:v>3.812276054160364</c:v>
                      </c:pt>
                      <c:pt idx="24">
                        <c:v>3.8132073767904906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D15-400E-9BD6-129A6442BA9E}"/>
                  </c:ext>
                </c:extLst>
              </c15:ser>
            </c15:filteredScatterSeries>
            <c15:filteredScatterSeries>
              <c15:ser>
                <c:idx val="13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Mass!$AP$93:$AP$93</c15:sqref>
                        </c15:formulaRef>
                      </c:ext>
                    </c:extLst>
                    <c:strCache>
                      <c:ptCount val="1"/>
                      <c:pt idx="0">
                        <c:v>0.01g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Mass!$AB$95:$AB$120</c15:sqref>
                        </c15:formulaRef>
                      </c:ext>
                    </c:extLst>
                    <c:strCach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∆T (℃)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Mass!$AP$95:$AP$120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0.95255678609348493</c:v>
                      </c:pt>
                      <c:pt idx="2">
                        <c:v>1.2874604038870316</c:v>
                      </c:pt>
                      <c:pt idx="3">
                        <c:v>1.5278347747227272</c:v>
                      </c:pt>
                      <c:pt idx="4">
                        <c:v>1.6359613320804129</c:v>
                      </c:pt>
                      <c:pt idx="5">
                        <c:v>1.6906299704688408</c:v>
                      </c:pt>
                      <c:pt idx="6">
                        <c:v>1.6322360415599064</c:v>
                      </c:pt>
                      <c:pt idx="7">
                        <c:v>1.7818064559582538</c:v>
                      </c:pt>
                      <c:pt idx="8">
                        <c:v>1.6417355323871909</c:v>
                      </c:pt>
                      <c:pt idx="9">
                        <c:v>1.6359613320804129</c:v>
                      </c:pt>
                      <c:pt idx="10">
                        <c:v>1.7162413427973213</c:v>
                      </c:pt>
                      <c:pt idx="11">
                        <c:v>1.9749627694465062</c:v>
                      </c:pt>
                      <c:pt idx="12">
                        <c:v>1.8502586692725593</c:v>
                      </c:pt>
                      <c:pt idx="13">
                        <c:v>1.9740314468163795</c:v>
                      </c:pt>
                      <c:pt idx="14">
                        <c:v>1.9689091723506813</c:v>
                      </c:pt>
                      <c:pt idx="15">
                        <c:v>1.967884717457558</c:v>
                      </c:pt>
                      <c:pt idx="16">
                        <c:v>1.96285557525486</c:v>
                      </c:pt>
                      <c:pt idx="17">
                        <c:v>1.9669533948274314</c:v>
                      </c:pt>
                      <c:pt idx="18">
                        <c:v>1.9727275951342129</c:v>
                      </c:pt>
                      <c:pt idx="19">
                        <c:v>1.9717031402410612</c:v>
                      </c:pt>
                      <c:pt idx="20">
                        <c:v>1.9777567373368861</c:v>
                      </c:pt>
                      <c:pt idx="21">
                        <c:v>1.9783155309149727</c:v>
                      </c:pt>
                      <c:pt idx="22">
                        <c:v>1.9709580821369563</c:v>
                      </c:pt>
                      <c:pt idx="23">
                        <c:v>1.9697473627178113</c:v>
                      </c:pt>
                      <c:pt idx="24">
                        <c:v>1.9740314468163795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D15-400E-9BD6-129A6442BA9E}"/>
                  </c:ext>
                </c:extLst>
              </c15:ser>
            </c15:filteredScatterSeries>
          </c:ext>
        </c:extLst>
      </c:scatterChart>
      <c:valAx>
        <c:axId val="47119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Time (sec)</a:t>
                </a:r>
              </a:p>
            </c:rich>
          </c:tx>
          <c:layout>
            <c:manualLayout>
              <c:xMode val="edge"/>
              <c:yMode val="edge"/>
              <c:x val="0.41393635170603676"/>
              <c:y val="0.925554826480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1191496"/>
        <c:crosses val="autoZero"/>
        <c:crossBetween val="midCat"/>
      </c:valAx>
      <c:valAx>
        <c:axId val="471191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11918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16732283464566"/>
          <c:y val="7.0022601341498972E-2"/>
          <c:w val="0.15033202099737533"/>
          <c:h val="0.18923665791776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SWCNT-Sludge</a:t>
            </a:r>
            <a:endParaRPr lang="zh-CN" altLang="en-US"/>
          </a:p>
        </c:rich>
      </c:tx>
      <c:layout>
        <c:manualLayout>
          <c:xMode val="edge"/>
          <c:yMode val="edge"/>
          <c:x val="0.41067059844611059"/>
          <c:y val="4.1536863966770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57912703108648E-2"/>
          <c:y val="2.4431063764088313E-2"/>
          <c:w val="0.86454427300633663"/>
          <c:h val="0.8100613630192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SWCNT!$N$133</c:f>
              <c:strCache>
                <c:ptCount val="1"/>
                <c:pt idx="0">
                  <c:v>100w,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4478194462980272"/>
                  <c:y val="0.31388114103291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SWCNT!$M$134:$M$140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SWCNT!$N$134:$N$140</c:f>
              <c:numCache>
                <c:formatCode>General</c:formatCode>
                <c:ptCount val="7"/>
                <c:pt idx="0">
                  <c:v>2.1643478260869564</c:v>
                </c:pt>
                <c:pt idx="1">
                  <c:v>2.3925815004831441</c:v>
                </c:pt>
                <c:pt idx="2">
                  <c:v>3.0521587775122199</c:v>
                </c:pt>
                <c:pt idx="3">
                  <c:v>3.9483930600000017</c:v>
                </c:pt>
                <c:pt idx="4">
                  <c:v>4.4891800000000002</c:v>
                </c:pt>
                <c:pt idx="5">
                  <c:v>6.0325202944999985</c:v>
                </c:pt>
                <c:pt idx="6">
                  <c:v>5.7348228000000008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A1-4400-ADB7-32301EC0948B}"/>
            </c:ext>
          </c:extLst>
        </c:ser>
        <c:ser>
          <c:idx val="1"/>
          <c:order val="1"/>
          <c:tx>
            <c:strRef>
              <c:f>MWCNT!$O$302</c:f>
              <c:strCache>
                <c:ptCount val="1"/>
                <c:pt idx="0">
                  <c:v>133w, 15s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07813832188173"/>
                  <c:y val="-8.9041957574000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SWCNT!$M$134:$M$140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SWCNT!$O$134:$O$140</c:f>
              <c:numCache>
                <c:formatCode>General</c:formatCode>
                <c:ptCount val="7"/>
                <c:pt idx="0">
                  <c:v>2.5859652173913048</c:v>
                </c:pt>
                <c:pt idx="1">
                  <c:v>2.8858536335148792</c:v>
                </c:pt>
                <c:pt idx="2">
                  <c:v>4.0436817155</c:v>
                </c:pt>
                <c:pt idx="3">
                  <c:v>4.6316409200000006</c:v>
                </c:pt>
                <c:pt idx="4">
                  <c:v>5.1344230499999997</c:v>
                </c:pt>
                <c:pt idx="5">
                  <c:v>7.1949516599999992</c:v>
                </c:pt>
                <c:pt idx="6">
                  <c:v>6.4971949295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A1-4400-ADB7-32301EC09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54872"/>
        <c:axId val="68265526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SWCNT!$Q$133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44577950664533467"/>
                        <c:y val="0.25368721433185337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SWCNT!$M$134:$M$140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4.4999999999999998E-2</c:v>
                      </c:pt>
                      <c:pt idx="2">
                        <c:v>0.15</c:v>
                      </c:pt>
                      <c:pt idx="3">
                        <c:v>0.24</c:v>
                      </c:pt>
                      <c:pt idx="4">
                        <c:v>0.3</c:v>
                      </c:pt>
                      <c:pt idx="5">
                        <c:v>0.44999999999999996</c:v>
                      </c:pt>
                      <c:pt idx="6">
                        <c:v>0.375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SWCNT!$Q$134:$Q$140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1.2342068972420537</c:v>
                      </c:pt>
                      <c:pt idx="1">
                        <c:v>1.323241908743499</c:v>
                      </c:pt>
                      <c:pt idx="2">
                        <c:v>2.2041934550000009</c:v>
                      </c:pt>
                      <c:pt idx="3">
                        <c:v>2.6626787999999975</c:v>
                      </c:pt>
                      <c:pt idx="5">
                        <c:v>4.1701155299999977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BA1-4400-ADB7-32301EC0948B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6248391040161072"/>
                        <c:y val="0.1453579509457869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MWCNT!$R$303:$R$306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3.7295694974519673</c:v>
                      </c:pt>
                      <c:pt idx="2">
                        <c:v>2.8935047459320256</c:v>
                      </c:pt>
                      <c:pt idx="3">
                        <c:v>0.58734478304347992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BA1-4400-ADB7-32301EC0948B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650217524179345"/>
                        <c:y val="9.9921440854375959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MWCNT!$T$303:$T$306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2.4436930571522648</c:v>
                      </c:pt>
                      <c:pt idx="2">
                        <c:v>1.4650048516921064</c:v>
                      </c:pt>
                      <c:pt idx="3">
                        <c:v>0.77720889938085969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BA1-4400-ADB7-32301EC0948B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878528026462448"/>
                        <c:y val="3.31443569553805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MWCNT!$U$303:$U$306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2.3994957897959637</c:v>
                      </c:pt>
                      <c:pt idx="2">
                        <c:v>1.9321526323052354</c:v>
                      </c:pt>
                      <c:pt idx="3">
                        <c:v>1.045659961887913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BA1-4400-ADB7-32301EC0948B}"/>
                  </c:ext>
                </c:extLst>
              </c15:ser>
            </c15:filteredScatterSeries>
          </c:ext>
        </c:extLst>
      </c:scatterChart>
      <c:valAx>
        <c:axId val="68265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5264"/>
        <c:crosses val="autoZero"/>
        <c:crossBetween val="midCat"/>
      </c:valAx>
      <c:valAx>
        <c:axId val="682655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654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4588326882868456"/>
          <c:y val="0.573698977283012"/>
          <c:w val="0.21370412513464718"/>
          <c:h val="0.2929065239394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MWCNT-Sludge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447137406793221E-2"/>
          <c:y val="2.859776902887139E-2"/>
          <c:w val="0.80545628328250873"/>
          <c:h val="0.8100613630192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MWCNT!$N$302</c:f>
              <c:strCache>
                <c:ptCount val="1"/>
                <c:pt idx="0">
                  <c:v>100w,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383631169815113"/>
                  <c:y val="0.199140748031496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MWCNT!$M$303:$M$309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MWCNT!$N$303:$N$309</c:f>
              <c:numCache>
                <c:formatCode>General</c:formatCode>
                <c:ptCount val="7"/>
                <c:pt idx="0">
                  <c:v>1.6557260869565218</c:v>
                </c:pt>
                <c:pt idx="1">
                  <c:v>5.3852955844084889</c:v>
                </c:pt>
                <c:pt idx="2">
                  <c:v>4.5492308328885471</c:v>
                </c:pt>
                <c:pt idx="3">
                  <c:v>2.2430708700000017</c:v>
                </c:pt>
                <c:pt idx="4">
                  <c:v>8.0379638364293324</c:v>
                </c:pt>
                <c:pt idx="5">
                  <c:v>2.82</c:v>
                </c:pt>
                <c:pt idx="6">
                  <c:v>7.2818572499999981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82-4578-86DD-7C98F6E1D0C9}"/>
            </c:ext>
          </c:extLst>
        </c:ser>
        <c:ser>
          <c:idx val="1"/>
          <c:order val="1"/>
          <c:tx>
            <c:strRef>
              <c:f>MWCNT!$P$302</c:f>
              <c:strCache>
                <c:ptCount val="1"/>
                <c:pt idx="0">
                  <c:v>130w,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649217816845059"/>
                  <c:y val="-4.54862204724409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MWCNT!$M$303:$M$309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MWCNT!$O$303:$O$309</c:f>
              <c:numCache>
                <c:formatCode>General</c:formatCode>
                <c:ptCount val="7"/>
                <c:pt idx="0">
                  <c:v>1.9782633913043481</c:v>
                </c:pt>
                <c:pt idx="1">
                  <c:v>6.8852955844084898</c:v>
                </c:pt>
                <c:pt idx="2">
                  <c:v>5.4392078153614918</c:v>
                </c:pt>
                <c:pt idx="3">
                  <c:v>2.6624453513534991</c:v>
                </c:pt>
                <c:pt idx="4">
                  <c:v>9.42023408271276</c:v>
                </c:pt>
                <c:pt idx="5">
                  <c:v>3.8758885667257101</c:v>
                </c:pt>
                <c:pt idx="6">
                  <c:v>7.8160301600000039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82-4578-86DD-7C98F6E1D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903384"/>
        <c:axId val="67390260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MWCNT!$Q$302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16322303642680502"/>
                        <c:y val="5.8357607259876827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MWCNT!$M$303:$M$308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  <c:pt idx="5">
                        <c:v>7.4999999999999997E-2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MWCNT!$Q$303:$Q$308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1.2576990004861199</c:v>
                      </c:pt>
                      <c:pt idx="1">
                        <c:v>3.6571947902820838</c:v>
                      </c:pt>
                      <c:pt idx="2">
                        <c:v>2.8075146112082363</c:v>
                      </c:pt>
                      <c:pt idx="3">
                        <c:v>1.9210219407909139</c:v>
                      </c:pt>
                      <c:pt idx="4">
                        <c:v>4.9712870104308973</c:v>
                      </c:pt>
                      <c:pt idx="5">
                        <c:v>7.0589868850000004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BC82-4578-86DD-7C98F6E1D0C9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6248391040161072"/>
                        <c:y val="0.1453579509457869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MWCNT!$R$303:$R$307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3.7295694974519673</c:v>
                      </c:pt>
                      <c:pt idx="2">
                        <c:v>2.8935047459320256</c:v>
                      </c:pt>
                      <c:pt idx="3">
                        <c:v>0.58734478304347992</c:v>
                      </c:pt>
                      <c:pt idx="4">
                        <c:v>6.3822377494728109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82-4578-86DD-7C98F6E1D0C9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650217524179345"/>
                        <c:y val="9.9921440854375959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MWCNT!$T$303:$T$308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2.4436930571522648</c:v>
                      </c:pt>
                      <c:pt idx="2">
                        <c:v>1.4650048516921064</c:v>
                      </c:pt>
                      <c:pt idx="3">
                        <c:v>0.77720889938085969</c:v>
                      </c:pt>
                      <c:pt idx="4">
                        <c:v>3.1920090974533792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C82-4578-86DD-7C98F6E1D0C9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878528026462448"/>
                        <c:y val="3.31443569553805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MWCNT!$U$303:$U$308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2.3994957897959637</c:v>
                      </c:pt>
                      <c:pt idx="2">
                        <c:v>1.9321526323052354</c:v>
                      </c:pt>
                      <c:pt idx="3">
                        <c:v>1.045659961887913</c:v>
                      </c:pt>
                      <c:pt idx="4">
                        <c:v>4.0959250315278961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C82-4578-86DD-7C98F6E1D0C9}"/>
                  </c:ext>
                </c:extLst>
              </c15:ser>
            </c15:filteredScatterSeries>
          </c:ext>
        </c:extLst>
      </c:scatterChart>
      <c:valAx>
        <c:axId val="67390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3902600"/>
        <c:crosses val="autoZero"/>
        <c:crossBetween val="midCat"/>
      </c:valAx>
      <c:valAx>
        <c:axId val="673902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3903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720151310565952"/>
          <c:y val="0.53608151922186198"/>
          <c:w val="0.21370412513464718"/>
          <c:h val="0.2929065239394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113</xdr:row>
      <xdr:rowOff>38100</xdr:rowOff>
    </xdr:from>
    <xdr:to>
      <xdr:col>18</xdr:col>
      <xdr:colOff>438150</xdr:colOff>
      <xdr:row>130</xdr:row>
      <xdr:rowOff>104775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13</xdr:row>
      <xdr:rowOff>85725</xdr:rowOff>
    </xdr:from>
    <xdr:to>
      <xdr:col>11</xdr:col>
      <xdr:colOff>228600</xdr:colOff>
      <xdr:row>29</xdr:row>
      <xdr:rowOff>9525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56029</xdr:colOff>
      <xdr:row>120</xdr:row>
      <xdr:rowOff>152399</xdr:rowOff>
    </xdr:from>
    <xdr:to>
      <xdr:col>41</xdr:col>
      <xdr:colOff>605117</xdr:colOff>
      <xdr:row>136</xdr:row>
      <xdr:rowOff>105335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143</xdr:row>
      <xdr:rowOff>0</xdr:rowOff>
    </xdr:from>
    <xdr:to>
      <xdr:col>21</xdr:col>
      <xdr:colOff>161925</xdr:colOff>
      <xdr:row>160</xdr:row>
      <xdr:rowOff>123825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276225</xdr:colOff>
      <xdr:row>313</xdr:row>
      <xdr:rowOff>0</xdr:rowOff>
    </xdr:from>
    <xdr:to>
      <xdr:col>21</xdr:col>
      <xdr:colOff>19050</xdr:colOff>
      <xdr:row>329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wave/Data/Soil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mgMWCNT"/>
      <sheetName val="40mgMWCNT"/>
      <sheetName val="20mgMWCNTSolution"/>
      <sheetName val="20mgSWCNTSolution"/>
      <sheetName val="4mgCNTsolution"/>
      <sheetName val="40mgMWCNTCTAB Solution"/>
      <sheetName val="MWCNT"/>
      <sheetName val="SWCNT"/>
      <sheetName val="COOH"/>
      <sheetName val="Plot"/>
      <sheetName val="mixture"/>
      <sheetName val="IC"/>
      <sheetName val="Other carbon"/>
      <sheetName val="HA"/>
      <sheetName val="Controls"/>
      <sheetName val="M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R7">
            <v>0</v>
          </cell>
          <cell r="S7" t="str">
            <v>∆T (℃)</v>
          </cell>
        </row>
        <row r="8">
          <cell r="R8" t="str">
            <v>130W, 30s</v>
          </cell>
          <cell r="S8" t="str">
            <v>100W, 20s</v>
          </cell>
        </row>
        <row r="9">
          <cell r="D9">
            <v>0</v>
          </cell>
          <cell r="E9">
            <v>1.1736471028352085</v>
          </cell>
          <cell r="R9">
            <v>1.6263052376714999</v>
          </cell>
          <cell r="S9">
            <v>0</v>
          </cell>
        </row>
        <row r="10">
          <cell r="D10">
            <v>8.9999999999999993E-3</v>
          </cell>
          <cell r="E10">
            <v>1.3343413700000002</v>
          </cell>
          <cell r="R10">
            <v>1.9099630896819999</v>
          </cell>
          <cell r="S10">
            <v>0.20530719716479151</v>
          </cell>
        </row>
        <row r="11">
          <cell r="D11">
            <v>2.8700000000000003E-2</v>
          </cell>
          <cell r="E11">
            <v>1.7249762758929506</v>
          </cell>
        </row>
        <row r="12">
          <cell r="D12">
            <v>4.2350000000000006E-2</v>
          </cell>
          <cell r="E12">
            <v>2.1662460608207272</v>
          </cell>
        </row>
        <row r="13">
          <cell r="D13">
            <v>5.5024875621890554E-2</v>
          </cell>
          <cell r="E13">
            <v>2.3988182980577211</v>
          </cell>
        </row>
        <row r="14">
          <cell r="D14">
            <v>6.8950000000000011E-2</v>
          </cell>
          <cell r="E14">
            <v>2.9044557578362702</v>
          </cell>
        </row>
        <row r="15">
          <cell r="D15">
            <v>9.4500000000000001E-2</v>
          </cell>
          <cell r="E15">
            <v>3.8242827061451239</v>
          </cell>
        </row>
        <row r="16">
          <cell r="D16">
            <v>0.1575</v>
          </cell>
          <cell r="E16">
            <v>5.3535144661451257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I4" sqref="I4:T11"/>
    </sheetView>
  </sheetViews>
  <sheetFormatPr defaultRowHeight="15"/>
  <sheetData>
    <row r="1" spans="1:20">
      <c r="A1" s="5"/>
      <c r="B1" s="5"/>
      <c r="C1" s="5"/>
      <c r="D1" s="5"/>
      <c r="E1" s="5"/>
      <c r="F1" s="5"/>
      <c r="G1" s="5"/>
      <c r="H1" s="5"/>
      <c r="I1" s="5"/>
    </row>
    <row r="2" spans="1:20">
      <c r="A2" s="283" t="s">
        <v>192</v>
      </c>
      <c r="B2" s="5"/>
      <c r="C2" s="5"/>
      <c r="D2" s="5"/>
      <c r="E2" s="5"/>
      <c r="F2" s="5"/>
      <c r="G2" s="5"/>
      <c r="H2" s="5"/>
      <c r="I2" s="5"/>
    </row>
    <row r="3" spans="1:20">
      <c r="A3" s="5" t="s">
        <v>193</v>
      </c>
      <c r="B3" s="5"/>
      <c r="C3" s="5"/>
      <c r="D3" s="5"/>
      <c r="E3" s="5"/>
      <c r="F3" s="5"/>
      <c r="G3" s="5"/>
      <c r="H3" s="5"/>
      <c r="I3" s="5"/>
    </row>
    <row r="4" spans="1:20">
      <c r="A4" s="5" t="s">
        <v>194</v>
      </c>
      <c r="B4" s="5"/>
      <c r="C4" s="5"/>
      <c r="D4" s="5"/>
      <c r="E4" s="5"/>
      <c r="F4" s="5"/>
      <c r="G4" s="5"/>
      <c r="H4" s="5"/>
      <c r="I4" s="5"/>
      <c r="J4" s="5" t="s">
        <v>213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>
      <c r="A5" s="5" t="s">
        <v>195</v>
      </c>
      <c r="B5" s="5"/>
      <c r="C5" s="5"/>
      <c r="D5" s="5"/>
      <c r="E5" s="5"/>
      <c r="F5" s="5"/>
      <c r="G5" s="5"/>
      <c r="H5" s="5"/>
      <c r="I5" s="5"/>
      <c r="J5" s="5" t="s">
        <v>214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>
      <c r="A6" s="5" t="s">
        <v>196</v>
      </c>
      <c r="B6" s="5"/>
      <c r="C6" s="5"/>
      <c r="D6" s="5"/>
      <c r="E6" s="5"/>
      <c r="F6" s="5"/>
      <c r="G6" s="5"/>
      <c r="H6" s="5"/>
      <c r="I6" s="5"/>
      <c r="J6" s="5" t="s">
        <v>215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5" t="s">
        <v>197</v>
      </c>
      <c r="B7" s="5"/>
      <c r="C7" s="5"/>
      <c r="D7" s="5"/>
      <c r="E7" s="5"/>
      <c r="F7" s="5"/>
      <c r="G7" s="5"/>
      <c r="H7" s="5"/>
      <c r="I7" s="5"/>
      <c r="J7" s="5" t="s">
        <v>216</v>
      </c>
      <c r="K7" s="5" t="s">
        <v>217</v>
      </c>
      <c r="L7" s="5"/>
      <c r="M7" s="5"/>
      <c r="N7" s="5"/>
      <c r="O7" s="5"/>
      <c r="P7" s="5"/>
      <c r="Q7" s="5"/>
      <c r="R7" s="5"/>
      <c r="S7" s="5"/>
      <c r="T7" s="5"/>
    </row>
    <row r="8" spans="1:20">
      <c r="A8" s="5" t="s">
        <v>198</v>
      </c>
      <c r="B8" s="5"/>
      <c r="C8" s="5"/>
      <c r="D8" s="5"/>
      <c r="E8" s="5"/>
      <c r="F8" s="5"/>
      <c r="G8" s="5"/>
      <c r="H8" s="5"/>
      <c r="I8" s="5"/>
      <c r="J8" s="5" t="s">
        <v>218</v>
      </c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5" t="s">
        <v>199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5" t="s">
        <v>200</v>
      </c>
      <c r="B10" s="5"/>
      <c r="C10" s="5"/>
      <c r="D10" s="5"/>
      <c r="E10" s="5"/>
      <c r="F10" s="5"/>
      <c r="G10" s="5"/>
      <c r="H10" s="5"/>
      <c r="I10" s="5"/>
      <c r="J10" s="5" t="s">
        <v>219</v>
      </c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5" t="s">
        <v>201</v>
      </c>
      <c r="B11" s="5"/>
      <c r="C11" s="5"/>
      <c r="D11" s="5"/>
      <c r="E11" s="5"/>
      <c r="F11" s="5"/>
      <c r="G11" s="5"/>
      <c r="H11" s="5"/>
      <c r="I11" s="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</row>
    <row r="12" spans="1:20">
      <c r="A12" s="5" t="s">
        <v>202</v>
      </c>
      <c r="B12" s="5"/>
      <c r="C12" s="5"/>
      <c r="D12" s="5"/>
      <c r="E12" s="5"/>
      <c r="F12" s="5"/>
      <c r="G12" s="5"/>
      <c r="H12" s="5"/>
      <c r="I12" s="5"/>
    </row>
    <row r="13" spans="1:20">
      <c r="A13" s="329"/>
      <c r="B13" s="329"/>
      <c r="C13" s="329"/>
      <c r="D13" s="329"/>
      <c r="E13" s="329"/>
      <c r="F13" s="329"/>
      <c r="G13" s="329"/>
      <c r="H13" s="5"/>
      <c r="I13" s="5"/>
    </row>
    <row r="14" spans="1:20">
      <c r="A14" s="329"/>
      <c r="B14" s="329"/>
      <c r="C14" s="329"/>
      <c r="D14" s="329"/>
      <c r="E14" s="329"/>
      <c r="F14" s="329"/>
      <c r="G14" s="329"/>
      <c r="H14" s="5"/>
      <c r="I14" s="5"/>
    </row>
    <row r="15" spans="1:20">
      <c r="A15" s="329"/>
      <c r="B15" s="329"/>
      <c r="C15" s="329"/>
      <c r="D15" s="329"/>
      <c r="E15" s="329"/>
      <c r="F15" s="329"/>
      <c r="G15" s="329"/>
      <c r="H15" s="5"/>
      <c r="I15" s="5"/>
    </row>
    <row r="16" spans="1:20">
      <c r="A16" s="329" t="s">
        <v>203</v>
      </c>
      <c r="B16" s="329" t="s">
        <v>204</v>
      </c>
      <c r="C16" s="329"/>
      <c r="D16" s="329"/>
      <c r="E16" s="329"/>
      <c r="F16" s="329"/>
      <c r="G16" s="329"/>
      <c r="H16" s="5"/>
      <c r="I16" s="5"/>
    </row>
    <row r="17" spans="1:9">
      <c r="A17" s="329" t="s">
        <v>205</v>
      </c>
      <c r="B17" s="329" t="s">
        <v>206</v>
      </c>
      <c r="C17" s="329"/>
      <c r="D17" s="329"/>
      <c r="E17" s="329"/>
      <c r="F17" s="329"/>
      <c r="G17" s="329"/>
      <c r="H17" s="5"/>
      <c r="I17" s="5"/>
    </row>
    <row r="18" spans="1:9" ht="18">
      <c r="A18" s="329" t="s">
        <v>207</v>
      </c>
      <c r="B18" s="329" t="s">
        <v>208</v>
      </c>
      <c r="C18" s="329"/>
      <c r="D18" s="329"/>
      <c r="E18" s="329"/>
      <c r="F18" s="329"/>
      <c r="G18" s="329"/>
      <c r="H18" s="5"/>
      <c r="I18" s="5"/>
    </row>
    <row r="19" spans="1:9" ht="18">
      <c r="A19" s="329" t="s">
        <v>209</v>
      </c>
      <c r="B19" s="329" t="s">
        <v>210</v>
      </c>
      <c r="C19" s="329"/>
      <c r="D19" s="329"/>
      <c r="E19" s="329"/>
      <c r="F19" s="329"/>
      <c r="G19" s="329"/>
      <c r="H19" s="5"/>
      <c r="I19" s="5"/>
    </row>
    <row r="20" spans="1:9" ht="17.25">
      <c r="A20" s="329" t="s">
        <v>211</v>
      </c>
      <c r="B20" s="329" t="s">
        <v>212</v>
      </c>
      <c r="C20" s="329"/>
      <c r="D20" s="329"/>
      <c r="E20" s="329"/>
      <c r="F20" s="329"/>
      <c r="G20" s="329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topLeftCell="A118" workbookViewId="0">
      <selection activeCell="O115" sqref="O115"/>
    </sheetView>
  </sheetViews>
  <sheetFormatPr defaultRowHeight="15"/>
  <cols>
    <col min="4" max="4" width="13.28515625" customWidth="1"/>
    <col min="5" max="5" width="11.140625" customWidth="1"/>
    <col min="6" max="6" width="11.42578125" customWidth="1"/>
    <col min="7" max="7" width="13.85546875" customWidth="1"/>
    <col min="8" max="8" width="10.28515625" customWidth="1"/>
    <col min="9" max="9" width="9.7109375" customWidth="1"/>
    <col min="10" max="10" width="10.42578125" customWidth="1"/>
    <col min="17" max="17" width="11.28515625" customWidth="1"/>
    <col min="18" max="18" width="13" customWidth="1"/>
  </cols>
  <sheetData>
    <row r="1" spans="1:19">
      <c r="A1" s="510" t="s">
        <v>220</v>
      </c>
      <c r="B1" s="511"/>
      <c r="C1" s="511"/>
      <c r="D1" s="511"/>
      <c r="E1" s="511"/>
    </row>
    <row r="2" spans="1:19">
      <c r="A2" t="s">
        <v>221</v>
      </c>
    </row>
    <row r="4" spans="1:19">
      <c r="A4" t="s">
        <v>5</v>
      </c>
    </row>
    <row r="5" spans="1:19" ht="18.75">
      <c r="A5" t="s">
        <v>222</v>
      </c>
      <c r="B5" s="1" t="s">
        <v>0</v>
      </c>
      <c r="C5" s="2" t="s">
        <v>1</v>
      </c>
      <c r="D5" s="2" t="s">
        <v>2</v>
      </c>
      <c r="E5" s="2" t="s">
        <v>3</v>
      </c>
      <c r="F5" s="3" t="s">
        <v>4</v>
      </c>
    </row>
    <row r="6" spans="1:19">
      <c r="A6">
        <v>1.5299999999999999E-2</v>
      </c>
      <c r="B6" s="6">
        <v>20</v>
      </c>
      <c r="C6" s="7">
        <v>100</v>
      </c>
      <c r="D6" s="5">
        <v>25.476870714239531</v>
      </c>
      <c r="E6" s="5">
        <v>26.28069527630181</v>
      </c>
      <c r="F6" s="8">
        <f t="shared" ref="F6:F13" si="0">E6-D6</f>
        <v>0.80382456206227815</v>
      </c>
    </row>
    <row r="7" spans="1:19">
      <c r="B7" s="6">
        <v>20</v>
      </c>
      <c r="C7" s="7">
        <v>70</v>
      </c>
      <c r="D7" s="5">
        <v>24.748855814269522</v>
      </c>
      <c r="E7" s="5">
        <v>25.092700129312295</v>
      </c>
      <c r="F7" s="8">
        <f t="shared" si="0"/>
        <v>0.34384431504277302</v>
      </c>
    </row>
    <row r="8" spans="1:19">
      <c r="B8" s="6">
        <v>10</v>
      </c>
      <c r="C8" s="7">
        <v>100</v>
      </c>
      <c r="D8" s="5">
        <v>25.084597622430174</v>
      </c>
      <c r="E8" s="5">
        <v>25.60241300478058</v>
      </c>
      <c r="F8" s="8">
        <f>E8-D8</f>
        <v>0.51781538235040614</v>
      </c>
    </row>
    <row r="9" spans="1:19">
      <c r="B9" s="9">
        <v>10</v>
      </c>
      <c r="C9" s="439">
        <v>70</v>
      </c>
      <c r="D9" s="281">
        <v>24.748576417480507</v>
      </c>
      <c r="E9" s="281">
        <v>25.260245070472067</v>
      </c>
      <c r="F9" s="11">
        <f>E9-D9</f>
        <v>0.51166865299155972</v>
      </c>
    </row>
    <row r="12" spans="1:19">
      <c r="B12" s="435"/>
      <c r="C12" s="435"/>
      <c r="D12" s="435"/>
      <c r="E12" s="435"/>
      <c r="F12" s="435"/>
      <c r="G12" s="435"/>
    </row>
    <row r="13" spans="1:19">
      <c r="B13" s="435"/>
      <c r="C13" s="435"/>
      <c r="D13" s="435"/>
      <c r="E13" s="435"/>
      <c r="F13" s="435"/>
      <c r="G13" s="435"/>
      <c r="M13" s="510">
        <v>42290</v>
      </c>
    </row>
    <row r="14" spans="1:19">
      <c r="A14" s="510" t="s">
        <v>223</v>
      </c>
      <c r="B14" s="511"/>
      <c r="C14" s="511"/>
      <c r="D14" s="511"/>
      <c r="F14" s="435" t="s">
        <v>221</v>
      </c>
      <c r="M14" s="435" t="s">
        <v>222</v>
      </c>
      <c r="N14" s="287"/>
      <c r="O14" s="287"/>
      <c r="P14" s="287"/>
      <c r="Q14" s="287"/>
      <c r="R14" s="287"/>
      <c r="S14" s="287"/>
    </row>
    <row r="15" spans="1:19" ht="18.75">
      <c r="A15" t="s">
        <v>6</v>
      </c>
      <c r="C15" s="435" t="s">
        <v>222</v>
      </c>
      <c r="D15" s="1" t="s">
        <v>0</v>
      </c>
      <c r="E15" s="2" t="s">
        <v>1</v>
      </c>
      <c r="F15" s="2" t="s">
        <v>2</v>
      </c>
      <c r="G15" s="2" t="s">
        <v>3</v>
      </c>
      <c r="H15" s="3" t="s">
        <v>4</v>
      </c>
      <c r="M15" s="45">
        <f>0.0183-0.0013</f>
        <v>1.7000000000000001E-2</v>
      </c>
      <c r="N15" s="495" t="s">
        <v>0</v>
      </c>
      <c r="O15" s="441" t="s">
        <v>1</v>
      </c>
      <c r="P15" s="441" t="s">
        <v>237</v>
      </c>
      <c r="Q15" s="441" t="s">
        <v>136</v>
      </c>
      <c r="R15" s="442" t="s">
        <v>137</v>
      </c>
      <c r="S15" s="287"/>
    </row>
    <row r="16" spans="1:19">
      <c r="A16" t="s">
        <v>7</v>
      </c>
      <c r="C16">
        <f>0.0188-0.0033</f>
        <v>1.55E-2</v>
      </c>
      <c r="D16" s="6">
        <v>15</v>
      </c>
      <c r="E16" s="7">
        <v>133</v>
      </c>
      <c r="F16" s="37">
        <v>24.688040446522276</v>
      </c>
      <c r="G16" s="36">
        <v>26.983191936206332</v>
      </c>
      <c r="H16" s="8">
        <f t="shared" ref="H16:H25" si="1">G16-F16</f>
        <v>2.2951514896840557</v>
      </c>
      <c r="M16" s="74" t="s">
        <v>6</v>
      </c>
      <c r="N16" s="330">
        <v>15</v>
      </c>
      <c r="O16" s="331">
        <v>130</v>
      </c>
      <c r="P16" s="287">
        <v>24.330040027501582</v>
      </c>
      <c r="Q16" s="287">
        <v>27.303846317758936</v>
      </c>
      <c r="R16" s="332">
        <f t="shared" ref="R16:R18" si="2">Q16-P16</f>
        <v>2.9738062902573539</v>
      </c>
      <c r="S16" s="287">
        <f>R16/$M$15</f>
        <v>174.92978177984432</v>
      </c>
    </row>
    <row r="17" spans="1:19">
      <c r="A17" t="s">
        <v>11</v>
      </c>
      <c r="D17" s="6">
        <v>20</v>
      </c>
      <c r="E17" s="7">
        <v>130</v>
      </c>
      <c r="F17" s="35">
        <v>24.666154364714298</v>
      </c>
      <c r="G17" s="34">
        <v>27.333462377396966</v>
      </c>
      <c r="H17" s="8">
        <f t="shared" si="1"/>
        <v>2.6673080126826676</v>
      </c>
      <c r="K17" s="43"/>
      <c r="M17" s="74" t="s">
        <v>7</v>
      </c>
      <c r="N17" s="330">
        <v>20</v>
      </c>
      <c r="O17" s="331">
        <v>130</v>
      </c>
      <c r="P17" s="287">
        <v>24.078303520578348</v>
      </c>
      <c r="Q17" s="287">
        <v>27.493370472989703</v>
      </c>
      <c r="R17" s="332">
        <f t="shared" si="2"/>
        <v>3.4150669524113546</v>
      </c>
      <c r="S17" s="287">
        <f t="shared" ref="S17:S22" si="3">R17/$M$15</f>
        <v>200.88629131831496</v>
      </c>
    </row>
    <row r="18" spans="1:19">
      <c r="A18" t="s">
        <v>14</v>
      </c>
      <c r="D18" s="6">
        <v>30</v>
      </c>
      <c r="E18" s="7">
        <v>130</v>
      </c>
      <c r="F18" s="32">
        <v>24.777447419014432</v>
      </c>
      <c r="G18" s="31">
        <v>27.513114512748384</v>
      </c>
      <c r="H18" s="8">
        <f t="shared" si="1"/>
        <v>2.7356670937339516</v>
      </c>
      <c r="K18" s="43"/>
      <c r="M18" s="74" t="s">
        <v>11</v>
      </c>
      <c r="N18" s="330">
        <v>30</v>
      </c>
      <c r="O18" s="331">
        <v>130</v>
      </c>
      <c r="P18" s="287">
        <v>24.416373635314315</v>
      </c>
      <c r="Q18" s="287">
        <v>27.833768894300988</v>
      </c>
      <c r="R18" s="332">
        <f t="shared" si="2"/>
        <v>3.417395258986673</v>
      </c>
      <c r="S18" s="287">
        <f t="shared" si="3"/>
        <v>201.02325052862781</v>
      </c>
    </row>
    <row r="19" spans="1:19">
      <c r="D19" s="6">
        <v>15</v>
      </c>
      <c r="E19" s="7">
        <v>100</v>
      </c>
      <c r="F19" s="20">
        <v>24.430529739292261</v>
      </c>
      <c r="G19" s="19">
        <v>26.316271800772668</v>
      </c>
      <c r="H19" s="8">
        <f t="shared" si="1"/>
        <v>1.885742061480407</v>
      </c>
      <c r="K19" s="43"/>
      <c r="M19" s="45"/>
      <c r="N19" s="512">
        <v>40</v>
      </c>
      <c r="O19" s="331">
        <v>130</v>
      </c>
      <c r="P19" s="287">
        <v>24.753791824209198</v>
      </c>
      <c r="Q19" s="287">
        <v>28.176775018976631</v>
      </c>
      <c r="R19" s="332">
        <f t="shared" ref="R19" si="4">Q19-P19</f>
        <v>3.4229831947674327</v>
      </c>
      <c r="S19" s="287">
        <f t="shared" si="3"/>
        <v>201.35195263337837</v>
      </c>
    </row>
    <row r="20" spans="1:19">
      <c r="D20" s="6">
        <v>20</v>
      </c>
      <c r="E20" s="7">
        <v>100</v>
      </c>
      <c r="F20" s="14">
        <v>24.771207557392561</v>
      </c>
      <c r="G20" s="14">
        <v>26.991294443088428</v>
      </c>
      <c r="H20" s="8">
        <f t="shared" si="1"/>
        <v>2.2200868856958671</v>
      </c>
      <c r="K20" s="43"/>
      <c r="M20" s="45"/>
      <c r="N20" s="512">
        <v>50</v>
      </c>
      <c r="O20" s="331">
        <v>130</v>
      </c>
      <c r="P20" s="287">
        <v>24.75798277604477</v>
      </c>
      <c r="Q20" s="287">
        <v>28.510561049614005</v>
      </c>
      <c r="R20" s="332">
        <f t="shared" ref="R20" si="5">Q20-P20</f>
        <v>3.7525782735692346</v>
      </c>
      <c r="S20" s="287">
        <f t="shared" si="3"/>
        <v>220.73989844524908</v>
      </c>
    </row>
    <row r="21" spans="1:19">
      <c r="D21" s="6">
        <v>30</v>
      </c>
      <c r="E21" s="7">
        <v>100</v>
      </c>
      <c r="F21" s="16">
        <v>24.432671781341533</v>
      </c>
      <c r="G21" s="15">
        <v>26.65424878324561</v>
      </c>
      <c r="H21" s="8">
        <f t="shared" si="1"/>
        <v>2.2215770019040768</v>
      </c>
      <c r="K21" s="43"/>
      <c r="M21" s="45"/>
      <c r="N21" s="512">
        <v>60</v>
      </c>
      <c r="O21" s="513">
        <v>130</v>
      </c>
      <c r="P21" s="287">
        <v>25.105179852555981</v>
      </c>
      <c r="Q21" s="287">
        <v>28.853660306552669</v>
      </c>
      <c r="R21" s="332">
        <f t="shared" ref="R21" si="6">Q21-P21</f>
        <v>3.7484804539966881</v>
      </c>
      <c r="S21" s="287">
        <f t="shared" si="3"/>
        <v>220.49885023509927</v>
      </c>
    </row>
    <row r="22" spans="1:19">
      <c r="D22" s="18">
        <v>40</v>
      </c>
      <c r="E22" s="12">
        <v>100</v>
      </c>
      <c r="F22" s="22">
        <v>24.429039623084048</v>
      </c>
      <c r="G22" s="21">
        <v>26.664493332177003</v>
      </c>
      <c r="H22" s="8">
        <f t="shared" si="1"/>
        <v>2.2354537090929547</v>
      </c>
      <c r="K22" s="43"/>
      <c r="M22" s="45"/>
      <c r="N22" s="512">
        <v>80</v>
      </c>
      <c r="O22" s="513">
        <v>130</v>
      </c>
      <c r="P22" s="287">
        <v>25.109091407602509</v>
      </c>
      <c r="Q22" s="287">
        <v>28.992241113915519</v>
      </c>
      <c r="R22" s="332">
        <f t="shared" ref="R22" si="7">Q22-P22</f>
        <v>3.8831497063130094</v>
      </c>
      <c r="S22" s="287">
        <f t="shared" si="3"/>
        <v>228.42057095958876</v>
      </c>
    </row>
    <row r="23" spans="1:19">
      <c r="D23" s="18">
        <v>50</v>
      </c>
      <c r="E23" s="12">
        <v>100</v>
      </c>
      <c r="F23" s="24">
        <v>24.435745146020956</v>
      </c>
      <c r="G23" s="23">
        <v>26.979932307000901</v>
      </c>
      <c r="H23" s="8">
        <f t="shared" si="1"/>
        <v>2.5441871609799449</v>
      </c>
      <c r="K23" s="43"/>
      <c r="M23" s="45"/>
      <c r="N23" s="330">
        <v>15</v>
      </c>
      <c r="O23" s="331">
        <v>100</v>
      </c>
      <c r="P23" s="287">
        <v>25.101268297509456</v>
      </c>
      <c r="Q23" s="287">
        <v>27.31977193473411</v>
      </c>
      <c r="R23" s="332">
        <f>Q23-P23</f>
        <v>2.2185036372246536</v>
      </c>
      <c r="S23" s="287">
        <f t="shared" ref="S23:S34" si="8">R23/$M$15</f>
        <v>130.50021395439137</v>
      </c>
    </row>
    <row r="24" spans="1:19">
      <c r="D24" s="18">
        <v>70</v>
      </c>
      <c r="E24" s="12">
        <v>100</v>
      </c>
      <c r="F24" s="26">
        <v>24.278817282844617</v>
      </c>
      <c r="G24" s="25">
        <v>26.991946368929536</v>
      </c>
      <c r="H24" s="8">
        <f t="shared" si="1"/>
        <v>2.7131290860849191</v>
      </c>
      <c r="K24" s="43"/>
      <c r="M24" s="45"/>
      <c r="N24" s="330">
        <v>20</v>
      </c>
      <c r="O24" s="331">
        <v>100</v>
      </c>
      <c r="P24" s="287">
        <v>24.082308207887898</v>
      </c>
      <c r="Q24" s="287">
        <v>26.637298711377312</v>
      </c>
      <c r="R24" s="332">
        <f>Q24-P24</f>
        <v>2.5549905034894138</v>
      </c>
      <c r="S24" s="287">
        <f t="shared" si="8"/>
        <v>150.29355902878905</v>
      </c>
    </row>
    <row r="25" spans="1:19">
      <c r="D25" s="18">
        <v>90</v>
      </c>
      <c r="E25" s="12">
        <v>100</v>
      </c>
      <c r="F25" s="28">
        <v>24.439563568804484</v>
      </c>
      <c r="G25" s="27">
        <v>27.336908271128429</v>
      </c>
      <c r="H25" s="8">
        <f t="shared" si="1"/>
        <v>2.8973447023239451</v>
      </c>
      <c r="K25" s="43"/>
      <c r="M25" s="45"/>
      <c r="N25" s="330">
        <v>30</v>
      </c>
      <c r="O25" s="331">
        <v>100</v>
      </c>
      <c r="P25" s="287">
        <v>25.100150710353308</v>
      </c>
      <c r="Q25" s="287">
        <v>27.488900124365092</v>
      </c>
      <c r="R25" s="332">
        <f t="shared" ref="R25:R28" si="9">Q25-P25</f>
        <v>2.3887494140117838</v>
      </c>
      <c r="S25" s="287">
        <f t="shared" si="8"/>
        <v>140.51467141245786</v>
      </c>
    </row>
    <row r="26" spans="1:19">
      <c r="D26" s="18">
        <v>100</v>
      </c>
      <c r="E26" s="12">
        <v>100</v>
      </c>
      <c r="F26" s="30">
        <v>24.782755958006149</v>
      </c>
      <c r="G26" s="29">
        <v>27.421472365943934</v>
      </c>
      <c r="H26" s="8">
        <f>G26-F26</f>
        <v>2.6387164079377854</v>
      </c>
      <c r="K26" s="43"/>
      <c r="M26" s="45"/>
      <c r="N26" s="512">
        <v>40</v>
      </c>
      <c r="O26" s="513">
        <v>100</v>
      </c>
      <c r="P26" s="287">
        <v>25.435240592672848</v>
      </c>
      <c r="Q26" s="287">
        <v>27.832837571670861</v>
      </c>
      <c r="R26" s="332">
        <f t="shared" si="9"/>
        <v>2.3975969789980134</v>
      </c>
      <c r="S26" s="287">
        <f t="shared" si="8"/>
        <v>141.03511641164783</v>
      </c>
    </row>
    <row r="27" spans="1:19">
      <c r="D27" s="6">
        <v>15</v>
      </c>
      <c r="E27" s="7">
        <v>70</v>
      </c>
      <c r="F27" s="39">
        <v>24.598260944978051</v>
      </c>
      <c r="G27" s="38">
        <v>25.97158929536279</v>
      </c>
      <c r="H27" s="8">
        <f>G27-F27</f>
        <v>1.3733283503847389</v>
      </c>
      <c r="K27" s="43"/>
      <c r="M27" s="45"/>
      <c r="N27" s="512">
        <v>50</v>
      </c>
      <c r="O27" s="513">
        <v>100</v>
      </c>
      <c r="P27" s="287">
        <v>25.100150710353308</v>
      </c>
      <c r="Q27" s="287">
        <v>27.835165878246176</v>
      </c>
      <c r="R27" s="332">
        <f t="shared" si="9"/>
        <v>2.7350151678928682</v>
      </c>
      <c r="S27" s="287">
        <f t="shared" si="8"/>
        <v>160.88324517016872</v>
      </c>
    </row>
    <row r="28" spans="1:19">
      <c r="D28" s="6">
        <v>20</v>
      </c>
      <c r="E28" s="7">
        <v>70</v>
      </c>
      <c r="F28" s="41">
        <v>24.440308626908593</v>
      </c>
      <c r="G28" s="40">
        <v>25.980436860348995</v>
      </c>
      <c r="H28" s="8">
        <f>G28-F28</f>
        <v>1.5401282334404023</v>
      </c>
      <c r="K28" s="43"/>
      <c r="M28" s="45"/>
      <c r="N28" s="512">
        <v>60</v>
      </c>
      <c r="O28" s="513">
        <v>100</v>
      </c>
      <c r="P28" s="287">
        <v>25.433377947412595</v>
      </c>
      <c r="Q28" s="287">
        <v>28.17137334772189</v>
      </c>
      <c r="R28" s="332">
        <f t="shared" si="9"/>
        <v>2.7379954003092948</v>
      </c>
      <c r="S28" s="287">
        <f t="shared" si="8"/>
        <v>161.05855295937027</v>
      </c>
    </row>
    <row r="29" spans="1:19">
      <c r="D29" s="6">
        <v>30</v>
      </c>
      <c r="E29" s="12">
        <v>70</v>
      </c>
      <c r="F29" s="33">
        <v>24.427735771401881</v>
      </c>
      <c r="G29" s="33">
        <v>25.967118946738179</v>
      </c>
      <c r="H29" s="8">
        <f>G29-F29</f>
        <v>1.5393831753362974</v>
      </c>
      <c r="K29" s="43"/>
      <c r="M29" s="45"/>
      <c r="N29" s="330">
        <v>15</v>
      </c>
      <c r="O29" s="331">
        <v>70</v>
      </c>
      <c r="P29" s="287">
        <v>25.103782868610793</v>
      </c>
      <c r="Q29" s="287">
        <v>26.488752751872113</v>
      </c>
      <c r="R29" s="332">
        <f t="shared" ref="R29:R34" si="10">Q29-P29</f>
        <v>1.38496988326132</v>
      </c>
      <c r="S29" s="287">
        <f t="shared" si="8"/>
        <v>81.468816662430584</v>
      </c>
    </row>
    <row r="30" spans="1:19">
      <c r="D30" s="42">
        <v>50</v>
      </c>
      <c r="E30" s="13">
        <v>70</v>
      </c>
      <c r="F30" s="17">
        <v>24.435372616968916</v>
      </c>
      <c r="G30" s="17">
        <v>26.307610500312485</v>
      </c>
      <c r="H30" s="11">
        <f>G30-F30</f>
        <v>1.8722378833435691</v>
      </c>
      <c r="K30" s="43"/>
      <c r="M30" s="45"/>
      <c r="N30" s="330">
        <v>20</v>
      </c>
      <c r="O30" s="331">
        <v>70</v>
      </c>
      <c r="P30" s="287">
        <v>25.130418695832425</v>
      </c>
      <c r="Q30" s="287">
        <v>26.646611937678578</v>
      </c>
      <c r="R30" s="332">
        <f t="shared" si="10"/>
        <v>1.5161932418461532</v>
      </c>
      <c r="S30" s="287">
        <f t="shared" si="8"/>
        <v>89.187837755656062</v>
      </c>
    </row>
    <row r="31" spans="1:19">
      <c r="N31" s="330">
        <v>30</v>
      </c>
      <c r="O31" s="513">
        <v>70</v>
      </c>
      <c r="P31" s="287">
        <v>25.102851545980666</v>
      </c>
      <c r="Q31" s="287">
        <v>26.64586687957447</v>
      </c>
      <c r="R31" s="332">
        <f t="shared" si="10"/>
        <v>1.5430153335938037</v>
      </c>
      <c r="S31" s="287">
        <f t="shared" si="8"/>
        <v>90.765607858459035</v>
      </c>
    </row>
    <row r="32" spans="1:19">
      <c r="D32" t="s">
        <v>8</v>
      </c>
      <c r="N32" s="18">
        <v>40</v>
      </c>
      <c r="O32" s="12">
        <v>70</v>
      </c>
      <c r="P32" s="48">
        <v>25.102851545980666</v>
      </c>
      <c r="Q32" s="47">
        <v>26.684889297776767</v>
      </c>
      <c r="R32" s="8">
        <f t="shared" si="10"/>
        <v>1.5820377517961006</v>
      </c>
      <c r="S32" s="46">
        <f t="shared" si="8"/>
        <v>93.06104422330003</v>
      </c>
    </row>
    <row r="33" spans="4:20" ht="18.75">
      <c r="D33" s="510">
        <v>42291</v>
      </c>
      <c r="E33" s="435" t="s">
        <v>222</v>
      </c>
      <c r="F33" s="1" t="s">
        <v>0</v>
      </c>
      <c r="G33" s="2" t="s">
        <v>1</v>
      </c>
      <c r="H33" s="2" t="s">
        <v>2</v>
      </c>
      <c r="I33" s="2" t="s">
        <v>3</v>
      </c>
      <c r="J33" s="3" t="s">
        <v>4</v>
      </c>
      <c r="K33" s="54"/>
      <c r="N33" s="6">
        <v>50</v>
      </c>
      <c r="O33" s="12">
        <v>70</v>
      </c>
      <c r="P33" s="50">
        <v>25.102385884665601</v>
      </c>
      <c r="Q33" s="49">
        <v>26.908686125796201</v>
      </c>
      <c r="R33" s="8">
        <f t="shared" si="10"/>
        <v>1.8063002411306002</v>
      </c>
      <c r="S33" s="46">
        <f t="shared" si="8"/>
        <v>106.25295536062353</v>
      </c>
    </row>
    <row r="34" spans="4:20">
      <c r="E34">
        <f>0.0242-0.0065</f>
        <v>1.77E-2</v>
      </c>
      <c r="F34" s="6">
        <v>20</v>
      </c>
      <c r="G34" s="7">
        <v>130</v>
      </c>
      <c r="H34" s="58">
        <v>23.758859858444914</v>
      </c>
      <c r="I34" s="57">
        <v>26.652758667037396</v>
      </c>
      <c r="J34" s="8">
        <f t="shared" ref="J34:J36" si="11">I34-H34</f>
        <v>2.8938988085924819</v>
      </c>
      <c r="K34" s="54"/>
      <c r="N34" s="42">
        <v>60</v>
      </c>
      <c r="O34" s="13">
        <v>70</v>
      </c>
      <c r="P34" s="17">
        <v>25.111326581914827</v>
      </c>
      <c r="Q34" s="17">
        <v>26.977510868162575</v>
      </c>
      <c r="R34" s="11">
        <f t="shared" si="10"/>
        <v>1.8661842862477478</v>
      </c>
      <c r="S34" s="46">
        <f t="shared" si="8"/>
        <v>109.7755462498675</v>
      </c>
    </row>
    <row r="35" spans="4:20">
      <c r="F35" s="6">
        <v>20</v>
      </c>
      <c r="G35" s="7">
        <v>100</v>
      </c>
      <c r="H35" s="56">
        <v>23.587030833186553</v>
      </c>
      <c r="I35" s="55">
        <v>25.962089804535506</v>
      </c>
      <c r="J35" s="8">
        <f t="shared" si="11"/>
        <v>2.3750589713489525</v>
      </c>
      <c r="K35" s="54"/>
    </row>
    <row r="36" spans="4:20">
      <c r="F36" s="9">
        <v>20</v>
      </c>
      <c r="G36" s="10">
        <v>70</v>
      </c>
      <c r="H36" s="17">
        <v>23.761374429546251</v>
      </c>
      <c r="I36" s="17">
        <v>25.485159485647646</v>
      </c>
      <c r="J36" s="11">
        <f t="shared" si="11"/>
        <v>1.723785056101395</v>
      </c>
      <c r="K36" s="54"/>
    </row>
    <row r="37" spans="4:20" ht="18.75">
      <c r="N37" s="435" t="s">
        <v>222</v>
      </c>
      <c r="O37" s="1" t="s">
        <v>0</v>
      </c>
      <c r="P37" s="2" t="s">
        <v>1</v>
      </c>
      <c r="Q37" s="2" t="s">
        <v>2</v>
      </c>
      <c r="R37" s="2" t="s">
        <v>3</v>
      </c>
      <c r="S37" s="3" t="s">
        <v>4</v>
      </c>
      <c r="T37" s="128"/>
    </row>
    <row r="38" spans="4:20">
      <c r="D38" s="64" t="s">
        <v>9</v>
      </c>
      <c r="M38" t="s">
        <v>15</v>
      </c>
      <c r="N38" s="435" t="s">
        <v>222</v>
      </c>
      <c r="O38" s="6">
        <v>10</v>
      </c>
      <c r="P38" s="7">
        <v>100</v>
      </c>
      <c r="Q38" s="144">
        <v>21.331926216597942</v>
      </c>
      <c r="R38" s="143">
        <v>22.765604273414866</v>
      </c>
      <c r="S38" s="8">
        <f t="shared" ref="S38:S47" si="12">R38-Q38</f>
        <v>1.4336780568169232</v>
      </c>
      <c r="T38" s="128"/>
    </row>
    <row r="39" spans="4:20" ht="18.75">
      <c r="D39" s="510">
        <v>42292</v>
      </c>
      <c r="E39" s="435" t="s">
        <v>222</v>
      </c>
      <c r="F39" s="1" t="s">
        <v>0</v>
      </c>
      <c r="G39" s="2" t="s">
        <v>1</v>
      </c>
      <c r="H39" s="2" t="s">
        <v>2</v>
      </c>
      <c r="I39" s="2" t="s">
        <v>3</v>
      </c>
      <c r="J39" s="3" t="s">
        <v>4</v>
      </c>
      <c r="K39" s="60"/>
      <c r="M39" s="510">
        <v>42296</v>
      </c>
      <c r="N39" s="435">
        <f>0.0213-0.0015</f>
        <v>1.9799999999999998E-2</v>
      </c>
      <c r="O39" s="6">
        <v>20</v>
      </c>
      <c r="P39" s="7">
        <v>100</v>
      </c>
      <c r="Q39" s="146">
        <v>21.341146310636184</v>
      </c>
      <c r="R39" s="145">
        <v>23.217016352237238</v>
      </c>
      <c r="S39" s="8">
        <f t="shared" si="12"/>
        <v>1.8758700416010541</v>
      </c>
      <c r="T39" s="140"/>
    </row>
    <row r="40" spans="4:20">
      <c r="E40" s="60">
        <f>0.0199-0.0032</f>
        <v>1.67E-2</v>
      </c>
      <c r="F40" s="6">
        <v>20</v>
      </c>
      <c r="G40" s="7">
        <v>130</v>
      </c>
      <c r="H40" s="64">
        <v>23.743120505995787</v>
      </c>
      <c r="I40" s="63">
        <v>25.96479064016286</v>
      </c>
      <c r="J40" s="8">
        <f t="shared" ref="J40:J42" si="13">I40-H40</f>
        <v>2.2216701341670735</v>
      </c>
      <c r="K40" s="60"/>
      <c r="N40" s="128"/>
      <c r="O40" s="6">
        <v>3</v>
      </c>
      <c r="P40" s="7">
        <v>100</v>
      </c>
      <c r="Q40" s="142">
        <v>21.344964733419715</v>
      </c>
      <c r="R40" s="141">
        <v>22.092537408622356</v>
      </c>
      <c r="S40" s="8">
        <f t="shared" si="12"/>
        <v>0.74757267520264037</v>
      </c>
      <c r="T40" s="140"/>
    </row>
    <row r="41" spans="4:20">
      <c r="E41" s="60"/>
      <c r="F41" s="6">
        <v>20</v>
      </c>
      <c r="G41" s="7">
        <v>100</v>
      </c>
      <c r="H41" s="62">
        <v>23.656600633657007</v>
      </c>
      <c r="I41" s="61">
        <v>25.449769225702834</v>
      </c>
      <c r="J41" s="8">
        <f t="shared" si="13"/>
        <v>1.7931685920458271</v>
      </c>
      <c r="K41" s="64"/>
      <c r="N41" s="128"/>
      <c r="O41" s="18">
        <v>10</v>
      </c>
      <c r="P41" s="12">
        <v>70</v>
      </c>
      <c r="Q41" s="138">
        <v>21.340028723480039</v>
      </c>
      <c r="R41" s="137">
        <v>22.273679660181983</v>
      </c>
      <c r="S41" s="8">
        <f t="shared" si="12"/>
        <v>0.93365093670194454</v>
      </c>
      <c r="T41" s="140"/>
    </row>
    <row r="42" spans="4:20">
      <c r="E42" s="60"/>
      <c r="F42" s="9">
        <v>20</v>
      </c>
      <c r="G42" s="10">
        <v>70</v>
      </c>
      <c r="H42" s="17">
        <v>24.091435169663146</v>
      </c>
      <c r="I42" s="17">
        <v>25.45749920353289</v>
      </c>
      <c r="J42" s="11">
        <f t="shared" si="13"/>
        <v>1.3660640338697441</v>
      </c>
      <c r="K42" s="64"/>
      <c r="N42" s="128"/>
      <c r="O42" s="18">
        <v>5</v>
      </c>
      <c r="P42" s="12">
        <v>70</v>
      </c>
      <c r="Q42" s="140">
        <v>21.343754014000545</v>
      </c>
      <c r="R42" s="139">
        <v>21.869019977391964</v>
      </c>
      <c r="S42" s="8">
        <f t="shared" si="12"/>
        <v>0.52526596339141918</v>
      </c>
      <c r="T42" s="140"/>
    </row>
    <row r="43" spans="4:20">
      <c r="N43" s="128"/>
      <c r="O43" s="18">
        <v>10</v>
      </c>
      <c r="P43" s="12">
        <v>50</v>
      </c>
      <c r="Q43" s="136">
        <v>21.341425707425227</v>
      </c>
      <c r="R43" s="135">
        <v>21.86212818992901</v>
      </c>
      <c r="S43" s="8">
        <f t="shared" si="12"/>
        <v>0.5207024825037827</v>
      </c>
      <c r="T43" s="140"/>
    </row>
    <row r="44" spans="4:20">
      <c r="D44" s="64" t="s">
        <v>10</v>
      </c>
      <c r="E44" s="64"/>
      <c r="F44" s="64"/>
      <c r="G44" s="64"/>
      <c r="H44" s="64"/>
      <c r="I44" s="64"/>
      <c r="J44" s="64"/>
      <c r="K44" s="64"/>
      <c r="N44" s="128"/>
      <c r="O44" s="18">
        <v>5</v>
      </c>
      <c r="P44" s="12">
        <v>50</v>
      </c>
      <c r="Q44" s="134">
        <v>21.344592204367647</v>
      </c>
      <c r="R44" s="133">
        <v>21.692906868035006</v>
      </c>
      <c r="S44" s="8">
        <f t="shared" si="12"/>
        <v>0.34831466366735953</v>
      </c>
      <c r="T44" s="140"/>
    </row>
    <row r="45" spans="4:20" ht="18.75">
      <c r="D45" s="510">
        <v>42292</v>
      </c>
      <c r="E45" s="435" t="s">
        <v>222</v>
      </c>
      <c r="F45" s="1" t="s">
        <v>0</v>
      </c>
      <c r="G45" s="2" t="s">
        <v>1</v>
      </c>
      <c r="H45" s="2" t="s">
        <v>2</v>
      </c>
      <c r="I45" s="2" t="s">
        <v>3</v>
      </c>
      <c r="J45" s="3" t="s">
        <v>4</v>
      </c>
      <c r="K45" s="64"/>
      <c r="N45" s="128"/>
      <c r="O45" s="18">
        <v>10</v>
      </c>
      <c r="P45" s="12">
        <v>30</v>
      </c>
      <c r="Q45" s="132">
        <v>21.335837771644467</v>
      </c>
      <c r="R45" s="131">
        <v>21.688902180725457</v>
      </c>
      <c r="S45" s="8">
        <f t="shared" si="12"/>
        <v>0.35306440908098935</v>
      </c>
      <c r="T45" s="140"/>
    </row>
    <row r="46" spans="4:20">
      <c r="D46" s="64"/>
      <c r="E46" s="64">
        <f>0.0278-0.0085</f>
        <v>1.9299999999999998E-2</v>
      </c>
      <c r="F46" s="6">
        <v>20</v>
      </c>
      <c r="G46" s="7">
        <v>130</v>
      </c>
      <c r="H46" s="68">
        <v>20.326470305113222</v>
      </c>
      <c r="I46" s="67">
        <v>22.547302248913194</v>
      </c>
      <c r="J46" s="8">
        <f t="shared" ref="J46:J48" si="14">I46-H46</f>
        <v>2.220831943799972</v>
      </c>
      <c r="K46" s="64"/>
      <c r="N46" s="128"/>
      <c r="O46" s="18">
        <v>20</v>
      </c>
      <c r="P46" s="12">
        <v>30</v>
      </c>
      <c r="Q46" s="130">
        <v>21.314324218888533</v>
      </c>
      <c r="R46" s="129">
        <v>21.690578561459692</v>
      </c>
      <c r="S46" s="8">
        <f t="shared" si="12"/>
        <v>0.37625434257115842</v>
      </c>
      <c r="T46" s="140"/>
    </row>
    <row r="47" spans="4:20">
      <c r="D47" s="64"/>
      <c r="E47" s="64"/>
      <c r="F47" s="6">
        <v>20</v>
      </c>
      <c r="G47" s="7">
        <v>100</v>
      </c>
      <c r="H47" s="66">
        <v>19.977410583341754</v>
      </c>
      <c r="I47" s="65">
        <v>21.779613004899808</v>
      </c>
      <c r="J47" s="8">
        <f t="shared" si="14"/>
        <v>1.8022024215580537</v>
      </c>
      <c r="K47" s="74"/>
      <c r="N47" s="128"/>
      <c r="O47" s="42">
        <v>3</v>
      </c>
      <c r="P47" s="13">
        <v>30</v>
      </c>
      <c r="Q47" s="17">
        <v>21.339842458954017</v>
      </c>
      <c r="R47" s="17">
        <v>21.34328835268548</v>
      </c>
      <c r="S47" s="11">
        <f t="shared" si="12"/>
        <v>3.445893731463201E-3</v>
      </c>
      <c r="T47" s="140"/>
    </row>
    <row r="48" spans="4:20">
      <c r="D48" s="64"/>
      <c r="E48" s="64"/>
      <c r="F48" s="6">
        <v>20</v>
      </c>
      <c r="G48" s="7">
        <v>70</v>
      </c>
      <c r="H48" s="33">
        <v>20.66416789079712</v>
      </c>
      <c r="I48" s="33">
        <v>21.773559407803983</v>
      </c>
      <c r="J48" s="8">
        <f t="shared" si="14"/>
        <v>1.1093915170068627</v>
      </c>
      <c r="K48" s="74"/>
    </row>
    <row r="49" spans="4:14">
      <c r="F49" s="69">
        <v>30</v>
      </c>
      <c r="G49" s="71">
        <v>130</v>
      </c>
      <c r="H49" s="72">
        <v>21.002424270059134</v>
      </c>
      <c r="I49" s="72">
        <v>23.228657885113819</v>
      </c>
      <c r="J49" s="73">
        <f t="shared" ref="J49:J51" si="15">I49-H49</f>
        <v>2.2262336150546851</v>
      </c>
      <c r="K49" s="74"/>
      <c r="L49" s="240"/>
      <c r="M49" s="240"/>
      <c r="N49" s="240"/>
    </row>
    <row r="50" spans="4:14">
      <c r="F50" s="18">
        <v>30</v>
      </c>
      <c r="G50" s="7">
        <v>100</v>
      </c>
      <c r="H50" s="33">
        <v>21.001958608744072</v>
      </c>
      <c r="I50" s="33">
        <v>22.717268628911302</v>
      </c>
      <c r="J50" s="8">
        <f t="shared" si="15"/>
        <v>1.7153100201672302</v>
      </c>
      <c r="K50" s="74"/>
    </row>
    <row r="51" spans="4:14">
      <c r="F51" s="42">
        <v>30</v>
      </c>
      <c r="G51" s="10">
        <v>70</v>
      </c>
      <c r="H51" s="17">
        <v>20.667706916791609</v>
      </c>
      <c r="I51" s="17">
        <v>21.852628699101725</v>
      </c>
      <c r="J51" s="11">
        <f t="shared" si="15"/>
        <v>1.1849217823101164</v>
      </c>
      <c r="K51" s="74"/>
    </row>
    <row r="52" spans="4:14">
      <c r="F52" s="18">
        <v>40</v>
      </c>
      <c r="G52" s="7">
        <v>130</v>
      </c>
      <c r="H52" s="33">
        <v>21.342170765529335</v>
      </c>
      <c r="I52" s="33">
        <v>23.573060993734654</v>
      </c>
      <c r="J52" s="8">
        <f t="shared" ref="J52:J54" si="16">I52-H52</f>
        <v>2.2308902282053182</v>
      </c>
      <c r="K52" s="74"/>
    </row>
    <row r="53" spans="4:14">
      <c r="F53" s="18">
        <v>40</v>
      </c>
      <c r="G53" s="7">
        <v>100</v>
      </c>
      <c r="H53" s="33">
        <v>21.634792335915115</v>
      </c>
      <c r="I53" s="33">
        <v>23.227447165694677</v>
      </c>
      <c r="J53" s="8">
        <f t="shared" si="16"/>
        <v>1.592654829779562</v>
      </c>
      <c r="K53" s="74"/>
    </row>
    <row r="54" spans="4:14">
      <c r="F54" s="42">
        <v>40</v>
      </c>
      <c r="G54" s="10">
        <v>70</v>
      </c>
      <c r="H54" s="17">
        <v>21.346920510942965</v>
      </c>
      <c r="I54" s="17">
        <v>22.546650323072083</v>
      </c>
      <c r="J54" s="11">
        <f t="shared" si="16"/>
        <v>1.1997298121291173</v>
      </c>
      <c r="K54" s="74"/>
    </row>
    <row r="57" spans="4:14" ht="18.75">
      <c r="D57" s="510">
        <v>42299</v>
      </c>
      <c r="E57" s="435" t="s">
        <v>222</v>
      </c>
      <c r="F57" s="1" t="s">
        <v>0</v>
      </c>
      <c r="G57" s="2" t="s">
        <v>1</v>
      </c>
      <c r="H57" s="2" t="s">
        <v>2</v>
      </c>
      <c r="I57" s="2" t="s">
        <v>3</v>
      </c>
      <c r="J57" s="3" t="s">
        <v>4</v>
      </c>
      <c r="K57" s="166"/>
    </row>
    <row r="58" spans="4:14">
      <c r="D58" t="s">
        <v>12</v>
      </c>
      <c r="E58" s="166">
        <f>0.0256-0.0076</f>
        <v>1.8000000000000002E-2</v>
      </c>
      <c r="F58" s="6">
        <v>20</v>
      </c>
      <c r="G58" s="7">
        <v>130</v>
      </c>
      <c r="H58" s="170">
        <v>23.585447584715343</v>
      </c>
      <c r="I58" s="169">
        <v>25.451818135489109</v>
      </c>
      <c r="J58" s="8">
        <f t="shared" ref="J58:J60" si="17">I58-H58</f>
        <v>1.866370550773766</v>
      </c>
      <c r="K58" s="166"/>
      <c r="L58" s="239"/>
      <c r="M58" s="239"/>
      <c r="N58" s="239"/>
    </row>
    <row r="59" spans="4:14">
      <c r="D59" t="s">
        <v>13</v>
      </c>
      <c r="E59" s="166"/>
      <c r="F59" s="6">
        <v>20</v>
      </c>
      <c r="G59" s="7">
        <v>100</v>
      </c>
      <c r="H59" s="168">
        <v>23.661909172648748</v>
      </c>
      <c r="I59" s="167">
        <v>25.283993797540294</v>
      </c>
      <c r="J59" s="8">
        <f t="shared" si="17"/>
        <v>1.6220846248915457</v>
      </c>
      <c r="K59" s="175"/>
    </row>
    <row r="60" spans="4:14">
      <c r="D60" t="s">
        <v>11</v>
      </c>
      <c r="E60" s="166"/>
      <c r="F60" s="6">
        <v>3</v>
      </c>
      <c r="G60" s="7">
        <v>100</v>
      </c>
      <c r="H60" s="172">
        <v>23.236108466154832</v>
      </c>
      <c r="I60" s="171">
        <v>23.758301064866856</v>
      </c>
      <c r="J60" s="8">
        <f t="shared" si="17"/>
        <v>0.52219259871202439</v>
      </c>
      <c r="K60" s="175"/>
    </row>
    <row r="61" spans="4:14" s="166" customFormat="1">
      <c r="F61" s="42">
        <v>10</v>
      </c>
      <c r="G61" s="12">
        <v>100</v>
      </c>
      <c r="H61" s="177">
        <v>23.126026131273871</v>
      </c>
      <c r="I61" s="176">
        <v>24.399051034393977</v>
      </c>
      <c r="J61" s="8">
        <f t="shared" ref="J61" si="18">I61-H61</f>
        <v>1.2730249031201062</v>
      </c>
      <c r="K61" s="175"/>
    </row>
    <row r="62" spans="4:14" s="166" customFormat="1">
      <c r="F62" s="6">
        <v>20</v>
      </c>
      <c r="G62" s="7">
        <v>30</v>
      </c>
      <c r="H62" s="174">
        <v>23.233128233738434</v>
      </c>
      <c r="I62" s="173">
        <v>23.717136604615238</v>
      </c>
      <c r="J62" s="8">
        <f t="shared" ref="J62" si="19">I62-H62</f>
        <v>0.48400837087680415</v>
      </c>
      <c r="K62" s="175"/>
    </row>
    <row r="63" spans="4:14">
      <c r="E63" s="166"/>
      <c r="F63" s="6">
        <v>10</v>
      </c>
      <c r="G63" s="7">
        <v>70</v>
      </c>
      <c r="H63" s="33">
        <v>23.14921606476404</v>
      </c>
      <c r="I63" s="33">
        <v>23.919326747615738</v>
      </c>
      <c r="J63" s="8">
        <f t="shared" ref="J63" si="20">I63-H63</f>
        <v>0.7701106828516977</v>
      </c>
      <c r="K63" s="175"/>
    </row>
    <row r="64" spans="4:14">
      <c r="E64" s="166"/>
      <c r="F64" s="42">
        <v>10</v>
      </c>
      <c r="G64" s="10">
        <v>50</v>
      </c>
      <c r="H64" s="17">
        <v>23.247284337716351</v>
      </c>
      <c r="I64" s="17">
        <v>23.764075265173634</v>
      </c>
      <c r="J64" s="11">
        <f>I64-H64</f>
        <v>0.51679092745728283</v>
      </c>
      <c r="K64" s="175"/>
    </row>
    <row r="65" spans="4:11">
      <c r="E65" s="166"/>
      <c r="F65" s="175"/>
      <c r="G65" s="175"/>
      <c r="H65" s="180"/>
      <c r="I65" s="179"/>
      <c r="J65" s="11"/>
      <c r="K65" s="180"/>
    </row>
    <row r="66" spans="4:11" s="166" customFormat="1" ht="18.75">
      <c r="E66" s="435" t="s">
        <v>222</v>
      </c>
      <c r="F66" s="1" t="s">
        <v>0</v>
      </c>
      <c r="G66" s="2" t="s">
        <v>1</v>
      </c>
      <c r="H66" s="2" t="s">
        <v>2</v>
      </c>
      <c r="I66" s="2" t="s">
        <v>3</v>
      </c>
      <c r="J66" s="3" t="s">
        <v>4</v>
      </c>
    </row>
    <row r="67" spans="4:11" s="166" customFormat="1">
      <c r="E67" s="181">
        <f>0.02</f>
        <v>0.02</v>
      </c>
      <c r="F67" s="6">
        <v>20</v>
      </c>
      <c r="G67" s="7">
        <v>130</v>
      </c>
      <c r="H67" s="184">
        <v>23.745914473886167</v>
      </c>
      <c r="I67" s="183">
        <v>24.426618184245708</v>
      </c>
      <c r="J67" s="8">
        <f>I67-H67</f>
        <v>0.68070371035954125</v>
      </c>
    </row>
    <row r="68" spans="4:11">
      <c r="E68" s="181">
        <f>0.3*0.03</f>
        <v>8.9999999999999993E-3</v>
      </c>
      <c r="F68" s="6">
        <v>20</v>
      </c>
      <c r="G68" s="7">
        <v>100</v>
      </c>
      <c r="H68" s="182">
        <v>23.642910190994151</v>
      </c>
      <c r="I68" s="185">
        <v>24.434068765286721</v>
      </c>
      <c r="J68" s="8">
        <f>I68-H68</f>
        <v>0.79115857429257019</v>
      </c>
    </row>
    <row r="69" spans="4:11">
      <c r="E69" s="181">
        <f>E68/E67</f>
        <v>0.44999999999999996</v>
      </c>
      <c r="F69" s="9">
        <v>20</v>
      </c>
      <c r="G69" s="10">
        <v>100</v>
      </c>
      <c r="H69" s="17">
        <v>24.101772850857536</v>
      </c>
      <c r="I69" s="17">
        <v>25.111140317388781</v>
      </c>
      <c r="J69" s="11">
        <f>I69-H69</f>
        <v>1.0093674665312449</v>
      </c>
    </row>
    <row r="70" spans="4:11">
      <c r="E70" s="166"/>
      <c r="F70" s="175"/>
      <c r="G70" s="175"/>
      <c r="H70" s="175"/>
      <c r="I70" s="175"/>
      <c r="J70" s="175"/>
      <c r="K70" s="170"/>
    </row>
    <row r="71" spans="4:11">
      <c r="F71" s="175"/>
      <c r="G71" s="175"/>
      <c r="H71" s="175"/>
      <c r="I71" s="175"/>
      <c r="J71" s="175"/>
    </row>
    <row r="72" spans="4:11" ht="18.75">
      <c r="D72" s="516">
        <v>42310</v>
      </c>
      <c r="E72" s="518" t="s">
        <v>222</v>
      </c>
      <c r="F72" s="519" t="s">
        <v>0</v>
      </c>
      <c r="G72" s="520" t="s">
        <v>1</v>
      </c>
      <c r="H72" s="520" t="s">
        <v>237</v>
      </c>
      <c r="I72" s="520" t="s">
        <v>136</v>
      </c>
      <c r="J72" s="521" t="s">
        <v>137</v>
      </c>
    </row>
    <row r="73" spans="4:11">
      <c r="E73" s="518">
        <f>0.0133-0.0015</f>
        <v>1.18E-2</v>
      </c>
      <c r="F73" s="512">
        <v>20</v>
      </c>
      <c r="G73" s="513">
        <v>130</v>
      </c>
      <c r="H73" s="518">
        <v>22.217800302374386</v>
      </c>
      <c r="I73" s="518">
        <v>22.892916076953171</v>
      </c>
      <c r="J73" s="288">
        <f>I73-H73</f>
        <v>0.67511577457878502</v>
      </c>
    </row>
    <row r="74" spans="4:11">
      <c r="E74" s="518"/>
      <c r="F74" s="512">
        <v>20</v>
      </c>
      <c r="G74" s="513">
        <v>100</v>
      </c>
      <c r="H74" s="518">
        <v>22.063038531722899</v>
      </c>
      <c r="I74" s="518">
        <v>22.556522342951435</v>
      </c>
      <c r="J74" s="288">
        <f>I74-H74</f>
        <v>0.49348381122853624</v>
      </c>
    </row>
    <row r="75" spans="4:11">
      <c r="E75" s="518"/>
      <c r="F75" s="522">
        <v>30</v>
      </c>
      <c r="G75" s="523">
        <v>130</v>
      </c>
      <c r="H75" s="524">
        <v>22.207462621179971</v>
      </c>
      <c r="I75" s="524">
        <v>23.185165118286911</v>
      </c>
      <c r="J75" s="525">
        <f>I75-H75</f>
        <v>0.97770249710693946</v>
      </c>
    </row>
    <row r="78" spans="4:11" ht="18.75">
      <c r="D78" s="516">
        <v>42331</v>
      </c>
      <c r="E78" s="518" t="s">
        <v>222</v>
      </c>
      <c r="F78" s="495" t="s">
        <v>0</v>
      </c>
      <c r="G78" s="441" t="s">
        <v>1</v>
      </c>
      <c r="H78" s="441" t="s">
        <v>237</v>
      </c>
      <c r="I78" s="441" t="s">
        <v>136</v>
      </c>
      <c r="J78" s="442" t="s">
        <v>137</v>
      </c>
    </row>
    <row r="79" spans="4:11">
      <c r="E79" s="518">
        <f>0.0091-0.0009</f>
        <v>8.2000000000000007E-3</v>
      </c>
      <c r="F79" s="512">
        <v>20</v>
      </c>
      <c r="G79" s="513">
        <v>130</v>
      </c>
      <c r="H79" s="526">
        <v>21.748413696790564</v>
      </c>
      <c r="I79" s="526">
        <v>22.214447540905919</v>
      </c>
      <c r="J79" s="288">
        <f>I79-H79</f>
        <v>0.46603384411535487</v>
      </c>
    </row>
    <row r="80" spans="4:11">
      <c r="E80" s="518"/>
      <c r="F80" s="512">
        <v>20</v>
      </c>
      <c r="G80" s="513">
        <v>100</v>
      </c>
      <c r="H80" s="526">
        <v>21.85216303778666</v>
      </c>
      <c r="I80" s="526">
        <v>22.206065637234779</v>
      </c>
      <c r="J80" s="288">
        <f>I80-H80</f>
        <v>0.3539025994481193</v>
      </c>
    </row>
    <row r="81" spans="4:10">
      <c r="E81" s="518"/>
      <c r="F81" s="522">
        <v>30</v>
      </c>
      <c r="G81" s="523">
        <v>130</v>
      </c>
      <c r="H81" s="527">
        <v>21.746737316056333</v>
      </c>
      <c r="I81" s="527">
        <v>22.4082076792841</v>
      </c>
      <c r="J81" s="525">
        <f>I81-H81</f>
        <v>0.66147036322776742</v>
      </c>
    </row>
    <row r="84" spans="4:10" ht="18.75">
      <c r="D84" s="516">
        <v>42333</v>
      </c>
      <c r="E84" s="518" t="s">
        <v>222</v>
      </c>
      <c r="F84" s="519" t="s">
        <v>0</v>
      </c>
      <c r="G84" s="520" t="s">
        <v>1</v>
      </c>
      <c r="H84" s="520" t="s">
        <v>237</v>
      </c>
      <c r="I84" s="520" t="s">
        <v>136</v>
      </c>
      <c r="J84" s="521" t="s">
        <v>137</v>
      </c>
    </row>
    <row r="85" spans="4:10">
      <c r="E85" s="518">
        <f>0.0116</f>
        <v>1.1599999999999999E-2</v>
      </c>
      <c r="F85" s="512">
        <v>20</v>
      </c>
      <c r="G85" s="513">
        <v>130</v>
      </c>
      <c r="H85" s="526">
        <v>23.011242151930499</v>
      </c>
      <c r="I85" s="526">
        <v>23.941513207048999</v>
      </c>
      <c r="J85" s="288">
        <f>I85-H85</f>
        <v>0.93027105511849939</v>
      </c>
    </row>
    <row r="86" spans="4:10">
      <c r="E86" s="518"/>
      <c r="F86" s="512">
        <v>20</v>
      </c>
      <c r="G86" s="513">
        <v>100</v>
      </c>
      <c r="H86" s="526">
        <v>23.045445742931701</v>
      </c>
      <c r="I86" s="526">
        <v>23.7314441252616</v>
      </c>
      <c r="J86" s="288">
        <f>I86-H86</f>
        <v>0.68599838232989896</v>
      </c>
    </row>
    <row r="87" spans="4:10">
      <c r="E87" s="518"/>
      <c r="F87" s="522">
        <v>30</v>
      </c>
      <c r="G87" s="523">
        <v>130</v>
      </c>
      <c r="H87" s="527">
        <v>22.880343221446459</v>
      </c>
      <c r="I87" s="527">
        <v>24.274364845416802</v>
      </c>
      <c r="J87" s="525">
        <f>I87-H87</f>
        <v>1.3940216239703425</v>
      </c>
    </row>
    <row r="89" spans="4:10">
      <c r="D89" s="510">
        <v>42337</v>
      </c>
      <c r="E89" s="511" t="s">
        <v>47</v>
      </c>
      <c r="F89" s="511"/>
    </row>
    <row r="90" spans="4:10" ht="18.75">
      <c r="E90" s="518" t="s">
        <v>222</v>
      </c>
      <c r="F90" s="519" t="s">
        <v>0</v>
      </c>
      <c r="G90" s="520" t="s">
        <v>1</v>
      </c>
      <c r="H90" s="520" t="s">
        <v>237</v>
      </c>
      <c r="I90" s="520" t="s">
        <v>136</v>
      </c>
      <c r="J90" s="521" t="s">
        <v>137</v>
      </c>
    </row>
    <row r="91" spans="4:10">
      <c r="E91" s="329">
        <f>0.0198-0.0063</f>
        <v>1.3500000000000002E-2</v>
      </c>
      <c r="F91" s="512">
        <v>20</v>
      </c>
      <c r="G91" s="513">
        <v>130</v>
      </c>
      <c r="H91" s="526">
        <v>22.55102754</v>
      </c>
      <c r="I91" s="526">
        <v>23.755227699999999</v>
      </c>
      <c r="J91" s="288">
        <f>I91-H91</f>
        <v>1.2042001599999992</v>
      </c>
    </row>
    <row r="92" spans="4:10">
      <c r="E92" s="293"/>
      <c r="F92" s="512">
        <v>20</v>
      </c>
      <c r="G92" s="513">
        <v>100</v>
      </c>
      <c r="H92" s="526">
        <v>22.540596725976261</v>
      </c>
      <c r="I92" s="526">
        <v>23.577810739148308</v>
      </c>
      <c r="J92" s="288">
        <f>I92-H92</f>
        <v>1.0372140131720471</v>
      </c>
    </row>
    <row r="93" spans="4:10">
      <c r="E93" s="293"/>
      <c r="F93" s="522">
        <v>30</v>
      </c>
      <c r="G93" s="523">
        <v>130</v>
      </c>
      <c r="H93" s="527">
        <v>22.547488510000001</v>
      </c>
      <c r="I93" s="527">
        <v>23.87425073</v>
      </c>
      <c r="J93" s="525">
        <f>I93-H93</f>
        <v>1.3267622199999991</v>
      </c>
    </row>
    <row r="94" spans="4:10">
      <c r="D94" s="511" t="s">
        <v>245</v>
      </c>
      <c r="E94" s="511"/>
      <c r="F94" s="511"/>
    </row>
    <row r="95" spans="4:10" ht="18.75">
      <c r="F95" s="519" t="s">
        <v>0</v>
      </c>
      <c r="G95" s="520" t="s">
        <v>1</v>
      </c>
      <c r="H95" s="520" t="s">
        <v>237</v>
      </c>
      <c r="I95" s="520" t="s">
        <v>136</v>
      </c>
      <c r="J95" s="521" t="s">
        <v>137</v>
      </c>
    </row>
    <row r="96" spans="4:10">
      <c r="E96" s="526">
        <f>0.0109</f>
        <v>1.09E-2</v>
      </c>
      <c r="F96" s="512">
        <v>20</v>
      </c>
      <c r="G96" s="513">
        <v>130</v>
      </c>
      <c r="H96" s="526">
        <v>23.659580869999999</v>
      </c>
      <c r="I96" s="526">
        <v>24.41544231</v>
      </c>
      <c r="J96" s="288">
        <f>I96-H96</f>
        <v>0.75586144000000033</v>
      </c>
    </row>
    <row r="97" spans="4:10">
      <c r="E97" s="526"/>
      <c r="F97" s="512">
        <v>20</v>
      </c>
      <c r="G97" s="513">
        <v>100</v>
      </c>
      <c r="H97" s="526">
        <v>23.510476109999999</v>
      </c>
      <c r="I97" s="526">
        <v>24.087709879999998</v>
      </c>
      <c r="J97" s="288">
        <f>I97-H97</f>
        <v>0.57723376999999942</v>
      </c>
    </row>
    <row r="98" spans="4:10">
      <c r="E98" s="526"/>
      <c r="F98" s="522">
        <v>30</v>
      </c>
      <c r="G98" s="523">
        <v>130</v>
      </c>
      <c r="H98" s="527">
        <v>23.73427294</v>
      </c>
      <c r="I98" s="527">
        <v>24.818236280000001</v>
      </c>
      <c r="J98" s="525">
        <f>I98-H98</f>
        <v>1.0839633400000004</v>
      </c>
    </row>
    <row r="99" spans="4:10" ht="18.75">
      <c r="E99" s="518" t="s">
        <v>222</v>
      </c>
      <c r="F99" s="519" t="s">
        <v>0</v>
      </c>
      <c r="G99" s="520" t="s">
        <v>1</v>
      </c>
      <c r="H99" s="520" t="s">
        <v>237</v>
      </c>
      <c r="I99" s="520" t="s">
        <v>136</v>
      </c>
      <c r="J99" s="521" t="s">
        <v>137</v>
      </c>
    </row>
    <row r="100" spans="4:10">
      <c r="E100" s="526">
        <f>0.0155</f>
        <v>1.55E-2</v>
      </c>
      <c r="F100" s="512">
        <v>20</v>
      </c>
      <c r="G100" s="513">
        <v>130</v>
      </c>
      <c r="H100" s="526">
        <v>23.016502590000002</v>
      </c>
      <c r="I100" s="526">
        <v>24.999327359999999</v>
      </c>
      <c r="J100" s="288">
        <f>I100-H100</f>
        <v>1.982824769999997</v>
      </c>
    </row>
    <row r="101" spans="4:10">
      <c r="E101" s="526">
        <f>0.3*1.25</f>
        <v>0.375</v>
      </c>
      <c r="F101" s="512">
        <v>20</v>
      </c>
      <c r="G101" s="513">
        <v>100</v>
      </c>
      <c r="H101" s="526">
        <v>23.116169209999999</v>
      </c>
      <c r="I101" s="526">
        <v>24.656033499999999</v>
      </c>
      <c r="J101" s="288">
        <f>I101-H101</f>
        <v>1.5398642900000006</v>
      </c>
    </row>
    <row r="102" spans="4:10">
      <c r="E102" s="526">
        <f>E100/0.026*E101</f>
        <v>0.22355769230769229</v>
      </c>
      <c r="F102" s="522">
        <v>30</v>
      </c>
      <c r="G102" s="523">
        <v>130</v>
      </c>
      <c r="H102" s="527">
        <v>23.2131048</v>
      </c>
      <c r="I102" s="527">
        <v>25.594042869999999</v>
      </c>
      <c r="J102" s="525">
        <f>I102-H102</f>
        <v>2.3809380699999991</v>
      </c>
    </row>
    <row r="103" spans="4:10">
      <c r="E103" s="518"/>
      <c r="F103" s="518"/>
      <c r="G103" s="518"/>
      <c r="H103" s="518"/>
      <c r="I103" s="518"/>
      <c r="J103" s="518"/>
    </row>
    <row r="104" spans="4:10">
      <c r="D104" s="510">
        <v>42340</v>
      </c>
      <c r="E104" s="517" t="s">
        <v>246</v>
      </c>
      <c r="F104" s="518"/>
      <c r="G104" s="518"/>
      <c r="H104" s="518"/>
      <c r="I104" s="518"/>
      <c r="J104" s="518"/>
    </row>
    <row r="105" spans="4:10" ht="18.75">
      <c r="D105" t="s">
        <v>54</v>
      </c>
      <c r="E105" s="518" t="s">
        <v>222</v>
      </c>
      <c r="F105" s="519" t="s">
        <v>0</v>
      </c>
      <c r="G105" s="520" t="s">
        <v>1</v>
      </c>
      <c r="H105" s="520" t="s">
        <v>237</v>
      </c>
      <c r="I105" s="520" t="s">
        <v>136</v>
      </c>
      <c r="J105" s="521" t="s">
        <v>137</v>
      </c>
    </row>
    <row r="106" spans="4:10">
      <c r="E106" s="526">
        <f>0.0192-0.0064</f>
        <v>1.2799999999999999E-2</v>
      </c>
      <c r="F106" s="512">
        <v>20</v>
      </c>
      <c r="G106" s="513">
        <v>130</v>
      </c>
      <c r="H106" s="526">
        <v>21.847320159999999</v>
      </c>
      <c r="I106" s="526">
        <v>22.879411900000001</v>
      </c>
      <c r="J106" s="288">
        <f>I106-H106</f>
        <v>1.032091740000002</v>
      </c>
    </row>
    <row r="107" spans="4:10">
      <c r="E107" s="526"/>
      <c r="F107" s="512">
        <v>20</v>
      </c>
      <c r="G107" s="513">
        <v>100</v>
      </c>
      <c r="H107" s="526">
        <v>21.33108803</v>
      </c>
      <c r="I107" s="526">
        <v>22.200012040000001</v>
      </c>
      <c r="J107" s="288">
        <f>I107-H107</f>
        <v>0.86892401000000064</v>
      </c>
    </row>
    <row r="108" spans="4:10">
      <c r="E108" s="526"/>
      <c r="F108" s="522">
        <v>30</v>
      </c>
      <c r="G108" s="523">
        <v>130</v>
      </c>
      <c r="H108" s="527">
        <v>21.345523530000001</v>
      </c>
      <c r="I108" s="527">
        <v>22.544880809999999</v>
      </c>
      <c r="J108" s="525">
        <f>I108-H108</f>
        <v>1.1993572799999974</v>
      </c>
    </row>
    <row r="109" spans="4:10" ht="18.75">
      <c r="D109" t="s">
        <v>47</v>
      </c>
      <c r="E109" s="518" t="s">
        <v>222</v>
      </c>
      <c r="F109" s="519" t="s">
        <v>0</v>
      </c>
      <c r="G109" s="520" t="s">
        <v>1</v>
      </c>
      <c r="H109" s="520" t="s">
        <v>237</v>
      </c>
      <c r="I109" s="520" t="s">
        <v>136</v>
      </c>
      <c r="J109" s="521" t="s">
        <v>137</v>
      </c>
    </row>
    <row r="110" spans="4:10">
      <c r="E110" s="526">
        <f>0.0243-0.0114</f>
        <v>1.2899999999999998E-2</v>
      </c>
      <c r="F110" s="512">
        <v>20</v>
      </c>
      <c r="G110" s="513">
        <v>130</v>
      </c>
      <c r="H110" s="526">
        <v>23.63909177</v>
      </c>
      <c r="I110" s="526">
        <v>24.682773869999998</v>
      </c>
      <c r="J110" s="288">
        <f>I110-H110</f>
        <v>1.0436820999999981</v>
      </c>
    </row>
    <row r="111" spans="4:10">
      <c r="E111" s="526"/>
      <c r="F111" s="512">
        <v>20</v>
      </c>
      <c r="G111" s="513">
        <v>100</v>
      </c>
      <c r="H111" s="526">
        <v>23.73539053</v>
      </c>
      <c r="I111" s="526">
        <v>24.523265420000001</v>
      </c>
      <c r="J111" s="288">
        <f>I111-H111</f>
        <v>0.78787489000000122</v>
      </c>
    </row>
    <row r="112" spans="4:10">
      <c r="E112" s="526"/>
      <c r="F112" s="522">
        <v>30</v>
      </c>
      <c r="G112" s="523">
        <v>130</v>
      </c>
      <c r="H112" s="527">
        <v>21.681172199999999</v>
      </c>
      <c r="I112" s="527">
        <v>22.842904050000001</v>
      </c>
      <c r="J112" s="525">
        <f>I112-H112</f>
        <v>1.1617318500000025</v>
      </c>
    </row>
    <row r="113" spans="4:10" ht="18.75">
      <c r="D113" t="s">
        <v>247</v>
      </c>
      <c r="E113" s="518" t="s">
        <v>222</v>
      </c>
      <c r="F113" s="519" t="s">
        <v>0</v>
      </c>
      <c r="G113" s="520" t="s">
        <v>1</v>
      </c>
      <c r="H113" s="520" t="s">
        <v>237</v>
      </c>
      <c r="I113" s="520" t="s">
        <v>136</v>
      </c>
      <c r="J113" s="521" t="s">
        <v>137</v>
      </c>
    </row>
    <row r="114" spans="4:10">
      <c r="E114" s="526">
        <f>0.0236-0.0138</f>
        <v>9.7999999999999997E-3</v>
      </c>
      <c r="F114" s="512">
        <v>20</v>
      </c>
      <c r="G114" s="513">
        <v>130</v>
      </c>
      <c r="H114" s="526">
        <v>22.876059139999999</v>
      </c>
      <c r="I114" s="526">
        <v>23.678742060000001</v>
      </c>
      <c r="J114" s="288">
        <f>I114-H114</f>
        <v>0.8026829200000023</v>
      </c>
    </row>
    <row r="115" spans="4:10">
      <c r="E115" s="526"/>
      <c r="F115" s="512">
        <v>20</v>
      </c>
      <c r="G115" s="513">
        <v>100</v>
      </c>
      <c r="H115" s="526">
        <v>22.429379999999998</v>
      </c>
      <c r="I115" s="526">
        <v>23.057387649999999</v>
      </c>
      <c r="J115" s="288">
        <f>I115-H115</f>
        <v>0.62800765000000069</v>
      </c>
    </row>
    <row r="116" spans="4:10">
      <c r="E116" s="526"/>
      <c r="F116" s="522">
        <v>30</v>
      </c>
      <c r="G116" s="523">
        <v>130</v>
      </c>
      <c r="H116" s="527">
        <v>21.672604029999999</v>
      </c>
      <c r="I116" s="527">
        <v>22.54087612</v>
      </c>
      <c r="J116" s="525">
        <f>I116-H116</f>
        <v>0.86827209000000138</v>
      </c>
    </row>
    <row r="119" spans="4:10">
      <c r="D119" s="516">
        <v>42341</v>
      </c>
      <c r="E119" s="511" t="s">
        <v>222</v>
      </c>
      <c r="F119" s="511"/>
    </row>
    <row r="120" spans="4:10" ht="18.75">
      <c r="D120" s="373" t="s">
        <v>249</v>
      </c>
      <c r="E120" s="518" t="s">
        <v>222</v>
      </c>
      <c r="F120" s="532" t="s">
        <v>0</v>
      </c>
      <c r="G120" s="533" t="s">
        <v>1</v>
      </c>
      <c r="H120" s="533" t="s">
        <v>2</v>
      </c>
      <c r="I120" s="533" t="s">
        <v>3</v>
      </c>
      <c r="J120" s="534" t="s">
        <v>4</v>
      </c>
    </row>
    <row r="121" spans="4:10">
      <c r="D121" s="373"/>
      <c r="E121" s="5">
        <f>0.021-0.0064</f>
        <v>1.4600000000000002E-2</v>
      </c>
      <c r="F121" s="18">
        <v>20</v>
      </c>
      <c r="G121" s="12">
        <v>130</v>
      </c>
      <c r="H121" s="531">
        <v>21.588250250000002</v>
      </c>
      <c r="I121" s="531">
        <v>22.203085399999999</v>
      </c>
      <c r="J121" s="253">
        <f>I121-H121</f>
        <v>0.61483514999999755</v>
      </c>
    </row>
    <row r="122" spans="4:10">
      <c r="E122" s="5"/>
      <c r="F122" s="18">
        <v>20</v>
      </c>
      <c r="G122" s="12">
        <v>100</v>
      </c>
      <c r="H122" s="531">
        <v>21.34133258</v>
      </c>
      <c r="I122" s="531">
        <v>21.856633389999999</v>
      </c>
      <c r="J122" s="253">
        <f>I122-H122</f>
        <v>0.51530080999999939</v>
      </c>
    </row>
    <row r="123" spans="4:10">
      <c r="E123" s="5"/>
      <c r="F123" s="42">
        <v>30</v>
      </c>
      <c r="G123" s="13">
        <v>130</v>
      </c>
      <c r="H123" s="535">
        <v>21.3301567</v>
      </c>
      <c r="I123" s="535">
        <v>22.197404339999999</v>
      </c>
      <c r="J123" s="536">
        <f>I123-H123</f>
        <v>0.86724763999999865</v>
      </c>
    </row>
    <row r="124" spans="4:10" ht="18.75">
      <c r="D124" s="373" t="s">
        <v>250</v>
      </c>
      <c r="E124" s="518" t="s">
        <v>222</v>
      </c>
      <c r="F124" s="532" t="s">
        <v>0</v>
      </c>
      <c r="G124" s="533" t="s">
        <v>1</v>
      </c>
      <c r="H124" s="533" t="s">
        <v>2</v>
      </c>
      <c r="I124" s="533" t="s">
        <v>3</v>
      </c>
      <c r="J124" s="534" t="s">
        <v>4</v>
      </c>
    </row>
    <row r="125" spans="4:10">
      <c r="D125" s="373"/>
      <c r="E125" s="5">
        <f>0.0254-0.0126</f>
        <v>1.2799999999999999E-2</v>
      </c>
      <c r="F125" s="18">
        <v>20</v>
      </c>
      <c r="G125" s="12">
        <v>130</v>
      </c>
      <c r="H125" s="531">
        <v>21.333136939999999</v>
      </c>
      <c r="I125" s="531">
        <v>22.193537809999999</v>
      </c>
      <c r="J125" s="253">
        <f>I125-H125</f>
        <v>0.86040086999999943</v>
      </c>
    </row>
    <row r="126" spans="4:10">
      <c r="E126" s="5"/>
      <c r="F126" s="18">
        <v>20</v>
      </c>
      <c r="G126" s="12">
        <v>100</v>
      </c>
      <c r="H126" s="531">
        <v>21.685456290000001</v>
      </c>
      <c r="I126" s="531">
        <v>22.373144920000001</v>
      </c>
      <c r="J126" s="253">
        <f>I126-H126</f>
        <v>0.68768863000000024</v>
      </c>
    </row>
    <row r="127" spans="4:10">
      <c r="D127" s="373"/>
      <c r="E127" s="5"/>
      <c r="F127" s="42">
        <v>30</v>
      </c>
      <c r="G127" s="13">
        <v>130</v>
      </c>
      <c r="H127" s="535">
        <v>21.344312810000002</v>
      </c>
      <c r="I127" s="535">
        <v>22.377263719999998</v>
      </c>
      <c r="J127" s="536">
        <f>I127-H127</f>
        <v>1.0329509099999967</v>
      </c>
    </row>
    <row r="128" spans="4:10" ht="18.75">
      <c r="D128" s="373" t="s">
        <v>247</v>
      </c>
      <c r="E128" s="518" t="s">
        <v>222</v>
      </c>
      <c r="F128" s="532" t="s">
        <v>0</v>
      </c>
      <c r="G128" s="533" t="s">
        <v>1</v>
      </c>
      <c r="H128" s="533" t="s">
        <v>2</v>
      </c>
      <c r="I128" s="533" t="s">
        <v>3</v>
      </c>
      <c r="J128" s="534" t="s">
        <v>4</v>
      </c>
    </row>
    <row r="129" spans="4:10">
      <c r="D129" s="373"/>
      <c r="E129" s="5">
        <f>0.0171-0.0078</f>
        <v>9.300000000000001E-3</v>
      </c>
      <c r="F129" s="18">
        <v>20</v>
      </c>
      <c r="G129" s="12">
        <v>130</v>
      </c>
      <c r="H129" s="531">
        <v>21.684431830000001</v>
      </c>
      <c r="I129" s="531">
        <v>22.19386531</v>
      </c>
      <c r="J129" s="253">
        <f>I129-H129</f>
        <v>0.50943347999999844</v>
      </c>
    </row>
    <row r="130" spans="4:10">
      <c r="E130" s="5"/>
      <c r="F130" s="18">
        <v>20</v>
      </c>
      <c r="G130" s="12">
        <v>100</v>
      </c>
      <c r="H130" s="531">
        <v>21.85411882</v>
      </c>
      <c r="I130" s="531">
        <v>22.547581650000001</v>
      </c>
      <c r="J130" s="253">
        <f>I130-H130</f>
        <v>0.69346283000000142</v>
      </c>
    </row>
    <row r="131" spans="4:10">
      <c r="D131" s="373"/>
      <c r="E131" s="5"/>
      <c r="F131" s="42">
        <v>30</v>
      </c>
      <c r="G131" s="13">
        <v>130</v>
      </c>
      <c r="H131" s="535">
        <v>21.847692689999999</v>
      </c>
      <c r="I131" s="535">
        <v>22.380595499999998</v>
      </c>
      <c r="J131" s="536">
        <f>I131-H131</f>
        <v>0.5329028099999995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12" sqref="D12"/>
    </sheetView>
  </sheetViews>
  <sheetFormatPr defaultRowHeight="15"/>
  <cols>
    <col min="6" max="6" width="13.5703125" customWidth="1"/>
    <col min="7" max="7" width="11.140625" customWidth="1"/>
  </cols>
  <sheetData>
    <row r="1" spans="1:11">
      <c r="A1" s="510" t="s">
        <v>224</v>
      </c>
      <c r="B1" s="511"/>
      <c r="C1" s="511"/>
      <c r="D1" s="511"/>
      <c r="E1" s="511"/>
    </row>
    <row r="2" spans="1:11">
      <c r="A2" t="s">
        <v>225</v>
      </c>
    </row>
    <row r="4" spans="1:11" ht="18.75">
      <c r="D4" t="s">
        <v>226</v>
      </c>
      <c r="E4" s="41">
        <f>0.0633-0.0456</f>
        <v>1.7699999999999994E-2</v>
      </c>
      <c r="F4" s="1" t="s">
        <v>0</v>
      </c>
      <c r="G4" s="2" t="s">
        <v>1</v>
      </c>
      <c r="H4" s="2" t="s">
        <v>2</v>
      </c>
      <c r="I4" s="2" t="s">
        <v>3</v>
      </c>
      <c r="J4" s="3" t="s">
        <v>4</v>
      </c>
    </row>
    <row r="5" spans="1:11">
      <c r="F5" s="6">
        <v>20</v>
      </c>
      <c r="G5" s="7">
        <v>130</v>
      </c>
      <c r="H5" s="45">
        <v>24.7647814312447</v>
      </c>
      <c r="I5" s="44">
        <v>26.460533676179271</v>
      </c>
      <c r="J5" s="8">
        <f t="shared" ref="J5" si="0">I5-H5</f>
        <v>1.695752244934571</v>
      </c>
      <c r="K5" s="53"/>
    </row>
    <row r="6" spans="1:11">
      <c r="F6" s="9">
        <v>20</v>
      </c>
      <c r="G6" s="10">
        <v>100</v>
      </c>
      <c r="H6" s="17">
        <v>24.767668531398101</v>
      </c>
      <c r="I6" s="17">
        <v>25.966653285423114</v>
      </c>
      <c r="J6" s="11">
        <f>I6-H6</f>
        <v>1.1989847540250125</v>
      </c>
      <c r="K6" s="53"/>
    </row>
    <row r="7" spans="1:11">
      <c r="F7" s="48"/>
      <c r="G7" s="48"/>
      <c r="H7" s="48"/>
      <c r="I7" s="48"/>
      <c r="J7" s="48"/>
    </row>
    <row r="8" spans="1:11" ht="18.75">
      <c r="F8" s="1" t="s">
        <v>0</v>
      </c>
      <c r="G8" s="2" t="s">
        <v>1</v>
      </c>
      <c r="H8" s="2" t="s">
        <v>2</v>
      </c>
      <c r="I8" s="2" t="s">
        <v>3</v>
      </c>
      <c r="J8" s="3" t="s">
        <v>4</v>
      </c>
    </row>
    <row r="9" spans="1:11">
      <c r="D9" s="435" t="s">
        <v>226</v>
      </c>
      <c r="E9">
        <f>0.0264-0.0069</f>
        <v>1.95E-2</v>
      </c>
      <c r="F9" s="6">
        <v>20</v>
      </c>
      <c r="G9" s="7">
        <v>130</v>
      </c>
      <c r="H9" s="54">
        <v>25.090651219525995</v>
      </c>
      <c r="I9" s="52">
        <v>26.642793514895047</v>
      </c>
      <c r="J9" s="8">
        <f>I9-H9</f>
        <v>1.5521422953690518</v>
      </c>
    </row>
    <row r="10" spans="1:11">
      <c r="F10" s="9">
        <v>20</v>
      </c>
      <c r="G10" s="10">
        <v>100</v>
      </c>
      <c r="H10" s="17">
        <v>25.103969133136811</v>
      </c>
      <c r="I10" s="17">
        <v>26.294758248016731</v>
      </c>
      <c r="J10" s="11">
        <f>I10-H10</f>
        <v>1.1907891148799195</v>
      </c>
      <c r="K10" s="51"/>
    </row>
    <row r="11" spans="1:11">
      <c r="F11" s="48"/>
      <c r="G11" s="48"/>
      <c r="H11" s="48"/>
      <c r="I11" s="48"/>
      <c r="J11" s="48"/>
    </row>
    <row r="12" spans="1:11" ht="18.75">
      <c r="D12" s="4"/>
      <c r="E12" s="59"/>
      <c r="F12" s="1" t="s">
        <v>0</v>
      </c>
      <c r="G12" s="2" t="s">
        <v>1</v>
      </c>
      <c r="H12" s="2" t="s">
        <v>2</v>
      </c>
      <c r="I12" s="2" t="s">
        <v>3</v>
      </c>
      <c r="J12" s="3" t="s">
        <v>4</v>
      </c>
      <c r="K12" s="59"/>
    </row>
    <row r="13" spans="1:11">
      <c r="D13" s="435" t="s">
        <v>226</v>
      </c>
      <c r="E13" s="59">
        <f>0.0233-0.005</f>
        <v>1.83E-2</v>
      </c>
      <c r="F13" s="6">
        <v>20</v>
      </c>
      <c r="G13" s="12">
        <v>130</v>
      </c>
      <c r="H13" s="33">
        <v>24.425873126141628</v>
      </c>
      <c r="I13" s="33">
        <v>25.97401073420113</v>
      </c>
      <c r="J13" s="8">
        <f>I13-H13</f>
        <v>1.548137608059502</v>
      </c>
      <c r="K13" s="74"/>
    </row>
    <row r="14" spans="1:11">
      <c r="E14" s="59"/>
      <c r="F14" s="6">
        <v>20</v>
      </c>
      <c r="G14" s="7">
        <v>100</v>
      </c>
      <c r="H14" s="33">
        <v>24.423358555040267</v>
      </c>
      <c r="I14" s="33">
        <v>25.633984841941889</v>
      </c>
      <c r="J14" s="8">
        <f>I14-H14</f>
        <v>1.210626286901622</v>
      </c>
      <c r="K14" s="60"/>
    </row>
    <row r="15" spans="1:11">
      <c r="F15" s="42">
        <v>20</v>
      </c>
      <c r="G15" s="10">
        <v>70</v>
      </c>
      <c r="H15" s="17">
        <v>24.760311082620085</v>
      </c>
      <c r="I15" s="17">
        <v>25.452563193593214</v>
      </c>
      <c r="J15" s="11">
        <f>I15-H15</f>
        <v>0.69225211097312922</v>
      </c>
      <c r="K15" s="60"/>
    </row>
    <row r="16" spans="1:11">
      <c r="F16" s="48"/>
      <c r="G16" s="48"/>
      <c r="H16" s="48"/>
      <c r="I16" s="48"/>
      <c r="J16" s="48"/>
    </row>
    <row r="17" spans="4:11" ht="18.75">
      <c r="D17" s="4">
        <v>42294</v>
      </c>
      <c r="E17" s="70"/>
      <c r="F17" s="1" t="s">
        <v>0</v>
      </c>
      <c r="G17" s="2" t="s">
        <v>1</v>
      </c>
      <c r="H17" s="2" t="s">
        <v>2</v>
      </c>
      <c r="I17" s="2" t="s">
        <v>3</v>
      </c>
      <c r="J17" s="3" t="s">
        <v>4</v>
      </c>
      <c r="K17" s="70"/>
    </row>
    <row r="18" spans="4:11">
      <c r="D18" s="435" t="s">
        <v>226</v>
      </c>
      <c r="E18" s="70">
        <f>0.0182-0.0007</f>
        <v>1.7500000000000002E-2</v>
      </c>
      <c r="F18" s="6">
        <v>20</v>
      </c>
      <c r="G18" s="7">
        <v>130</v>
      </c>
      <c r="H18" s="78">
        <v>21.009595454311103</v>
      </c>
      <c r="I18" s="77">
        <v>21.835026701392341</v>
      </c>
      <c r="J18" s="8">
        <f>I18-H18</f>
        <v>0.82543124708123727</v>
      </c>
      <c r="K18" s="70"/>
    </row>
    <row r="19" spans="4:11">
      <c r="D19" s="70"/>
      <c r="E19" s="70"/>
      <c r="F19" s="6">
        <v>20</v>
      </c>
      <c r="G19" s="7">
        <v>100</v>
      </c>
      <c r="H19" s="76">
        <v>20.67217726541622</v>
      </c>
      <c r="I19" s="75">
        <v>21.356792530822318</v>
      </c>
      <c r="J19" s="8">
        <f>I19-H19</f>
        <v>0.68461526540609796</v>
      </c>
      <c r="K19" s="70"/>
    </row>
    <row r="20" spans="4:11">
      <c r="D20" s="70"/>
      <c r="E20" s="70"/>
      <c r="F20" s="42">
        <v>20</v>
      </c>
      <c r="G20" s="13">
        <v>70</v>
      </c>
      <c r="H20" s="17">
        <v>21.34449907210465</v>
      </c>
      <c r="I20" s="17">
        <v>21.694210719717201</v>
      </c>
      <c r="J20" s="11">
        <f>I20-H20</f>
        <v>0.34971164761255125</v>
      </c>
      <c r="K20" s="70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workbookViewId="0">
      <selection activeCell="M26" sqref="M26:R57"/>
    </sheetView>
  </sheetViews>
  <sheetFormatPr defaultRowHeight="15"/>
  <cols>
    <col min="4" max="7" width="9.28515625" bestFit="1" customWidth="1"/>
    <col min="8" max="8" width="10.5703125" bestFit="1" customWidth="1"/>
    <col min="9" max="9" width="9.28515625" bestFit="1" customWidth="1"/>
    <col min="10" max="10" width="12.42578125" customWidth="1"/>
    <col min="13" max="13" width="14.85546875" customWidth="1"/>
    <col min="14" max="14" width="14.85546875" style="407" customWidth="1"/>
    <col min="16" max="16" width="9" style="407"/>
  </cols>
  <sheetData>
    <row r="1" spans="1:11">
      <c r="A1" s="510" t="s">
        <v>260</v>
      </c>
      <c r="B1" s="511"/>
      <c r="C1" s="511"/>
      <c r="D1" s="511"/>
      <c r="E1" s="511"/>
      <c r="F1" s="511"/>
      <c r="G1" s="511"/>
      <c r="H1" s="511"/>
      <c r="I1" s="511"/>
      <c r="J1" t="s">
        <v>228</v>
      </c>
    </row>
    <row r="2" spans="1:11">
      <c r="A2" s="435" t="s">
        <v>241</v>
      </c>
    </row>
    <row r="3" spans="1:11" ht="18.75">
      <c r="C3" s="537"/>
      <c r="D3" s="537"/>
      <c r="E3" s="495" t="s">
        <v>0</v>
      </c>
      <c r="F3" s="441" t="s">
        <v>1</v>
      </c>
      <c r="G3" s="441" t="s">
        <v>237</v>
      </c>
      <c r="H3" s="441" t="s">
        <v>136</v>
      </c>
      <c r="I3" s="442" t="s">
        <v>137</v>
      </c>
      <c r="J3" s="323"/>
    </row>
    <row r="4" spans="1:11">
      <c r="C4" s="537" t="s">
        <v>222</v>
      </c>
      <c r="D4" s="537">
        <f>0.0109-0.0005</f>
        <v>1.04E-2</v>
      </c>
      <c r="E4" s="330">
        <v>20</v>
      </c>
      <c r="F4" s="331">
        <v>130</v>
      </c>
      <c r="G4" s="473">
        <v>22.25850217</v>
      </c>
      <c r="H4" s="476">
        <v>23.963795869999998</v>
      </c>
      <c r="I4" s="332">
        <f t="shared" ref="I4" si="0">H4-G4</f>
        <v>1.7052936999999986</v>
      </c>
      <c r="J4" s="323"/>
      <c r="K4" s="434"/>
    </row>
    <row r="5" spans="1:11">
      <c r="C5" s="537" t="s">
        <v>238</v>
      </c>
      <c r="D5" s="537">
        <f>0.3*0.5</f>
        <v>0.15</v>
      </c>
      <c r="E5" s="330">
        <v>20</v>
      </c>
      <c r="F5" s="331">
        <v>100</v>
      </c>
      <c r="G5" s="476">
        <v>22.4824852634958</v>
      </c>
      <c r="H5" s="331">
        <v>23.75345819</v>
      </c>
      <c r="I5" s="332">
        <f>H5-G5</f>
        <v>1.2709729265042</v>
      </c>
      <c r="J5" s="325"/>
      <c r="K5" s="407"/>
    </row>
    <row r="6" spans="1:11">
      <c r="C6" s="537" t="s">
        <v>239</v>
      </c>
      <c r="D6" s="537" t="s">
        <v>28</v>
      </c>
      <c r="E6" s="333">
        <v>30</v>
      </c>
      <c r="F6" s="334">
        <v>130</v>
      </c>
      <c r="G6" s="334">
        <v>21.87162768</v>
      </c>
      <c r="H6" s="334">
        <v>23.592246240000001</v>
      </c>
      <c r="I6" s="336">
        <f>H6-G6</f>
        <v>1.7206185600000019</v>
      </c>
      <c r="J6" s="328"/>
      <c r="K6" s="434"/>
    </row>
    <row r="7" spans="1:11">
      <c r="C7" s="537"/>
      <c r="D7" s="537"/>
      <c r="E7" s="537"/>
      <c r="F7" s="537"/>
      <c r="G7" s="537"/>
      <c r="H7" s="537"/>
      <c r="I7" s="537"/>
    </row>
    <row r="8" spans="1:11">
      <c r="C8" s="537"/>
      <c r="D8" s="537"/>
      <c r="E8" s="537"/>
      <c r="F8" s="537"/>
      <c r="G8" s="537"/>
      <c r="H8" s="537"/>
      <c r="I8" s="537"/>
    </row>
    <row r="9" spans="1:11" ht="18.75">
      <c r="C9" s="537"/>
      <c r="D9" s="537"/>
      <c r="E9" s="495" t="s">
        <v>0</v>
      </c>
      <c r="F9" s="441" t="s">
        <v>1</v>
      </c>
      <c r="G9" s="441" t="s">
        <v>237</v>
      </c>
      <c r="H9" s="441" t="s">
        <v>136</v>
      </c>
      <c r="I9" s="442" t="s">
        <v>137</v>
      </c>
    </row>
    <row r="10" spans="1:11">
      <c r="C10" s="537" t="s">
        <v>222</v>
      </c>
      <c r="D10" s="537">
        <f>0.0185-0.0084</f>
        <v>1.01E-2</v>
      </c>
      <c r="E10" s="330">
        <v>20</v>
      </c>
      <c r="F10" s="331">
        <v>130</v>
      </c>
      <c r="G10" s="473">
        <v>22.222736309999998</v>
      </c>
      <c r="H10" s="476">
        <v>23.585540720000001</v>
      </c>
      <c r="I10" s="332">
        <f t="shared" ref="I10" si="1">H10-G10</f>
        <v>1.3628044100000025</v>
      </c>
      <c r="J10" s="327"/>
      <c r="K10" s="327"/>
    </row>
    <row r="11" spans="1:11">
      <c r="C11" s="537" t="s">
        <v>238</v>
      </c>
      <c r="D11" s="537">
        <f>0.3*0.8</f>
        <v>0.24</v>
      </c>
      <c r="E11" s="330">
        <v>20</v>
      </c>
      <c r="F11" s="331">
        <v>100</v>
      </c>
      <c r="G11" s="331">
        <v>22.21025659</v>
      </c>
      <c r="H11" s="476">
        <v>23.244024710000001</v>
      </c>
      <c r="I11" s="332">
        <f>H11-G11</f>
        <v>1.0337681200000013</v>
      </c>
      <c r="J11" s="327"/>
      <c r="K11" s="327"/>
    </row>
    <row r="12" spans="1:11">
      <c r="C12" s="537" t="s">
        <v>239</v>
      </c>
      <c r="D12" s="537" t="s">
        <v>51</v>
      </c>
      <c r="E12" s="333">
        <v>30</v>
      </c>
      <c r="F12" s="334">
        <v>130</v>
      </c>
      <c r="G12" s="334">
        <v>22.252610789999999</v>
      </c>
      <c r="H12" s="334">
        <v>24.35587963</v>
      </c>
      <c r="I12" s="336">
        <f>H12-G12</f>
        <v>2.1032688400000019</v>
      </c>
      <c r="J12" s="327"/>
      <c r="K12" s="327"/>
    </row>
    <row r="15" spans="1:11" ht="18.75">
      <c r="D15" s="262"/>
      <c r="E15" s="263" t="s">
        <v>0</v>
      </c>
      <c r="F15" s="264" t="s">
        <v>1</v>
      </c>
      <c r="G15" s="264" t="s">
        <v>43</v>
      </c>
      <c r="H15" s="264" t="s">
        <v>44</v>
      </c>
      <c r="I15" s="265" t="s">
        <v>45</v>
      </c>
    </row>
    <row r="16" spans="1:11">
      <c r="C16" s="537" t="s">
        <v>222</v>
      </c>
      <c r="D16" s="287">
        <f>0.0178-0.0014</f>
        <v>1.6400000000000001E-2</v>
      </c>
      <c r="E16" s="330">
        <v>15</v>
      </c>
      <c r="F16" s="331">
        <v>133</v>
      </c>
      <c r="G16" s="335">
        <v>22.548978630000001</v>
      </c>
      <c r="H16" s="335">
        <v>25.454203249999999</v>
      </c>
      <c r="I16" s="332">
        <f t="shared" ref="I16" si="2">H16-G16</f>
        <v>2.9052246199999985</v>
      </c>
      <c r="J16" s="287"/>
      <c r="K16" s="287"/>
    </row>
    <row r="17" spans="1:18">
      <c r="C17" s="537" t="s">
        <v>238</v>
      </c>
      <c r="D17" s="287">
        <f>0.3*1.1</f>
        <v>0.33</v>
      </c>
      <c r="E17" s="330">
        <v>20</v>
      </c>
      <c r="F17" s="331">
        <v>100</v>
      </c>
      <c r="G17" s="339">
        <v>22.251493199999999</v>
      </c>
      <c r="H17" s="339">
        <v>24.461095029999999</v>
      </c>
      <c r="I17" s="332">
        <f>H17-G17</f>
        <v>2.2096018300000004</v>
      </c>
      <c r="J17" s="287"/>
      <c r="K17" s="287"/>
    </row>
    <row r="18" spans="1:18">
      <c r="C18" s="537" t="s">
        <v>239</v>
      </c>
      <c r="D18" t="s">
        <v>261</v>
      </c>
      <c r="E18" s="333">
        <v>30</v>
      </c>
      <c r="F18" s="334">
        <v>130</v>
      </c>
      <c r="G18" s="335"/>
      <c r="H18" s="335"/>
      <c r="I18" s="336">
        <f>H18-G18</f>
        <v>0</v>
      </c>
      <c r="J18" s="287"/>
      <c r="K18" s="287"/>
    </row>
    <row r="20" spans="1:18">
      <c r="A20" s="510" t="s">
        <v>262</v>
      </c>
      <c r="B20" s="511"/>
      <c r="C20" s="511"/>
      <c r="D20" s="511"/>
      <c r="E20" s="511"/>
      <c r="F20" s="511"/>
      <c r="G20" s="511"/>
      <c r="H20" s="511"/>
      <c r="I20" s="511"/>
      <c r="J20" s="435" t="s">
        <v>228</v>
      </c>
    </row>
    <row r="21" spans="1:18">
      <c r="A21" s="435" t="s">
        <v>241</v>
      </c>
      <c r="J21" s="346"/>
      <c r="K21" s="346"/>
    </row>
    <row r="22" spans="1:18" ht="18.75">
      <c r="B22" s="537"/>
      <c r="C22" s="537"/>
      <c r="D22" s="537"/>
      <c r="E22" s="495" t="s">
        <v>0</v>
      </c>
      <c r="F22" s="441" t="s">
        <v>1</v>
      </c>
      <c r="G22" s="441" t="s">
        <v>237</v>
      </c>
      <c r="H22" s="441" t="s">
        <v>136</v>
      </c>
      <c r="I22" s="442" t="s">
        <v>137</v>
      </c>
      <c r="J22" s="346"/>
      <c r="K22" s="346"/>
    </row>
    <row r="23" spans="1:18">
      <c r="B23" s="537"/>
      <c r="C23" s="537" t="s">
        <v>222</v>
      </c>
      <c r="D23" s="537">
        <f>0.0185-0.0094</f>
        <v>9.0999999999999987E-3</v>
      </c>
      <c r="E23" s="330">
        <v>20</v>
      </c>
      <c r="F23" s="331">
        <v>130</v>
      </c>
      <c r="G23" s="473">
        <v>23.233593899999999</v>
      </c>
      <c r="H23" s="476">
        <v>24.598140690000001</v>
      </c>
      <c r="I23" s="332">
        <f t="shared" ref="I23" si="3">H23-G23</f>
        <v>1.3645467900000021</v>
      </c>
      <c r="J23" s="346"/>
      <c r="K23" s="347"/>
      <c r="L23" s="347"/>
    </row>
    <row r="24" spans="1:18">
      <c r="B24" s="537"/>
      <c r="C24" s="537" t="s">
        <v>238</v>
      </c>
      <c r="D24" s="537">
        <f>0.3*1</f>
        <v>0.3</v>
      </c>
      <c r="E24" s="330">
        <v>20</v>
      </c>
      <c r="F24" s="331">
        <v>100</v>
      </c>
      <c r="G24" s="331">
        <v>22.835174070000001</v>
      </c>
      <c r="H24" s="476">
        <v>23.732503430000001</v>
      </c>
      <c r="I24" s="332">
        <f>H24-G24</f>
        <v>0.89732936000000052</v>
      </c>
      <c r="J24" s="346"/>
      <c r="K24" s="347"/>
      <c r="L24" s="347"/>
    </row>
    <row r="25" spans="1:18">
      <c r="B25" s="537"/>
      <c r="C25" s="537" t="s">
        <v>239</v>
      </c>
      <c r="D25" s="537" t="s">
        <v>23</v>
      </c>
      <c r="E25" s="333">
        <v>30</v>
      </c>
      <c r="F25" s="334">
        <v>130</v>
      </c>
      <c r="G25" s="334">
        <v>23.41389796</v>
      </c>
      <c r="H25" s="334">
        <v>24.899165150000002</v>
      </c>
      <c r="I25" s="336">
        <f>H25-G25</f>
        <v>1.4852671900000018</v>
      </c>
      <c r="J25" s="346"/>
      <c r="K25" s="346"/>
    </row>
    <row r="26" spans="1:18">
      <c r="B26" s="537"/>
      <c r="C26" s="537" t="s">
        <v>222</v>
      </c>
      <c r="D26" s="537">
        <f>0.0096</f>
        <v>9.5999999999999992E-3</v>
      </c>
      <c r="E26" s="330">
        <v>20</v>
      </c>
      <c r="F26" s="331">
        <v>130</v>
      </c>
      <c r="G26" s="473">
        <v>23.217482010000001</v>
      </c>
      <c r="H26" s="476">
        <v>24.79255276</v>
      </c>
      <c r="I26" s="332">
        <f t="shared" ref="I26" si="4">H26-G26</f>
        <v>1.5750707499999983</v>
      </c>
      <c r="J26" s="346"/>
      <c r="K26" s="346"/>
    </row>
    <row r="27" spans="1:18">
      <c r="B27" s="537"/>
      <c r="C27" s="537" t="s">
        <v>238</v>
      </c>
      <c r="D27" s="537">
        <f>0.3*1</f>
        <v>0.3</v>
      </c>
      <c r="E27" s="330">
        <v>20</v>
      </c>
      <c r="F27" s="331">
        <v>100</v>
      </c>
      <c r="G27" s="331">
        <v>22.554473430000002</v>
      </c>
      <c r="H27" s="476">
        <v>23.76090877</v>
      </c>
      <c r="I27" s="332">
        <f>H27-G27</f>
        <v>1.2064353399999987</v>
      </c>
      <c r="J27" s="346"/>
      <c r="K27" s="346"/>
    </row>
    <row r="28" spans="1:18">
      <c r="B28" s="537"/>
      <c r="C28" s="537" t="s">
        <v>239</v>
      </c>
      <c r="D28" s="537" t="s">
        <v>23</v>
      </c>
      <c r="E28" s="333">
        <v>30</v>
      </c>
      <c r="F28" s="334">
        <v>130</v>
      </c>
      <c r="G28" s="334">
        <v>23.56924257</v>
      </c>
      <c r="H28" s="334">
        <v>25.929132760000002</v>
      </c>
      <c r="I28" s="336">
        <f>H28-G28</f>
        <v>2.3598901900000016</v>
      </c>
      <c r="J28" s="348"/>
      <c r="K28" s="348"/>
      <c r="L28" s="348"/>
    </row>
    <row r="29" spans="1:18" ht="18.75">
      <c r="B29" s="537"/>
      <c r="C29" s="537"/>
      <c r="D29" s="537"/>
      <c r="E29" s="495" t="s">
        <v>0</v>
      </c>
      <c r="F29" s="441" t="s">
        <v>1</v>
      </c>
      <c r="G29" s="441" t="s">
        <v>237</v>
      </c>
      <c r="H29" s="441" t="s">
        <v>136</v>
      </c>
      <c r="I29" s="442" t="s">
        <v>137</v>
      </c>
      <c r="J29" s="348"/>
      <c r="K29" s="349"/>
      <c r="L29" s="348"/>
    </row>
    <row r="30" spans="1:18">
      <c r="B30" s="537"/>
      <c r="C30" s="537" t="s">
        <v>222</v>
      </c>
      <c r="D30" s="537">
        <f>0.0187</f>
        <v>1.8700000000000001E-2</v>
      </c>
      <c r="E30" s="330">
        <v>20</v>
      </c>
      <c r="F30" s="331">
        <v>130</v>
      </c>
      <c r="G30" s="473">
        <v>23.369801364529199</v>
      </c>
      <c r="H30" s="473">
        <v>26.974903164798214</v>
      </c>
      <c r="I30" s="332">
        <f t="shared" ref="I30" si="5">H30-G30</f>
        <v>3.6051018002690149</v>
      </c>
      <c r="J30" s="348"/>
      <c r="K30" s="349"/>
      <c r="L30" s="348"/>
      <c r="O30" s="380"/>
      <c r="Q30" s="380"/>
      <c r="R30" s="354"/>
    </row>
    <row r="31" spans="1:18">
      <c r="B31" s="537"/>
      <c r="C31" s="537" t="s">
        <v>238</v>
      </c>
      <c r="D31" s="537">
        <f>0.3*1</f>
        <v>0.3</v>
      </c>
      <c r="E31" s="330">
        <v>20</v>
      </c>
      <c r="F31" s="331">
        <v>100</v>
      </c>
      <c r="G31" s="331">
        <v>23.220369113705704</v>
      </c>
      <c r="H31" s="331">
        <v>26.296434628750966</v>
      </c>
      <c r="I31" s="332">
        <f>H31-G31</f>
        <v>3.0760655150452614</v>
      </c>
      <c r="J31" s="348"/>
      <c r="K31" s="349"/>
      <c r="L31" s="348"/>
      <c r="O31" s="380"/>
      <c r="Q31" s="380"/>
      <c r="R31" s="354"/>
    </row>
    <row r="32" spans="1:18">
      <c r="B32" s="537"/>
      <c r="C32" s="537" t="s">
        <v>239</v>
      </c>
      <c r="D32" s="537">
        <f>D31/D30</f>
        <v>16.042780748663098</v>
      </c>
      <c r="E32" s="333">
        <v>30</v>
      </c>
      <c r="F32" s="334">
        <v>130</v>
      </c>
      <c r="G32" s="334">
        <v>23.369149438688101</v>
      </c>
      <c r="H32" s="334">
        <v>27.7106449729589</v>
      </c>
      <c r="I32" s="336">
        <f>H32-G32</f>
        <v>4.3414955342707984</v>
      </c>
      <c r="J32" s="348"/>
      <c r="K32" s="348"/>
    </row>
    <row r="33" spans="2:19" ht="18.75">
      <c r="B33" s="537"/>
      <c r="C33" s="537"/>
      <c r="D33" s="537"/>
      <c r="E33" s="495" t="s">
        <v>0</v>
      </c>
      <c r="F33" s="441" t="s">
        <v>1</v>
      </c>
      <c r="G33" s="441" t="s">
        <v>237</v>
      </c>
      <c r="H33" s="441" t="s">
        <v>136</v>
      </c>
      <c r="I33" s="442" t="s">
        <v>137</v>
      </c>
      <c r="J33" s="354"/>
      <c r="K33" s="354"/>
      <c r="L33" s="348"/>
    </row>
    <row r="34" spans="2:19">
      <c r="B34" s="537"/>
      <c r="C34" s="537" t="s">
        <v>222</v>
      </c>
      <c r="D34" s="537">
        <f>0.0154-0.0019</f>
        <v>1.35E-2</v>
      </c>
      <c r="E34" s="330">
        <v>15</v>
      </c>
      <c r="F34" s="331">
        <v>133</v>
      </c>
      <c r="G34" s="473">
        <v>23.269242569999999</v>
      </c>
      <c r="H34" s="476">
        <v>25.75593387</v>
      </c>
      <c r="I34" s="332">
        <f t="shared" ref="I34" si="6">H34-G34</f>
        <v>2.4866913000000004</v>
      </c>
      <c r="J34" s="354"/>
      <c r="K34" s="354"/>
    </row>
    <row r="35" spans="2:19">
      <c r="B35" s="537"/>
      <c r="C35" s="537" t="s">
        <v>238</v>
      </c>
      <c r="D35" s="537">
        <f>0.3*0.8</f>
        <v>0.24</v>
      </c>
      <c r="E35" s="330">
        <v>20</v>
      </c>
      <c r="F35" s="331">
        <v>100</v>
      </c>
      <c r="G35" s="331">
        <v>23.111335279999999</v>
      </c>
      <c r="H35" s="476">
        <v>24.912089550000001</v>
      </c>
      <c r="I35" s="332">
        <f>H35-G35</f>
        <v>1.8007542700000023</v>
      </c>
      <c r="J35" s="354"/>
      <c r="K35" s="354"/>
      <c r="L35" s="348"/>
      <c r="O35" s="356"/>
      <c r="Q35" s="356"/>
      <c r="R35" s="355"/>
    </row>
    <row r="36" spans="2:19">
      <c r="B36" s="537"/>
      <c r="C36" s="537" t="s">
        <v>239</v>
      </c>
      <c r="D36" s="537" t="s">
        <v>51</v>
      </c>
      <c r="E36" s="333">
        <v>30</v>
      </c>
      <c r="F36" s="334">
        <v>130</v>
      </c>
      <c r="G36" s="334">
        <v>23.265237880000001</v>
      </c>
      <c r="H36" s="334">
        <v>25.389299269999999</v>
      </c>
      <c r="I36" s="336">
        <f>H36-G36</f>
        <v>2.1240613899999978</v>
      </c>
      <c r="J36" s="354"/>
      <c r="K36" s="354"/>
      <c r="O36" s="356"/>
      <c r="Q36" s="356"/>
      <c r="R36" s="355"/>
    </row>
    <row r="37" spans="2:19" ht="18.75">
      <c r="C37" s="537"/>
      <c r="D37" s="537"/>
      <c r="E37" s="495" t="s">
        <v>0</v>
      </c>
      <c r="F37" s="441" t="s">
        <v>1</v>
      </c>
      <c r="G37" s="441" t="s">
        <v>237</v>
      </c>
      <c r="H37" s="441" t="s">
        <v>136</v>
      </c>
      <c r="I37" s="442" t="s">
        <v>137</v>
      </c>
      <c r="J37" s="355"/>
      <c r="K37" s="355"/>
    </row>
    <row r="38" spans="2:19">
      <c r="C38" s="537" t="s">
        <v>222</v>
      </c>
      <c r="D38" s="537">
        <f>0.0176-0.0003</f>
        <v>1.7299999999999999E-2</v>
      </c>
      <c r="E38" s="330">
        <v>15</v>
      </c>
      <c r="F38" s="331">
        <v>133</v>
      </c>
      <c r="G38" s="473">
        <v>22.28798007</v>
      </c>
      <c r="H38" s="476">
        <v>25.26347758</v>
      </c>
      <c r="I38" s="332">
        <f t="shared" ref="I38" si="7">H38-G38</f>
        <v>2.9754975100000003</v>
      </c>
      <c r="J38" s="355"/>
      <c r="K38" s="355"/>
    </row>
    <row r="39" spans="2:19">
      <c r="C39" s="537" t="s">
        <v>238</v>
      </c>
      <c r="D39" s="537">
        <f>0.3*0.8</f>
        <v>0.24</v>
      </c>
      <c r="E39" s="330">
        <v>20</v>
      </c>
      <c r="F39" s="331">
        <v>100</v>
      </c>
      <c r="G39" s="473">
        <v>22.280078790000001</v>
      </c>
      <c r="H39" s="476">
        <v>24.38379832</v>
      </c>
      <c r="I39" s="332">
        <f>H39-G39</f>
        <v>2.1037195299999993</v>
      </c>
      <c r="J39" s="355"/>
      <c r="K39" s="355"/>
    </row>
    <row r="40" spans="2:19">
      <c r="C40" s="537" t="s">
        <v>239</v>
      </c>
      <c r="D40" s="537" t="s">
        <v>51</v>
      </c>
      <c r="E40" s="333">
        <v>30</v>
      </c>
      <c r="F40" s="334">
        <v>130</v>
      </c>
      <c r="G40" s="334">
        <v>23.2298686</v>
      </c>
      <c r="H40" s="334">
        <v>25.812630429999999</v>
      </c>
      <c r="I40" s="336">
        <f>H40-G40</f>
        <v>2.582761829999999</v>
      </c>
      <c r="J40" s="355"/>
      <c r="K40" s="355"/>
    </row>
    <row r="42" spans="2:19" ht="18.75">
      <c r="C42" s="537"/>
      <c r="D42" s="537"/>
      <c r="E42" s="495" t="s">
        <v>0</v>
      </c>
      <c r="F42" s="441" t="s">
        <v>1</v>
      </c>
      <c r="G42" s="441" t="s">
        <v>237</v>
      </c>
      <c r="H42" s="441" t="s">
        <v>136</v>
      </c>
      <c r="I42" s="442" t="s">
        <v>137</v>
      </c>
      <c r="J42" s="357"/>
      <c r="K42" s="357"/>
    </row>
    <row r="43" spans="2:19">
      <c r="C43" s="537" t="s">
        <v>222</v>
      </c>
      <c r="D43" s="537">
        <f>0.012-0.0003</f>
        <v>1.17E-2</v>
      </c>
      <c r="E43" s="330">
        <v>20</v>
      </c>
      <c r="F43" s="331">
        <v>130</v>
      </c>
      <c r="G43" s="473">
        <v>22.82428067</v>
      </c>
      <c r="H43" s="476">
        <v>24.637607790000001</v>
      </c>
      <c r="I43" s="332">
        <f t="shared" ref="I43" si="8">H43-G43</f>
        <v>1.8133271200000003</v>
      </c>
      <c r="J43" s="357"/>
      <c r="K43" s="407"/>
      <c r="O43" s="358"/>
      <c r="Q43" s="358"/>
      <c r="R43" s="358"/>
      <c r="S43" s="358"/>
    </row>
    <row r="44" spans="2:19">
      <c r="C44" s="537" t="s">
        <v>238</v>
      </c>
      <c r="D44" s="537">
        <f>0.3*0.5</f>
        <v>0.15</v>
      </c>
      <c r="E44" s="330">
        <v>20</v>
      </c>
      <c r="F44" s="331">
        <v>100</v>
      </c>
      <c r="G44" s="331">
        <v>22.860971710000001</v>
      </c>
      <c r="H44" s="476">
        <v>24.255879629999999</v>
      </c>
      <c r="I44" s="332">
        <f>H44-G44</f>
        <v>1.3949079199999979</v>
      </c>
      <c r="J44" s="357"/>
      <c r="K44" s="407"/>
      <c r="O44" s="358"/>
      <c r="Q44" s="358"/>
      <c r="R44" s="358"/>
    </row>
    <row r="45" spans="2:19">
      <c r="C45" s="537" t="s">
        <v>239</v>
      </c>
      <c r="D45" s="537" t="s">
        <v>28</v>
      </c>
      <c r="E45" s="333">
        <v>30</v>
      </c>
      <c r="F45" s="334">
        <v>130</v>
      </c>
      <c r="G45" s="334">
        <v>23.036480999999998</v>
      </c>
      <c r="H45" s="334">
        <v>24.968134190000001</v>
      </c>
      <c r="I45" s="336">
        <f>H45-G45</f>
        <v>1.9316531900000022</v>
      </c>
      <c r="J45" s="357"/>
      <c r="K45" s="357"/>
      <c r="O45" s="358"/>
      <c r="Q45" s="358"/>
      <c r="R45" s="358"/>
    </row>
    <row r="46" spans="2:19" ht="18.75">
      <c r="C46" s="287"/>
      <c r="D46" s="287"/>
      <c r="E46" s="495" t="s">
        <v>0</v>
      </c>
      <c r="F46" s="441" t="s">
        <v>1</v>
      </c>
      <c r="G46" s="441" t="s">
        <v>237</v>
      </c>
      <c r="H46" s="441" t="s">
        <v>136</v>
      </c>
      <c r="I46" s="442" t="s">
        <v>137</v>
      </c>
      <c r="J46" s="358"/>
      <c r="K46" s="358"/>
    </row>
    <row r="47" spans="2:19">
      <c r="C47" s="537" t="s">
        <v>222</v>
      </c>
      <c r="D47" s="287">
        <f>0.0107-0.0009</f>
        <v>9.7999999999999997E-3</v>
      </c>
      <c r="E47" s="330">
        <v>20</v>
      </c>
      <c r="F47" s="331">
        <v>130</v>
      </c>
      <c r="G47" s="337">
        <v>23.222697419999999</v>
      </c>
      <c r="H47" s="329">
        <v>24.88640603</v>
      </c>
      <c r="I47" s="332">
        <f t="shared" ref="I47" si="9">H47-G47</f>
        <v>1.6637086100000005</v>
      </c>
      <c r="J47" s="358"/>
      <c r="K47" s="407"/>
    </row>
    <row r="48" spans="2:19">
      <c r="C48" s="537" t="s">
        <v>238</v>
      </c>
      <c r="D48" s="287">
        <f>0.3*0.5</f>
        <v>0.15</v>
      </c>
      <c r="E48" s="330">
        <v>20</v>
      </c>
      <c r="F48" s="331">
        <v>100</v>
      </c>
      <c r="G48" s="339">
        <v>22.395896310000001</v>
      </c>
      <c r="H48" s="329">
        <v>23.750384820000001</v>
      </c>
      <c r="I48" s="332">
        <f>H48-G48</f>
        <v>1.3544885099999995</v>
      </c>
      <c r="J48" s="358"/>
      <c r="K48" s="407"/>
    </row>
    <row r="49" spans="3:17">
      <c r="C49" s="537" t="s">
        <v>239</v>
      </c>
      <c r="D49" s="537" t="s">
        <v>28</v>
      </c>
      <c r="E49" s="333">
        <v>30</v>
      </c>
      <c r="F49" s="334">
        <v>130</v>
      </c>
      <c r="G49" s="335">
        <v>23.227074640000001</v>
      </c>
      <c r="H49" s="335">
        <v>24.926152519999999</v>
      </c>
      <c r="I49" s="336">
        <f>H49-G49</f>
        <v>1.6990778799999973</v>
      </c>
      <c r="J49" s="358"/>
      <c r="K49" s="358"/>
    </row>
    <row r="51" spans="3:17" ht="18.75">
      <c r="C51" s="537"/>
      <c r="D51" s="537"/>
      <c r="E51" s="495" t="s">
        <v>0</v>
      </c>
      <c r="F51" s="441" t="s">
        <v>1</v>
      </c>
      <c r="G51" s="441" t="s">
        <v>237</v>
      </c>
      <c r="H51" s="441" t="s">
        <v>136</v>
      </c>
      <c r="I51" s="442" t="s">
        <v>137</v>
      </c>
      <c r="J51" s="359"/>
      <c r="N51" s="360"/>
      <c r="O51" s="360"/>
      <c r="Q51" s="360"/>
    </row>
    <row r="52" spans="3:17">
      <c r="C52" s="537" t="s">
        <v>222</v>
      </c>
      <c r="D52" s="537">
        <f>0.0091-0.0003</f>
        <v>8.8000000000000005E-3</v>
      </c>
      <c r="E52" s="330">
        <v>20</v>
      </c>
      <c r="F52" s="331">
        <v>130</v>
      </c>
      <c r="G52" s="473">
        <v>23.226608980000002</v>
      </c>
      <c r="H52" s="476">
        <v>24.425966259999999</v>
      </c>
      <c r="I52" s="332">
        <f t="shared" ref="I52" si="10">H52-G52</f>
        <v>1.1993572799999974</v>
      </c>
      <c r="J52" s="359"/>
      <c r="K52" s="359"/>
      <c r="L52" s="360"/>
      <c r="N52" s="360"/>
      <c r="O52" s="360"/>
      <c r="Q52" s="360"/>
    </row>
    <row r="53" spans="3:17">
      <c r="C53" s="537" t="s">
        <v>238</v>
      </c>
      <c r="D53" s="537">
        <f>0.3*0.25</f>
        <v>7.4999999999999997E-2</v>
      </c>
      <c r="E53" s="330">
        <v>20</v>
      </c>
      <c r="F53" s="331">
        <v>100</v>
      </c>
      <c r="G53" s="331">
        <v>23.027702510000001</v>
      </c>
      <c r="H53" s="476">
        <v>23.763888999999999</v>
      </c>
      <c r="I53" s="332">
        <f>H53-G53</f>
        <v>0.73618648999999792</v>
      </c>
      <c r="J53" s="359"/>
      <c r="K53" s="359"/>
      <c r="L53" s="360"/>
      <c r="O53" s="407"/>
      <c r="Q53" s="362"/>
    </row>
    <row r="54" spans="3:17">
      <c r="C54" s="537" t="s">
        <v>239</v>
      </c>
      <c r="D54" s="537" t="s">
        <v>29</v>
      </c>
      <c r="E54" s="333">
        <v>30</v>
      </c>
      <c r="F54" s="334">
        <v>130</v>
      </c>
      <c r="G54" s="334">
        <v>23.26942884</v>
      </c>
      <c r="H54" s="334">
        <v>24.766271549999999</v>
      </c>
      <c r="I54" s="336">
        <f>H54-G54</f>
        <v>1.4968427099999992</v>
      </c>
      <c r="J54" s="359"/>
      <c r="K54" s="359"/>
      <c r="L54" s="360"/>
      <c r="O54" s="407"/>
      <c r="Q54" s="362"/>
    </row>
    <row r="55" spans="3:17" ht="18.75">
      <c r="C55" s="537"/>
      <c r="D55" s="537"/>
      <c r="E55" s="495" t="s">
        <v>0</v>
      </c>
      <c r="F55" s="441" t="s">
        <v>1</v>
      </c>
      <c r="G55" s="441" t="s">
        <v>237</v>
      </c>
      <c r="H55" s="441" t="s">
        <v>136</v>
      </c>
      <c r="I55" s="442" t="s">
        <v>137</v>
      </c>
      <c r="J55" s="359"/>
    </row>
    <row r="56" spans="3:17">
      <c r="C56" s="537" t="s">
        <v>222</v>
      </c>
      <c r="D56" s="537">
        <f>0.0061</f>
        <v>6.1000000000000004E-3</v>
      </c>
      <c r="E56" s="330">
        <v>20</v>
      </c>
      <c r="F56" s="331">
        <v>130</v>
      </c>
      <c r="G56" s="473">
        <v>23.236760390000001</v>
      </c>
      <c r="H56" s="476">
        <v>24.137836020000002</v>
      </c>
      <c r="I56" s="332">
        <f t="shared" ref="I56" si="11">H56-G56</f>
        <v>0.90107563000000113</v>
      </c>
      <c r="J56" s="359"/>
      <c r="K56" s="407"/>
    </row>
    <row r="57" spans="3:17">
      <c r="C57" s="537" t="s">
        <v>238</v>
      </c>
      <c r="D57" s="537">
        <f>0.3*0.25</f>
        <v>7.4999999999999997E-2</v>
      </c>
      <c r="E57" s="330">
        <v>20</v>
      </c>
      <c r="F57" s="331">
        <v>100</v>
      </c>
      <c r="G57" s="331">
        <v>23.228751020000001</v>
      </c>
      <c r="H57" s="331">
        <v>23.761746958598302</v>
      </c>
      <c r="I57" s="332">
        <f>H57-G57</f>
        <v>0.53299593859830097</v>
      </c>
      <c r="J57" s="359"/>
      <c r="K57" s="407"/>
    </row>
    <row r="58" spans="3:17">
      <c r="C58" s="537" t="s">
        <v>239</v>
      </c>
      <c r="D58" s="537" t="s">
        <v>29</v>
      </c>
      <c r="E58" s="333">
        <v>30</v>
      </c>
      <c r="F58" s="334">
        <v>130</v>
      </c>
      <c r="G58" s="334">
        <v>23.567007400000001</v>
      </c>
      <c r="H58" s="334">
        <v>24.594787929999999</v>
      </c>
      <c r="I58" s="336">
        <f>H58-G58</f>
        <v>1.0277805299999976</v>
      </c>
      <c r="J58" s="359"/>
      <c r="K58" s="361"/>
    </row>
    <row r="59" spans="3:17">
      <c r="D59" s="539"/>
    </row>
    <row r="60" spans="3:17" ht="18.75">
      <c r="C60" s="287"/>
      <c r="D60" s="537"/>
      <c r="E60" s="495" t="s">
        <v>0</v>
      </c>
      <c r="F60" s="441" t="s">
        <v>1</v>
      </c>
      <c r="G60" s="441" t="s">
        <v>237</v>
      </c>
      <c r="H60" s="441" t="s">
        <v>136</v>
      </c>
      <c r="I60" s="442" t="s">
        <v>137</v>
      </c>
    </row>
    <row r="61" spans="3:17">
      <c r="C61" s="537" t="s">
        <v>222</v>
      </c>
      <c r="D61" s="476">
        <f>0.0081-0.002</f>
        <v>6.0999999999999995E-3</v>
      </c>
      <c r="E61" s="330">
        <v>20</v>
      </c>
      <c r="F61" s="331">
        <v>130</v>
      </c>
      <c r="G61" s="329">
        <v>23.224280669999999</v>
      </c>
      <c r="H61" s="329">
        <v>24.150477949999999</v>
      </c>
      <c r="I61" s="332">
        <f t="shared" ref="I61" si="12">H61-G61</f>
        <v>0.92619728000000023</v>
      </c>
    </row>
    <row r="62" spans="3:17">
      <c r="C62" s="537" t="s">
        <v>238</v>
      </c>
      <c r="D62" s="476">
        <f>0.3*0.35</f>
        <v>0.105</v>
      </c>
      <c r="E62" s="330">
        <v>20</v>
      </c>
      <c r="F62" s="331">
        <v>100</v>
      </c>
      <c r="G62" s="287">
        <v>23.228751020000001</v>
      </c>
      <c r="H62" s="287">
        <v>23.78544758</v>
      </c>
      <c r="I62" s="332">
        <f>H62-G62</f>
        <v>0.5566965599999989</v>
      </c>
      <c r="J62" s="350"/>
      <c r="K62" s="350"/>
    </row>
    <row r="63" spans="3:17">
      <c r="C63" s="537" t="s">
        <v>239</v>
      </c>
      <c r="D63" s="537" t="s">
        <v>55</v>
      </c>
      <c r="E63" s="333">
        <v>30</v>
      </c>
      <c r="F63" s="334">
        <v>130</v>
      </c>
      <c r="G63" s="335">
        <v>23.574551110000002</v>
      </c>
      <c r="H63" s="335">
        <v>24.620596979999998</v>
      </c>
      <c r="I63" s="336">
        <f>H63-G63</f>
        <v>1.0460458699999968</v>
      </c>
      <c r="J63" s="351"/>
      <c r="K63" s="350"/>
    </row>
    <row r="64" spans="3:17" ht="18.75">
      <c r="C64" s="287"/>
      <c r="D64" s="537"/>
      <c r="E64" s="495" t="s">
        <v>0</v>
      </c>
      <c r="F64" s="441" t="s">
        <v>1</v>
      </c>
      <c r="G64" s="441" t="s">
        <v>237</v>
      </c>
      <c r="H64" s="441" t="s">
        <v>136</v>
      </c>
      <c r="I64" s="442" t="s">
        <v>137</v>
      </c>
      <c r="J64" s="351"/>
      <c r="K64" s="350"/>
      <c r="M64" s="363"/>
    </row>
    <row r="65" spans="1:18">
      <c r="C65" s="537" t="s">
        <v>222</v>
      </c>
      <c r="D65" s="476">
        <f>0.0087</f>
        <v>8.6999999999999994E-3</v>
      </c>
      <c r="E65" s="330">
        <v>15</v>
      </c>
      <c r="F65" s="331">
        <v>133</v>
      </c>
      <c r="G65" s="287">
        <v>23.573619789999999</v>
      </c>
      <c r="H65" s="287">
        <v>24.7955006</v>
      </c>
      <c r="I65" s="332">
        <f t="shared" ref="I65" si="13">H65-G65</f>
        <v>1.2218808100000018</v>
      </c>
      <c r="J65" s="351"/>
      <c r="K65" s="350"/>
      <c r="L65" s="364"/>
      <c r="M65" s="364"/>
    </row>
    <row r="66" spans="1:18">
      <c r="C66" s="537" t="s">
        <v>238</v>
      </c>
      <c r="D66" s="476">
        <f>0.3*0.4</f>
        <v>0.12</v>
      </c>
      <c r="E66" s="330">
        <v>20</v>
      </c>
      <c r="F66" s="331">
        <v>100</v>
      </c>
      <c r="G66" s="287">
        <v>23.236667260000001</v>
      </c>
      <c r="H66" s="287">
        <v>24.09227336</v>
      </c>
      <c r="I66" s="332">
        <f>H66-G66</f>
        <v>0.85560609999999926</v>
      </c>
      <c r="J66" s="350"/>
      <c r="K66" s="350"/>
    </row>
    <row r="67" spans="1:18">
      <c r="C67" s="537" t="s">
        <v>239</v>
      </c>
      <c r="D67" s="537" t="s">
        <v>57</v>
      </c>
      <c r="E67" s="333">
        <v>30</v>
      </c>
      <c r="F67" s="334">
        <v>130</v>
      </c>
      <c r="G67" s="335">
        <v>23.374457979999999</v>
      </c>
      <c r="H67" s="515">
        <v>24.950741900000001</v>
      </c>
      <c r="I67" s="336">
        <f>H67-G67</f>
        <v>1.5762839200000016</v>
      </c>
      <c r="J67" s="351"/>
      <c r="K67" s="350"/>
      <c r="M67" s="365"/>
      <c r="N67" s="365"/>
    </row>
    <row r="68" spans="1:18">
      <c r="J68" s="351"/>
      <c r="K68" s="350"/>
      <c r="M68" s="365"/>
      <c r="N68" s="365"/>
    </row>
    <row r="69" spans="1:18">
      <c r="J69" s="351"/>
      <c r="K69" s="350"/>
      <c r="M69" s="365"/>
      <c r="N69" s="365"/>
    </row>
    <row r="71" spans="1:18">
      <c r="A71" s="510" t="s">
        <v>263</v>
      </c>
      <c r="B71" s="511"/>
      <c r="C71" s="511"/>
      <c r="D71" s="511"/>
      <c r="E71" s="511"/>
      <c r="F71" s="511"/>
      <c r="G71" s="511"/>
      <c r="H71" s="511"/>
      <c r="I71" s="511"/>
    </row>
    <row r="72" spans="1:18">
      <c r="A72" s="435" t="s">
        <v>241</v>
      </c>
      <c r="J72" s="289"/>
      <c r="K72" s="379"/>
    </row>
    <row r="73" spans="1:18" ht="18.75">
      <c r="C73" s="537"/>
      <c r="D73" s="537"/>
      <c r="E73" s="495" t="s">
        <v>0</v>
      </c>
      <c r="F73" s="441" t="s">
        <v>1</v>
      </c>
      <c r="G73" s="441" t="s">
        <v>237</v>
      </c>
      <c r="H73" s="441" t="s">
        <v>136</v>
      </c>
      <c r="I73" s="442" t="s">
        <v>137</v>
      </c>
      <c r="J73" s="289"/>
      <c r="K73" s="379"/>
    </row>
    <row r="74" spans="1:18">
      <c r="C74" s="537" t="s">
        <v>222</v>
      </c>
      <c r="D74" s="537">
        <f>0.0197-0.0033</f>
        <v>1.6399999999999998E-2</v>
      </c>
      <c r="E74" s="330">
        <v>20</v>
      </c>
      <c r="F74" s="331">
        <v>130</v>
      </c>
      <c r="G74" s="473">
        <v>22.553355849999999</v>
      </c>
      <c r="H74" s="476">
        <v>24.493018419999999</v>
      </c>
      <c r="I74" s="332">
        <f t="shared" ref="I74" si="14">H74-G74</f>
        <v>1.9396625699999994</v>
      </c>
      <c r="J74" s="289"/>
      <c r="K74" s="379"/>
    </row>
    <row r="75" spans="1:18">
      <c r="C75" s="537" t="s">
        <v>238</v>
      </c>
      <c r="D75" s="537">
        <f>0.3*1</f>
        <v>0.3</v>
      </c>
      <c r="E75" s="330">
        <v>20</v>
      </c>
      <c r="F75" s="331">
        <v>100</v>
      </c>
      <c r="G75" s="331">
        <v>22.209697800000001</v>
      </c>
      <c r="H75" s="476">
        <v>23.853737580000001</v>
      </c>
      <c r="I75" s="332">
        <f>H75-G75</f>
        <v>1.64403978</v>
      </c>
      <c r="J75" s="289"/>
      <c r="K75" s="379"/>
    </row>
    <row r="76" spans="1:18">
      <c r="C76" s="537" t="s">
        <v>239</v>
      </c>
      <c r="D76" s="537" t="s">
        <v>23</v>
      </c>
      <c r="E76" s="333">
        <v>30</v>
      </c>
      <c r="F76" s="334">
        <v>130</v>
      </c>
      <c r="G76" s="334">
        <v>22.883695979999999</v>
      </c>
      <c r="H76" s="334">
        <v>25.736421119999999</v>
      </c>
      <c r="I76" s="336">
        <f>H76-G76</f>
        <v>2.8527251400000004</v>
      </c>
    </row>
    <row r="77" spans="1:18">
      <c r="C77" s="537"/>
      <c r="D77" s="537"/>
      <c r="E77" s="537"/>
      <c r="F77" s="537"/>
      <c r="G77" s="537"/>
      <c r="H77" s="537"/>
      <c r="I77" s="537"/>
    </row>
    <row r="78" spans="1:18" ht="18.75">
      <c r="C78" s="537"/>
      <c r="D78" s="537"/>
      <c r="E78" s="495" t="s">
        <v>0</v>
      </c>
      <c r="F78" s="441" t="s">
        <v>1</v>
      </c>
      <c r="G78" s="441" t="s">
        <v>237</v>
      </c>
      <c r="H78" s="441" t="s">
        <v>136</v>
      </c>
      <c r="I78" s="442" t="s">
        <v>137</v>
      </c>
      <c r="J78" s="262"/>
      <c r="K78" s="399"/>
      <c r="L78" s="399"/>
      <c r="M78" s="399"/>
      <c r="O78" s="399"/>
      <c r="Q78" s="399"/>
      <c r="R78" s="399"/>
    </row>
    <row r="79" spans="1:18">
      <c r="C79" s="537" t="s">
        <v>222</v>
      </c>
      <c r="D79" s="476">
        <f>0.0264-0.0154</f>
        <v>1.0999999999999999E-2</v>
      </c>
      <c r="E79" s="330">
        <v>15</v>
      </c>
      <c r="F79" s="331">
        <v>133</v>
      </c>
      <c r="G79" s="476">
        <v>23.216457559999998</v>
      </c>
      <c r="H79" s="476">
        <v>25.72475554</v>
      </c>
      <c r="I79" s="332">
        <f t="shared" ref="I79" si="15">H79-G79</f>
        <v>2.5082979800000018</v>
      </c>
      <c r="J79" s="283"/>
      <c r="K79" s="399"/>
      <c r="L79" s="407"/>
      <c r="M79" s="400"/>
      <c r="O79" s="399"/>
      <c r="Q79" s="399"/>
      <c r="R79" s="399"/>
    </row>
    <row r="80" spans="1:18">
      <c r="C80" s="537" t="s">
        <v>238</v>
      </c>
      <c r="D80" s="476">
        <f>0.3*1.8</f>
        <v>0.54</v>
      </c>
      <c r="E80" s="330">
        <v>20</v>
      </c>
      <c r="F80" s="331">
        <v>100</v>
      </c>
      <c r="G80" s="476">
        <v>22.581460809999999</v>
      </c>
      <c r="H80" s="476">
        <v>24.911341419999999</v>
      </c>
      <c r="I80" s="332">
        <f>H80-G80</f>
        <v>2.32988061</v>
      </c>
      <c r="J80" s="283"/>
      <c r="K80" s="399"/>
      <c r="L80" s="407"/>
      <c r="M80" s="399"/>
      <c r="O80" s="407"/>
      <c r="Q80" s="407"/>
      <c r="R80" s="399"/>
    </row>
    <row r="81" spans="3:18">
      <c r="C81" s="537" t="s">
        <v>239</v>
      </c>
      <c r="D81" s="537" t="s">
        <v>68</v>
      </c>
      <c r="E81" s="333">
        <v>30</v>
      </c>
      <c r="F81" s="334">
        <v>130</v>
      </c>
      <c r="G81" s="334">
        <v>22.874196489999999</v>
      </c>
      <c r="H81" s="334">
        <v>24.681842549999999</v>
      </c>
      <c r="I81" s="336">
        <f>H81-G81</f>
        <v>1.8076460599999997</v>
      </c>
      <c r="J81" s="283"/>
      <c r="K81" s="399"/>
      <c r="L81" s="399"/>
      <c r="M81" s="399"/>
      <c r="O81" s="399"/>
      <c r="Q81" s="399"/>
      <c r="R81" s="399"/>
    </row>
    <row r="82" spans="3:18">
      <c r="C82" s="537" t="s">
        <v>222</v>
      </c>
      <c r="D82" s="476">
        <f>0.0144</f>
        <v>1.44E-2</v>
      </c>
      <c r="E82" s="330">
        <v>20</v>
      </c>
      <c r="F82" s="331">
        <v>130</v>
      </c>
      <c r="G82" s="476">
        <v>22.68332345</v>
      </c>
      <c r="H82" s="476">
        <v>24.424286810000002</v>
      </c>
      <c r="I82" s="332">
        <f t="shared" ref="I82" si="16">H82-G82</f>
        <v>1.7409633600000021</v>
      </c>
      <c r="J82" s="283"/>
      <c r="K82" s="399"/>
      <c r="L82" s="399"/>
      <c r="M82" s="399"/>
      <c r="O82" s="399"/>
      <c r="Q82" s="399"/>
      <c r="R82" s="399"/>
    </row>
    <row r="83" spans="3:18">
      <c r="C83" s="537" t="s">
        <v>238</v>
      </c>
      <c r="D83" s="476">
        <f>0.3*2</f>
        <v>0.6</v>
      </c>
      <c r="E83" s="330">
        <v>20</v>
      </c>
      <c r="F83" s="331">
        <v>100</v>
      </c>
      <c r="G83" s="476">
        <v>22.536219509999999</v>
      </c>
      <c r="H83" s="476">
        <v>23.56244392</v>
      </c>
      <c r="I83" s="332">
        <f>H83-G83</f>
        <v>1.0262244100000011</v>
      </c>
      <c r="J83" s="283"/>
      <c r="K83" s="399"/>
      <c r="L83" s="399"/>
      <c r="M83" s="399"/>
      <c r="O83" s="399"/>
      <c r="Q83" s="399"/>
      <c r="R83" s="399"/>
    </row>
    <row r="84" spans="3:18">
      <c r="C84" s="537" t="s">
        <v>239</v>
      </c>
      <c r="D84" s="476" t="s">
        <v>60</v>
      </c>
      <c r="E84" s="333">
        <v>30</v>
      </c>
      <c r="F84" s="334">
        <v>130</v>
      </c>
      <c r="G84" s="334">
        <v>22.884068509999999</v>
      </c>
      <c r="H84" s="334">
        <v>24.290038190000001</v>
      </c>
      <c r="I84" s="336">
        <f>H84-G84</f>
        <v>1.4059696800000019</v>
      </c>
      <c r="J84" s="283"/>
      <c r="K84" s="399"/>
      <c r="L84" s="399"/>
      <c r="M84" s="399"/>
      <c r="O84" s="399"/>
      <c r="Q84" s="399"/>
      <c r="R84" s="399"/>
    </row>
    <row r="85" spans="3:18" ht="18.75">
      <c r="C85" s="537"/>
      <c r="D85" s="537"/>
      <c r="E85" s="495" t="s">
        <v>0</v>
      </c>
      <c r="F85" s="441" t="s">
        <v>1</v>
      </c>
      <c r="G85" s="441" t="s">
        <v>237</v>
      </c>
      <c r="H85" s="441" t="s">
        <v>136</v>
      </c>
      <c r="I85" s="442" t="s">
        <v>137</v>
      </c>
      <c r="J85" s="292"/>
      <c r="K85" s="399"/>
      <c r="L85" s="399"/>
      <c r="M85" s="399"/>
      <c r="O85" s="399"/>
      <c r="Q85" s="399"/>
      <c r="R85" s="399"/>
    </row>
    <row r="86" spans="3:18">
      <c r="C86" s="537" t="s">
        <v>222</v>
      </c>
      <c r="D86" s="476">
        <f>0.0268-0.014</f>
        <v>1.2800000000000001E-2</v>
      </c>
      <c r="E86" s="330">
        <v>15</v>
      </c>
      <c r="F86" s="331">
        <v>133</v>
      </c>
      <c r="G86" s="476">
        <v>22.291798490000001</v>
      </c>
      <c r="H86" s="476">
        <v>24.925873129999999</v>
      </c>
      <c r="I86" s="332">
        <f t="shared" ref="I86" si="17">H86-G86</f>
        <v>2.6340746399999979</v>
      </c>
      <c r="J86" s="293"/>
      <c r="K86" s="399"/>
      <c r="L86" s="407"/>
      <c r="M86" s="399"/>
      <c r="O86" s="399"/>
      <c r="Q86" s="399"/>
      <c r="R86" s="399"/>
    </row>
    <row r="87" spans="3:18">
      <c r="C87" s="537" t="s">
        <v>238</v>
      </c>
      <c r="D87" s="476">
        <f>0.3*2</f>
        <v>0.6</v>
      </c>
      <c r="E87" s="330">
        <v>20</v>
      </c>
      <c r="F87" s="331">
        <v>100</v>
      </c>
      <c r="G87" s="476">
        <v>22.544601409999999</v>
      </c>
      <c r="H87" s="476">
        <v>24.254591446999999</v>
      </c>
      <c r="I87" s="332">
        <f>H87-G87</f>
        <v>1.7099900370000007</v>
      </c>
      <c r="J87" s="293"/>
      <c r="K87" s="399"/>
      <c r="L87" s="407"/>
      <c r="M87" s="399"/>
      <c r="O87" s="399"/>
      <c r="Q87" s="399"/>
      <c r="R87" s="399"/>
    </row>
    <row r="88" spans="3:18">
      <c r="C88" s="537" t="s">
        <v>239</v>
      </c>
      <c r="D88" s="476" t="s">
        <v>60</v>
      </c>
      <c r="E88" s="333">
        <v>30</v>
      </c>
      <c r="F88" s="334">
        <v>130</v>
      </c>
      <c r="G88" s="334">
        <v>22.88947018</v>
      </c>
      <c r="H88" s="334">
        <v>24.420378320000001</v>
      </c>
      <c r="I88" s="336">
        <f>H88-G88</f>
        <v>1.5309081400000011</v>
      </c>
      <c r="J88" s="293"/>
      <c r="K88" s="399"/>
      <c r="L88" s="399"/>
      <c r="M88" s="399"/>
      <c r="O88" s="399"/>
      <c r="Q88" s="399"/>
      <c r="R88" s="399"/>
    </row>
    <row r="89" spans="3:18">
      <c r="C89" s="537" t="s">
        <v>222</v>
      </c>
      <c r="D89" s="476">
        <f>0.014</f>
        <v>1.4E-2</v>
      </c>
      <c r="E89" s="330">
        <v>20</v>
      </c>
      <c r="F89" s="331">
        <v>130</v>
      </c>
      <c r="G89" s="476">
        <v>23.211055890000001</v>
      </c>
      <c r="H89" s="476">
        <v>24.95435062</v>
      </c>
      <c r="I89" s="332">
        <f t="shared" ref="I89" si="18">H89-G89</f>
        <v>1.7432947299999988</v>
      </c>
      <c r="J89" s="293"/>
      <c r="K89" s="399"/>
      <c r="L89" s="399"/>
      <c r="M89" s="399"/>
      <c r="O89" s="399"/>
      <c r="Q89" s="399"/>
      <c r="R89" s="399"/>
    </row>
    <row r="90" spans="3:18">
      <c r="C90" s="537" t="s">
        <v>238</v>
      </c>
      <c r="D90" s="476">
        <f>0.3*2</f>
        <v>0.6</v>
      </c>
      <c r="E90" s="330">
        <v>20</v>
      </c>
      <c r="F90" s="331">
        <v>100</v>
      </c>
      <c r="G90" s="476">
        <v>22.886210550000001</v>
      </c>
      <c r="H90" s="476">
        <v>24.425686859999999</v>
      </c>
      <c r="I90" s="332">
        <f>H90-G90</f>
        <v>1.5394763099999977</v>
      </c>
      <c r="J90" s="293"/>
      <c r="K90" s="399"/>
      <c r="L90" s="399"/>
      <c r="M90" s="399"/>
      <c r="O90" s="399"/>
      <c r="Q90" s="399"/>
      <c r="R90" s="399"/>
    </row>
    <row r="91" spans="3:18">
      <c r="C91" s="537" t="s">
        <v>239</v>
      </c>
      <c r="D91" s="476" t="s">
        <v>60</v>
      </c>
      <c r="E91" s="333">
        <v>30</v>
      </c>
      <c r="F91" s="334">
        <v>130</v>
      </c>
      <c r="G91" s="334">
        <v>22.885931159999998</v>
      </c>
      <c r="H91" s="334">
        <v>24.724289880000001</v>
      </c>
      <c r="I91" s="336">
        <f>H91-G91</f>
        <v>1.8383587200000022</v>
      </c>
      <c r="J91" s="293"/>
      <c r="K91" s="399"/>
      <c r="L91" s="399"/>
      <c r="M91" s="399"/>
      <c r="O91" s="399"/>
      <c r="Q91" s="399"/>
      <c r="R91" s="399"/>
    </row>
    <row r="93" spans="3:18" ht="18.75">
      <c r="C93" s="537"/>
      <c r="D93" s="537"/>
      <c r="E93" s="495" t="s">
        <v>0</v>
      </c>
      <c r="F93" s="441" t="s">
        <v>1</v>
      </c>
      <c r="G93" s="441" t="s">
        <v>237</v>
      </c>
      <c r="H93" s="441" t="s">
        <v>136</v>
      </c>
      <c r="I93" s="442" t="s">
        <v>137</v>
      </c>
      <c r="J93" s="289"/>
    </row>
    <row r="94" spans="3:18">
      <c r="C94" s="537" t="s">
        <v>222</v>
      </c>
      <c r="D94" s="537">
        <f>0.0186</f>
        <v>1.8599999999999998E-2</v>
      </c>
      <c r="E94" s="330">
        <v>15</v>
      </c>
      <c r="F94" s="331">
        <v>133</v>
      </c>
      <c r="G94" s="473">
        <v>23.216550689999998</v>
      </c>
      <c r="H94" s="476">
        <v>26.592391735</v>
      </c>
      <c r="I94" s="332">
        <f t="shared" ref="I94" si="19">H94-G94</f>
        <v>3.3758410450000014</v>
      </c>
      <c r="J94" s="289"/>
      <c r="K94" s="407"/>
    </row>
    <row r="95" spans="3:18">
      <c r="C95" s="537" t="s">
        <v>238</v>
      </c>
      <c r="D95" s="537">
        <f>0.3*1.25</f>
        <v>0.375</v>
      </c>
      <c r="E95" s="330">
        <v>20</v>
      </c>
      <c r="F95" s="331">
        <v>100</v>
      </c>
      <c r="G95" s="331">
        <v>22.825953980000001</v>
      </c>
      <c r="H95" s="476">
        <v>25.05438951</v>
      </c>
      <c r="I95" s="332">
        <f>H95-G95</f>
        <v>2.2284355299999987</v>
      </c>
      <c r="J95" s="289"/>
      <c r="K95" s="407"/>
    </row>
    <row r="96" spans="3:18">
      <c r="C96" s="537" t="s">
        <v>239</v>
      </c>
      <c r="D96" s="537" t="s">
        <v>50</v>
      </c>
      <c r="E96" s="333">
        <v>30</v>
      </c>
      <c r="F96" s="334">
        <v>130</v>
      </c>
      <c r="G96" s="334">
        <v>22.886210550000001</v>
      </c>
      <c r="H96" s="334">
        <v>24.42279976</v>
      </c>
      <c r="I96" s="336">
        <f>H96-G96</f>
        <v>1.5365892099999989</v>
      </c>
      <c r="J96" s="289"/>
      <c r="K96" s="401"/>
      <c r="L96" s="402"/>
    </row>
    <row r="98" spans="1:20">
      <c r="A98" s="510" t="s">
        <v>264</v>
      </c>
      <c r="B98" s="511"/>
      <c r="C98" s="511"/>
      <c r="D98" s="511"/>
      <c r="E98" s="511"/>
      <c r="F98" s="511"/>
      <c r="G98" s="511"/>
      <c r="H98" s="511"/>
      <c r="I98" s="407"/>
      <c r="J98" s="435" t="s">
        <v>228</v>
      </c>
    </row>
    <row r="99" spans="1:20" ht="15.75">
      <c r="A99" s="435" t="s">
        <v>241</v>
      </c>
      <c r="J99" s="262"/>
      <c r="M99" s="249" t="s">
        <v>52</v>
      </c>
      <c r="N99" s="504" t="s">
        <v>35</v>
      </c>
      <c r="O99" s="501"/>
      <c r="P99" s="505"/>
      <c r="Q99" s="506"/>
      <c r="R99" s="504" t="s">
        <v>53</v>
      </c>
      <c r="S99" s="505"/>
      <c r="T99" s="506"/>
    </row>
    <row r="100" spans="1:20" ht="18.75">
      <c r="C100" s="537"/>
      <c r="D100" s="537"/>
      <c r="E100" s="495" t="s">
        <v>0</v>
      </c>
      <c r="F100" s="441" t="s">
        <v>1</v>
      </c>
      <c r="G100" s="441" t="s">
        <v>237</v>
      </c>
      <c r="H100" s="441" t="s">
        <v>136</v>
      </c>
      <c r="I100" s="442" t="s">
        <v>137</v>
      </c>
      <c r="J100" s="283"/>
      <c r="M100" s="408" t="s">
        <v>31</v>
      </c>
      <c r="N100" s="409" t="s">
        <v>32</v>
      </c>
      <c r="O100" s="409" t="s">
        <v>66</v>
      </c>
      <c r="P100" s="276" t="s">
        <v>33</v>
      </c>
      <c r="Q100" s="277" t="s">
        <v>34</v>
      </c>
      <c r="R100" s="276" t="s">
        <v>32</v>
      </c>
      <c r="S100" s="409" t="s">
        <v>66</v>
      </c>
      <c r="T100" s="277" t="s">
        <v>34</v>
      </c>
    </row>
    <row r="101" spans="1:20">
      <c r="C101" s="537" t="s">
        <v>222</v>
      </c>
      <c r="D101" s="476">
        <f>0.0205</f>
        <v>2.0500000000000001E-2</v>
      </c>
      <c r="E101" s="330">
        <v>20</v>
      </c>
      <c r="F101" s="331">
        <v>100</v>
      </c>
      <c r="G101" s="476">
        <v>23.773015959999999</v>
      </c>
      <c r="H101" s="476">
        <v>28.194470150000001</v>
      </c>
      <c r="I101" s="332">
        <f t="shared" ref="I101" si="20">H101-G101</f>
        <v>4.4214541900000022</v>
      </c>
      <c r="J101" s="283"/>
      <c r="K101" s="407"/>
      <c r="M101" s="420">
        <v>0</v>
      </c>
      <c r="N101" s="419">
        <v>2.1643478260869564</v>
      </c>
      <c r="O101" s="419">
        <v>2.5859652173913048</v>
      </c>
      <c r="P101" s="326">
        <v>0.86955095304450347</v>
      </c>
      <c r="Q101" s="73">
        <v>1.2342068972420537</v>
      </c>
      <c r="R101" s="12">
        <v>0</v>
      </c>
      <c r="S101" s="12">
        <v>0</v>
      </c>
      <c r="T101" s="253">
        <v>0</v>
      </c>
    </row>
    <row r="102" spans="1:20">
      <c r="C102" s="537" t="s">
        <v>238</v>
      </c>
      <c r="D102" s="476">
        <f>0.3*1.8</f>
        <v>0.54</v>
      </c>
      <c r="E102" s="330">
        <v>15</v>
      </c>
      <c r="F102" s="331">
        <v>133</v>
      </c>
      <c r="G102" s="331">
        <v>24.2649677</v>
      </c>
      <c r="H102" s="331">
        <v>29.66593585</v>
      </c>
      <c r="I102" s="332">
        <f>H102-G102</f>
        <v>5.4009681500000006</v>
      </c>
      <c r="J102" s="283"/>
      <c r="M102" s="412">
        <f>0.3*0.25</f>
        <v>7.4999999999999997E-2</v>
      </c>
      <c r="N102" s="413">
        <v>2.4318912142991493</v>
      </c>
      <c r="O102" s="413">
        <v>3.2130164549999991</v>
      </c>
      <c r="P102" s="7">
        <v>1.2439664549999991</v>
      </c>
      <c r="Q102" s="8">
        <v>1.7711116199999983</v>
      </c>
      <c r="R102" s="7">
        <f>N102-$N$101</f>
        <v>0.26754338821219292</v>
      </c>
      <c r="S102" s="7">
        <f>O102-$O$101</f>
        <v>0.6270512376086943</v>
      </c>
      <c r="T102" s="8">
        <f>Q102-$Q$101</f>
        <v>0.53690472275794465</v>
      </c>
    </row>
    <row r="103" spans="1:20">
      <c r="C103" s="537" t="s">
        <v>239</v>
      </c>
      <c r="D103" s="537" t="s">
        <v>64</v>
      </c>
      <c r="E103" s="330">
        <v>26</v>
      </c>
      <c r="F103" s="331">
        <v>100</v>
      </c>
      <c r="G103" s="331">
        <v>24.10158659</v>
      </c>
      <c r="H103" s="331">
        <v>28.87610518</v>
      </c>
      <c r="I103" s="332">
        <f>H103-G103</f>
        <v>4.7745185899999996</v>
      </c>
      <c r="J103" s="283"/>
      <c r="M103" s="330">
        <f>0.3*0.5</f>
        <v>0.15</v>
      </c>
      <c r="N103" s="419">
        <v>2.9909897855013994</v>
      </c>
      <c r="O103" s="419">
        <v>3.711976476666667</v>
      </c>
      <c r="P103" s="326">
        <v>1.2669098100000014</v>
      </c>
      <c r="Q103" s="8">
        <v>1.9869832100000007</v>
      </c>
      <c r="R103" s="7">
        <f>N103-$N$101</f>
        <v>0.82664195941444296</v>
      </c>
      <c r="S103" s="7">
        <f>O103-$O$101</f>
        <v>1.1260112592753622</v>
      </c>
      <c r="T103" s="8">
        <f>Q103-$Q$101</f>
        <v>0.75277631275794699</v>
      </c>
    </row>
    <row r="104" spans="1:20">
      <c r="C104" s="537"/>
      <c r="D104" s="476"/>
      <c r="E104" s="333">
        <v>20</v>
      </c>
      <c r="F104" s="334">
        <v>130</v>
      </c>
      <c r="G104" s="334">
        <v>24.448224870000001</v>
      </c>
      <c r="H104" s="334">
        <v>29.723608779999999</v>
      </c>
      <c r="I104" s="336">
        <f>H104-G104</f>
        <v>5.2753839099999986</v>
      </c>
      <c r="J104" s="407"/>
      <c r="M104" s="330">
        <v>0.24</v>
      </c>
      <c r="N104" s="418">
        <v>3.40157278</v>
      </c>
      <c r="O104" s="418">
        <v>3.9013414200000001</v>
      </c>
      <c r="P104" s="12">
        <v>1.5368310733333341</v>
      </c>
      <c r="Q104" s="253">
        <v>2.185230686666666</v>
      </c>
      <c r="R104" s="7">
        <f>N104-$N$101</f>
        <v>1.2372249539130435</v>
      </c>
      <c r="S104" s="7">
        <f>O104-$O$101</f>
        <v>1.3153762026086953</v>
      </c>
      <c r="T104" s="8">
        <f>Q104-$Q$101</f>
        <v>0.9510237894246123</v>
      </c>
    </row>
    <row r="105" spans="1:20" ht="18.75">
      <c r="C105" s="537"/>
      <c r="D105" s="537"/>
      <c r="E105" s="495" t="s">
        <v>0</v>
      </c>
      <c r="F105" s="441" t="s">
        <v>1</v>
      </c>
      <c r="G105" s="441" t="s">
        <v>237</v>
      </c>
      <c r="H105" s="441" t="s">
        <v>136</v>
      </c>
      <c r="I105" s="442" t="s">
        <v>137</v>
      </c>
      <c r="J105" s="262"/>
      <c r="M105" s="330">
        <v>0.39</v>
      </c>
      <c r="N105" s="413">
        <v>3.8462548700000001</v>
      </c>
      <c r="O105" s="413">
        <v>4.8420498324999999</v>
      </c>
      <c r="P105" s="7">
        <v>2.0696939700896713</v>
      </c>
      <c r="Q105" s="8">
        <v>2.576592684756934</v>
      </c>
      <c r="R105" s="7">
        <f>N105-$N$101</f>
        <v>1.6819070439130437</v>
      </c>
      <c r="S105" s="7">
        <f>O105-$O$101</f>
        <v>2.2560846151086951</v>
      </c>
      <c r="T105" s="8">
        <f>Q105-$Q$101</f>
        <v>1.3423857875148804</v>
      </c>
    </row>
    <row r="106" spans="1:20">
      <c r="C106" s="537" t="s">
        <v>222</v>
      </c>
      <c r="D106" s="476">
        <f>0.0231</f>
        <v>2.3099999999999999E-2</v>
      </c>
      <c r="E106" s="330">
        <v>20</v>
      </c>
      <c r="F106" s="331">
        <v>100</v>
      </c>
      <c r="G106" s="476">
        <v>23.762771409999999</v>
      </c>
      <c r="H106" s="476">
        <v>26.996044189999999</v>
      </c>
      <c r="I106" s="332">
        <f t="shared" ref="I106" si="21">H106-G106</f>
        <v>3.2332727800000001</v>
      </c>
      <c r="J106" s="283"/>
      <c r="K106" s="407"/>
      <c r="M106" s="330">
        <v>0.54</v>
      </c>
      <c r="N106" s="414">
        <v>4.8454418523333302</v>
      </c>
      <c r="O106" s="414">
        <v>5.3746329533333297</v>
      </c>
      <c r="P106" s="370">
        <v>2.1631799880000031</v>
      </c>
      <c r="Q106" s="247">
        <v>2.7514605779999983</v>
      </c>
      <c r="R106" s="6">
        <f>N106-$N$101</f>
        <v>2.6810940262463738</v>
      </c>
      <c r="S106" s="7">
        <f>O106-$O$101</f>
        <v>2.7886677359420249</v>
      </c>
      <c r="T106" s="8">
        <f>Q106-$Q$101</f>
        <v>1.5172536807579446</v>
      </c>
    </row>
    <row r="107" spans="1:20">
      <c r="C107" s="537" t="s">
        <v>238</v>
      </c>
      <c r="D107" s="476">
        <f>0.3*0.8</f>
        <v>0.24</v>
      </c>
      <c r="E107" s="330">
        <v>15</v>
      </c>
      <c r="F107" s="331">
        <v>133</v>
      </c>
      <c r="G107" s="331">
        <v>24.443754519999999</v>
      </c>
      <c r="H107" s="331">
        <v>28.444995939999998</v>
      </c>
      <c r="I107" s="332">
        <f>H107-G107</f>
        <v>4.0012414199999995</v>
      </c>
      <c r="J107" s="283"/>
      <c r="K107" s="407"/>
      <c r="M107" s="9"/>
      <c r="N107" s="281"/>
      <c r="O107" s="281"/>
      <c r="P107" s="281"/>
      <c r="Q107" s="248"/>
      <c r="R107" s="9"/>
      <c r="S107" s="10"/>
      <c r="T107" s="11"/>
    </row>
    <row r="108" spans="1:20">
      <c r="C108" s="537" t="s">
        <v>239</v>
      </c>
      <c r="D108" s="537" t="s">
        <v>51</v>
      </c>
      <c r="E108" s="330">
        <v>26</v>
      </c>
      <c r="F108" s="331">
        <v>100</v>
      </c>
      <c r="G108" s="331">
        <v>23.76184009</v>
      </c>
      <c r="H108" s="331">
        <v>27.396512919999999</v>
      </c>
      <c r="I108" s="332">
        <f>H108-G108</f>
        <v>3.6346728299999995</v>
      </c>
      <c r="J108" s="283"/>
    </row>
    <row r="109" spans="1:20">
      <c r="C109" s="537"/>
      <c r="D109" s="476"/>
      <c r="E109" s="333">
        <v>20</v>
      </c>
      <c r="F109" s="334">
        <v>130</v>
      </c>
      <c r="G109" s="334">
        <v>24.442916329999999</v>
      </c>
      <c r="H109" s="334">
        <v>28.53626555</v>
      </c>
      <c r="I109" s="336">
        <f t="shared" ref="I109" si="22">H109-G109</f>
        <v>4.0933492200000003</v>
      </c>
      <c r="J109" s="283"/>
    </row>
    <row r="110" spans="1:20">
      <c r="C110" s="537"/>
      <c r="D110" s="537"/>
      <c r="E110" s="537"/>
      <c r="F110" s="537"/>
      <c r="G110" s="537"/>
      <c r="H110" s="537"/>
      <c r="I110" s="537"/>
      <c r="J110" s="407"/>
    </row>
    <row r="111" spans="1:20" ht="18.75">
      <c r="C111" s="537"/>
      <c r="D111" s="537"/>
      <c r="E111" s="495" t="s">
        <v>0</v>
      </c>
      <c r="F111" s="441" t="s">
        <v>1</v>
      </c>
      <c r="G111" s="441" t="s">
        <v>237</v>
      </c>
      <c r="H111" s="441" t="s">
        <v>136</v>
      </c>
      <c r="I111" s="442" t="s">
        <v>137</v>
      </c>
      <c r="J111" s="262"/>
    </row>
    <row r="112" spans="1:20">
      <c r="C112" s="537" t="s">
        <v>222</v>
      </c>
      <c r="D112" s="476">
        <f>0.0158</f>
        <v>1.5800000000000002E-2</v>
      </c>
      <c r="E112" s="330">
        <v>20</v>
      </c>
      <c r="F112" s="331">
        <v>100</v>
      </c>
      <c r="G112" s="476">
        <v>23.764727189999999</v>
      </c>
      <c r="H112" s="540">
        <v>27.337001399999998</v>
      </c>
      <c r="I112" s="332">
        <f t="shared" ref="I112" si="23">H112-G112</f>
        <v>3.5722742099999998</v>
      </c>
      <c r="J112" s="283"/>
      <c r="K112" s="407"/>
      <c r="O112" s="407"/>
    </row>
    <row r="113" spans="3:15">
      <c r="C113" s="537" t="s">
        <v>238</v>
      </c>
      <c r="D113" s="476">
        <f>0.3*1.3</f>
        <v>0.39</v>
      </c>
      <c r="E113" s="330">
        <v>15</v>
      </c>
      <c r="F113" s="331">
        <v>133</v>
      </c>
      <c r="G113" s="331">
        <v>24.446548490000001</v>
      </c>
      <c r="H113" s="331">
        <v>28.748607109999998</v>
      </c>
      <c r="I113" s="332">
        <f>H113-G113</f>
        <v>4.3020586199999968</v>
      </c>
      <c r="J113" s="283"/>
      <c r="K113" s="407"/>
      <c r="O113" s="407"/>
    </row>
    <row r="114" spans="3:15">
      <c r="C114" s="537" t="s">
        <v>239</v>
      </c>
      <c r="D114" s="537" t="s">
        <v>62</v>
      </c>
      <c r="E114" s="330">
        <v>26</v>
      </c>
      <c r="F114" s="331">
        <v>100</v>
      </c>
      <c r="G114" s="331">
        <v>23.76929067</v>
      </c>
      <c r="H114" s="331">
        <v>27.819985320000001</v>
      </c>
      <c r="I114" s="332">
        <f>H114-G114</f>
        <v>4.0506946500000005</v>
      </c>
      <c r="J114" s="283"/>
    </row>
    <row r="115" spans="3:15">
      <c r="C115" s="537"/>
      <c r="D115" s="476"/>
      <c r="E115" s="333">
        <v>20</v>
      </c>
      <c r="F115" s="334">
        <v>130</v>
      </c>
      <c r="G115" s="334">
        <v>24.103635499999999</v>
      </c>
      <c r="H115" s="334">
        <v>28.87666398</v>
      </c>
      <c r="I115" s="336">
        <f t="shared" ref="I115" si="24">H115-G115</f>
        <v>4.7730284800000007</v>
      </c>
      <c r="J115" s="283"/>
    </row>
    <row r="123" spans="3:15">
      <c r="F123" t="s">
        <v>72</v>
      </c>
    </row>
    <row r="124" spans="3:15">
      <c r="E124" s="433">
        <v>0</v>
      </c>
      <c r="F124">
        <v>2.1643478260869564</v>
      </c>
      <c r="G124">
        <v>2.220831943799972</v>
      </c>
      <c r="H124">
        <v>2.2951514896840557</v>
      </c>
    </row>
    <row r="125" spans="3:15">
      <c r="E125" s="433">
        <v>7.4999999999999997E-2</v>
      </c>
      <c r="F125">
        <v>3.2865572799999976</v>
      </c>
      <c r="G125">
        <v>3.1394756300000011</v>
      </c>
      <c r="I125">
        <v>0</v>
      </c>
      <c r="J125">
        <v>1.97</v>
      </c>
    </row>
    <row r="126" spans="3:15">
      <c r="E126" s="433">
        <v>0.15</v>
      </c>
      <c r="F126">
        <v>3.7381271200000006</v>
      </c>
      <c r="G126">
        <v>3.7028936999999988</v>
      </c>
      <c r="H126">
        <v>3.6949086100000006</v>
      </c>
      <c r="I126">
        <v>7.4999999999999997E-2</v>
      </c>
      <c r="J126">
        <v>2.606716454999999</v>
      </c>
    </row>
    <row r="127" spans="3:15">
      <c r="E127" s="433">
        <v>0.24</v>
      </c>
      <c r="F127">
        <v>3.9866913000000004</v>
      </c>
      <c r="G127">
        <v>3.6013414199999998</v>
      </c>
      <c r="H127">
        <v>4.17149751</v>
      </c>
      <c r="I127">
        <v>0.15</v>
      </c>
      <c r="J127">
        <v>3.1403431433333338</v>
      </c>
    </row>
    <row r="128" spans="3:15">
      <c r="E128" s="433">
        <v>0.39</v>
      </c>
      <c r="F128">
        <v>4.8438586199999971</v>
      </c>
      <c r="G128">
        <v>4.6142410450000009</v>
      </c>
      <c r="H128">
        <v>4.1227498324999985</v>
      </c>
      <c r="I128">
        <v>0.24</v>
      </c>
      <c r="J128">
        <v>3.3135434099999999</v>
      </c>
    </row>
    <row r="129" spans="5:12">
      <c r="E129" s="433">
        <v>0.54</v>
      </c>
      <c r="F129">
        <v>5.5188613400000044</v>
      </c>
      <c r="G129">
        <v>5.568569369999997</v>
      </c>
      <c r="H129">
        <v>5.33646815</v>
      </c>
      <c r="I129">
        <v>0.3</v>
      </c>
      <c r="J129">
        <v>3.8958018002690151</v>
      </c>
    </row>
    <row r="130" spans="5:12">
      <c r="I130" s="433">
        <v>0.39</v>
      </c>
      <c r="J130">
        <v>4.2727498324999988</v>
      </c>
    </row>
    <row r="131" spans="5:12">
      <c r="I131" s="433">
        <v>0.54</v>
      </c>
      <c r="J131">
        <v>5.4009681500000006</v>
      </c>
    </row>
    <row r="135" spans="5:12">
      <c r="E135" s="435"/>
      <c r="F135" s="435"/>
      <c r="G135" s="435"/>
      <c r="H135" s="435"/>
      <c r="I135" s="435"/>
      <c r="J135" s="435"/>
      <c r="K135" s="435"/>
    </row>
    <row r="136" spans="5:12">
      <c r="E136" s="435"/>
      <c r="F136" s="435"/>
      <c r="G136" s="435"/>
      <c r="H136" s="435"/>
      <c r="I136" s="435"/>
      <c r="J136" s="435"/>
      <c r="K136" s="435"/>
      <c r="L136" s="435"/>
    </row>
    <row r="137" spans="5:12">
      <c r="E137" s="435"/>
      <c r="F137" s="435"/>
      <c r="G137" s="435"/>
      <c r="H137" s="435"/>
      <c r="I137" s="435"/>
      <c r="J137" s="435"/>
      <c r="K137" s="435"/>
      <c r="L137" s="435"/>
    </row>
    <row r="138" spans="5:12">
      <c r="E138" s="435"/>
      <c r="F138" s="435"/>
      <c r="G138" s="435"/>
      <c r="H138" s="435"/>
      <c r="I138" s="435"/>
      <c r="J138" s="435"/>
      <c r="K138" s="435"/>
      <c r="L138" s="435"/>
    </row>
    <row r="139" spans="5:12">
      <c r="E139" s="435"/>
      <c r="F139" s="435"/>
      <c r="G139" s="435"/>
      <c r="H139" s="435"/>
      <c r="I139" s="435"/>
      <c r="J139" s="435"/>
      <c r="K139" s="435"/>
      <c r="L139" s="435"/>
    </row>
    <row r="140" spans="5:12">
      <c r="E140" s="435"/>
      <c r="F140" s="435"/>
      <c r="G140" s="435"/>
      <c r="H140" s="435"/>
      <c r="I140" s="435"/>
      <c r="J140" s="435"/>
      <c r="K140" s="435"/>
    </row>
  </sheetData>
  <mergeCells count="2">
    <mergeCell ref="N99:Q99"/>
    <mergeCell ref="R99:T99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5"/>
  <sheetViews>
    <sheetView workbookViewId="0">
      <selection activeCell="G46" sqref="G46:G47"/>
    </sheetView>
  </sheetViews>
  <sheetFormatPr defaultRowHeight="15"/>
  <cols>
    <col min="5" max="5" width="12.42578125" customWidth="1"/>
  </cols>
  <sheetData>
    <row r="5" spans="1:17">
      <c r="E5" t="s">
        <v>37</v>
      </c>
      <c r="M5" t="s">
        <v>38</v>
      </c>
    </row>
    <row r="6" spans="1:17" ht="15.75">
      <c r="A6" t="s">
        <v>42</v>
      </c>
      <c r="E6" s="249"/>
      <c r="F6" s="504" t="s">
        <v>4</v>
      </c>
      <c r="G6" s="505"/>
      <c r="H6" s="506"/>
      <c r="I6" s="504" t="s">
        <v>36</v>
      </c>
      <c r="J6" s="505"/>
      <c r="K6" s="506"/>
      <c r="M6" s="254"/>
      <c r="N6" s="505" t="s">
        <v>35</v>
      </c>
      <c r="O6" s="509"/>
      <c r="P6" s="505" t="s">
        <v>39</v>
      </c>
      <c r="Q6" s="509"/>
    </row>
    <row r="7" spans="1:17">
      <c r="A7" s="250" t="s">
        <v>31</v>
      </c>
      <c r="B7" s="505" t="s">
        <v>35</v>
      </c>
      <c r="C7" s="509"/>
      <c r="E7" s="250" t="s">
        <v>31</v>
      </c>
      <c r="F7" s="251" t="s">
        <v>32</v>
      </c>
      <c r="G7" s="251" t="s">
        <v>33</v>
      </c>
      <c r="H7" s="252" t="s">
        <v>34</v>
      </c>
      <c r="I7" s="251" t="s">
        <v>32</v>
      </c>
      <c r="J7" s="251" t="s">
        <v>33</v>
      </c>
      <c r="K7" s="252" t="s">
        <v>34</v>
      </c>
      <c r="M7" s="255" t="s">
        <v>30</v>
      </c>
      <c r="N7" s="250" t="s">
        <v>40</v>
      </c>
      <c r="O7" s="252" t="s">
        <v>41</v>
      </c>
      <c r="P7" s="250" t="s">
        <v>40</v>
      </c>
      <c r="Q7" s="252" t="s">
        <v>41</v>
      </c>
    </row>
    <row r="8" spans="1:17">
      <c r="A8" s="5">
        <v>2.1399999999999999E-2</v>
      </c>
      <c r="B8" s="5">
        <v>0.67</v>
      </c>
      <c r="E8" s="249">
        <v>0</v>
      </c>
      <c r="F8" s="71">
        <v>0.63985612811835635</v>
      </c>
      <c r="G8" s="71">
        <v>0.87536197890300094</v>
      </c>
      <c r="H8" s="73">
        <v>1.2676990004861164</v>
      </c>
      <c r="I8" s="12">
        <v>0</v>
      </c>
      <c r="J8" s="12">
        <v>0</v>
      </c>
      <c r="K8" s="253">
        <v>0</v>
      </c>
      <c r="M8" s="255">
        <v>0</v>
      </c>
      <c r="N8" s="7">
        <v>1.1736471028352085</v>
      </c>
      <c r="O8" s="8">
        <v>1.4993391400660521</v>
      </c>
      <c r="P8" s="244">
        <v>0</v>
      </c>
      <c r="Q8" s="245">
        <v>0</v>
      </c>
    </row>
    <row r="9" spans="1:17">
      <c r="A9" s="5">
        <v>5.5320000000000001E-2</v>
      </c>
      <c r="B9" s="5">
        <v>1.3614074207191109</v>
      </c>
      <c r="E9" s="6">
        <f>0.3*0.75</f>
        <v>0.22499999999999998</v>
      </c>
      <c r="F9" s="275">
        <v>2.6186944563090675</v>
      </c>
      <c r="G9" s="7">
        <v>3.5884804309543692</v>
      </c>
      <c r="H9" s="8">
        <v>4.0223682728235275</v>
      </c>
      <c r="I9" s="7">
        <f>F9-$F$8</f>
        <v>1.9788383281907111</v>
      </c>
      <c r="J9" s="7">
        <f>G9-$Q$76</f>
        <v>3.5884804309543692</v>
      </c>
      <c r="K9" s="8">
        <f>H9-$R$76</f>
        <v>4.0223682728235275</v>
      </c>
      <c r="M9" s="255">
        <v>1.3300000000000001E-2</v>
      </c>
      <c r="N9" s="7">
        <v>1.2375178335492907</v>
      </c>
      <c r="O9" s="5">
        <v>1.7521904975705793</v>
      </c>
      <c r="P9" s="246">
        <f>N9-$E$9</f>
        <v>1.0125178335492908</v>
      </c>
      <c r="Q9" s="247">
        <f>O9-$F$9</f>
        <v>-0.86650395873848818</v>
      </c>
    </row>
    <row r="10" spans="1:17">
      <c r="A10" s="5">
        <v>0.1148</v>
      </c>
      <c r="B10" s="5">
        <v>3.4894560867223801</v>
      </c>
      <c r="E10" s="6">
        <f>0.3*0.5</f>
        <v>0.15</v>
      </c>
      <c r="F10" s="7">
        <v>1.8526754983480354</v>
      </c>
      <c r="G10" s="7">
        <v>2.3403668305951073</v>
      </c>
      <c r="H10" s="8">
        <v>2.8075146112082363</v>
      </c>
      <c r="I10" s="7">
        <f t="shared" ref="I10:I13" si="0">F10-$F$8</f>
        <v>1.212819370229679</v>
      </c>
      <c r="J10" s="7">
        <f t="shared" ref="J10:K11" si="1">G10-$Q$76</f>
        <v>2.3403668305951073</v>
      </c>
      <c r="K10" s="8">
        <f t="shared" si="1"/>
        <v>2.8075146112082363</v>
      </c>
      <c r="M10" s="255">
        <v>2.8700000000000003E-2</v>
      </c>
      <c r="N10" s="7">
        <v>1.7249762758929506</v>
      </c>
      <c r="O10" s="8">
        <v>2.3285353820369998</v>
      </c>
      <c r="P10" s="246">
        <f t="shared" ref="P10:P15" si="2">N10-$E$9</f>
        <v>1.4999762758929505</v>
      </c>
      <c r="Q10" s="247">
        <f t="shared" ref="Q10:Q15" si="3">O10-$F$9</f>
        <v>-0.29015907427206766</v>
      </c>
    </row>
    <row r="11" spans="1:17">
      <c r="A11" s="5">
        <v>0.26200000000000001</v>
      </c>
      <c r="B11" s="5">
        <v>8.0103059417191709</v>
      </c>
      <c r="E11" s="9">
        <f>0.3*0.25</f>
        <v>7.4999999999999997E-2</v>
      </c>
      <c r="F11" s="10">
        <v>1.2311093387179992</v>
      </c>
      <c r="G11" s="10">
        <v>1.6525708782838606</v>
      </c>
      <c r="H11" s="11">
        <v>1.9210219407909139</v>
      </c>
      <c r="I11" s="7">
        <f t="shared" si="0"/>
        <v>0.59125321059964286</v>
      </c>
      <c r="J11" s="10">
        <f t="shared" si="1"/>
        <v>1.6525708782838606</v>
      </c>
      <c r="K11" s="11">
        <f t="shared" si="1"/>
        <v>1.9210219407909139</v>
      </c>
      <c r="M11" s="255">
        <v>4.2350000000000006E-2</v>
      </c>
      <c r="N11" s="7">
        <v>2.1662460608207272</v>
      </c>
      <c r="O11" s="5">
        <v>2.8326086997830493</v>
      </c>
      <c r="P11" s="246">
        <f t="shared" si="2"/>
        <v>1.9412460608207271</v>
      </c>
      <c r="Q11" s="247">
        <f t="shared" si="3"/>
        <v>0.2139142434739818</v>
      </c>
    </row>
    <row r="12" spans="1:17">
      <c r="A12" s="5">
        <v>0.37890000000000001</v>
      </c>
      <c r="B12" s="5">
        <v>11.033379199110207</v>
      </c>
      <c r="E12">
        <v>0.24</v>
      </c>
      <c r="F12" s="12">
        <v>7</v>
      </c>
      <c r="I12" s="7">
        <f t="shared" si="0"/>
        <v>6.3601438718816432</v>
      </c>
      <c r="M12" s="255">
        <v>5.5024875621890554E-2</v>
      </c>
      <c r="N12" s="7">
        <v>2.3988182980577211</v>
      </c>
      <c r="O12" s="247">
        <v>3.1814624149689981</v>
      </c>
      <c r="P12" s="246">
        <f t="shared" si="2"/>
        <v>2.173818298057721</v>
      </c>
      <c r="Q12" s="247">
        <f t="shared" si="3"/>
        <v>0.56276795865993057</v>
      </c>
    </row>
    <row r="13" spans="1:17">
      <c r="A13" s="5">
        <v>0.51200000000000001</v>
      </c>
      <c r="B13" s="5">
        <v>14.654214212549601</v>
      </c>
      <c r="E13">
        <v>0.39</v>
      </c>
      <c r="F13" s="12">
        <v>11</v>
      </c>
      <c r="I13" s="7">
        <f t="shared" si="0"/>
        <v>10.360143871881643</v>
      </c>
      <c r="M13" s="255">
        <v>6.8950000000000011E-2</v>
      </c>
      <c r="N13" s="7">
        <v>2.8044557578362701</v>
      </c>
      <c r="O13" s="5">
        <v>3.490519607495433</v>
      </c>
      <c r="P13" s="246">
        <f t="shared" si="2"/>
        <v>2.57945575783627</v>
      </c>
      <c r="Q13" s="247">
        <f t="shared" si="3"/>
        <v>0.8718251511863655</v>
      </c>
    </row>
    <row r="14" spans="1:17">
      <c r="A14" s="5">
        <v>0.65700000000000003</v>
      </c>
      <c r="B14" s="5">
        <v>17.46</v>
      </c>
      <c r="M14" s="6">
        <v>0.14180000000000001</v>
      </c>
      <c r="N14" s="246">
        <v>4.2696936291273504</v>
      </c>
      <c r="O14" s="5">
        <v>5.6210908663922972</v>
      </c>
      <c r="P14" s="246">
        <f t="shared" si="2"/>
        <v>4.0446936291273508</v>
      </c>
      <c r="Q14" s="247">
        <f t="shared" si="3"/>
        <v>3.0023964100832297</v>
      </c>
    </row>
    <row r="15" spans="1:17">
      <c r="M15" s="256">
        <v>0.23040000000000002</v>
      </c>
      <c r="N15" s="10">
        <v>6.2949027892889404</v>
      </c>
      <c r="O15" s="248">
        <v>8.3696102124220317</v>
      </c>
      <c r="P15" s="246">
        <f t="shared" si="2"/>
        <v>6.0699027892889408</v>
      </c>
      <c r="Q15" s="247">
        <f t="shared" si="3"/>
        <v>5.7509157561129642</v>
      </c>
    </row>
  </sheetData>
  <mergeCells count="5">
    <mergeCell ref="F6:H6"/>
    <mergeCell ref="I6:K6"/>
    <mergeCell ref="N6:O6"/>
    <mergeCell ref="P6:Q6"/>
    <mergeCell ref="B7:C7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tabSelected="1" topLeftCell="I1" zoomScale="85" zoomScaleNormal="85" workbookViewId="0">
      <selection activeCell="U54" sqref="U54"/>
    </sheetView>
  </sheetViews>
  <sheetFormatPr defaultColWidth="9" defaultRowHeight="15.75"/>
  <cols>
    <col min="1" max="1" width="20.42578125" style="444" customWidth="1"/>
    <col min="2" max="2" width="9" style="444"/>
    <col min="3" max="3" width="16.42578125" style="444" customWidth="1"/>
    <col min="4" max="4" width="12.42578125" style="472" customWidth="1"/>
    <col min="5" max="5" width="12.85546875" style="444" customWidth="1"/>
    <col min="6" max="9" width="9" style="444"/>
    <col min="10" max="10" width="21.42578125" style="444" customWidth="1"/>
    <col min="11" max="11" width="9" style="444"/>
    <col min="12" max="12" width="9" style="472"/>
    <col min="13" max="18" width="9" style="444"/>
    <col min="19" max="19" width="25.28515625" style="444" customWidth="1"/>
    <col min="20" max="20" width="9" style="444"/>
    <col min="21" max="21" width="16.140625" style="444" customWidth="1"/>
    <col min="22" max="22" width="13.42578125" style="444" customWidth="1"/>
    <col min="23" max="23" width="12" style="444" customWidth="1"/>
    <col min="24" max="27" width="9" style="444"/>
    <col min="28" max="28" width="14" style="444" customWidth="1"/>
    <col min="29" max="34" width="9" style="444"/>
    <col min="35" max="35" width="13" style="444" customWidth="1"/>
    <col min="36" max="36" width="15.140625" style="444" customWidth="1"/>
    <col min="37" max="16384" width="9" style="444"/>
  </cols>
  <sheetData>
    <row r="1" spans="1:14">
      <c r="A1" s="463">
        <v>42412</v>
      </c>
      <c r="B1" s="464" t="s">
        <v>138</v>
      </c>
      <c r="C1" s="464"/>
    </row>
    <row r="2" spans="1:14">
      <c r="A2" s="444" t="s">
        <v>139</v>
      </c>
      <c r="E2" s="465"/>
    </row>
    <row r="3" spans="1:14" ht="18.75">
      <c r="B3" s="351" t="s">
        <v>142</v>
      </c>
      <c r="C3" s="329" t="s">
        <v>143</v>
      </c>
      <c r="D3" s="440" t="s">
        <v>0</v>
      </c>
      <c r="E3" s="441" t="s">
        <v>1</v>
      </c>
      <c r="F3" s="441" t="s">
        <v>144</v>
      </c>
      <c r="G3" s="441" t="s">
        <v>59</v>
      </c>
      <c r="H3" s="442" t="s">
        <v>35</v>
      </c>
      <c r="N3" s="443"/>
    </row>
    <row r="4" spans="1:14">
      <c r="B4" s="329"/>
      <c r="C4" s="329">
        <v>1.06E-2</v>
      </c>
      <c r="D4" s="420">
        <v>15</v>
      </c>
      <c r="E4" s="473">
        <v>133</v>
      </c>
      <c r="F4" s="331">
        <v>21.678378235005049</v>
      </c>
      <c r="G4" s="329">
        <v>22.70199523500505</v>
      </c>
      <c r="H4" s="474">
        <f t="shared" ref="H4:H9" si="0">G4-F4</f>
        <v>1.0236170000000016</v>
      </c>
    </row>
    <row r="5" spans="1:14">
      <c r="B5" s="329"/>
      <c r="C5" s="329"/>
      <c r="D5" s="330">
        <v>15</v>
      </c>
      <c r="E5" s="331">
        <v>133</v>
      </c>
      <c r="F5" s="331">
        <v>21.67223151</v>
      </c>
      <c r="G5" s="329">
        <v>22.642086840000001</v>
      </c>
      <c r="H5" s="332">
        <f t="shared" si="0"/>
        <v>0.96985533000000146</v>
      </c>
    </row>
    <row r="6" spans="1:14">
      <c r="B6" s="329"/>
      <c r="C6" s="329"/>
      <c r="D6" s="333">
        <v>15</v>
      </c>
      <c r="E6" s="334">
        <v>133</v>
      </c>
      <c r="F6" s="334">
        <v>21.678378240000001</v>
      </c>
      <c r="G6" s="335">
        <v>22.650934410000001</v>
      </c>
      <c r="H6" s="336">
        <f t="shared" si="0"/>
        <v>0.97255617000000072</v>
      </c>
    </row>
    <row r="7" spans="1:14">
      <c r="B7" s="329"/>
      <c r="C7" s="329">
        <v>9.1999999999999998E-3</v>
      </c>
      <c r="D7" s="420">
        <v>15</v>
      </c>
      <c r="E7" s="473">
        <v>133</v>
      </c>
      <c r="F7" s="331">
        <v>21.849182809999999</v>
      </c>
      <c r="G7" s="329">
        <v>22.725881809999997</v>
      </c>
      <c r="H7" s="474">
        <f t="shared" si="0"/>
        <v>0.87669899999999856</v>
      </c>
    </row>
    <row r="8" spans="1:14">
      <c r="B8" s="329"/>
      <c r="C8" s="329"/>
      <c r="D8" s="330">
        <v>15</v>
      </c>
      <c r="E8" s="331">
        <v>133</v>
      </c>
      <c r="F8" s="331">
        <v>21.841266560000001</v>
      </c>
      <c r="G8" s="329">
        <v>22.664693929999999</v>
      </c>
      <c r="H8" s="332">
        <f t="shared" si="0"/>
        <v>0.82342736999999744</v>
      </c>
      <c r="I8" s="456"/>
      <c r="J8" s="456"/>
      <c r="K8" s="454"/>
    </row>
    <row r="9" spans="1:14">
      <c r="B9" s="329"/>
      <c r="C9" s="329"/>
      <c r="D9" s="333">
        <v>15</v>
      </c>
      <c r="E9" s="334">
        <v>133</v>
      </c>
      <c r="F9" s="334">
        <v>21.856419840000001</v>
      </c>
      <c r="G9" s="335">
        <v>22.691548740000002</v>
      </c>
      <c r="H9" s="336">
        <f t="shared" si="0"/>
        <v>0.83512890000000084</v>
      </c>
      <c r="I9" s="456"/>
      <c r="J9" s="456"/>
      <c r="K9" s="454"/>
    </row>
    <row r="10" spans="1:14">
      <c r="B10" s="329"/>
      <c r="C10" s="329"/>
      <c r="D10" s="476"/>
      <c r="E10" s="329"/>
      <c r="F10" s="329"/>
      <c r="G10" s="329"/>
      <c r="H10" s="329"/>
      <c r="I10" s="456"/>
      <c r="J10" s="456"/>
      <c r="K10" s="454"/>
    </row>
    <row r="11" spans="1:14">
      <c r="B11" s="329"/>
      <c r="C11" s="329"/>
      <c r="D11" s="476"/>
      <c r="E11" s="329"/>
      <c r="F11" s="329"/>
      <c r="G11" s="329"/>
      <c r="H11" s="329"/>
      <c r="I11" s="456"/>
      <c r="J11" s="456"/>
      <c r="K11" s="454"/>
    </row>
    <row r="12" spans="1:14" ht="18.75">
      <c r="B12" s="351" t="s">
        <v>145</v>
      </c>
      <c r="C12" s="329" t="s">
        <v>143</v>
      </c>
      <c r="D12" s="440" t="s">
        <v>0</v>
      </c>
      <c r="E12" s="441" t="s">
        <v>1</v>
      </c>
      <c r="F12" s="441" t="s">
        <v>144</v>
      </c>
      <c r="G12" s="441" t="s">
        <v>59</v>
      </c>
      <c r="H12" s="442" t="s">
        <v>35</v>
      </c>
      <c r="I12" s="456"/>
      <c r="J12" s="456"/>
      <c r="K12" s="454"/>
    </row>
    <row r="13" spans="1:14">
      <c r="B13" s="329"/>
      <c r="C13" s="329">
        <f>0.1009-0.0042</f>
        <v>9.6700000000000008E-2</v>
      </c>
      <c r="D13" s="420">
        <v>15</v>
      </c>
      <c r="E13" s="473">
        <v>133</v>
      </c>
      <c r="F13" s="331">
        <v>22.20215408</v>
      </c>
      <c r="G13" s="329">
        <v>23.227726560000001</v>
      </c>
      <c r="H13" s="474">
        <f>G13-F13</f>
        <v>1.025572480000001</v>
      </c>
      <c r="I13" s="456"/>
      <c r="J13" s="456"/>
      <c r="K13" s="454"/>
    </row>
    <row r="14" spans="1:14">
      <c r="B14" s="329"/>
      <c r="C14" s="329">
        <v>9.8400000000000001E-2</v>
      </c>
      <c r="D14" s="333">
        <v>15</v>
      </c>
      <c r="E14" s="334">
        <v>133</v>
      </c>
      <c r="F14" s="334">
        <v>22.20178155</v>
      </c>
      <c r="G14" s="335">
        <v>23.422883680000002</v>
      </c>
      <c r="H14" s="336">
        <f>G14-F14</f>
        <v>1.221102130000002</v>
      </c>
      <c r="I14" s="456"/>
      <c r="J14" s="456"/>
      <c r="K14" s="454"/>
    </row>
    <row r="18" spans="1:27">
      <c r="E18" s="466"/>
    </row>
    <row r="19" spans="1:27">
      <c r="A19" s="465" t="s">
        <v>163</v>
      </c>
      <c r="C19" s="351" t="s">
        <v>150</v>
      </c>
      <c r="M19" s="351"/>
      <c r="N19" s="475" t="s">
        <v>151</v>
      </c>
      <c r="O19" s="351"/>
      <c r="U19" s="329"/>
      <c r="V19" s="475" t="s">
        <v>152</v>
      </c>
      <c r="W19" s="329"/>
    </row>
    <row r="20" spans="1:27" ht="18.75">
      <c r="C20" s="329" t="s">
        <v>146</v>
      </c>
      <c r="D20" s="472" t="s">
        <v>73</v>
      </c>
      <c r="E20" s="444" t="s">
        <v>140</v>
      </c>
      <c r="F20" s="440" t="s">
        <v>0</v>
      </c>
      <c r="G20" s="441" t="s">
        <v>1</v>
      </c>
      <c r="H20" s="441" t="s">
        <v>141</v>
      </c>
      <c r="I20" s="441" t="s">
        <v>136</v>
      </c>
      <c r="J20" s="442" t="s">
        <v>137</v>
      </c>
      <c r="K20" s="329" t="s">
        <v>146</v>
      </c>
      <c r="L20" s="472" t="s">
        <v>74</v>
      </c>
      <c r="M20" s="444" t="s">
        <v>140</v>
      </c>
      <c r="N20" s="440" t="s">
        <v>0</v>
      </c>
      <c r="O20" s="441" t="s">
        <v>1</v>
      </c>
      <c r="P20" s="441" t="s">
        <v>141</v>
      </c>
      <c r="Q20" s="441" t="s">
        <v>136</v>
      </c>
      <c r="R20" s="442" t="s">
        <v>137</v>
      </c>
      <c r="S20" s="329" t="s">
        <v>146</v>
      </c>
      <c r="T20" s="444" t="s">
        <v>74</v>
      </c>
      <c r="U20" s="444" t="s">
        <v>140</v>
      </c>
      <c r="V20" s="440" t="s">
        <v>0</v>
      </c>
      <c r="W20" s="441" t="s">
        <v>1</v>
      </c>
      <c r="X20" s="441" t="s">
        <v>141</v>
      </c>
      <c r="Y20" s="441" t="s">
        <v>136</v>
      </c>
      <c r="Z20" s="442" t="s">
        <v>137</v>
      </c>
    </row>
    <row r="21" spans="1:27">
      <c r="C21" s="329" t="s">
        <v>147</v>
      </c>
      <c r="D21" s="472">
        <v>0.03</v>
      </c>
      <c r="E21" s="444">
        <f>0.0054</f>
        <v>5.4000000000000003E-3</v>
      </c>
      <c r="F21" s="445">
        <v>15</v>
      </c>
      <c r="G21" s="446">
        <v>133</v>
      </c>
      <c r="H21" s="452">
        <v>22.55046875</v>
      </c>
      <c r="I21" s="452">
        <v>24.528876750000002</v>
      </c>
      <c r="J21" s="447">
        <f t="shared" ref="J21" si="1">I21-H21</f>
        <v>1.9784080000000017</v>
      </c>
      <c r="K21" s="329" t="s">
        <v>153</v>
      </c>
      <c r="L21" s="472">
        <f>0.3*0.1</f>
        <v>0.03</v>
      </c>
      <c r="M21" s="444">
        <f>0.006-0.0005</f>
        <v>5.4999999999999997E-3</v>
      </c>
      <c r="N21" s="445">
        <v>15</v>
      </c>
      <c r="O21" s="446">
        <v>133</v>
      </c>
      <c r="P21" s="444">
        <v>22.2039236</v>
      </c>
      <c r="Q21" s="444">
        <v>23.901922599999999</v>
      </c>
      <c r="R21" s="455">
        <f t="shared" ref="R21" si="2">Q21-P21</f>
        <v>1.6979989999999994</v>
      </c>
      <c r="S21" s="444" t="s">
        <v>154</v>
      </c>
      <c r="T21" s="444">
        <f>0.3*0.1</f>
        <v>0.03</v>
      </c>
      <c r="U21" s="444">
        <f>0.0035</f>
        <v>3.5000000000000001E-3</v>
      </c>
      <c r="V21" s="453">
        <v>20</v>
      </c>
      <c r="W21" s="454">
        <v>100</v>
      </c>
      <c r="X21" s="444">
        <v>22.287415930000002</v>
      </c>
      <c r="Y21" s="444">
        <v>23.703493600000002</v>
      </c>
      <c r="Z21" s="455">
        <f t="shared" ref="Z21" si="3">Y21-X21</f>
        <v>1.41607767</v>
      </c>
    </row>
    <row r="22" spans="1:27">
      <c r="F22" s="448">
        <v>15</v>
      </c>
      <c r="G22" s="449">
        <v>133</v>
      </c>
      <c r="H22" s="450">
        <v>22.539013480000001</v>
      </c>
      <c r="I22" s="450">
        <v>24.445821339999998</v>
      </c>
      <c r="J22" s="451">
        <f>I22-H22</f>
        <v>1.9068078599999971</v>
      </c>
      <c r="N22" s="448">
        <v>15</v>
      </c>
      <c r="O22" s="449">
        <v>133</v>
      </c>
      <c r="P22" s="450">
        <v>22.20215408</v>
      </c>
      <c r="Q22" s="450">
        <v>23.83415269</v>
      </c>
      <c r="R22" s="451">
        <f>Q22-P22</f>
        <v>1.6319986100000001</v>
      </c>
      <c r="V22" s="448">
        <v>15</v>
      </c>
      <c r="W22" s="449">
        <v>133</v>
      </c>
      <c r="X22" s="450">
        <v>22.208021410000001</v>
      </c>
      <c r="Y22" s="450">
        <v>23.601099080000001</v>
      </c>
      <c r="Z22" s="451">
        <f>Y22-X22</f>
        <v>1.3930776700000003</v>
      </c>
    </row>
    <row r="23" spans="1:27">
      <c r="E23" s="457">
        <v>5.7000000000000002E-3</v>
      </c>
      <c r="F23" s="445">
        <v>15</v>
      </c>
      <c r="G23" s="446">
        <v>133</v>
      </c>
      <c r="H23" s="456">
        <v>22.21053599</v>
      </c>
      <c r="I23" s="456">
        <v>24.108375989999999</v>
      </c>
      <c r="J23" s="455">
        <f>I23-H23</f>
        <v>1.8978399999999986</v>
      </c>
      <c r="M23" s="444">
        <f>0.0072</f>
        <v>7.1999999999999998E-3</v>
      </c>
      <c r="N23" s="445">
        <v>15</v>
      </c>
      <c r="O23" s="446">
        <v>133</v>
      </c>
      <c r="P23" s="444">
        <v>22.199825780000001</v>
      </c>
      <c r="Q23" s="444">
        <v>23.817958780000001</v>
      </c>
      <c r="R23" s="455">
        <f t="shared" ref="R23" si="4">Q23-P23</f>
        <v>1.6181330000000003</v>
      </c>
      <c r="U23" s="444">
        <f>0.0057</f>
        <v>5.7000000000000002E-3</v>
      </c>
      <c r="V23" s="453">
        <v>20</v>
      </c>
      <c r="W23" s="454">
        <v>100</v>
      </c>
      <c r="X23" s="444">
        <v>22.203271669999999</v>
      </c>
      <c r="Y23" s="444">
        <v>23.709709600000004</v>
      </c>
      <c r="Z23" s="455">
        <f t="shared" ref="Z23" si="5">Y23-X23</f>
        <v>1.5064379300000041</v>
      </c>
    </row>
    <row r="24" spans="1:27">
      <c r="F24" s="448">
        <v>15</v>
      </c>
      <c r="G24" s="449">
        <v>133</v>
      </c>
      <c r="H24" s="450">
        <v>21.452066840000001</v>
      </c>
      <c r="I24" s="450">
        <v>23.253659290000002</v>
      </c>
      <c r="J24" s="451">
        <f t="shared" ref="J24" si="6">I24-H24</f>
        <v>1.8015924500000011</v>
      </c>
      <c r="N24" s="448">
        <v>15</v>
      </c>
      <c r="O24" s="449">
        <v>133</v>
      </c>
      <c r="P24" s="450">
        <v>22.207648890000002</v>
      </c>
      <c r="Q24" s="450">
        <v>23.826981499999999</v>
      </c>
      <c r="R24" s="451">
        <f>Q24-P24</f>
        <v>1.6193326099999972</v>
      </c>
      <c r="V24" s="448">
        <v>15</v>
      </c>
      <c r="W24" s="449">
        <v>133</v>
      </c>
      <c r="X24" s="450">
        <v>22.204202989999999</v>
      </c>
      <c r="Y24" s="450">
        <v>23.70124092</v>
      </c>
      <c r="Z24" s="451">
        <f>Y24-X24</f>
        <v>1.4970379300000012</v>
      </c>
    </row>
    <row r="27" spans="1:27" ht="18.75">
      <c r="C27" s="329" t="s">
        <v>148</v>
      </c>
      <c r="D27" s="472" t="s">
        <v>75</v>
      </c>
      <c r="E27" s="444" t="s">
        <v>140</v>
      </c>
      <c r="F27" s="440" t="s">
        <v>0</v>
      </c>
      <c r="G27" s="441" t="s">
        <v>1</v>
      </c>
      <c r="H27" s="441" t="s">
        <v>141</v>
      </c>
      <c r="I27" s="441" t="s">
        <v>136</v>
      </c>
      <c r="J27" s="442" t="s">
        <v>137</v>
      </c>
      <c r="K27" s="329" t="s">
        <v>146</v>
      </c>
      <c r="L27" s="472" t="s">
        <v>76</v>
      </c>
      <c r="M27" s="444" t="s">
        <v>140</v>
      </c>
      <c r="N27" s="440" t="s">
        <v>0</v>
      </c>
      <c r="O27" s="441" t="s">
        <v>1</v>
      </c>
      <c r="P27" s="441" t="s">
        <v>141</v>
      </c>
      <c r="Q27" s="441" t="s">
        <v>136</v>
      </c>
      <c r="R27" s="442" t="s">
        <v>137</v>
      </c>
      <c r="S27" s="329" t="s">
        <v>146</v>
      </c>
      <c r="T27" s="444" t="s">
        <v>76</v>
      </c>
      <c r="U27" s="444" t="s">
        <v>140</v>
      </c>
      <c r="V27" s="440" t="s">
        <v>0</v>
      </c>
      <c r="W27" s="441" t="s">
        <v>1</v>
      </c>
      <c r="X27" s="441" t="s">
        <v>141</v>
      </c>
      <c r="Y27" s="441" t="s">
        <v>136</v>
      </c>
      <c r="Z27" s="442" t="s">
        <v>137</v>
      </c>
    </row>
    <row r="28" spans="1:27">
      <c r="C28" s="329" t="s">
        <v>149</v>
      </c>
      <c r="D28" s="472">
        <f>0.3*0.3</f>
        <v>0.09</v>
      </c>
      <c r="E28" s="444">
        <f>0.0046</f>
        <v>4.5999999999999999E-3</v>
      </c>
      <c r="F28" s="445">
        <v>15</v>
      </c>
      <c r="G28" s="446">
        <v>133</v>
      </c>
      <c r="H28" s="452">
        <v>22.547674780000001</v>
      </c>
      <c r="I28" s="452">
        <v>26.30315684</v>
      </c>
      <c r="J28" s="447">
        <f t="shared" ref="J28" si="7">I28-H28</f>
        <v>3.7554820599999985</v>
      </c>
      <c r="K28" s="329" t="s">
        <v>153</v>
      </c>
      <c r="L28" s="472">
        <f>0.3*0.3</f>
        <v>0.09</v>
      </c>
      <c r="M28" s="444">
        <f>0.0057</f>
        <v>5.7000000000000002E-3</v>
      </c>
      <c r="N28" s="445">
        <v>15</v>
      </c>
      <c r="O28" s="446">
        <v>133</v>
      </c>
      <c r="P28" s="444">
        <v>22.884254779999999</v>
      </c>
      <c r="Q28" s="444">
        <v>25.87849327</v>
      </c>
      <c r="R28" s="455">
        <f t="shared" ref="R28" si="8">Q28-P28</f>
        <v>2.9942384900000008</v>
      </c>
      <c r="S28" s="444" t="s">
        <v>154</v>
      </c>
      <c r="T28" s="444">
        <f>0.3*0.3</f>
        <v>0.09</v>
      </c>
      <c r="U28" s="444">
        <f>0.0066</f>
        <v>6.6E-3</v>
      </c>
      <c r="V28" s="453">
        <v>20</v>
      </c>
      <c r="W28" s="454">
        <v>100</v>
      </c>
      <c r="X28" s="444">
        <v>25.516358790000002</v>
      </c>
      <c r="Y28" s="444">
        <v>27.630354029999999</v>
      </c>
      <c r="Z28" s="455">
        <f t="shared" ref="Z28" si="9">Y28-X28</f>
        <v>2.1139952399999977</v>
      </c>
    </row>
    <row r="29" spans="1:27">
      <c r="F29" s="448">
        <v>15</v>
      </c>
      <c r="G29" s="449">
        <v>133</v>
      </c>
      <c r="H29" s="450">
        <v>23.50576526</v>
      </c>
      <c r="I29" s="450">
        <v>27.289822239999999</v>
      </c>
      <c r="J29" s="451">
        <f>I29-H29</f>
        <v>3.784056979999999</v>
      </c>
      <c r="N29" s="448">
        <v>15</v>
      </c>
      <c r="O29" s="449">
        <v>133</v>
      </c>
      <c r="P29" s="450">
        <v>22.545346469999998</v>
      </c>
      <c r="Q29" s="450">
        <v>25.46254626</v>
      </c>
      <c r="R29" s="451">
        <f>Q29-P29</f>
        <v>2.9171997900000015</v>
      </c>
      <c r="V29" s="448">
        <v>15</v>
      </c>
      <c r="W29" s="449">
        <v>133</v>
      </c>
      <c r="X29" s="450">
        <v>24.752487970000001</v>
      </c>
      <c r="Y29" s="450">
        <v>26.846283209999999</v>
      </c>
      <c r="Z29" s="451">
        <f>Y29-X29</f>
        <v>2.0937952399999986</v>
      </c>
    </row>
    <row r="30" spans="1:27">
      <c r="E30" s="444">
        <f>0.0056</f>
        <v>5.5999999999999999E-3</v>
      </c>
      <c r="F30" s="445">
        <v>15</v>
      </c>
      <c r="G30" s="446">
        <v>133</v>
      </c>
      <c r="H30" s="452">
        <v>22.792426370000001</v>
      </c>
      <c r="I30" s="452">
        <v>26.404237259999999</v>
      </c>
      <c r="J30" s="447">
        <f t="shared" ref="J30" si="10">I30-H30</f>
        <v>3.6118108899999974</v>
      </c>
      <c r="M30" s="444">
        <f>0.0056</f>
        <v>5.5999999999999999E-3</v>
      </c>
      <c r="N30" s="445">
        <v>15</v>
      </c>
      <c r="O30" s="446">
        <v>133</v>
      </c>
      <c r="P30" s="444">
        <v>22.548047310000001</v>
      </c>
      <c r="Q30" s="444">
        <v>25.432193310000002</v>
      </c>
      <c r="R30" s="455">
        <f t="shared" ref="R30" si="11">Q30-P30</f>
        <v>2.8841460000000012</v>
      </c>
      <c r="U30" s="444">
        <f>0.0056</f>
        <v>5.5999999999999999E-3</v>
      </c>
      <c r="V30" s="453">
        <v>20</v>
      </c>
      <c r="W30" s="454">
        <v>100</v>
      </c>
      <c r="X30" s="444">
        <v>23.73557679</v>
      </c>
      <c r="Y30" s="444">
        <v>25.745440169999998</v>
      </c>
      <c r="Z30" s="455">
        <f t="shared" ref="Z30" si="12">Y30-X30</f>
        <v>2.0098633799999988</v>
      </c>
    </row>
    <row r="31" spans="1:27">
      <c r="F31" s="448">
        <v>15</v>
      </c>
      <c r="G31" s="449">
        <v>133</v>
      </c>
      <c r="H31" s="450">
        <v>22.55102754</v>
      </c>
      <c r="I31" s="450">
        <v>26.238032499999999</v>
      </c>
      <c r="J31" s="451">
        <f>I31-H31</f>
        <v>3.6870049599999994</v>
      </c>
      <c r="N31" s="448">
        <v>15</v>
      </c>
      <c r="O31" s="449">
        <v>133</v>
      </c>
      <c r="P31" s="450">
        <v>22.546277790000001</v>
      </c>
      <c r="Q31" s="450">
        <v>25.378024119999999</v>
      </c>
      <c r="R31" s="451">
        <f>Q31-P31</f>
        <v>2.8317463299999979</v>
      </c>
      <c r="V31" s="448">
        <v>15</v>
      </c>
      <c r="W31" s="449">
        <v>133</v>
      </c>
      <c r="X31" s="450">
        <v>23.741909790000001</v>
      </c>
      <c r="Y31" s="450">
        <v>25.683573169999999</v>
      </c>
      <c r="Z31" s="451">
        <f>Y31-X31</f>
        <v>1.9416633799999978</v>
      </c>
      <c r="AA31" s="444" t="s">
        <v>155</v>
      </c>
    </row>
    <row r="34" spans="3:26" ht="18.75">
      <c r="C34" s="329" t="s">
        <v>148</v>
      </c>
      <c r="D34" s="472" t="s">
        <v>28</v>
      </c>
      <c r="E34" s="444" t="s">
        <v>140</v>
      </c>
      <c r="F34" s="440" t="s">
        <v>0</v>
      </c>
      <c r="G34" s="441" t="s">
        <v>1</v>
      </c>
      <c r="H34" s="441" t="s">
        <v>141</v>
      </c>
      <c r="I34" s="441" t="s">
        <v>136</v>
      </c>
      <c r="J34" s="442" t="s">
        <v>137</v>
      </c>
      <c r="K34" s="329" t="s">
        <v>146</v>
      </c>
      <c r="L34" s="472" t="s">
        <v>77</v>
      </c>
      <c r="M34" s="444" t="s">
        <v>140</v>
      </c>
      <c r="N34" s="440" t="s">
        <v>0</v>
      </c>
      <c r="O34" s="441" t="s">
        <v>1</v>
      </c>
      <c r="P34" s="441" t="s">
        <v>141</v>
      </c>
      <c r="Q34" s="441" t="s">
        <v>136</v>
      </c>
      <c r="R34" s="442" t="s">
        <v>137</v>
      </c>
      <c r="S34" s="329" t="s">
        <v>146</v>
      </c>
      <c r="T34" s="444" t="s">
        <v>77</v>
      </c>
      <c r="U34" s="444" t="s">
        <v>140</v>
      </c>
      <c r="V34" s="440" t="s">
        <v>0</v>
      </c>
      <c r="W34" s="441" t="s">
        <v>1</v>
      </c>
      <c r="X34" s="441" t="s">
        <v>141</v>
      </c>
      <c r="Y34" s="441" t="s">
        <v>136</v>
      </c>
      <c r="Z34" s="442" t="s">
        <v>137</v>
      </c>
    </row>
    <row r="35" spans="3:26">
      <c r="C35" s="329" t="s">
        <v>149</v>
      </c>
      <c r="D35" s="472">
        <f>0.3*0.5</f>
        <v>0.15</v>
      </c>
      <c r="E35" s="444">
        <f>0.006-0.0014</f>
        <v>4.5999999999999999E-3</v>
      </c>
      <c r="F35" s="445">
        <v>15</v>
      </c>
      <c r="G35" s="446">
        <v>133</v>
      </c>
      <c r="H35" s="452">
        <v>22.389908720000001</v>
      </c>
      <c r="I35" s="452">
        <v>27.291778019999999</v>
      </c>
      <c r="J35" s="447">
        <f t="shared" ref="J35" si="13">I35-H35</f>
        <v>4.9018692999999978</v>
      </c>
      <c r="K35" s="329" t="s">
        <v>153</v>
      </c>
      <c r="L35" s="472">
        <f>0.3*0.5</f>
        <v>0.15</v>
      </c>
      <c r="M35" s="444">
        <f>0.0056</f>
        <v>5.5999999999999999E-3</v>
      </c>
      <c r="N35" s="445">
        <v>15</v>
      </c>
      <c r="O35" s="446">
        <v>133</v>
      </c>
      <c r="P35" s="444">
        <v>21.78951477</v>
      </c>
      <c r="Q35" s="444">
        <v>25.62299677</v>
      </c>
      <c r="R35" s="455">
        <f t="shared" ref="R35" si="14">Q35-P35</f>
        <v>3.8334820000000001</v>
      </c>
      <c r="S35" s="444" t="s">
        <v>154</v>
      </c>
      <c r="T35" s="444">
        <v>0.15</v>
      </c>
      <c r="U35" s="444">
        <f>0.0066</f>
        <v>6.6E-3</v>
      </c>
      <c r="V35" s="453">
        <v>20</v>
      </c>
      <c r="W35" s="454">
        <v>100</v>
      </c>
      <c r="X35" s="444">
        <v>25.516358790000002</v>
      </c>
      <c r="Y35" s="444">
        <v>27.930354030000004</v>
      </c>
      <c r="Z35" s="455">
        <f t="shared" ref="Z35" si="15">Y35-X35</f>
        <v>2.413995240000002</v>
      </c>
    </row>
    <row r="36" spans="3:26">
      <c r="F36" s="448">
        <v>15</v>
      </c>
      <c r="G36" s="449">
        <v>133</v>
      </c>
      <c r="H36" s="450">
        <v>22.214261279999999</v>
      </c>
      <c r="I36" s="450">
        <v>27.309080139999999</v>
      </c>
      <c r="J36" s="451">
        <f>I36-H36</f>
        <v>5.0948188600000002</v>
      </c>
      <c r="N36" s="448">
        <v>15</v>
      </c>
      <c r="O36" s="449">
        <v>133</v>
      </c>
      <c r="P36" s="450">
        <v>21.847506419999998</v>
      </c>
      <c r="Q36" s="450">
        <v>25.6585888</v>
      </c>
      <c r="R36" s="451">
        <f>Q36-P36</f>
        <v>3.811082380000002</v>
      </c>
      <c r="V36" s="448">
        <v>15</v>
      </c>
      <c r="W36" s="449">
        <v>133</v>
      </c>
      <c r="X36" s="450">
        <v>24.752487970000001</v>
      </c>
      <c r="Y36" s="450">
        <v>27.136283209999998</v>
      </c>
      <c r="Z36" s="451">
        <f>Y36-X36</f>
        <v>2.3837952399999978</v>
      </c>
    </row>
    <row r="37" spans="3:26">
      <c r="D37" s="472" t="s">
        <v>78</v>
      </c>
      <c r="E37" s="444">
        <f>0.0084-0.0018</f>
        <v>6.6E-3</v>
      </c>
      <c r="F37" s="445">
        <v>15</v>
      </c>
      <c r="G37" s="446">
        <v>133</v>
      </c>
      <c r="H37" s="452">
        <v>22.882857789999999</v>
      </c>
      <c r="I37" s="452">
        <v>27.55755344</v>
      </c>
      <c r="J37" s="447">
        <f t="shared" ref="J37" si="16">I37-H37</f>
        <v>4.6746956500000003</v>
      </c>
      <c r="M37" s="444">
        <f>0.0065</f>
        <v>6.4999999999999997E-3</v>
      </c>
      <c r="N37" s="445">
        <v>15</v>
      </c>
      <c r="O37" s="446">
        <v>133</v>
      </c>
      <c r="P37" s="444">
        <v>22.206065639999998</v>
      </c>
      <c r="Q37" s="444">
        <v>26.277912639999997</v>
      </c>
      <c r="R37" s="455">
        <f t="shared" ref="R37" si="17">Q37-P37</f>
        <v>4.0718469999999982</v>
      </c>
      <c r="U37" s="444">
        <f>0.0058</f>
        <v>5.7999999999999996E-3</v>
      </c>
      <c r="V37" s="453">
        <v>20</v>
      </c>
      <c r="W37" s="454">
        <v>100</v>
      </c>
      <c r="X37" s="444">
        <v>23.73557679</v>
      </c>
      <c r="Y37" s="444">
        <v>26.027840169999997</v>
      </c>
      <c r="Z37" s="455">
        <f t="shared" ref="Z37" si="18">Y37-X37</f>
        <v>2.2922633799999979</v>
      </c>
    </row>
    <row r="38" spans="3:26">
      <c r="F38" s="448">
        <v>15</v>
      </c>
      <c r="G38" s="449">
        <v>133</v>
      </c>
      <c r="H38" s="450">
        <v>22.88071575</v>
      </c>
      <c r="I38" s="450">
        <v>27.641030140000002</v>
      </c>
      <c r="J38" s="451">
        <f>I38-H38</f>
        <v>4.7603143900000013</v>
      </c>
      <c r="N38" s="448">
        <v>15</v>
      </c>
      <c r="O38" s="449">
        <v>133</v>
      </c>
      <c r="P38" s="450">
        <v>22.21044285</v>
      </c>
      <c r="Q38" s="450">
        <v>25.916289710000001</v>
      </c>
      <c r="R38" s="451">
        <f>Q38-P38</f>
        <v>3.7058468600000012</v>
      </c>
      <c r="V38" s="448">
        <v>15</v>
      </c>
      <c r="W38" s="449">
        <v>133</v>
      </c>
      <c r="X38" s="450">
        <v>23.741909790000001</v>
      </c>
      <c r="Y38" s="450">
        <v>25.923573170000001</v>
      </c>
      <c r="Z38" s="451">
        <f>Y38-X38</f>
        <v>2.1816633799999998</v>
      </c>
    </row>
    <row r="40" spans="3:26" ht="18.75">
      <c r="C40" s="329" t="s">
        <v>146</v>
      </c>
      <c r="D40" s="472" t="s">
        <v>51</v>
      </c>
      <c r="E40" s="444" t="s">
        <v>140</v>
      </c>
      <c r="F40" s="440" t="s">
        <v>0</v>
      </c>
      <c r="G40" s="441" t="s">
        <v>1</v>
      </c>
      <c r="H40" s="441" t="s">
        <v>141</v>
      </c>
      <c r="I40" s="441" t="s">
        <v>136</v>
      </c>
      <c r="J40" s="442" t="s">
        <v>137</v>
      </c>
      <c r="K40" s="329" t="s">
        <v>146</v>
      </c>
      <c r="L40" s="472" t="s">
        <v>79</v>
      </c>
      <c r="M40" s="444" t="s">
        <v>140</v>
      </c>
      <c r="N40" s="440" t="s">
        <v>0</v>
      </c>
      <c r="O40" s="441" t="s">
        <v>1</v>
      </c>
      <c r="P40" s="441" t="s">
        <v>141</v>
      </c>
      <c r="Q40" s="441" t="s">
        <v>136</v>
      </c>
      <c r="R40" s="442" t="s">
        <v>137</v>
      </c>
      <c r="S40" s="329" t="s">
        <v>146</v>
      </c>
      <c r="T40" s="444" t="s">
        <v>79</v>
      </c>
      <c r="U40" s="444" t="s">
        <v>140</v>
      </c>
      <c r="V40" s="440" t="s">
        <v>0</v>
      </c>
      <c r="W40" s="441" t="s">
        <v>1</v>
      </c>
      <c r="X40" s="441" t="s">
        <v>141</v>
      </c>
      <c r="Y40" s="441" t="s">
        <v>136</v>
      </c>
      <c r="Z40" s="442" t="s">
        <v>137</v>
      </c>
    </row>
    <row r="41" spans="3:26">
      <c r="C41" s="329" t="s">
        <v>147</v>
      </c>
      <c r="D41" s="472">
        <f>0.3*0.8</f>
        <v>0.24</v>
      </c>
      <c r="E41" s="444">
        <f>0.0059</f>
        <v>5.8999999999999999E-3</v>
      </c>
      <c r="F41" s="445">
        <v>15</v>
      </c>
      <c r="G41" s="446">
        <v>133</v>
      </c>
      <c r="H41" s="452">
        <v>22.199918910000001</v>
      </c>
      <c r="I41" s="452">
        <v>30.747338910000003</v>
      </c>
      <c r="J41" s="447">
        <f t="shared" ref="J41" si="19">I41-H41</f>
        <v>8.5474200000000025</v>
      </c>
      <c r="K41" s="329" t="s">
        <v>153</v>
      </c>
      <c r="L41" s="472">
        <f>0.3*0.8</f>
        <v>0.24</v>
      </c>
      <c r="M41" s="444">
        <f>0.0056</f>
        <v>5.5999999999999999E-3</v>
      </c>
      <c r="N41" s="445">
        <v>15</v>
      </c>
      <c r="O41" s="446">
        <v>133</v>
      </c>
      <c r="P41" s="444">
        <v>22.537243960000001</v>
      </c>
      <c r="Q41" s="444">
        <v>27.82883288</v>
      </c>
      <c r="R41" s="455">
        <f t="shared" ref="R41" si="20">Q41-P41</f>
        <v>5.2915889199999988</v>
      </c>
      <c r="S41" s="444" t="s">
        <v>154</v>
      </c>
      <c r="T41" s="444">
        <v>0.24</v>
      </c>
      <c r="U41" s="444">
        <f>0.006</f>
        <v>6.0000000000000001E-3</v>
      </c>
      <c r="V41" s="453">
        <v>20</v>
      </c>
      <c r="W41" s="454">
        <v>100</v>
      </c>
      <c r="X41" s="444">
        <v>24.41525605</v>
      </c>
      <c r="Y41" s="444">
        <v>27.296309270000002</v>
      </c>
      <c r="Z41" s="455">
        <f t="shared" ref="Z41" si="21">Y41-X41</f>
        <v>2.8810532200000019</v>
      </c>
    </row>
    <row r="42" spans="3:26">
      <c r="F42" s="448">
        <v>15</v>
      </c>
      <c r="G42" s="449">
        <v>133</v>
      </c>
      <c r="H42" s="450">
        <v>22.88304406</v>
      </c>
      <c r="I42" s="450">
        <v>31.347786299999999</v>
      </c>
      <c r="J42" s="451">
        <f>I42-H42</f>
        <v>8.4647422399999996</v>
      </c>
      <c r="N42" s="448">
        <v>15</v>
      </c>
      <c r="O42" s="449">
        <v>133</v>
      </c>
      <c r="P42" s="450">
        <v>22.544042619999999</v>
      </c>
      <c r="Q42" s="450">
        <v>28.19024031</v>
      </c>
      <c r="R42" s="451">
        <f>Q42-P42</f>
        <v>5.646197690000001</v>
      </c>
      <c r="V42" s="448">
        <v>15</v>
      </c>
      <c r="W42" s="449">
        <v>133</v>
      </c>
      <c r="X42" s="450">
        <v>24.417770619999999</v>
      </c>
      <c r="Y42" s="450">
        <v>27.23682384</v>
      </c>
      <c r="Z42" s="451">
        <f>Y42-X42</f>
        <v>2.8190532200000007</v>
      </c>
    </row>
    <row r="43" spans="3:26">
      <c r="E43" s="444">
        <f>0.0079</f>
        <v>7.9000000000000008E-3</v>
      </c>
      <c r="F43" s="445">
        <v>15</v>
      </c>
      <c r="G43" s="446">
        <v>133</v>
      </c>
      <c r="H43" s="452">
        <v>22.886769350000002</v>
      </c>
      <c r="I43" s="452">
        <v>31.470683350000002</v>
      </c>
      <c r="J43" s="447">
        <f t="shared" ref="J43" si="22">I43-H43</f>
        <v>8.583914</v>
      </c>
      <c r="M43" s="444">
        <f>0.0072</f>
        <v>7.1999999999999998E-3</v>
      </c>
      <c r="N43" s="445">
        <v>15</v>
      </c>
      <c r="O43" s="446">
        <v>133</v>
      </c>
      <c r="P43" s="444">
        <v>22.207648890000002</v>
      </c>
      <c r="Q43" s="444">
        <v>27.487037480000001</v>
      </c>
      <c r="R43" s="455">
        <f t="shared" ref="R43" si="23">Q43-P43</f>
        <v>5.2793885899999999</v>
      </c>
      <c r="U43" s="444">
        <f>0.0071</f>
        <v>7.1000000000000004E-3</v>
      </c>
      <c r="V43" s="453">
        <v>20</v>
      </c>
      <c r="W43" s="454">
        <v>100</v>
      </c>
      <c r="X43" s="444">
        <v>23.72868501</v>
      </c>
      <c r="Y43" s="444">
        <v>26.589237609999998</v>
      </c>
      <c r="Z43" s="455">
        <f t="shared" ref="Z43" si="24">Y43-X43</f>
        <v>2.8605525999999983</v>
      </c>
    </row>
    <row r="44" spans="3:26">
      <c r="F44" s="448">
        <v>15</v>
      </c>
      <c r="G44" s="449">
        <v>133</v>
      </c>
      <c r="H44" s="450">
        <v>22.552331389999999</v>
      </c>
      <c r="I44" s="450">
        <v>30.9862453</v>
      </c>
      <c r="J44" s="451">
        <f>I44-H44</f>
        <v>8.4339139100000011</v>
      </c>
      <c r="N44" s="448">
        <v>15</v>
      </c>
      <c r="O44" s="449">
        <v>133</v>
      </c>
      <c r="P44" s="450">
        <v>22.409280240000001</v>
      </c>
      <c r="Q44" s="450">
        <v>27.84900369</v>
      </c>
      <c r="R44" s="451">
        <f>Q44-P44</f>
        <v>5.4397234499999989</v>
      </c>
      <c r="V44" s="448">
        <v>15</v>
      </c>
      <c r="W44" s="449">
        <v>133</v>
      </c>
      <c r="X44" s="450">
        <v>23.732782820000001</v>
      </c>
      <c r="Y44" s="450">
        <v>26.578135419999999</v>
      </c>
      <c r="Z44" s="451">
        <f>Y44-X44</f>
        <v>2.8453525999999982</v>
      </c>
    </row>
    <row r="46" spans="3:26" ht="18.75">
      <c r="C46" s="329"/>
      <c r="K46" s="329" t="s">
        <v>146</v>
      </c>
      <c r="L46" s="472" t="s">
        <v>80</v>
      </c>
      <c r="M46" s="444" t="s">
        <v>140</v>
      </c>
      <c r="N46" s="440" t="s">
        <v>0</v>
      </c>
      <c r="O46" s="441" t="s">
        <v>1</v>
      </c>
      <c r="P46" s="441" t="s">
        <v>141</v>
      </c>
      <c r="Q46" s="441" t="s">
        <v>136</v>
      </c>
      <c r="R46" s="442" t="s">
        <v>137</v>
      </c>
      <c r="S46" s="329" t="s">
        <v>146</v>
      </c>
      <c r="T46" s="444" t="s">
        <v>80</v>
      </c>
      <c r="U46" s="444" t="s">
        <v>140</v>
      </c>
      <c r="V46" s="440" t="s">
        <v>0</v>
      </c>
      <c r="W46" s="441" t="s">
        <v>1</v>
      </c>
      <c r="X46" s="441" t="s">
        <v>141</v>
      </c>
      <c r="Y46" s="441" t="s">
        <v>136</v>
      </c>
      <c r="Z46" s="442" t="s">
        <v>137</v>
      </c>
    </row>
    <row r="47" spans="3:26">
      <c r="C47" s="329"/>
      <c r="K47" s="329" t="s">
        <v>153</v>
      </c>
      <c r="L47" s="472">
        <f>0.3*1.3</f>
        <v>0.39</v>
      </c>
      <c r="M47" s="444">
        <f>0.0079</f>
        <v>7.9000000000000008E-3</v>
      </c>
      <c r="N47" s="445">
        <v>15</v>
      </c>
      <c r="O47" s="446">
        <v>133</v>
      </c>
      <c r="P47" s="444">
        <v>22.895337520000002</v>
      </c>
      <c r="Q47" s="444">
        <v>30.717255810000001</v>
      </c>
      <c r="R47" s="455">
        <f t="shared" ref="R47" si="25">Q47-P47</f>
        <v>7.8219182899999993</v>
      </c>
      <c r="S47" s="444" t="s">
        <v>154</v>
      </c>
      <c r="T47" s="444">
        <f>0.3*1.3</f>
        <v>0.39</v>
      </c>
      <c r="U47" s="444">
        <f>0.007</f>
        <v>7.0000000000000001E-3</v>
      </c>
      <c r="V47" s="453">
        <v>20</v>
      </c>
      <c r="W47" s="454">
        <v>100</v>
      </c>
      <c r="X47" s="444">
        <v>24.0742057</v>
      </c>
      <c r="Y47" s="444">
        <v>29.18863533</v>
      </c>
      <c r="Z47" s="455">
        <f t="shared" ref="Z47" si="26">Y47-X47</f>
        <v>5.1144296300000001</v>
      </c>
    </row>
    <row r="48" spans="3:26">
      <c r="N48" s="448">
        <v>15</v>
      </c>
      <c r="O48" s="449">
        <v>133</v>
      </c>
      <c r="P48" s="450">
        <v>22.895523780000001</v>
      </c>
      <c r="Q48" s="450">
        <v>30.776257139999998</v>
      </c>
      <c r="R48" s="451">
        <f>Q48-P48</f>
        <v>7.8807333599999971</v>
      </c>
      <c r="V48" s="448">
        <v>15</v>
      </c>
      <c r="W48" s="449">
        <v>133</v>
      </c>
      <c r="X48" s="450">
        <v>23.739208949999998</v>
      </c>
      <c r="Y48" s="450">
        <v>28.829638580000001</v>
      </c>
      <c r="Z48" s="451">
        <f>Y48-X48</f>
        <v>5.0904296300000027</v>
      </c>
    </row>
    <row r="49" spans="1:38">
      <c r="M49" s="444">
        <f>0.0072</f>
        <v>7.1999999999999998E-3</v>
      </c>
      <c r="N49" s="453">
        <v>20</v>
      </c>
      <c r="O49" s="454">
        <v>100</v>
      </c>
      <c r="P49" s="444">
        <v>22.895337520000002</v>
      </c>
      <c r="Q49" s="444">
        <v>30.217255810000001</v>
      </c>
      <c r="R49" s="455">
        <f t="shared" ref="R49" si="27">Q49-P49</f>
        <v>7.3219182899999993</v>
      </c>
      <c r="U49" s="444">
        <f>0.0073</f>
        <v>7.3000000000000001E-3</v>
      </c>
      <c r="V49" s="453">
        <v>20</v>
      </c>
      <c r="W49" s="454">
        <v>100</v>
      </c>
      <c r="X49" s="444">
        <v>25.01623854</v>
      </c>
      <c r="Y49" s="444">
        <v>29.743163679999999</v>
      </c>
      <c r="Z49" s="455">
        <f t="shared" ref="Z49" si="28">Y49-X49</f>
        <v>4.7269251399999987</v>
      </c>
    </row>
    <row r="50" spans="1:38">
      <c r="C50" s="329"/>
      <c r="N50" s="448">
        <v>15</v>
      </c>
      <c r="O50" s="449">
        <v>133</v>
      </c>
      <c r="P50" s="450">
        <v>22.79552378</v>
      </c>
      <c r="Q50" s="450">
        <v>30.276257139999998</v>
      </c>
      <c r="R50" s="451">
        <f>Q50-P50</f>
        <v>7.4807333599999986</v>
      </c>
      <c r="V50" s="448">
        <v>15</v>
      </c>
      <c r="W50" s="449">
        <v>133</v>
      </c>
      <c r="X50" s="450">
        <v>24.750718460000002</v>
      </c>
      <c r="Y50" s="450">
        <v>29.440043599999999</v>
      </c>
      <c r="Z50" s="451">
        <f>Y50-X50</f>
        <v>4.6893251399999976</v>
      </c>
    </row>
    <row r="51" spans="1:38">
      <c r="C51" s="329"/>
    </row>
    <row r="53" spans="1:38">
      <c r="A53" s="477" t="s">
        <v>158</v>
      </c>
      <c r="B53" s="478"/>
      <c r="C53" s="478"/>
      <c r="D53" s="479"/>
      <c r="AE53" s="478" t="s">
        <v>185</v>
      </c>
      <c r="AF53" s="478" t="s">
        <v>164</v>
      </c>
      <c r="AG53" s="478"/>
      <c r="AH53" s="478"/>
      <c r="AI53" s="478"/>
      <c r="AJ53" s="444" t="s">
        <v>139</v>
      </c>
    </row>
    <row r="54" spans="1:38">
      <c r="A54" s="444" t="s">
        <v>139</v>
      </c>
      <c r="J54" s="477" t="s">
        <v>159</v>
      </c>
      <c r="K54" s="478"/>
      <c r="L54" s="479"/>
      <c r="M54" s="444" t="s">
        <v>139</v>
      </c>
      <c r="S54" s="492" t="s">
        <v>171</v>
      </c>
      <c r="T54" s="465"/>
      <c r="U54" s="444" t="s">
        <v>139</v>
      </c>
      <c r="V54" s="465"/>
      <c r="W54" s="465"/>
      <c r="X54" s="465"/>
      <c r="Y54" s="465"/>
    </row>
    <row r="55" spans="1:38">
      <c r="A55" s="465" t="s">
        <v>156</v>
      </c>
      <c r="J55" s="465" t="s">
        <v>156</v>
      </c>
      <c r="S55" s="465" t="s">
        <v>156</v>
      </c>
      <c r="T55" s="465" t="s">
        <v>173</v>
      </c>
      <c r="U55" s="493"/>
      <c r="V55" s="465"/>
      <c r="W55" s="465"/>
      <c r="X55" s="465"/>
      <c r="Y55" s="465"/>
      <c r="AF55" s="465" t="s">
        <v>156</v>
      </c>
    </row>
    <row r="56" spans="1:38">
      <c r="A56" s="351" t="s">
        <v>150</v>
      </c>
      <c r="B56" s="472"/>
      <c r="J56" s="351" t="s">
        <v>160</v>
      </c>
      <c r="S56" s="351" t="s">
        <v>172</v>
      </c>
      <c r="U56" s="472"/>
      <c r="AF56" s="351" t="s">
        <v>161</v>
      </c>
    </row>
    <row r="57" spans="1:38" ht="18.75">
      <c r="C57" s="444" t="s">
        <v>140</v>
      </c>
      <c r="D57" s="440" t="s">
        <v>0</v>
      </c>
      <c r="E57" s="441" t="s">
        <v>1</v>
      </c>
      <c r="F57" s="441" t="s">
        <v>141</v>
      </c>
      <c r="G57" s="441" t="s">
        <v>136</v>
      </c>
      <c r="H57" s="442" t="s">
        <v>137</v>
      </c>
      <c r="I57" s="472"/>
      <c r="L57" s="444" t="s">
        <v>140</v>
      </c>
      <c r="M57" s="440" t="s">
        <v>0</v>
      </c>
      <c r="N57" s="441" t="s">
        <v>1</v>
      </c>
      <c r="O57" s="441" t="s">
        <v>141</v>
      </c>
      <c r="P57" s="441" t="s">
        <v>136</v>
      </c>
      <c r="Q57" s="442" t="s">
        <v>137</v>
      </c>
      <c r="U57" s="444" t="s">
        <v>140</v>
      </c>
      <c r="V57" s="440" t="s">
        <v>0</v>
      </c>
      <c r="W57" s="441" t="s">
        <v>1</v>
      </c>
      <c r="X57" s="441" t="s">
        <v>141</v>
      </c>
      <c r="Y57" s="441" t="s">
        <v>136</v>
      </c>
      <c r="Z57" s="442" t="s">
        <v>137</v>
      </c>
      <c r="AF57" s="480"/>
      <c r="AG57" s="480" t="s">
        <v>140</v>
      </c>
      <c r="AH57" s="481" t="s">
        <v>0</v>
      </c>
      <c r="AI57" s="482" t="s">
        <v>1</v>
      </c>
      <c r="AJ57" s="482" t="s">
        <v>165</v>
      </c>
      <c r="AK57" s="482" t="s">
        <v>166</v>
      </c>
      <c r="AL57" s="483" t="s">
        <v>167</v>
      </c>
    </row>
    <row r="58" spans="1:38">
      <c r="A58" s="329" t="s">
        <v>148</v>
      </c>
      <c r="B58" s="444">
        <v>0.5</v>
      </c>
      <c r="C58" s="444">
        <v>6.7999999999999996E-3</v>
      </c>
      <c r="D58" s="445">
        <v>15</v>
      </c>
      <c r="E58" s="446">
        <v>133</v>
      </c>
      <c r="F58" s="452">
        <v>23.20407097</v>
      </c>
      <c r="G58" s="452">
        <v>29.18970946</v>
      </c>
      <c r="H58" s="447">
        <f t="shared" ref="H58" si="29">G58-F58</f>
        <v>5.9856384899999995</v>
      </c>
      <c r="I58" s="472"/>
      <c r="J58" s="329" t="s">
        <v>148</v>
      </c>
      <c r="K58" s="444">
        <v>0.5</v>
      </c>
      <c r="L58" s="444">
        <v>5.3E-3</v>
      </c>
      <c r="M58" s="445">
        <v>15</v>
      </c>
      <c r="N58" s="446">
        <v>133</v>
      </c>
      <c r="O58" s="452">
        <v>24.416280499999999</v>
      </c>
      <c r="P58" s="452">
        <v>28.24602346</v>
      </c>
      <c r="Q58" s="447">
        <f t="shared" ref="Q58" si="30">P58-O58</f>
        <v>3.8297429600000008</v>
      </c>
      <c r="S58" s="329" t="s">
        <v>148</v>
      </c>
      <c r="T58" s="444">
        <v>0.3</v>
      </c>
      <c r="U58" s="444">
        <v>9.5999999999999992E-3</v>
      </c>
      <c r="V58" s="445">
        <v>15</v>
      </c>
      <c r="W58" s="446">
        <v>133</v>
      </c>
      <c r="X58" s="452">
        <v>24.315428050000001</v>
      </c>
      <c r="Y58" s="452">
        <v>27.400248050000002</v>
      </c>
      <c r="Z58" s="447">
        <f t="shared" ref="Z58" si="31">Y58-X58</f>
        <v>3.0848200000000006</v>
      </c>
      <c r="AE58" s="329" t="s">
        <v>148</v>
      </c>
      <c r="AF58" s="444">
        <v>0.3</v>
      </c>
      <c r="AG58" s="480">
        <f>0.0097</f>
        <v>9.7000000000000003E-3</v>
      </c>
      <c r="AH58" s="484">
        <v>15</v>
      </c>
      <c r="AI58" s="485">
        <v>133</v>
      </c>
      <c r="AJ58" s="486">
        <v>23.720955029999999</v>
      </c>
      <c r="AK58" s="486">
        <v>24.760311080000001</v>
      </c>
      <c r="AL58" s="487">
        <f t="shared" ref="AL58" si="32">AK58-AJ58</f>
        <v>1.0393560500000021</v>
      </c>
    </row>
    <row r="59" spans="1:38">
      <c r="A59" s="329" t="s">
        <v>149</v>
      </c>
      <c r="B59" s="444">
        <v>0.15</v>
      </c>
      <c r="D59" s="448">
        <v>15</v>
      </c>
      <c r="E59" s="449">
        <v>133</v>
      </c>
      <c r="F59" s="450">
        <v>23.297668890000001</v>
      </c>
      <c r="G59" s="450">
        <v>29.2396086</v>
      </c>
      <c r="H59" s="451">
        <f>G59-F59</f>
        <v>5.9419397099999998</v>
      </c>
      <c r="I59" s="472"/>
      <c r="J59" s="329" t="s">
        <v>153</v>
      </c>
      <c r="K59" s="444">
        <v>0.15</v>
      </c>
      <c r="L59" s="444"/>
      <c r="M59" s="448">
        <v>15</v>
      </c>
      <c r="N59" s="449">
        <v>133</v>
      </c>
      <c r="O59" s="450">
        <v>25.43365734</v>
      </c>
      <c r="P59" s="450">
        <v>29.318261339999999</v>
      </c>
      <c r="Q59" s="451">
        <f>P59-O59</f>
        <v>3.8846039999999995</v>
      </c>
      <c r="S59" s="329" t="s">
        <v>147</v>
      </c>
      <c r="T59" s="444">
        <v>0.09</v>
      </c>
      <c r="V59" s="448">
        <v>15</v>
      </c>
      <c r="W59" s="449">
        <v>133</v>
      </c>
      <c r="X59" s="450">
        <v>24.034335760000001</v>
      </c>
      <c r="Y59" s="450">
        <v>27.11826134</v>
      </c>
      <c r="Z59" s="451">
        <f>Y59-X59</f>
        <v>3.0839255799999989</v>
      </c>
      <c r="AE59" s="329" t="s">
        <v>162</v>
      </c>
      <c r="AF59" s="444">
        <v>0.09</v>
      </c>
      <c r="AG59" s="480"/>
      <c r="AH59" s="488">
        <v>15</v>
      </c>
      <c r="AI59" s="489">
        <v>133</v>
      </c>
      <c r="AJ59" s="490">
        <v>23.739302080000002</v>
      </c>
      <c r="AK59" s="490">
        <v>25.441107930000001</v>
      </c>
      <c r="AL59" s="491">
        <f>AK59-AJ59</f>
        <v>1.7018058499999995</v>
      </c>
    </row>
    <row r="60" spans="1:38">
      <c r="A60" s="329" t="s">
        <v>148</v>
      </c>
      <c r="B60" s="444">
        <v>0.8</v>
      </c>
      <c r="C60" s="444">
        <v>6.1999999999999998E-3</v>
      </c>
      <c r="D60" s="445">
        <v>15</v>
      </c>
      <c r="E60" s="446">
        <v>133</v>
      </c>
      <c r="F60" s="452">
        <v>25.092979526101313</v>
      </c>
      <c r="G60" s="452">
        <v>33.617034769999997</v>
      </c>
      <c r="H60" s="447">
        <f t="shared" ref="H60" si="33">G60-F60</f>
        <v>8.5240552438986832</v>
      </c>
      <c r="I60" s="472"/>
      <c r="J60" s="329" t="s">
        <v>148</v>
      </c>
      <c r="K60" s="444">
        <v>0.8</v>
      </c>
      <c r="L60" s="444">
        <v>5.7000000000000002E-3</v>
      </c>
      <c r="M60" s="445">
        <v>15</v>
      </c>
      <c r="N60" s="446">
        <v>133</v>
      </c>
      <c r="O60" s="452">
        <v>24.082028810000001</v>
      </c>
      <c r="P60" s="452">
        <v>29.640558339999998</v>
      </c>
      <c r="Q60" s="447">
        <f t="shared" ref="Q60" si="34">P60-O60</f>
        <v>5.5585295299999977</v>
      </c>
      <c r="U60" s="444">
        <v>1.01E-2</v>
      </c>
      <c r="V60" s="445">
        <v>15</v>
      </c>
      <c r="W60" s="446">
        <v>133</v>
      </c>
      <c r="X60" s="452">
        <v>24.415820060000001</v>
      </c>
      <c r="Y60" s="452">
        <v>27.517318060000001</v>
      </c>
      <c r="Z60" s="447">
        <f t="shared" ref="Z60" si="35">Y60-X60</f>
        <v>3.1014979999999994</v>
      </c>
      <c r="AE60" s="329" t="s">
        <v>148</v>
      </c>
      <c r="AF60" s="444">
        <v>0.3</v>
      </c>
      <c r="AG60" s="480">
        <f>0.0095</f>
        <v>9.4999999999999998E-3</v>
      </c>
      <c r="AH60" s="484">
        <v>15</v>
      </c>
      <c r="AI60" s="485">
        <v>133</v>
      </c>
      <c r="AJ60" s="486">
        <v>24.75472315</v>
      </c>
      <c r="AK60" s="486">
        <v>25.396404440000001</v>
      </c>
      <c r="AL60" s="487">
        <f t="shared" ref="AL60" si="36">AK60-AJ60</f>
        <v>0.64168129000000107</v>
      </c>
    </row>
    <row r="61" spans="1:38">
      <c r="A61" s="329" t="s">
        <v>149</v>
      </c>
      <c r="B61" s="444">
        <v>0.24</v>
      </c>
      <c r="D61" s="448">
        <v>15</v>
      </c>
      <c r="E61" s="449">
        <v>133</v>
      </c>
      <c r="F61" s="450">
        <v>23.55946368</v>
      </c>
      <c r="G61" s="450">
        <v>32.112368949999997</v>
      </c>
      <c r="H61" s="451">
        <f>G61-F61</f>
        <v>8.5529052699999966</v>
      </c>
      <c r="I61" s="472"/>
      <c r="J61" s="329" t="s">
        <v>153</v>
      </c>
      <c r="K61" s="444">
        <v>0.24</v>
      </c>
      <c r="L61" s="444"/>
      <c r="M61" s="448">
        <v>15</v>
      </c>
      <c r="N61" s="449">
        <v>133</v>
      </c>
      <c r="O61" s="450">
        <v>24.078862310000002</v>
      </c>
      <c r="P61" s="450">
        <v>29.308968589999999</v>
      </c>
      <c r="Q61" s="451">
        <f>P61-O61</f>
        <v>5.2301062799999976</v>
      </c>
      <c r="V61" s="448">
        <v>15</v>
      </c>
      <c r="W61" s="449">
        <v>133</v>
      </c>
      <c r="X61" s="450">
        <v>25.156205780000001</v>
      </c>
      <c r="Y61" s="450">
        <v>28.318261339999999</v>
      </c>
      <c r="Z61" s="451">
        <f>Y61-X61</f>
        <v>3.1620555599999989</v>
      </c>
      <c r="AE61" s="329" t="s">
        <v>162</v>
      </c>
      <c r="AF61" s="444">
        <v>0.09</v>
      </c>
      <c r="AG61" s="480"/>
      <c r="AH61" s="488">
        <v>15</v>
      </c>
      <c r="AI61" s="489">
        <v>133</v>
      </c>
      <c r="AJ61" s="490">
        <v>24.75453688</v>
      </c>
      <c r="AK61" s="490">
        <v>25.431794700000001</v>
      </c>
      <c r="AL61" s="491">
        <f>AK61-AJ61</f>
        <v>0.67725782000000123</v>
      </c>
    </row>
    <row r="62" spans="1:38">
      <c r="A62" s="329" t="s">
        <v>148</v>
      </c>
      <c r="B62" s="444">
        <v>1</v>
      </c>
      <c r="C62" s="444">
        <f>0.0074</f>
        <v>7.4000000000000003E-3</v>
      </c>
      <c r="D62" s="445">
        <v>15</v>
      </c>
      <c r="E62" s="446">
        <v>133</v>
      </c>
      <c r="F62" s="452">
        <v>23.217109480000001</v>
      </c>
      <c r="G62" s="452">
        <v>33.6654482</v>
      </c>
      <c r="H62" s="447">
        <f t="shared" ref="H62" si="37">G62-F62</f>
        <v>10.448338719999999</v>
      </c>
      <c r="I62" s="472"/>
      <c r="J62" s="329" t="s">
        <v>148</v>
      </c>
      <c r="K62" s="444">
        <v>1</v>
      </c>
      <c r="L62" s="444">
        <v>6.7000000000000002E-3</v>
      </c>
      <c r="M62" s="445">
        <v>15</v>
      </c>
      <c r="N62" s="446">
        <v>133</v>
      </c>
      <c r="O62" s="452">
        <v>24.416280499999999</v>
      </c>
      <c r="P62" s="452">
        <v>30.846023460000001</v>
      </c>
      <c r="Q62" s="447">
        <f t="shared" ref="Q62" si="38">P62-O62</f>
        <v>6.4297429600000022</v>
      </c>
      <c r="S62" s="329" t="s">
        <v>148</v>
      </c>
      <c r="T62" s="444">
        <v>0.3</v>
      </c>
      <c r="U62" s="444">
        <v>9.4999999999999998E-3</v>
      </c>
      <c r="V62" s="445">
        <v>15</v>
      </c>
      <c r="W62" s="446">
        <v>133</v>
      </c>
      <c r="X62" s="452">
        <v>24.052264780000002</v>
      </c>
      <c r="Y62" s="452">
        <v>26.93611478</v>
      </c>
      <c r="Z62" s="447">
        <f t="shared" ref="Z62" si="39">Y62-X62</f>
        <v>2.8838499999999989</v>
      </c>
      <c r="AE62" s="329" t="s">
        <v>148</v>
      </c>
      <c r="AF62" s="444">
        <v>0.3</v>
      </c>
      <c r="AG62" s="480">
        <f>0.0078</f>
        <v>7.7999999999999996E-3</v>
      </c>
      <c r="AH62" s="484">
        <v>15</v>
      </c>
      <c r="AI62" s="485">
        <v>133</v>
      </c>
      <c r="AJ62" s="486">
        <v>23.742375450000001</v>
      </c>
      <c r="AK62" s="486">
        <v>25.448279110000001</v>
      </c>
      <c r="AL62" s="487">
        <f t="shared" ref="AL62" si="40">AK62-AJ62</f>
        <v>1.7059036600000006</v>
      </c>
    </row>
    <row r="63" spans="1:38">
      <c r="A63" s="329" t="s">
        <v>149</v>
      </c>
      <c r="B63" s="444">
        <v>0.3</v>
      </c>
      <c r="D63" s="448">
        <v>15</v>
      </c>
      <c r="E63" s="449">
        <v>133</v>
      </c>
      <c r="F63" s="450">
        <v>23.061951130000001</v>
      </c>
      <c r="G63" s="450">
        <v>33.740792200000001</v>
      </c>
      <c r="H63" s="451">
        <f>G63-F63</f>
        <v>10.678841070000001</v>
      </c>
      <c r="I63" s="472"/>
      <c r="J63" s="329" t="s">
        <v>153</v>
      </c>
      <c r="K63" s="444">
        <v>0.3</v>
      </c>
      <c r="L63" s="444"/>
      <c r="M63" s="448">
        <v>15</v>
      </c>
      <c r="N63" s="449">
        <v>133</v>
      </c>
      <c r="O63" s="450">
        <v>25.43365734</v>
      </c>
      <c r="P63" s="450">
        <v>31.718261340000002</v>
      </c>
      <c r="Q63" s="451">
        <f>P63-O63</f>
        <v>6.2846040000000016</v>
      </c>
      <c r="S63" s="329" t="s">
        <v>153</v>
      </c>
      <c r="T63" s="444">
        <v>0.09</v>
      </c>
      <c r="V63" s="448">
        <v>15</v>
      </c>
      <c r="W63" s="449">
        <v>133</v>
      </c>
      <c r="X63" s="450">
        <v>24.078955610000001</v>
      </c>
      <c r="Y63" s="450">
        <v>26.808968589999999</v>
      </c>
      <c r="Z63" s="451">
        <f>Y63-X63</f>
        <v>2.7300129799999979</v>
      </c>
      <c r="AE63" s="329" t="s">
        <v>162</v>
      </c>
      <c r="AF63" s="444">
        <v>0.09</v>
      </c>
      <c r="AG63" s="480"/>
      <c r="AH63" s="488">
        <v>15</v>
      </c>
      <c r="AI63" s="489">
        <v>133</v>
      </c>
      <c r="AJ63" s="490">
        <v>24.088361800000001</v>
      </c>
      <c r="AK63" s="490">
        <v>26.42727932</v>
      </c>
      <c r="AL63" s="491">
        <f>AK63-AJ63</f>
        <v>2.338917519999999</v>
      </c>
    </row>
    <row r="64" spans="1:38">
      <c r="A64" s="465" t="s">
        <v>157</v>
      </c>
      <c r="J64" s="465" t="s">
        <v>157</v>
      </c>
      <c r="U64" s="444">
        <v>9.5999999999999992E-3</v>
      </c>
      <c r="V64" s="445">
        <v>15</v>
      </c>
      <c r="W64" s="446">
        <v>133</v>
      </c>
      <c r="X64" s="452">
        <v>24.05984115</v>
      </c>
      <c r="Y64" s="452">
        <v>26.640558339999998</v>
      </c>
      <c r="Z64" s="447">
        <f t="shared" ref="Z64" si="41">Y64-X64</f>
        <v>2.5807171899999979</v>
      </c>
      <c r="AF64" s="465" t="s">
        <v>157</v>
      </c>
      <c r="AG64" s="465"/>
      <c r="AH64" s="465"/>
      <c r="AI64" s="465"/>
      <c r="AJ64" s="480"/>
      <c r="AK64" s="480"/>
      <c r="AL64" s="480"/>
    </row>
    <row r="65" spans="1:39">
      <c r="A65" s="351" t="s">
        <v>150</v>
      </c>
      <c r="B65" s="472"/>
      <c r="J65" s="351" t="s">
        <v>160</v>
      </c>
      <c r="V65" s="448">
        <v>15</v>
      </c>
      <c r="W65" s="449">
        <v>133</v>
      </c>
      <c r="X65" s="450">
        <v>24.06320054</v>
      </c>
      <c r="Y65" s="450">
        <v>26.86905054</v>
      </c>
      <c r="Z65" s="451">
        <f>Y65-X65</f>
        <v>2.8058499999999995</v>
      </c>
      <c r="AF65" s="351" t="s">
        <v>161</v>
      </c>
      <c r="AG65" s="465"/>
      <c r="AH65" s="465"/>
      <c r="AI65" s="465"/>
      <c r="AJ65" s="480"/>
      <c r="AK65" s="480"/>
      <c r="AL65" s="480"/>
    </row>
    <row r="66" spans="1:39" ht="18.75">
      <c r="C66" s="444" t="s">
        <v>140</v>
      </c>
      <c r="D66" s="440" t="s">
        <v>0</v>
      </c>
      <c r="E66" s="441" t="s">
        <v>1</v>
      </c>
      <c r="F66" s="441" t="s">
        <v>141</v>
      </c>
      <c r="G66" s="441" t="s">
        <v>136</v>
      </c>
      <c r="H66" s="442" t="s">
        <v>137</v>
      </c>
      <c r="I66" s="472"/>
      <c r="L66" s="444" t="s">
        <v>140</v>
      </c>
      <c r="M66" s="440" t="s">
        <v>0</v>
      </c>
      <c r="N66" s="441" t="s">
        <v>1</v>
      </c>
      <c r="O66" s="441" t="s">
        <v>141</v>
      </c>
      <c r="P66" s="441" t="s">
        <v>136</v>
      </c>
      <c r="Q66" s="442" t="s">
        <v>137</v>
      </c>
      <c r="S66" s="329" t="s">
        <v>148</v>
      </c>
      <c r="T66" s="444">
        <v>0.3</v>
      </c>
      <c r="U66" s="444">
        <v>1.17E-2</v>
      </c>
      <c r="V66" s="445">
        <v>15</v>
      </c>
      <c r="W66" s="446">
        <v>133</v>
      </c>
      <c r="X66" s="452">
        <v>24.002561480000001</v>
      </c>
      <c r="Y66" s="452">
        <v>26.015326479999999</v>
      </c>
      <c r="Z66" s="447">
        <f t="shared" ref="Z66" si="42">Y66-X66</f>
        <v>2.0127649999999981</v>
      </c>
      <c r="AF66" s="480"/>
      <c r="AG66" s="480" t="s">
        <v>140</v>
      </c>
      <c r="AH66" s="481" t="s">
        <v>0</v>
      </c>
      <c r="AI66" s="482" t="s">
        <v>1</v>
      </c>
      <c r="AJ66" s="482" t="s">
        <v>165</v>
      </c>
      <c r="AK66" s="482" t="s">
        <v>166</v>
      </c>
      <c r="AL66" s="483" t="s">
        <v>167</v>
      </c>
    </row>
    <row r="67" spans="1:39">
      <c r="A67" s="329" t="s">
        <v>148</v>
      </c>
      <c r="B67" s="444">
        <v>0.5</v>
      </c>
      <c r="C67" s="444">
        <f>0.0152</f>
        <v>1.52E-2</v>
      </c>
      <c r="D67" s="445">
        <v>15</v>
      </c>
      <c r="E67" s="446">
        <v>133</v>
      </c>
      <c r="F67" s="452">
        <v>23.20407097</v>
      </c>
      <c r="G67" s="452">
        <v>28.729709459999999</v>
      </c>
      <c r="H67" s="447">
        <f t="shared" ref="H67" si="43">G67-F67</f>
        <v>5.5256384899999986</v>
      </c>
      <c r="I67" s="472"/>
      <c r="J67" s="329" t="s">
        <v>148</v>
      </c>
      <c r="K67" s="444">
        <v>0.5</v>
      </c>
      <c r="L67" s="444">
        <f>0.0117</f>
        <v>1.17E-2</v>
      </c>
      <c r="M67" s="445">
        <v>15</v>
      </c>
      <c r="N67" s="446">
        <v>133</v>
      </c>
      <c r="O67" s="452">
        <v>23.73427294</v>
      </c>
      <c r="P67" s="452">
        <v>28.255727629999999</v>
      </c>
      <c r="Q67" s="447">
        <f t="shared" ref="Q67" si="44">P67-O67</f>
        <v>4.5214546899999988</v>
      </c>
      <c r="S67" s="329" t="s">
        <v>162</v>
      </c>
      <c r="T67" s="444">
        <v>0.09</v>
      </c>
      <c r="V67" s="448">
        <v>15</v>
      </c>
      <c r="W67" s="449">
        <v>133</v>
      </c>
      <c r="X67" s="450">
        <v>25.43365734</v>
      </c>
      <c r="Y67" s="450">
        <v>27.518261339999999</v>
      </c>
      <c r="Z67" s="451">
        <f>Y67-X67</f>
        <v>2.0846039999999988</v>
      </c>
      <c r="AE67" s="329" t="s">
        <v>148</v>
      </c>
      <c r="AF67" s="444">
        <v>0.3</v>
      </c>
      <c r="AG67" s="480">
        <f>0.0197</f>
        <v>1.9699999999999999E-2</v>
      </c>
      <c r="AH67" s="484">
        <v>15</v>
      </c>
      <c r="AI67" s="485">
        <v>133</v>
      </c>
      <c r="AJ67" s="486">
        <v>24.41525605</v>
      </c>
      <c r="AK67" s="486">
        <v>25.94644358</v>
      </c>
      <c r="AL67" s="487">
        <f t="shared" ref="AL67" si="45">AK67-AJ67</f>
        <v>1.5311875300000004</v>
      </c>
    </row>
    <row r="68" spans="1:39">
      <c r="A68" s="329" t="s">
        <v>149</v>
      </c>
      <c r="B68" s="444">
        <v>0.15</v>
      </c>
      <c r="D68" s="448">
        <v>15</v>
      </c>
      <c r="E68" s="449">
        <v>133</v>
      </c>
      <c r="F68" s="450">
        <v>23.297668890000001</v>
      </c>
      <c r="G68" s="450">
        <v>28.4396086</v>
      </c>
      <c r="H68" s="451">
        <f>G68-F68</f>
        <v>5.1419397099999991</v>
      </c>
      <c r="I68" s="472"/>
      <c r="J68" s="329" t="s">
        <v>153</v>
      </c>
      <c r="K68" s="444">
        <v>0.15</v>
      </c>
      <c r="L68" s="444"/>
      <c r="M68" s="448">
        <v>15</v>
      </c>
      <c r="N68" s="449">
        <v>133</v>
      </c>
      <c r="O68" s="450">
        <v>23.56980136</v>
      </c>
      <c r="P68" s="450">
        <v>28.09350658</v>
      </c>
      <c r="Q68" s="451">
        <f>P68-O68</f>
        <v>4.5237052200000001</v>
      </c>
      <c r="U68" s="444">
        <v>1.0800000000000001E-2</v>
      </c>
      <c r="V68" s="445">
        <v>15</v>
      </c>
      <c r="W68" s="446">
        <v>133</v>
      </c>
      <c r="X68" s="452">
        <v>24.051623540000001</v>
      </c>
      <c r="Y68" s="452">
        <v>26.086551540000002</v>
      </c>
      <c r="Z68" s="447">
        <f t="shared" ref="Z68" si="46">Y68-X68</f>
        <v>2.0349280000000007</v>
      </c>
      <c r="AE68" s="329" t="s">
        <v>162</v>
      </c>
      <c r="AF68" s="444">
        <v>0.09</v>
      </c>
      <c r="AG68" s="480"/>
      <c r="AH68" s="488">
        <v>15</v>
      </c>
      <c r="AI68" s="489">
        <v>133</v>
      </c>
      <c r="AJ68" s="490">
        <v>24.088454939999998</v>
      </c>
      <c r="AK68" s="490">
        <v>25.963021130000001</v>
      </c>
      <c r="AL68" s="491">
        <f>AK68-AJ68</f>
        <v>1.874566190000003</v>
      </c>
    </row>
    <row r="69" spans="1:39">
      <c r="A69" s="329" t="s">
        <v>148</v>
      </c>
      <c r="B69" s="444">
        <v>0.8</v>
      </c>
      <c r="C69" s="444">
        <f>0.0147</f>
        <v>1.47E-2</v>
      </c>
      <c r="D69" s="445">
        <v>15</v>
      </c>
      <c r="E69" s="446">
        <v>133</v>
      </c>
      <c r="F69" s="452">
        <v>25.092979526101313</v>
      </c>
      <c r="G69" s="452">
        <v>32.117034769999997</v>
      </c>
      <c r="H69" s="447">
        <f t="shared" ref="H69" si="47">G69-F69</f>
        <v>7.0240552438986832</v>
      </c>
      <c r="I69" s="472"/>
      <c r="J69" s="329" t="s">
        <v>148</v>
      </c>
      <c r="K69" s="444">
        <v>0.8</v>
      </c>
      <c r="L69" s="444">
        <f>0.0101</f>
        <v>1.01E-2</v>
      </c>
      <c r="M69" s="445">
        <v>15</v>
      </c>
      <c r="N69" s="446">
        <v>133</v>
      </c>
      <c r="O69" s="452">
        <v>23.74293424</v>
      </c>
      <c r="P69" s="452">
        <v>28.484988569999999</v>
      </c>
      <c r="Q69" s="447">
        <f t="shared" ref="Q69" si="48">P69-O69</f>
        <v>4.7420543299999984</v>
      </c>
      <c r="V69" s="448">
        <v>15</v>
      </c>
      <c r="W69" s="449">
        <v>133</v>
      </c>
      <c r="X69" s="450">
        <v>24.026518939999999</v>
      </c>
      <c r="Y69" s="450">
        <v>26.018261339999999</v>
      </c>
      <c r="Z69" s="451">
        <f>Y69-X69</f>
        <v>1.9917423999999997</v>
      </c>
      <c r="AE69" s="329" t="s">
        <v>148</v>
      </c>
      <c r="AF69" s="444">
        <v>0.3</v>
      </c>
      <c r="AG69" s="480">
        <f>0.0155</f>
        <v>1.55E-2</v>
      </c>
      <c r="AH69" s="484">
        <v>15</v>
      </c>
      <c r="AI69" s="485">
        <v>133</v>
      </c>
      <c r="AJ69" s="486"/>
      <c r="AK69" s="486"/>
      <c r="AL69" s="487">
        <f t="shared" ref="AL69" si="49">AK69-AJ69</f>
        <v>0</v>
      </c>
      <c r="AM69" s="444" t="s">
        <v>191</v>
      </c>
    </row>
    <row r="70" spans="1:39">
      <c r="A70" s="329" t="s">
        <v>149</v>
      </c>
      <c r="B70" s="444">
        <v>0.24</v>
      </c>
      <c r="D70" s="448">
        <v>15</v>
      </c>
      <c r="E70" s="449">
        <v>133</v>
      </c>
      <c r="F70" s="450">
        <v>23.859463680000001</v>
      </c>
      <c r="G70" s="450">
        <v>31.012368949999999</v>
      </c>
      <c r="H70" s="451">
        <f>G70-F70</f>
        <v>7.152905269999998</v>
      </c>
      <c r="I70" s="472"/>
      <c r="J70" s="329" t="s">
        <v>153</v>
      </c>
      <c r="K70" s="444">
        <v>0.24</v>
      </c>
      <c r="L70" s="444"/>
      <c r="M70" s="448">
        <v>15</v>
      </c>
      <c r="N70" s="449">
        <v>133</v>
      </c>
      <c r="O70" s="450">
        <v>23.73548366</v>
      </c>
      <c r="P70" s="450">
        <v>28.434909683000001</v>
      </c>
      <c r="Q70" s="451">
        <f>P70-O70</f>
        <v>4.6994260230000009</v>
      </c>
      <c r="AE70" s="329" t="s">
        <v>162</v>
      </c>
      <c r="AF70" s="444">
        <v>0.09</v>
      </c>
      <c r="AG70" s="480"/>
      <c r="AH70" s="488">
        <v>15</v>
      </c>
      <c r="AI70" s="489">
        <v>133</v>
      </c>
      <c r="AJ70" s="490"/>
      <c r="AK70" s="490"/>
      <c r="AL70" s="491">
        <f>AK70-AJ70</f>
        <v>0</v>
      </c>
    </row>
    <row r="71" spans="1:39">
      <c r="A71" s="329" t="s">
        <v>148</v>
      </c>
      <c r="B71" s="444">
        <v>1</v>
      </c>
      <c r="C71" s="444">
        <f>0.0145</f>
        <v>1.4500000000000001E-2</v>
      </c>
      <c r="D71" s="445">
        <v>15</v>
      </c>
      <c r="E71" s="446">
        <v>133</v>
      </c>
      <c r="F71" s="452">
        <v>23.217109480000001</v>
      </c>
      <c r="G71" s="452">
        <v>31.065448199999999</v>
      </c>
      <c r="H71" s="447">
        <f t="shared" ref="H71" si="50">G71-F71</f>
        <v>7.8483387199999974</v>
      </c>
      <c r="I71" s="472"/>
      <c r="J71" s="329" t="s">
        <v>148</v>
      </c>
      <c r="K71" s="444">
        <v>1</v>
      </c>
      <c r="L71" s="444">
        <f>0.0129</f>
        <v>1.29E-2</v>
      </c>
      <c r="M71" s="445">
        <v>15</v>
      </c>
      <c r="N71" s="446">
        <v>133</v>
      </c>
      <c r="O71" s="452">
        <v>23.564027159999998</v>
      </c>
      <c r="P71" s="452">
        <v>28.803183600000001</v>
      </c>
      <c r="Q71" s="447">
        <f t="shared" ref="Q71" si="51">P71-O71</f>
        <v>5.2391564400000021</v>
      </c>
      <c r="AE71" s="329" t="s">
        <v>148</v>
      </c>
      <c r="AF71" s="444">
        <v>0.3</v>
      </c>
      <c r="AG71" s="480">
        <f>0.0169</f>
        <v>1.6899999999999998E-2</v>
      </c>
      <c r="AH71" s="484">
        <v>15</v>
      </c>
      <c r="AI71" s="485">
        <v>133</v>
      </c>
      <c r="AJ71" s="486">
        <v>25.44371563</v>
      </c>
      <c r="AK71" s="486">
        <v>26.642234720000001</v>
      </c>
      <c r="AL71" s="487">
        <f t="shared" ref="AL71" si="52">AK71-AJ71</f>
        <v>1.1985190900000013</v>
      </c>
    </row>
    <row r="72" spans="1:39">
      <c r="A72" s="329" t="s">
        <v>149</v>
      </c>
      <c r="B72" s="444">
        <v>0.3</v>
      </c>
      <c r="D72" s="448">
        <v>15</v>
      </c>
      <c r="E72" s="449">
        <v>133</v>
      </c>
      <c r="F72" s="450">
        <v>23.061951130000001</v>
      </c>
      <c r="G72" s="450">
        <v>30.740792200000001</v>
      </c>
      <c r="H72" s="451">
        <f>G72-F72</f>
        <v>7.6788410700000007</v>
      </c>
      <c r="I72" s="472"/>
      <c r="J72" s="329" t="s">
        <v>153</v>
      </c>
      <c r="K72" s="444">
        <v>0.3</v>
      </c>
      <c r="L72" s="444"/>
      <c r="M72" s="448">
        <v>15</v>
      </c>
      <c r="N72" s="449">
        <v>133</v>
      </c>
      <c r="O72" s="450">
        <v>25.083945700000001</v>
      </c>
      <c r="P72" s="450">
        <v>30.281289829999999</v>
      </c>
      <c r="Q72" s="451">
        <f>P72-O72</f>
        <v>5.1973441299999976</v>
      </c>
      <c r="AE72" s="329" t="s">
        <v>162</v>
      </c>
      <c r="AF72" s="444">
        <v>0.09</v>
      </c>
      <c r="AG72" s="480"/>
      <c r="AH72" s="488">
        <v>15</v>
      </c>
      <c r="AI72" s="489">
        <v>133</v>
      </c>
      <c r="AJ72" s="490">
        <v>25.613216349999998</v>
      </c>
      <c r="AK72" s="490">
        <v>27.265010159999999</v>
      </c>
      <c r="AL72" s="491">
        <f>AK72-AJ72</f>
        <v>1.6517938100000009</v>
      </c>
    </row>
    <row r="74" spans="1:39">
      <c r="L74" s="444"/>
    </row>
    <row r="75" spans="1:39">
      <c r="L75" s="444"/>
    </row>
    <row r="76" spans="1:39">
      <c r="L76" s="444"/>
    </row>
    <row r="77" spans="1:39">
      <c r="A77" s="492" t="s">
        <v>168</v>
      </c>
      <c r="B77" s="478"/>
      <c r="L77" s="444"/>
    </row>
    <row r="78" spans="1:39">
      <c r="A78" s="444" t="s">
        <v>139</v>
      </c>
      <c r="L78" s="444"/>
    </row>
    <row r="79" spans="1:39">
      <c r="A79" s="472"/>
      <c r="C79" s="465" t="s">
        <v>169</v>
      </c>
    </row>
    <row r="80" spans="1:39" ht="18.75">
      <c r="C80" s="444" t="s">
        <v>140</v>
      </c>
      <c r="D80" s="440" t="s">
        <v>0</v>
      </c>
      <c r="E80" s="441" t="s">
        <v>1</v>
      </c>
      <c r="F80" s="441" t="s">
        <v>141</v>
      </c>
      <c r="G80" s="441" t="s">
        <v>136</v>
      </c>
      <c r="H80" s="442" t="s">
        <v>137</v>
      </c>
    </row>
    <row r="81" spans="1:42">
      <c r="C81" s="444">
        <f>0.0015</f>
        <v>1.5E-3</v>
      </c>
      <c r="D81" s="445">
        <v>15</v>
      </c>
      <c r="E81" s="446">
        <v>133</v>
      </c>
      <c r="F81" s="444">
        <v>23.579580249999999</v>
      </c>
      <c r="G81" s="444">
        <v>23.57781074</v>
      </c>
      <c r="H81" s="447">
        <f t="shared" ref="H81" si="53">G81-F81</f>
        <v>-1.7695099999990305E-3</v>
      </c>
    </row>
    <row r="82" spans="1:42">
      <c r="D82" s="448">
        <v>15</v>
      </c>
      <c r="E82" s="449">
        <v>133</v>
      </c>
      <c r="F82" s="450">
        <v>23.56877691</v>
      </c>
      <c r="G82" s="450">
        <v>23.579207719999999</v>
      </c>
      <c r="H82" s="451">
        <f>G82-F82</f>
        <v>1.0430809999999013E-2</v>
      </c>
    </row>
    <row r="83" spans="1:42">
      <c r="C83" s="444">
        <f>0.0027</f>
        <v>2.7000000000000001E-3</v>
      </c>
      <c r="D83" s="445">
        <v>15</v>
      </c>
      <c r="E83" s="446">
        <v>133</v>
      </c>
      <c r="F83" s="452">
        <v>23.571384609999999</v>
      </c>
      <c r="G83" s="452">
        <v>23.748615310000002</v>
      </c>
      <c r="H83" s="447">
        <f t="shared" ref="H83" si="54">G83-F83</f>
        <v>0.17723070000000263</v>
      </c>
    </row>
    <row r="84" spans="1:42">
      <c r="D84" s="448">
        <v>15</v>
      </c>
      <c r="E84" s="449">
        <v>133</v>
      </c>
      <c r="F84" s="450">
        <v>23.574551109942867</v>
      </c>
      <c r="G84" s="450">
        <v>23.749080970000001</v>
      </c>
      <c r="H84" s="451">
        <f>G84-F84</f>
        <v>0.17452986005713456</v>
      </c>
    </row>
    <row r="85" spans="1:42">
      <c r="C85" s="444">
        <f>0.0022</f>
        <v>2.2000000000000001E-3</v>
      </c>
      <c r="D85" s="445">
        <v>15</v>
      </c>
      <c r="E85" s="446">
        <v>133</v>
      </c>
      <c r="F85" s="452">
        <v>23.223256209999999</v>
      </c>
      <c r="G85" s="452">
        <v>23.575948090000001</v>
      </c>
      <c r="H85" s="447">
        <f t="shared" ref="H85" si="55">G85-F85</f>
        <v>0.35269188000000185</v>
      </c>
    </row>
    <row r="86" spans="1:42">
      <c r="D86" s="448">
        <v>15</v>
      </c>
      <c r="E86" s="449">
        <v>133</v>
      </c>
      <c r="F86" s="450">
        <v>23.227447170000001</v>
      </c>
      <c r="G86" s="450">
        <v>23.574644240000001</v>
      </c>
      <c r="H86" s="451">
        <f>G86-F86</f>
        <v>0.34719707</v>
      </c>
    </row>
    <row r="87" spans="1:42">
      <c r="A87" s="472"/>
      <c r="C87" s="444">
        <f>0.008</f>
        <v>8.0000000000000002E-3</v>
      </c>
      <c r="D87" s="445">
        <v>15</v>
      </c>
      <c r="E87" s="446">
        <v>133</v>
      </c>
      <c r="F87" s="444">
        <v>25.95547741</v>
      </c>
      <c r="G87" s="444">
        <v>26.293920060000001</v>
      </c>
      <c r="H87" s="447">
        <f t="shared" ref="H87" si="56">G87-F87</f>
        <v>0.33844265000000107</v>
      </c>
    </row>
    <row r="88" spans="1:42">
      <c r="A88" s="472"/>
      <c r="D88" s="448">
        <v>15</v>
      </c>
      <c r="E88" s="449">
        <v>133</v>
      </c>
      <c r="F88" s="450">
        <v>25.30373784</v>
      </c>
      <c r="G88" s="450">
        <v>25.953149109999998</v>
      </c>
      <c r="H88" s="451">
        <f>G88-F88</f>
        <v>0.6494112699999981</v>
      </c>
    </row>
    <row r="89" spans="1:42">
      <c r="A89" s="472"/>
      <c r="C89" s="444">
        <f>0.0075</f>
        <v>7.4999999999999997E-3</v>
      </c>
      <c r="D89" s="445">
        <v>15</v>
      </c>
      <c r="E89" s="446">
        <v>133</v>
      </c>
      <c r="F89" s="452">
        <v>24.081539114000002</v>
      </c>
      <c r="G89" s="452">
        <v>24.427922039999999</v>
      </c>
      <c r="H89" s="447">
        <f t="shared" ref="H89:H90" si="57">G89-F89</f>
        <v>0.34638292599999687</v>
      </c>
    </row>
    <row r="90" spans="1:42">
      <c r="A90" s="472"/>
      <c r="D90" s="448">
        <v>15</v>
      </c>
      <c r="E90" s="449">
        <v>133</v>
      </c>
      <c r="F90" s="450">
        <v>23.739488349999998</v>
      </c>
      <c r="G90" s="450">
        <v>24.42885335855803</v>
      </c>
      <c r="H90" s="451">
        <f t="shared" si="57"/>
        <v>0.68936500855803118</v>
      </c>
    </row>
    <row r="91" spans="1:42">
      <c r="A91" s="472"/>
      <c r="D91" s="444"/>
    </row>
    <row r="92" spans="1:42">
      <c r="A92" s="493" t="s">
        <v>170</v>
      </c>
      <c r="D92" s="444"/>
      <c r="AB92" s="465" t="s">
        <v>189</v>
      </c>
    </row>
    <row r="93" spans="1:42" ht="18.75">
      <c r="A93" s="351" t="s">
        <v>150</v>
      </c>
      <c r="B93" s="472"/>
      <c r="C93" s="444" t="s">
        <v>140</v>
      </c>
      <c r="D93" s="440" t="s">
        <v>0</v>
      </c>
      <c r="E93" s="441" t="s">
        <v>1</v>
      </c>
      <c r="F93" s="441" t="s">
        <v>141</v>
      </c>
      <c r="G93" s="441" t="s">
        <v>136</v>
      </c>
      <c r="H93" s="442" t="s">
        <v>137</v>
      </c>
      <c r="S93" s="351" t="s">
        <v>161</v>
      </c>
      <c r="AB93" s="444" t="s">
        <v>186</v>
      </c>
      <c r="AC93" s="472" t="s">
        <v>86</v>
      </c>
      <c r="AD93" s="472" t="s">
        <v>88</v>
      </c>
      <c r="AE93" s="472" t="s">
        <v>87</v>
      </c>
      <c r="AF93" s="472" t="s">
        <v>93</v>
      </c>
      <c r="AG93" s="472" t="s">
        <v>89</v>
      </c>
      <c r="AH93" s="472" t="s">
        <v>91</v>
      </c>
      <c r="AI93" s="444" t="s">
        <v>92</v>
      </c>
      <c r="AJ93" s="472" t="s">
        <v>86</v>
      </c>
      <c r="AK93" s="472" t="s">
        <v>88</v>
      </c>
      <c r="AL93" s="472" t="s">
        <v>87</v>
      </c>
      <c r="AM93" s="472" t="s">
        <v>93</v>
      </c>
      <c r="AN93" s="472" t="s">
        <v>89</v>
      </c>
      <c r="AO93" s="472" t="s">
        <v>91</v>
      </c>
      <c r="AP93" s="444" t="s">
        <v>92</v>
      </c>
    </row>
    <row r="94" spans="1:42" ht="18.75">
      <c r="A94" s="329" t="s">
        <v>146</v>
      </c>
      <c r="B94" s="472" t="s">
        <v>73</v>
      </c>
      <c r="C94" s="444">
        <v>4.7000000000000002E-3</v>
      </c>
      <c r="D94" s="445">
        <v>15</v>
      </c>
      <c r="E94" s="446">
        <v>133</v>
      </c>
      <c r="F94" s="444">
        <v>24.08333266</v>
      </c>
      <c r="G94" s="444">
        <v>25.753892659999998</v>
      </c>
      <c r="H94" s="447">
        <f t="shared" ref="H94" si="58">G94-F94</f>
        <v>1.6705599999999983</v>
      </c>
      <c r="J94" s="351" t="s">
        <v>160</v>
      </c>
      <c r="K94" s="472"/>
      <c r="L94" s="444" t="s">
        <v>140</v>
      </c>
      <c r="M94" s="440" t="s">
        <v>0</v>
      </c>
      <c r="N94" s="441" t="s">
        <v>1</v>
      </c>
      <c r="O94" s="441" t="s">
        <v>141</v>
      </c>
      <c r="P94" s="441" t="s">
        <v>136</v>
      </c>
      <c r="Q94" s="442" t="s">
        <v>137</v>
      </c>
      <c r="S94" s="329" t="s">
        <v>148</v>
      </c>
      <c r="T94" s="472" t="s">
        <v>73</v>
      </c>
      <c r="U94" s="444" t="s">
        <v>140</v>
      </c>
      <c r="V94" s="440" t="s">
        <v>0</v>
      </c>
      <c r="W94" s="441" t="s">
        <v>1</v>
      </c>
      <c r="X94" s="441" t="s">
        <v>141</v>
      </c>
      <c r="Y94" s="441" t="s">
        <v>136</v>
      </c>
      <c r="Z94" s="442" t="s">
        <v>137</v>
      </c>
      <c r="AB94" s="496" t="s">
        <v>187</v>
      </c>
      <c r="AC94" s="507" t="s">
        <v>188</v>
      </c>
      <c r="AD94" s="508"/>
      <c r="AE94" s="508"/>
      <c r="AF94" s="508"/>
      <c r="AG94" s="508"/>
      <c r="AH94" s="508"/>
      <c r="AI94" s="509"/>
      <c r="AJ94" s="507" t="s">
        <v>190</v>
      </c>
      <c r="AK94" s="508"/>
      <c r="AL94" s="508"/>
      <c r="AM94" s="508"/>
      <c r="AN94" s="508"/>
      <c r="AO94" s="508"/>
      <c r="AP94" s="509"/>
    </row>
    <row r="95" spans="1:42">
      <c r="A95" s="329" t="s">
        <v>147</v>
      </c>
      <c r="B95" s="472">
        <v>0.03</v>
      </c>
      <c r="D95" s="448">
        <v>15</v>
      </c>
      <c r="E95" s="449">
        <v>133</v>
      </c>
      <c r="F95" s="450">
        <v>23.746845796516293</v>
      </c>
      <c r="G95" s="450">
        <v>25.19306139</v>
      </c>
      <c r="H95" s="451">
        <f>G95-F95</f>
        <v>1.4462155934837071</v>
      </c>
      <c r="J95" s="329" t="s">
        <v>146</v>
      </c>
      <c r="K95" s="472" t="s">
        <v>73</v>
      </c>
      <c r="L95" s="444">
        <v>4.7999999999999996E-3</v>
      </c>
      <c r="M95" s="445">
        <v>15</v>
      </c>
      <c r="N95" s="446">
        <v>133</v>
      </c>
      <c r="O95" s="444">
        <v>23.57976652</v>
      </c>
      <c r="P95" s="444">
        <v>24.83863552</v>
      </c>
      <c r="Q95" s="447">
        <f t="shared" ref="Q95" si="59">P95-O95</f>
        <v>1.2588690000000007</v>
      </c>
      <c r="S95" s="329" t="s">
        <v>162</v>
      </c>
      <c r="T95" s="472">
        <v>0.03</v>
      </c>
      <c r="U95" s="444">
        <v>4.3E-3</v>
      </c>
      <c r="V95" s="445">
        <v>15</v>
      </c>
      <c r="W95" s="446">
        <v>133</v>
      </c>
      <c r="X95" s="444">
        <v>24.11900232</v>
      </c>
      <c r="Y95" s="444">
        <v>25.146509600000002</v>
      </c>
      <c r="Z95" s="447">
        <f t="shared" ref="Z95" si="60">Y95-X95</f>
        <v>1.0275072800000018</v>
      </c>
      <c r="AB95" s="497">
        <v>0</v>
      </c>
      <c r="AC95" s="458">
        <v>23.215898765081089</v>
      </c>
      <c r="AD95" s="452">
        <v>23.217575145815324</v>
      </c>
      <c r="AE95" s="452">
        <v>24.074205701005802</v>
      </c>
      <c r="AF95" s="452">
        <v>23.733248486116434</v>
      </c>
      <c r="AG95" s="452">
        <v>23.220648510494748</v>
      </c>
      <c r="AH95" s="452">
        <v>22.883602849999999</v>
      </c>
      <c r="AI95" s="460">
        <v>22.883600000000001</v>
      </c>
      <c r="AJ95" s="458"/>
      <c r="AK95" s="452">
        <f t="shared" ref="AK95:AK119" si="61">AD95-$AD$95</f>
        <v>0</v>
      </c>
      <c r="AL95" s="452">
        <f t="shared" ref="AL95:AL119" si="62">AE95-$AE$95</f>
        <v>0</v>
      </c>
      <c r="AM95" s="452">
        <f t="shared" ref="AM95:AM119" si="63">AF95-$AF$95</f>
        <v>0</v>
      </c>
      <c r="AN95" s="452">
        <f t="shared" ref="AN95:AN119" si="64">AG95-$AG$95</f>
        <v>0</v>
      </c>
      <c r="AO95" s="452">
        <f t="shared" ref="AO95:AO119" si="65">AH95-$AH$95</f>
        <v>0</v>
      </c>
      <c r="AP95" s="460">
        <f t="shared" ref="AP95:AP119" si="66">AI95-$AI$95</f>
        <v>0</v>
      </c>
    </row>
    <row r="96" spans="1:42">
      <c r="B96" s="472"/>
      <c r="C96" s="444">
        <v>4.7999999999999996E-3</v>
      </c>
      <c r="D96" s="445">
        <v>15</v>
      </c>
      <c r="E96" s="446">
        <v>133</v>
      </c>
      <c r="F96" s="444">
        <v>24.01376286</v>
      </c>
      <c r="G96" s="444">
        <v>25.688698859999999</v>
      </c>
      <c r="H96" s="447">
        <f t="shared" ref="H96" si="67">G96-F96</f>
        <v>1.6749359999999989</v>
      </c>
      <c r="J96" s="329" t="s">
        <v>153</v>
      </c>
      <c r="K96" s="472">
        <v>0.03</v>
      </c>
      <c r="L96" s="444"/>
      <c r="M96" s="448">
        <v>15</v>
      </c>
      <c r="N96" s="449">
        <v>133</v>
      </c>
      <c r="O96" s="450">
        <v>24.08426399</v>
      </c>
      <c r="P96" s="450">
        <v>25.242641519999999</v>
      </c>
      <c r="Q96" s="451">
        <f>P96-O96</f>
        <v>1.1583775299999992</v>
      </c>
      <c r="V96" s="448">
        <v>15</v>
      </c>
      <c r="W96" s="449">
        <v>133</v>
      </c>
      <c r="X96" s="450">
        <v>24.183149467894399</v>
      </c>
      <c r="Y96" s="450">
        <v>25.1937194678944</v>
      </c>
      <c r="Z96" s="451">
        <f>Y96-X96</f>
        <v>1.0105700000000013</v>
      </c>
      <c r="AB96" s="498">
        <v>5</v>
      </c>
      <c r="AC96" s="459">
        <v>23.728033079387739</v>
      </c>
      <c r="AD96" s="456">
        <v>23.738370760582129</v>
      </c>
      <c r="AE96" s="456">
        <v>24.74485112696</v>
      </c>
      <c r="AF96" s="456">
        <v>24.0713186008524</v>
      </c>
      <c r="AG96" s="456">
        <v>23.576972548781178</v>
      </c>
      <c r="AH96" s="456">
        <v>24.312531161403292</v>
      </c>
      <c r="AI96" s="461">
        <v>23.836156786093486</v>
      </c>
      <c r="AJ96" s="459">
        <f t="shared" ref="AJ96:AJ119" si="68">AC96-$AC$95</f>
        <v>0.51213431430664969</v>
      </c>
      <c r="AK96" s="456">
        <f t="shared" si="61"/>
        <v>0.52079561476680425</v>
      </c>
      <c r="AL96" s="456">
        <f t="shared" si="62"/>
        <v>0.67064542595419852</v>
      </c>
      <c r="AM96" s="456">
        <f t="shared" si="63"/>
        <v>0.3380701147359666</v>
      </c>
      <c r="AN96" s="456">
        <f t="shared" si="64"/>
        <v>0.35632403828643078</v>
      </c>
      <c r="AO96" s="456">
        <f t="shared" si="65"/>
        <v>1.4289283114032933</v>
      </c>
      <c r="AP96" s="461">
        <f t="shared" si="66"/>
        <v>0.95255678609348493</v>
      </c>
    </row>
    <row r="97" spans="1:42">
      <c r="B97" s="472"/>
      <c r="D97" s="448">
        <v>15</v>
      </c>
      <c r="E97" s="449">
        <v>133</v>
      </c>
      <c r="F97" s="450">
        <v>24.079421109999998</v>
      </c>
      <c r="G97" s="450">
        <v>25.63571546</v>
      </c>
      <c r="H97" s="451">
        <f>G97-F97</f>
        <v>1.5562943500000017</v>
      </c>
      <c r="K97" s="472"/>
      <c r="L97" s="444">
        <v>4.4999999999999997E-3</v>
      </c>
      <c r="M97" s="445">
        <v>15</v>
      </c>
      <c r="N97" s="446">
        <v>133</v>
      </c>
      <c r="O97" s="444">
        <v>24.420378320000001</v>
      </c>
      <c r="P97" s="444">
        <v>26.06052832</v>
      </c>
      <c r="Q97" s="447">
        <f t="shared" ref="Q97" si="69">P97-O97</f>
        <v>1.6401499999999984</v>
      </c>
      <c r="U97" s="444">
        <v>5.0000000000000001E-3</v>
      </c>
      <c r="V97" s="445">
        <v>15</v>
      </c>
      <c r="W97" s="446">
        <v>133</v>
      </c>
      <c r="X97" s="444">
        <v>23.72523911</v>
      </c>
      <c r="Y97" s="444">
        <v>24.988485130000001</v>
      </c>
      <c r="Z97" s="447">
        <f t="shared" ref="Z97" si="70">Y97-X97</f>
        <v>1.2632460200000004</v>
      </c>
      <c r="AB97" s="499">
        <v>10</v>
      </c>
      <c r="AC97" s="459">
        <v>23.776834385206364</v>
      </c>
      <c r="AD97" s="456">
        <v>23.739954009053339</v>
      </c>
      <c r="AE97" s="456">
        <v>25.08357316753705</v>
      </c>
      <c r="AF97" s="456">
        <v>24.091621434189165</v>
      </c>
      <c r="AG97" s="456">
        <v>23.596902853065906</v>
      </c>
      <c r="AH97" s="456">
        <v>25.164411971180144</v>
      </c>
      <c r="AI97" s="461">
        <v>24.171060403887033</v>
      </c>
      <c r="AJ97" s="459">
        <f t="shared" si="68"/>
        <v>0.56093562012527443</v>
      </c>
      <c r="AK97" s="456">
        <f t="shared" si="61"/>
        <v>0.52237886323801419</v>
      </c>
      <c r="AL97" s="456">
        <f t="shared" si="62"/>
        <v>1.0093674665312484</v>
      </c>
      <c r="AM97" s="456">
        <f t="shared" si="63"/>
        <v>0.35837294807273068</v>
      </c>
      <c r="AN97" s="456">
        <f t="shared" si="64"/>
        <v>0.37625434257115842</v>
      </c>
      <c r="AO97" s="456">
        <f t="shared" si="65"/>
        <v>2.2808091211801447</v>
      </c>
      <c r="AP97" s="461">
        <f t="shared" si="66"/>
        <v>1.2874604038870316</v>
      </c>
    </row>
    <row r="98" spans="1:42">
      <c r="K98" s="472"/>
      <c r="L98" s="444"/>
      <c r="M98" s="448">
        <v>15</v>
      </c>
      <c r="N98" s="449">
        <v>133</v>
      </c>
      <c r="O98" s="450">
        <v>23.756531549999998</v>
      </c>
      <c r="P98" s="450">
        <v>25.380784299999998</v>
      </c>
      <c r="Q98" s="451">
        <f>P98-O98</f>
        <v>1.6242527500000001</v>
      </c>
      <c r="V98" s="448">
        <v>15</v>
      </c>
      <c r="W98" s="449">
        <v>133</v>
      </c>
      <c r="X98" s="450">
        <v>23.580418439999999</v>
      </c>
      <c r="Y98" s="450">
        <v>24.822102439999998</v>
      </c>
      <c r="Z98" s="451">
        <f>Y98-X98</f>
        <v>1.2416839999999993</v>
      </c>
      <c r="AB98" s="498">
        <v>15</v>
      </c>
      <c r="AC98" s="459">
        <v>23.939163919637441</v>
      </c>
      <c r="AD98" s="456">
        <v>23.733062221590412</v>
      </c>
      <c r="AE98" s="456">
        <v>25.089067971054785</v>
      </c>
      <c r="AF98" s="456">
        <v>24.395698272925511</v>
      </c>
      <c r="AG98" s="456">
        <v>23.570918951685357</v>
      </c>
      <c r="AH98" s="456">
        <v>25.340338816011052</v>
      </c>
      <c r="AI98" s="461">
        <v>24.411434774722728</v>
      </c>
      <c r="AJ98" s="459">
        <f t="shared" si="68"/>
        <v>0.72326515455635132</v>
      </c>
      <c r="AK98" s="456">
        <f t="shared" si="61"/>
        <v>0.51548707577508779</v>
      </c>
      <c r="AL98" s="456">
        <f t="shared" si="62"/>
        <v>1.0148622700489831</v>
      </c>
      <c r="AM98" s="456">
        <f t="shared" si="63"/>
        <v>0.66244978680907707</v>
      </c>
      <c r="AN98" s="456">
        <f t="shared" si="64"/>
        <v>0.35027044119060946</v>
      </c>
      <c r="AO98" s="456">
        <f t="shared" si="65"/>
        <v>2.4567359660110526</v>
      </c>
      <c r="AP98" s="461">
        <f t="shared" si="66"/>
        <v>1.5278347747227272</v>
      </c>
    </row>
    <row r="99" spans="1:42" ht="18.75">
      <c r="C99" s="444" t="s">
        <v>140</v>
      </c>
      <c r="D99" s="440" t="s">
        <v>0</v>
      </c>
      <c r="E99" s="441" t="s">
        <v>1</v>
      </c>
      <c r="F99" s="441" t="s">
        <v>141</v>
      </c>
      <c r="G99" s="441" t="s">
        <v>136</v>
      </c>
      <c r="H99" s="442" t="s">
        <v>137</v>
      </c>
      <c r="L99" s="444"/>
      <c r="AB99" s="498">
        <v>20</v>
      </c>
      <c r="AC99" s="459">
        <v>24.058559480819671</v>
      </c>
      <c r="AD99" s="456">
        <v>23.745076283519037</v>
      </c>
      <c r="AE99" s="456">
        <v>25.092420732523252</v>
      </c>
      <c r="AF99" s="456">
        <v>24.419167603204695</v>
      </c>
      <c r="AG99" s="456">
        <v>23.745635077097123</v>
      </c>
      <c r="AH99" s="456">
        <v>25.674404243437468</v>
      </c>
      <c r="AI99" s="461">
        <v>24.519561332080414</v>
      </c>
      <c r="AJ99" s="459">
        <f t="shared" si="68"/>
        <v>0.8426607157385817</v>
      </c>
      <c r="AK99" s="456">
        <f t="shared" si="61"/>
        <v>0.52750113770371243</v>
      </c>
      <c r="AL99" s="456">
        <f t="shared" si="62"/>
        <v>1.0182150315174496</v>
      </c>
      <c r="AM99" s="456">
        <f t="shared" si="63"/>
        <v>0.68591911708826103</v>
      </c>
      <c r="AN99" s="456">
        <f t="shared" si="64"/>
        <v>0.52498656660237586</v>
      </c>
      <c r="AO99" s="456">
        <f t="shared" si="65"/>
        <v>2.7908013934374694</v>
      </c>
      <c r="AP99" s="461">
        <f t="shared" si="66"/>
        <v>1.6359613320804129</v>
      </c>
    </row>
    <row r="100" spans="1:42" ht="18.75">
      <c r="A100" s="329" t="s">
        <v>148</v>
      </c>
      <c r="B100" s="472" t="s">
        <v>75</v>
      </c>
      <c r="C100" s="444">
        <v>4.8999999999999998E-3</v>
      </c>
      <c r="D100" s="445">
        <v>15</v>
      </c>
      <c r="E100" s="446">
        <v>133</v>
      </c>
      <c r="F100" s="444">
        <v>24.428108300000002</v>
      </c>
      <c r="G100" s="444">
        <v>28.874324300000001</v>
      </c>
      <c r="H100" s="447">
        <f t="shared" ref="H100" si="71">G100-F100</f>
        <v>4.4462159999999997</v>
      </c>
      <c r="L100" s="444" t="s">
        <v>140</v>
      </c>
      <c r="M100" s="440" t="s">
        <v>0</v>
      </c>
      <c r="N100" s="441" t="s">
        <v>1</v>
      </c>
      <c r="O100" s="441" t="s">
        <v>141</v>
      </c>
      <c r="P100" s="441" t="s">
        <v>136</v>
      </c>
      <c r="Q100" s="442" t="s">
        <v>137</v>
      </c>
      <c r="S100" s="329" t="s">
        <v>148</v>
      </c>
      <c r="T100" s="472" t="s">
        <v>75</v>
      </c>
      <c r="U100" s="444" t="s">
        <v>140</v>
      </c>
      <c r="V100" s="440" t="s">
        <v>0</v>
      </c>
      <c r="W100" s="441" t="s">
        <v>1</v>
      </c>
      <c r="X100" s="441" t="s">
        <v>141</v>
      </c>
      <c r="Y100" s="441" t="s">
        <v>136</v>
      </c>
      <c r="Z100" s="442" t="s">
        <v>137</v>
      </c>
      <c r="AB100" s="498">
        <v>25</v>
      </c>
      <c r="AC100" s="459">
        <v>24.064706210178517</v>
      </c>
      <c r="AD100" s="456">
        <v>23.730920179541116</v>
      </c>
      <c r="AE100" s="456">
        <v>25.09037182273698</v>
      </c>
      <c r="AF100" s="456">
        <v>24.41683929662938</v>
      </c>
      <c r="AG100" s="456">
        <v>23.748708441776547</v>
      </c>
      <c r="AH100" s="456">
        <v>25.677198211327848</v>
      </c>
      <c r="AI100" s="461">
        <v>24.574229970468842</v>
      </c>
      <c r="AJ100" s="459">
        <f t="shared" si="68"/>
        <v>0.84880744509742811</v>
      </c>
      <c r="AK100" s="456">
        <f t="shared" si="61"/>
        <v>0.51334503372579121</v>
      </c>
      <c r="AL100" s="456">
        <f t="shared" si="62"/>
        <v>1.0161661217311782</v>
      </c>
      <c r="AM100" s="456">
        <f t="shared" si="63"/>
        <v>0.68359081051294623</v>
      </c>
      <c r="AN100" s="456">
        <f t="shared" si="64"/>
        <v>0.52805993128179907</v>
      </c>
      <c r="AO100" s="456">
        <f t="shared" si="65"/>
        <v>2.7935953613278492</v>
      </c>
      <c r="AP100" s="461">
        <f t="shared" si="66"/>
        <v>1.6906299704688408</v>
      </c>
    </row>
    <row r="101" spans="1:42">
      <c r="A101" s="329" t="s">
        <v>149</v>
      </c>
      <c r="B101" s="472">
        <f>0.3*0.3</f>
        <v>0.09</v>
      </c>
      <c r="D101" s="448">
        <v>15</v>
      </c>
      <c r="E101" s="449">
        <v>133</v>
      </c>
      <c r="F101" s="450">
        <v>23.73613559</v>
      </c>
      <c r="G101" s="450">
        <v>28.176442900000001</v>
      </c>
      <c r="H101" s="451">
        <f>G101-F101</f>
        <v>4.4403073100000015</v>
      </c>
      <c r="J101" s="329" t="s">
        <v>148</v>
      </c>
      <c r="K101" s="472" t="s">
        <v>75</v>
      </c>
      <c r="L101" s="444">
        <v>5.0000000000000001E-3</v>
      </c>
      <c r="M101" s="445">
        <v>15</v>
      </c>
      <c r="N101" s="446">
        <v>133</v>
      </c>
      <c r="O101" s="444">
        <v>23.57976652</v>
      </c>
      <c r="P101" s="444">
        <v>26.774803519999999</v>
      </c>
      <c r="Q101" s="447">
        <f t="shared" ref="Q101" si="72">P101-O101</f>
        <v>3.1950369999999992</v>
      </c>
      <c r="S101" s="329" t="s">
        <v>162</v>
      </c>
      <c r="T101" s="472">
        <f>0.3*0.3</f>
        <v>0.09</v>
      </c>
      <c r="U101" s="444">
        <v>5.0000000000000001E-3</v>
      </c>
      <c r="V101" s="445">
        <v>15</v>
      </c>
      <c r="W101" s="446">
        <v>133</v>
      </c>
      <c r="X101" s="444">
        <v>23.740233409999998</v>
      </c>
      <c r="Y101" s="444">
        <v>25.60958419</v>
      </c>
      <c r="Z101" s="447">
        <f t="shared" ref="Z101" si="73">Y101-X101</f>
        <v>1.8693507800000013</v>
      </c>
      <c r="AB101" s="499">
        <v>30</v>
      </c>
      <c r="AC101" s="459">
        <v>24.058932009871711</v>
      </c>
      <c r="AD101" s="456">
        <v>23.743120505995787</v>
      </c>
      <c r="AE101" s="456">
        <v>25.191861938945198</v>
      </c>
      <c r="AF101" s="456">
        <v>24.406687879961009</v>
      </c>
      <c r="AG101" s="456">
        <v>23.746845796516293</v>
      </c>
      <c r="AH101" s="456">
        <v>26.020483732792535</v>
      </c>
      <c r="AI101" s="461">
        <v>24.515836041559908</v>
      </c>
      <c r="AJ101" s="459">
        <f t="shared" si="68"/>
        <v>0.84303324479062169</v>
      </c>
      <c r="AK101" s="456">
        <f t="shared" si="61"/>
        <v>0.5255453601804625</v>
      </c>
      <c r="AL101" s="456">
        <f t="shared" si="62"/>
        <v>1.1176562379393964</v>
      </c>
      <c r="AM101" s="456">
        <f t="shared" si="63"/>
        <v>0.67343939384457485</v>
      </c>
      <c r="AN101" s="456">
        <f t="shared" si="64"/>
        <v>0.52619728602154581</v>
      </c>
      <c r="AO101" s="456">
        <f t="shared" si="65"/>
        <v>3.1368808827925356</v>
      </c>
      <c r="AP101" s="461">
        <f t="shared" si="66"/>
        <v>1.6322360415599064</v>
      </c>
    </row>
    <row r="102" spans="1:42">
      <c r="C102" s="444">
        <v>4.7000000000000002E-3</v>
      </c>
      <c r="D102" s="445">
        <v>15</v>
      </c>
      <c r="E102" s="446">
        <v>133</v>
      </c>
      <c r="F102" s="444">
        <v>24.422986030000001</v>
      </c>
      <c r="G102" s="444">
        <v>28.979280030000002</v>
      </c>
      <c r="H102" s="447">
        <f t="shared" ref="H102" si="74">G102-F102</f>
        <v>4.5562940000000012</v>
      </c>
      <c r="J102" s="329" t="s">
        <v>153</v>
      </c>
      <c r="K102" s="472">
        <f>0.3*0.3</f>
        <v>0.09</v>
      </c>
      <c r="L102" s="444"/>
      <c r="M102" s="448">
        <v>15</v>
      </c>
      <c r="N102" s="449">
        <v>133</v>
      </c>
      <c r="O102" s="450">
        <v>24.08426399</v>
      </c>
      <c r="P102" s="450">
        <v>27.04264152</v>
      </c>
      <c r="Q102" s="451">
        <f>P102-O102</f>
        <v>2.9583775299999999</v>
      </c>
      <c r="V102" s="448">
        <v>15</v>
      </c>
      <c r="W102" s="449">
        <v>133</v>
      </c>
      <c r="X102" s="450">
        <v>23.741350990000001</v>
      </c>
      <c r="Y102" s="450">
        <v>25.649869989999999</v>
      </c>
      <c r="Z102" s="451">
        <f>Y102-X102</f>
        <v>1.9085189999999983</v>
      </c>
      <c r="AB102" s="498">
        <v>35</v>
      </c>
      <c r="AC102" s="459">
        <v>24.054741058036139</v>
      </c>
      <c r="AD102" s="456">
        <v>23.740047141316364</v>
      </c>
      <c r="AE102" s="456">
        <v>25.352073481802563</v>
      </c>
      <c r="AF102" s="456">
        <v>24.262426004554406</v>
      </c>
      <c r="AG102" s="456">
        <v>23.734738602324647</v>
      </c>
      <c r="AH102" s="456">
        <v>26.02616480083632</v>
      </c>
      <c r="AI102" s="461">
        <v>24.665406455958255</v>
      </c>
      <c r="AJ102" s="459">
        <f t="shared" si="68"/>
        <v>0.83884229295505008</v>
      </c>
      <c r="AK102" s="456">
        <f t="shared" si="61"/>
        <v>0.52247199550103929</v>
      </c>
      <c r="AL102" s="456">
        <f t="shared" si="62"/>
        <v>1.2778677807967611</v>
      </c>
      <c r="AM102" s="456">
        <f t="shared" si="63"/>
        <v>0.52917751843797234</v>
      </c>
      <c r="AN102" s="456">
        <f t="shared" si="64"/>
        <v>0.51409009182989962</v>
      </c>
      <c r="AO102" s="456">
        <f t="shared" si="65"/>
        <v>3.1425619508363205</v>
      </c>
      <c r="AP102" s="461">
        <f t="shared" si="66"/>
        <v>1.7818064559582538</v>
      </c>
    </row>
    <row r="103" spans="1:42">
      <c r="D103" s="448">
        <v>15</v>
      </c>
      <c r="E103" s="449">
        <v>133</v>
      </c>
      <c r="F103" s="450">
        <v>23.74461062</v>
      </c>
      <c r="G103" s="450">
        <v>28.166521889999999</v>
      </c>
      <c r="H103" s="451">
        <f>G103-F103</f>
        <v>4.421911269999999</v>
      </c>
      <c r="L103" s="444">
        <v>5.1999999999999998E-3</v>
      </c>
      <c r="M103" s="445">
        <v>15</v>
      </c>
      <c r="N103" s="446">
        <v>133</v>
      </c>
      <c r="O103" s="444">
        <v>24.420378320000001</v>
      </c>
      <c r="P103" s="444">
        <v>27.829764320000002</v>
      </c>
      <c r="Q103" s="447">
        <f t="shared" ref="Q103" si="75">P103-O103</f>
        <v>3.4093860000000014</v>
      </c>
      <c r="U103" s="444">
        <v>5.5999999999999999E-3</v>
      </c>
      <c r="V103" s="445">
        <v>15</v>
      </c>
      <c r="W103" s="446">
        <v>133</v>
      </c>
      <c r="X103" s="444">
        <v>23.74358617</v>
      </c>
      <c r="Y103" s="444">
        <v>25.447440919999998</v>
      </c>
      <c r="Z103" s="447">
        <f t="shared" ref="Z103" si="76">Y103-X103</f>
        <v>1.7038547499999979</v>
      </c>
      <c r="AB103" s="498">
        <v>40</v>
      </c>
      <c r="AC103" s="459">
        <v>24.058466348556646</v>
      </c>
      <c r="AD103" s="456">
        <v>23.737905099267067</v>
      </c>
      <c r="AE103" s="456">
        <v>25.318545867118004</v>
      </c>
      <c r="AF103" s="456">
        <v>24.398492240815891</v>
      </c>
      <c r="AG103" s="456">
        <v>23.734366073272579</v>
      </c>
      <c r="AH103" s="456">
        <v>26.363769254257221</v>
      </c>
      <c r="AI103" s="461">
        <v>24.525335532387192</v>
      </c>
      <c r="AJ103" s="459">
        <f t="shared" si="68"/>
        <v>0.8425675834755566</v>
      </c>
      <c r="AK103" s="456">
        <f t="shared" si="61"/>
        <v>0.52032995345174271</v>
      </c>
      <c r="AL103" s="456">
        <f t="shared" si="62"/>
        <v>1.2443401661122024</v>
      </c>
      <c r="AM103" s="456">
        <f t="shared" si="63"/>
        <v>0.66524375469945696</v>
      </c>
      <c r="AN103" s="456">
        <f t="shared" si="64"/>
        <v>0.5137175627778312</v>
      </c>
      <c r="AO103" s="456">
        <f t="shared" si="65"/>
        <v>3.480166404257222</v>
      </c>
      <c r="AP103" s="461">
        <f t="shared" si="66"/>
        <v>1.6417355323871909</v>
      </c>
    </row>
    <row r="104" spans="1:42">
      <c r="L104" s="444"/>
      <c r="M104" s="448">
        <v>15</v>
      </c>
      <c r="N104" s="449">
        <v>133</v>
      </c>
      <c r="O104" s="450">
        <v>23.756531549999998</v>
      </c>
      <c r="P104" s="450">
        <v>27.180784299999999</v>
      </c>
      <c r="Q104" s="451">
        <f>P104-O104</f>
        <v>3.4242527500000008</v>
      </c>
      <c r="V104" s="448">
        <v>15</v>
      </c>
      <c r="W104" s="449">
        <v>133</v>
      </c>
      <c r="X104" s="450">
        <v>23.574457979999998</v>
      </c>
      <c r="Y104" s="450">
        <v>25.512199979999998</v>
      </c>
      <c r="Z104" s="451">
        <f>Y104-X104</f>
        <v>1.9377420000000001</v>
      </c>
      <c r="AB104" s="498">
        <v>45</v>
      </c>
      <c r="AC104" s="459">
        <v>24.061725977762091</v>
      </c>
      <c r="AD104" s="456">
        <v>23.73818449605611</v>
      </c>
      <c r="AE104" s="456">
        <v>25.438872750930358</v>
      </c>
      <c r="AF104" s="456">
        <v>24.404918366963781</v>
      </c>
      <c r="AG104" s="456">
        <v>23.737998231530089</v>
      </c>
      <c r="AH104" s="456">
        <v>26.359764566947671</v>
      </c>
      <c r="AI104" s="461">
        <v>24.519561332080414</v>
      </c>
      <c r="AJ104" s="459">
        <f t="shared" si="68"/>
        <v>0.84582721268100158</v>
      </c>
      <c r="AK104" s="456">
        <f t="shared" si="61"/>
        <v>0.52060935024078603</v>
      </c>
      <c r="AL104" s="456">
        <f t="shared" si="62"/>
        <v>1.3646670499245559</v>
      </c>
      <c r="AM104" s="456">
        <f t="shared" si="63"/>
        <v>0.67166988084734669</v>
      </c>
      <c r="AN104" s="456">
        <f t="shared" si="64"/>
        <v>0.51734972103534105</v>
      </c>
      <c r="AO104" s="456">
        <f t="shared" si="65"/>
        <v>3.4761617169476722</v>
      </c>
      <c r="AP104" s="461">
        <f t="shared" si="66"/>
        <v>1.6359613320804129</v>
      </c>
    </row>
    <row r="105" spans="1:42" ht="18.75">
      <c r="A105" s="329" t="s">
        <v>148</v>
      </c>
      <c r="B105" s="472" t="s">
        <v>28</v>
      </c>
      <c r="C105" s="444" t="s">
        <v>140</v>
      </c>
      <c r="D105" s="440" t="s">
        <v>0</v>
      </c>
      <c r="E105" s="441" t="s">
        <v>1</v>
      </c>
      <c r="F105" s="441" t="s">
        <v>141</v>
      </c>
      <c r="G105" s="441" t="s">
        <v>136</v>
      </c>
      <c r="H105" s="442" t="s">
        <v>137</v>
      </c>
      <c r="L105" s="444" t="s">
        <v>140</v>
      </c>
      <c r="M105" s="440" t="s">
        <v>0</v>
      </c>
      <c r="N105" s="441" t="s">
        <v>1</v>
      </c>
      <c r="O105" s="441" t="s">
        <v>141</v>
      </c>
      <c r="P105" s="441" t="s">
        <v>136</v>
      </c>
      <c r="Q105" s="442" t="s">
        <v>137</v>
      </c>
      <c r="AB105" s="499">
        <v>50</v>
      </c>
      <c r="AC105" s="459">
        <v>24.060422126079924</v>
      </c>
      <c r="AD105" s="456">
        <v>23.739115818686237</v>
      </c>
      <c r="AE105" s="456">
        <v>25.400336974879298</v>
      </c>
      <c r="AF105" s="456">
        <v>24.409388715588367</v>
      </c>
      <c r="AG105" s="456">
        <v>23.733900411957517</v>
      </c>
      <c r="AH105" s="456">
        <v>26.369822851353046</v>
      </c>
      <c r="AI105" s="461">
        <v>24.599841342797323</v>
      </c>
      <c r="AJ105" s="459">
        <f t="shared" si="68"/>
        <v>0.84452336099883496</v>
      </c>
      <c r="AK105" s="456">
        <f t="shared" si="61"/>
        <v>0.52154067287091266</v>
      </c>
      <c r="AL105" s="456">
        <f t="shared" si="62"/>
        <v>1.3261312738734965</v>
      </c>
      <c r="AM105" s="456">
        <f t="shared" si="63"/>
        <v>0.6761402294719332</v>
      </c>
      <c r="AN105" s="456">
        <f t="shared" si="64"/>
        <v>0.51325190146276967</v>
      </c>
      <c r="AO105" s="456">
        <f t="shared" si="65"/>
        <v>3.4862200013530469</v>
      </c>
      <c r="AP105" s="461">
        <f t="shared" si="66"/>
        <v>1.7162413427973213</v>
      </c>
    </row>
    <row r="106" spans="1:42" ht="18.75">
      <c r="A106" s="329" t="s">
        <v>149</v>
      </c>
      <c r="B106" s="472">
        <f>0.3*0.5</f>
        <v>0.15</v>
      </c>
      <c r="C106" s="444">
        <v>4.7000000000000002E-3</v>
      </c>
      <c r="D106" s="445">
        <v>15</v>
      </c>
      <c r="E106" s="446">
        <v>133</v>
      </c>
      <c r="F106" s="444">
        <v>23.741071600000001</v>
      </c>
      <c r="G106" s="444">
        <v>29.575864600000003</v>
      </c>
      <c r="H106" s="447">
        <f t="shared" ref="H106" si="77">G106-F106</f>
        <v>5.8347930000000012</v>
      </c>
      <c r="J106" s="329" t="s">
        <v>148</v>
      </c>
      <c r="K106" s="472" t="s">
        <v>28</v>
      </c>
      <c r="L106" s="444">
        <v>5.5999999999999999E-3</v>
      </c>
      <c r="M106" s="445">
        <v>15</v>
      </c>
      <c r="N106" s="446">
        <v>133</v>
      </c>
      <c r="O106" s="444">
        <v>23.755041439999999</v>
      </c>
      <c r="P106" s="444">
        <v>28.829352440000001</v>
      </c>
      <c r="Q106" s="447">
        <f t="shared" ref="Q106" si="78">P106-O106</f>
        <v>5.0743110000000016</v>
      </c>
      <c r="S106" s="329" t="s">
        <v>148</v>
      </c>
      <c r="T106" s="472" t="s">
        <v>28</v>
      </c>
      <c r="U106" s="444" t="s">
        <v>140</v>
      </c>
      <c r="V106" s="440" t="s">
        <v>0</v>
      </c>
      <c r="W106" s="441" t="s">
        <v>1</v>
      </c>
      <c r="X106" s="441" t="s">
        <v>141</v>
      </c>
      <c r="Y106" s="441" t="s">
        <v>136</v>
      </c>
      <c r="Z106" s="442" t="s">
        <v>137</v>
      </c>
      <c r="AB106" s="498">
        <v>55</v>
      </c>
      <c r="AC106" s="459">
        <v>24.059025142134733</v>
      </c>
      <c r="AD106" s="456">
        <v>23.74377243183687</v>
      </c>
      <c r="AE106" s="456">
        <v>25.442504909187843</v>
      </c>
      <c r="AF106" s="456">
        <v>24.40929558332537</v>
      </c>
      <c r="AG106" s="456">
        <v>23.740326538105407</v>
      </c>
      <c r="AH106" s="456">
        <v>26.366283825358558</v>
      </c>
      <c r="AI106" s="461">
        <v>24.858562769446507</v>
      </c>
      <c r="AJ106" s="459">
        <f t="shared" si="68"/>
        <v>0.84312637705364324</v>
      </c>
      <c r="AK106" s="456">
        <f t="shared" si="61"/>
        <v>0.52619728602154581</v>
      </c>
      <c r="AL106" s="456">
        <f t="shared" si="62"/>
        <v>1.3682992081820409</v>
      </c>
      <c r="AM106" s="456">
        <f t="shared" si="63"/>
        <v>0.67604709720893652</v>
      </c>
      <c r="AN106" s="456">
        <f t="shared" si="64"/>
        <v>0.5196780276106594</v>
      </c>
      <c r="AO106" s="456">
        <f t="shared" si="65"/>
        <v>3.4826809753585586</v>
      </c>
      <c r="AP106" s="461">
        <f t="shared" si="66"/>
        <v>1.9749627694465062</v>
      </c>
    </row>
    <row r="107" spans="1:42">
      <c r="B107" s="472"/>
      <c r="D107" s="448">
        <v>15</v>
      </c>
      <c r="E107" s="449">
        <v>133</v>
      </c>
      <c r="F107" s="450">
        <v>23.747590850000002</v>
      </c>
      <c r="G107" s="450">
        <v>29.556459650000001</v>
      </c>
      <c r="H107" s="451">
        <f>G107-F107</f>
        <v>5.8088687999999991</v>
      </c>
      <c r="J107" s="329" t="s">
        <v>153</v>
      </c>
      <c r="K107" s="472">
        <f>0.3*0.5</f>
        <v>0.15</v>
      </c>
      <c r="L107" s="444"/>
      <c r="M107" s="448">
        <v>15</v>
      </c>
      <c r="N107" s="449">
        <v>133</v>
      </c>
      <c r="O107" s="450">
        <v>23.76184009</v>
      </c>
      <c r="P107" s="450">
        <v>28.77241828</v>
      </c>
      <c r="Q107" s="451">
        <f>P107-O107</f>
        <v>5.0105781900000004</v>
      </c>
      <c r="S107" s="329" t="s">
        <v>162</v>
      </c>
      <c r="T107" s="472">
        <f>0.3*0.5</f>
        <v>0.15</v>
      </c>
      <c r="U107" s="444">
        <v>5.0000000000000001E-3</v>
      </c>
      <c r="V107" s="445">
        <v>15</v>
      </c>
      <c r="W107" s="446">
        <v>133</v>
      </c>
      <c r="X107" s="444">
        <v>24.769810570000001</v>
      </c>
      <c r="Y107" s="444">
        <v>27.33106806</v>
      </c>
      <c r="Z107" s="447">
        <f t="shared" ref="Z107" si="79">Y107-X107</f>
        <v>2.5612574899999991</v>
      </c>
      <c r="AB107" s="498">
        <v>60</v>
      </c>
      <c r="AC107" s="459">
        <v>24.072808717060614</v>
      </c>
      <c r="AD107" s="456">
        <v>23.745169415782058</v>
      </c>
      <c r="AE107" s="456">
        <v>25.432074095730428</v>
      </c>
      <c r="AF107" s="456">
        <v>24.406222218645947</v>
      </c>
      <c r="AG107" s="456">
        <v>23.740699067157447</v>
      </c>
      <c r="AH107" s="456">
        <v>26.365166238202413</v>
      </c>
      <c r="AI107" s="461">
        <v>24.733858669272561</v>
      </c>
      <c r="AJ107" s="459">
        <f t="shared" si="68"/>
        <v>0.85690995197952446</v>
      </c>
      <c r="AK107" s="456">
        <f t="shared" si="61"/>
        <v>0.52759426996673398</v>
      </c>
      <c r="AL107" s="456">
        <f t="shared" si="62"/>
        <v>1.3578683947246262</v>
      </c>
      <c r="AM107" s="456">
        <f t="shared" si="63"/>
        <v>0.67297373252951331</v>
      </c>
      <c r="AN107" s="456">
        <f t="shared" si="64"/>
        <v>0.52005055666269939</v>
      </c>
      <c r="AO107" s="456">
        <f t="shared" si="65"/>
        <v>3.4815633882024137</v>
      </c>
      <c r="AP107" s="461">
        <f t="shared" si="66"/>
        <v>1.8502586692725593</v>
      </c>
    </row>
    <row r="108" spans="1:42">
      <c r="C108" s="444">
        <v>4.8999999999999998E-3</v>
      </c>
      <c r="D108" s="445">
        <v>15</v>
      </c>
      <c r="E108" s="446">
        <v>133</v>
      </c>
      <c r="F108" s="444">
        <v>23.751502410000001</v>
      </c>
      <c r="G108" s="444">
        <v>29.44383741</v>
      </c>
      <c r="H108" s="447">
        <f t="shared" ref="H108" si="80">G108-F108</f>
        <v>5.6923349999999999</v>
      </c>
      <c r="K108" s="472"/>
      <c r="L108" s="444">
        <v>5.4000000000000003E-3</v>
      </c>
      <c r="M108" s="445">
        <v>15</v>
      </c>
      <c r="N108" s="446">
        <v>133</v>
      </c>
      <c r="O108" s="444">
        <v>23.758394200000001</v>
      </c>
      <c r="P108" s="444">
        <v>29.108783200000001</v>
      </c>
      <c r="Q108" s="447">
        <f t="shared" ref="Q108" si="81">P108-O108</f>
        <v>5.3503889999999998</v>
      </c>
      <c r="V108" s="448">
        <v>15</v>
      </c>
      <c r="W108" s="449">
        <v>133</v>
      </c>
      <c r="X108" s="450">
        <v>24.959893520000001</v>
      </c>
      <c r="Y108" s="450">
        <v>27.529642520000003</v>
      </c>
      <c r="Z108" s="451">
        <f>Y108-X108</f>
        <v>2.5697490000000016</v>
      </c>
      <c r="AB108" s="498">
        <v>65</v>
      </c>
      <c r="AC108" s="459">
        <v>24.087989275931683</v>
      </c>
      <c r="AD108" s="456">
        <v>23.744890018993015</v>
      </c>
      <c r="AE108" s="456">
        <v>25.437382634722145</v>
      </c>
      <c r="AF108" s="456">
        <v>24.405663425067861</v>
      </c>
      <c r="AG108" s="456">
        <v>23.748894706302565</v>
      </c>
      <c r="AH108" s="456">
        <v>26.526564450003363</v>
      </c>
      <c r="AI108" s="461">
        <v>24.857631446816381</v>
      </c>
      <c r="AJ108" s="459">
        <f t="shared" si="68"/>
        <v>0.87209051085059386</v>
      </c>
      <c r="AK108" s="456">
        <f t="shared" si="61"/>
        <v>0.52731487317769066</v>
      </c>
      <c r="AL108" s="456">
        <f t="shared" si="62"/>
        <v>1.3631769337163426</v>
      </c>
      <c r="AM108" s="456">
        <f t="shared" si="63"/>
        <v>0.67241493895142668</v>
      </c>
      <c r="AN108" s="456">
        <f t="shared" si="64"/>
        <v>0.52824619580781729</v>
      </c>
      <c r="AO108" s="456">
        <f t="shared" si="65"/>
        <v>3.642961600003364</v>
      </c>
      <c r="AP108" s="461">
        <f t="shared" si="66"/>
        <v>1.9740314468163795</v>
      </c>
    </row>
    <row r="109" spans="1:42">
      <c r="D109" s="448">
        <v>15</v>
      </c>
      <c r="E109" s="449">
        <v>133</v>
      </c>
      <c r="F109" s="450">
        <v>23.7523406</v>
      </c>
      <c r="G109" s="450">
        <v>29.316355720000001</v>
      </c>
      <c r="H109" s="451">
        <f>G109-F109</f>
        <v>5.5640151200000005</v>
      </c>
      <c r="L109" s="444"/>
      <c r="M109" s="448">
        <v>15</v>
      </c>
      <c r="N109" s="449">
        <v>133</v>
      </c>
      <c r="O109" s="450">
        <v>23.71024482</v>
      </c>
      <c r="P109" s="450">
        <v>28.95192918</v>
      </c>
      <c r="Q109" s="451">
        <f>P109-O109</f>
        <v>5.2416843600000007</v>
      </c>
      <c r="U109" s="444">
        <v>5.7000000000000002E-3</v>
      </c>
      <c r="V109" s="445">
        <v>15</v>
      </c>
      <c r="W109" s="446">
        <v>133</v>
      </c>
      <c r="X109" s="444">
        <v>24.781057690000001</v>
      </c>
      <c r="Y109" s="444">
        <v>27.33106806</v>
      </c>
      <c r="Z109" s="447">
        <f t="shared" ref="Z109" si="82">Y109-X109</f>
        <v>2.550010369999999</v>
      </c>
      <c r="AB109" s="499">
        <v>70</v>
      </c>
      <c r="AC109" s="459">
        <v>24.185964416620997</v>
      </c>
      <c r="AD109" s="456">
        <v>23.742934241469765</v>
      </c>
      <c r="AE109" s="456">
        <v>25.43188783120441</v>
      </c>
      <c r="AF109" s="456">
        <v>24.410599435007537</v>
      </c>
      <c r="AG109" s="456">
        <v>23.74693892877929</v>
      </c>
      <c r="AH109" s="456">
        <v>26.703329485201376</v>
      </c>
      <c r="AI109" s="461">
        <v>24.852509172350683</v>
      </c>
      <c r="AJ109" s="459">
        <f t="shared" si="68"/>
        <v>0.9700656515399082</v>
      </c>
      <c r="AK109" s="456">
        <f t="shared" si="61"/>
        <v>0.52535909565444072</v>
      </c>
      <c r="AL109" s="456">
        <f t="shared" si="62"/>
        <v>1.357682130198608</v>
      </c>
      <c r="AM109" s="456">
        <f t="shared" si="63"/>
        <v>0.67735094889110314</v>
      </c>
      <c r="AN109" s="456">
        <f t="shared" si="64"/>
        <v>0.52629041828454248</v>
      </c>
      <c r="AO109" s="456">
        <f t="shared" si="65"/>
        <v>3.819726635201377</v>
      </c>
      <c r="AP109" s="461">
        <f t="shared" si="66"/>
        <v>1.9689091723506813</v>
      </c>
    </row>
    <row r="110" spans="1:42">
      <c r="B110" s="472"/>
      <c r="V110" s="448">
        <v>15</v>
      </c>
      <c r="W110" s="449">
        <v>133</v>
      </c>
      <c r="X110" s="450">
        <v>24.759893519999999</v>
      </c>
      <c r="Y110" s="450">
        <v>27.264106519999999</v>
      </c>
      <c r="Z110" s="451">
        <f>Y110-X110</f>
        <v>2.504213</v>
      </c>
      <c r="AB110" s="498">
        <v>75</v>
      </c>
      <c r="AC110" s="459">
        <v>24.282076912050062</v>
      </c>
      <c r="AD110" s="456">
        <v>23.745076283519037</v>
      </c>
      <c r="AE110" s="456">
        <v>25.437496747821399</v>
      </c>
      <c r="AF110" s="456">
        <v>24.417304957944442</v>
      </c>
      <c r="AG110" s="456">
        <v>23.74498315125604</v>
      </c>
      <c r="AH110" s="456">
        <v>26.671943912566114</v>
      </c>
      <c r="AI110" s="461">
        <v>24.851484717457559</v>
      </c>
      <c r="AJ110" s="459">
        <f t="shared" si="68"/>
        <v>1.0661781469689728</v>
      </c>
      <c r="AK110" s="456">
        <f t="shared" si="61"/>
        <v>0.52750113770371243</v>
      </c>
      <c r="AL110" s="456">
        <f t="shared" si="62"/>
        <v>1.363291046815597</v>
      </c>
      <c r="AM110" s="456">
        <f t="shared" si="63"/>
        <v>0.68405647182800777</v>
      </c>
      <c r="AN110" s="456">
        <f t="shared" si="64"/>
        <v>0.52433464076129255</v>
      </c>
      <c r="AO110" s="456">
        <f t="shared" si="65"/>
        <v>3.7883410625661149</v>
      </c>
      <c r="AP110" s="461">
        <f t="shared" si="66"/>
        <v>1.967884717457558</v>
      </c>
    </row>
    <row r="111" spans="1:42" ht="18.75">
      <c r="A111" s="329" t="s">
        <v>146</v>
      </c>
      <c r="B111" s="472" t="s">
        <v>51</v>
      </c>
      <c r="C111" s="444" t="s">
        <v>140</v>
      </c>
      <c r="D111" s="440" t="s">
        <v>0</v>
      </c>
      <c r="E111" s="441" t="s">
        <v>1</v>
      </c>
      <c r="F111" s="441" t="s">
        <v>141</v>
      </c>
      <c r="G111" s="441" t="s">
        <v>136</v>
      </c>
      <c r="H111" s="442" t="s">
        <v>137</v>
      </c>
      <c r="K111" s="472"/>
      <c r="L111" s="444" t="s">
        <v>140</v>
      </c>
      <c r="M111" s="440" t="s">
        <v>0</v>
      </c>
      <c r="N111" s="441" t="s">
        <v>1</v>
      </c>
      <c r="O111" s="441" t="s">
        <v>141</v>
      </c>
      <c r="P111" s="441" t="s">
        <v>136</v>
      </c>
      <c r="Q111" s="442" t="s">
        <v>137</v>
      </c>
      <c r="AB111" s="498">
        <v>80</v>
      </c>
      <c r="AC111" s="459">
        <v>24.400261753813147</v>
      </c>
      <c r="AD111" s="456">
        <v>23.742841109206744</v>
      </c>
      <c r="AE111" s="456">
        <v>25.305321085770185</v>
      </c>
      <c r="AF111" s="456">
        <v>24.417118693418423</v>
      </c>
      <c r="AG111" s="456">
        <v>23.74936036761763</v>
      </c>
      <c r="AH111" s="456">
        <v>26.697927813946663</v>
      </c>
      <c r="AI111" s="461">
        <v>24.846455575254861</v>
      </c>
      <c r="AJ111" s="459">
        <f t="shared" si="68"/>
        <v>1.1843629887320581</v>
      </c>
      <c r="AK111" s="456">
        <f t="shared" si="61"/>
        <v>0.52526596339141918</v>
      </c>
      <c r="AL111" s="456">
        <f t="shared" si="62"/>
        <v>1.231115384764383</v>
      </c>
      <c r="AM111" s="456">
        <f t="shared" si="63"/>
        <v>0.68387020730198955</v>
      </c>
      <c r="AN111" s="456">
        <f t="shared" si="64"/>
        <v>0.52871185712288238</v>
      </c>
      <c r="AO111" s="456">
        <f t="shared" si="65"/>
        <v>3.8143249639466639</v>
      </c>
      <c r="AP111" s="461">
        <f t="shared" si="66"/>
        <v>1.96285557525486</v>
      </c>
    </row>
    <row r="112" spans="1:42" ht="18.75">
      <c r="A112" s="329" t="s">
        <v>147</v>
      </c>
      <c r="B112" s="472">
        <f>0.3*0.8</f>
        <v>0.24</v>
      </c>
      <c r="C112" s="444">
        <v>4.7000000000000002E-3</v>
      </c>
      <c r="D112" s="445">
        <v>15</v>
      </c>
      <c r="E112" s="446">
        <v>133</v>
      </c>
      <c r="F112" s="444">
        <v>23.741071600000001</v>
      </c>
      <c r="G112" s="444">
        <v>32.778562600000001</v>
      </c>
      <c r="H112" s="447">
        <f t="shared" ref="H112" si="83">G112-F112</f>
        <v>9.0374909999999993</v>
      </c>
      <c r="J112" s="329" t="s">
        <v>146</v>
      </c>
      <c r="K112" s="472" t="s">
        <v>51</v>
      </c>
      <c r="L112" s="444">
        <v>5.7000000000000002E-3</v>
      </c>
      <c r="M112" s="445">
        <v>15</v>
      </c>
      <c r="N112" s="446">
        <v>133</v>
      </c>
      <c r="O112" s="444">
        <v>23.748894709999998</v>
      </c>
      <c r="P112" s="444">
        <v>32.407272710000001</v>
      </c>
      <c r="Q112" s="447">
        <f t="shared" ref="Q112" si="84">P112-O112</f>
        <v>8.6583780000000026</v>
      </c>
      <c r="S112" s="329" t="s">
        <v>148</v>
      </c>
      <c r="T112" s="472" t="s">
        <v>51</v>
      </c>
      <c r="U112" s="444" t="s">
        <v>140</v>
      </c>
      <c r="V112" s="440" t="s">
        <v>0</v>
      </c>
      <c r="W112" s="441" t="s">
        <v>1</v>
      </c>
      <c r="X112" s="441" t="s">
        <v>141</v>
      </c>
      <c r="Y112" s="441" t="s">
        <v>136</v>
      </c>
      <c r="Z112" s="442" t="s">
        <v>137</v>
      </c>
      <c r="AB112" s="498">
        <v>85</v>
      </c>
      <c r="AC112" s="459">
        <v>24.398864769867956</v>
      </c>
      <c r="AD112" s="456">
        <v>23.747590854620398</v>
      </c>
      <c r="AE112" s="456">
        <v>25.437103237933101</v>
      </c>
      <c r="AF112" s="456">
        <v>24.406315350908969</v>
      </c>
      <c r="AG112" s="456">
        <v>23.742747976943718</v>
      </c>
      <c r="AH112" s="456">
        <v>26.706123453091756</v>
      </c>
      <c r="AI112" s="461">
        <v>24.850553394827433</v>
      </c>
      <c r="AJ112" s="459">
        <f t="shared" si="68"/>
        <v>1.1829660047868664</v>
      </c>
      <c r="AK112" s="456">
        <f t="shared" si="61"/>
        <v>0.53001570880507387</v>
      </c>
      <c r="AL112" s="456">
        <f t="shared" si="62"/>
        <v>1.3628975369272993</v>
      </c>
      <c r="AM112" s="456">
        <f t="shared" si="63"/>
        <v>0.67306686479253486</v>
      </c>
      <c r="AN112" s="456">
        <f t="shared" si="64"/>
        <v>0.52209946644897087</v>
      </c>
      <c r="AO112" s="456">
        <f t="shared" si="65"/>
        <v>3.8225206030917569</v>
      </c>
      <c r="AP112" s="461">
        <f t="shared" si="66"/>
        <v>1.9669533948274314</v>
      </c>
    </row>
    <row r="113" spans="1:42">
      <c r="B113" s="472"/>
      <c r="D113" s="448">
        <v>15</v>
      </c>
      <c r="E113" s="449">
        <v>133</v>
      </c>
      <c r="F113" s="450">
        <v>23.747590850000002</v>
      </c>
      <c r="G113" s="450">
        <v>32.756459649999996</v>
      </c>
      <c r="H113" s="451">
        <f>G113-F113</f>
        <v>9.0088687999999948</v>
      </c>
      <c r="J113" s="329" t="s">
        <v>153</v>
      </c>
      <c r="K113" s="472">
        <f>0.3*0.8</f>
        <v>0.24</v>
      </c>
      <c r="L113" s="444"/>
      <c r="M113" s="448">
        <v>15</v>
      </c>
      <c r="N113" s="449">
        <v>133</v>
      </c>
      <c r="O113" s="450">
        <v>23.766055089999998</v>
      </c>
      <c r="P113" s="450">
        <v>32.444274419999999</v>
      </c>
      <c r="Q113" s="451">
        <f>P113-O113</f>
        <v>8.678219330000001</v>
      </c>
      <c r="S113" s="329" t="s">
        <v>162</v>
      </c>
      <c r="T113" s="472">
        <f>0.3*0.8</f>
        <v>0.24</v>
      </c>
      <c r="U113" s="444">
        <v>6.0000000000000001E-3</v>
      </c>
      <c r="V113" s="445">
        <v>15</v>
      </c>
      <c r="W113" s="446">
        <v>133</v>
      </c>
      <c r="X113" s="444">
        <v>23.747963380000002</v>
      </c>
      <c r="Y113" s="444">
        <v>27.000616369999999</v>
      </c>
      <c r="Z113" s="447">
        <f t="shared" ref="Z113" si="85">Y113-X113</f>
        <v>3.2526529899999979</v>
      </c>
      <c r="AB113" s="499">
        <v>90</v>
      </c>
      <c r="AC113" s="459">
        <v>24.07690653663316</v>
      </c>
      <c r="AD113" s="456">
        <v>23.747497722357377</v>
      </c>
      <c r="AE113" s="456">
        <v>25.398080819730808</v>
      </c>
      <c r="AF113" s="456">
        <v>24.413020873845877</v>
      </c>
      <c r="AG113" s="456">
        <v>23.747590854620398</v>
      </c>
      <c r="AH113" s="456">
        <v>26.704540204620546</v>
      </c>
      <c r="AI113" s="461">
        <v>24.856327595134214</v>
      </c>
      <c r="AJ113" s="459">
        <f t="shared" si="68"/>
        <v>0.86100777155207098</v>
      </c>
      <c r="AK113" s="456">
        <f t="shared" si="61"/>
        <v>0.52992257654205233</v>
      </c>
      <c r="AL113" s="456">
        <f t="shared" si="62"/>
        <v>1.323875118725006</v>
      </c>
      <c r="AM113" s="456">
        <f t="shared" si="63"/>
        <v>0.67977238772944304</v>
      </c>
      <c r="AN113" s="456">
        <f t="shared" si="64"/>
        <v>0.52694234412565066</v>
      </c>
      <c r="AO113" s="456">
        <f t="shared" si="65"/>
        <v>3.820937354620547</v>
      </c>
      <c r="AP113" s="461">
        <f t="shared" si="66"/>
        <v>1.9727275951342129</v>
      </c>
    </row>
    <row r="114" spans="1:42">
      <c r="C114" s="444">
        <v>4.5999999999999999E-3</v>
      </c>
      <c r="D114" s="445">
        <v>15</v>
      </c>
      <c r="E114" s="446">
        <v>133</v>
      </c>
      <c r="F114" s="444">
        <v>23.751502410000001</v>
      </c>
      <c r="G114" s="444">
        <v>32.686227410000001</v>
      </c>
      <c r="H114" s="447">
        <f t="shared" ref="H114" si="86">G114-F114</f>
        <v>8.9347250000000003</v>
      </c>
      <c r="L114" s="444">
        <v>5.3E-3</v>
      </c>
      <c r="M114" s="445">
        <v>15</v>
      </c>
      <c r="N114" s="446">
        <v>133</v>
      </c>
      <c r="O114" s="444">
        <v>24.421123380000001</v>
      </c>
      <c r="P114" s="444">
        <v>33.26354868</v>
      </c>
      <c r="Q114" s="447">
        <f t="shared" ref="Q114" si="87">P114-O114</f>
        <v>8.8424252999999986</v>
      </c>
      <c r="V114" s="448">
        <v>15</v>
      </c>
      <c r="W114" s="449">
        <v>133</v>
      </c>
      <c r="X114" s="450">
        <v>23.53622872</v>
      </c>
      <c r="Y114" s="450">
        <v>26.816806720000002</v>
      </c>
      <c r="Z114" s="451">
        <f>Y114-X114</f>
        <v>3.280578000000002</v>
      </c>
      <c r="AB114" s="498">
        <v>95</v>
      </c>
      <c r="AC114" s="459">
        <v>24.349039009156183</v>
      </c>
      <c r="AD114" s="456">
        <v>23.74693892877929</v>
      </c>
      <c r="AE114" s="456">
        <v>25.315845031490621</v>
      </c>
      <c r="AF114" s="456">
        <v>24.412741477056834</v>
      </c>
      <c r="AG114" s="456">
        <v>23.750664219299797</v>
      </c>
      <c r="AH114" s="456">
        <v>26.703050088412358</v>
      </c>
      <c r="AI114" s="461">
        <v>24.855303140241062</v>
      </c>
      <c r="AJ114" s="459">
        <f t="shared" si="68"/>
        <v>1.1331402440750935</v>
      </c>
      <c r="AK114" s="456">
        <f t="shared" si="61"/>
        <v>0.52936378296396569</v>
      </c>
      <c r="AL114" s="456">
        <f t="shared" si="62"/>
        <v>1.2416393304848192</v>
      </c>
      <c r="AM114" s="456">
        <f t="shared" si="63"/>
        <v>0.67949299094039972</v>
      </c>
      <c r="AN114" s="456">
        <f t="shared" si="64"/>
        <v>0.530015708805049</v>
      </c>
      <c r="AO114" s="456">
        <f t="shared" si="65"/>
        <v>3.8194472384123586</v>
      </c>
      <c r="AP114" s="461">
        <f t="shared" si="66"/>
        <v>1.9717031402410612</v>
      </c>
    </row>
    <row r="115" spans="1:42">
      <c r="D115" s="448">
        <v>15</v>
      </c>
      <c r="E115" s="449">
        <v>133</v>
      </c>
      <c r="F115" s="450">
        <v>23.7523406</v>
      </c>
      <c r="G115" s="450">
        <v>32.51635572</v>
      </c>
      <c r="H115" s="451">
        <f>G115-F115</f>
        <v>8.7640151199999998</v>
      </c>
      <c r="L115" s="444"/>
      <c r="M115" s="448">
        <v>15</v>
      </c>
      <c r="N115" s="449">
        <v>133</v>
      </c>
      <c r="O115" s="450">
        <v>24.093949739999999</v>
      </c>
      <c r="P115" s="450">
        <v>32.845392009999998</v>
      </c>
      <c r="Q115" s="451">
        <f>P115-O115</f>
        <v>8.7514422699999983</v>
      </c>
      <c r="U115" s="444">
        <v>6.0000000000000001E-3</v>
      </c>
      <c r="V115" s="445">
        <v>15</v>
      </c>
      <c r="W115" s="446">
        <v>133</v>
      </c>
      <c r="X115" s="444">
        <v>25.95612934</v>
      </c>
      <c r="Y115" s="444">
        <v>29.114301179999998</v>
      </c>
      <c r="Z115" s="447">
        <f t="shared" ref="Z115" si="88">Y115-X115</f>
        <v>3.1581718399999978</v>
      </c>
      <c r="AB115" s="498">
        <v>100</v>
      </c>
      <c r="AC115" s="459">
        <v>24.403521383018589</v>
      </c>
      <c r="AD115" s="456">
        <v>23.750850483825843</v>
      </c>
      <c r="AE115" s="456">
        <v>25.104993588029963</v>
      </c>
      <c r="AF115" s="456">
        <v>24.408736789747284</v>
      </c>
      <c r="AG115" s="456">
        <v>23.74414496088891</v>
      </c>
      <c r="AH115" s="456">
        <v>26.696344565475425</v>
      </c>
      <c r="AI115" s="461">
        <v>24.861356737336887</v>
      </c>
      <c r="AJ115" s="459">
        <f t="shared" si="68"/>
        <v>1.1876226179374996</v>
      </c>
      <c r="AK115" s="456">
        <f t="shared" si="61"/>
        <v>0.53327533801051885</v>
      </c>
      <c r="AL115" s="456">
        <f t="shared" si="62"/>
        <v>1.0307878870241609</v>
      </c>
      <c r="AM115" s="456">
        <f t="shared" si="63"/>
        <v>0.67548830363084988</v>
      </c>
      <c r="AN115" s="456">
        <f t="shared" si="64"/>
        <v>0.52349645039416259</v>
      </c>
      <c r="AO115" s="456">
        <f t="shared" si="65"/>
        <v>3.8127417154754255</v>
      </c>
      <c r="AP115" s="461">
        <f t="shared" si="66"/>
        <v>1.9777567373368861</v>
      </c>
    </row>
    <row r="116" spans="1:42">
      <c r="V116" s="448">
        <v>15</v>
      </c>
      <c r="W116" s="449">
        <v>133</v>
      </c>
      <c r="X116" s="450">
        <v>24.078303519999999</v>
      </c>
      <c r="Y116" s="450">
        <v>27.180998519999999</v>
      </c>
      <c r="Z116" s="451">
        <f>Y116-X116</f>
        <v>3.1026950000000006</v>
      </c>
      <c r="AB116" s="498">
        <v>105</v>
      </c>
      <c r="AC116" s="459">
        <v>24.407153541276074</v>
      </c>
      <c r="AD116" s="456">
        <v>23.751409277403901</v>
      </c>
      <c r="AE116" s="456">
        <v>25.090651219525995</v>
      </c>
      <c r="AF116" s="456">
        <v>24.410226905955497</v>
      </c>
      <c r="AG116" s="456">
        <v>23.745076283519037</v>
      </c>
      <c r="AH116" s="456">
        <v>26.701559972204144</v>
      </c>
      <c r="AI116" s="461">
        <v>24.861915530914974</v>
      </c>
      <c r="AJ116" s="459">
        <f t="shared" si="68"/>
        <v>1.1912547761949845</v>
      </c>
      <c r="AK116" s="456">
        <f t="shared" si="61"/>
        <v>0.53383413158857707</v>
      </c>
      <c r="AL116" s="456">
        <f t="shared" si="62"/>
        <v>1.016445518520193</v>
      </c>
      <c r="AM116" s="456">
        <f t="shared" si="63"/>
        <v>0.67697841983906315</v>
      </c>
      <c r="AN116" s="456">
        <f t="shared" si="64"/>
        <v>0.52442777302428922</v>
      </c>
      <c r="AO116" s="456">
        <f t="shared" si="65"/>
        <v>3.8179571222041453</v>
      </c>
      <c r="AP116" s="461">
        <f t="shared" si="66"/>
        <v>1.9783155309149727</v>
      </c>
    </row>
    <row r="117" spans="1:42">
      <c r="AB117" s="499">
        <v>110</v>
      </c>
      <c r="AC117" s="459">
        <v>24.407339805802092</v>
      </c>
      <c r="AD117" s="456">
        <v>23.746752664253268</v>
      </c>
      <c r="AE117" s="456">
        <v>25.086087738638387</v>
      </c>
      <c r="AF117" s="456">
        <v>24.407246673539095</v>
      </c>
      <c r="AG117" s="456">
        <v>23.735949321743817</v>
      </c>
      <c r="AH117" s="456">
        <v>26.700628649574018</v>
      </c>
      <c r="AI117" s="461">
        <v>24.854558082136958</v>
      </c>
      <c r="AJ117" s="459">
        <f t="shared" si="68"/>
        <v>1.1914410407210028</v>
      </c>
      <c r="AK117" s="456">
        <f t="shared" si="61"/>
        <v>0.52917751843794392</v>
      </c>
      <c r="AL117" s="456">
        <f t="shared" si="62"/>
        <v>1.011882037632585</v>
      </c>
      <c r="AM117" s="456">
        <f t="shared" si="63"/>
        <v>0.67399818742266149</v>
      </c>
      <c r="AN117" s="456">
        <f t="shared" si="64"/>
        <v>0.51530081124906957</v>
      </c>
      <c r="AO117" s="456">
        <f t="shared" si="65"/>
        <v>3.8170257995740187</v>
      </c>
      <c r="AP117" s="461">
        <f t="shared" si="66"/>
        <v>1.9709580821369563</v>
      </c>
    </row>
    <row r="118" spans="1:42">
      <c r="A118" s="329"/>
      <c r="B118" s="472"/>
      <c r="D118" s="444"/>
      <c r="AB118" s="498">
        <v>115</v>
      </c>
      <c r="AC118" s="459">
        <v>24.298468190340301</v>
      </c>
      <c r="AD118" s="456">
        <v>23.752806261349093</v>
      </c>
      <c r="AE118" s="456">
        <v>25.08673966447947</v>
      </c>
      <c r="AF118" s="456">
        <v>24.412927741582852</v>
      </c>
      <c r="AG118" s="456">
        <v>23.742375447891678</v>
      </c>
      <c r="AH118" s="456">
        <v>26.695878904160363</v>
      </c>
      <c r="AI118" s="461">
        <v>24.853347362717813</v>
      </c>
      <c r="AJ118" s="459">
        <f t="shared" si="68"/>
        <v>1.0825694252592122</v>
      </c>
      <c r="AK118" s="456">
        <f t="shared" si="61"/>
        <v>0.53523111553376879</v>
      </c>
      <c r="AL118" s="456">
        <f t="shared" si="62"/>
        <v>1.0125339634736683</v>
      </c>
      <c r="AM118" s="456">
        <f t="shared" si="63"/>
        <v>0.67967925546641794</v>
      </c>
      <c r="AN118" s="456">
        <f t="shared" si="64"/>
        <v>0.52172693739693088</v>
      </c>
      <c r="AO118" s="456">
        <f t="shared" si="65"/>
        <v>3.812276054160364</v>
      </c>
      <c r="AP118" s="461">
        <f t="shared" si="66"/>
        <v>1.9697473627178113</v>
      </c>
    </row>
    <row r="119" spans="1:42">
      <c r="A119" s="329"/>
      <c r="B119" s="472"/>
      <c r="D119" s="444"/>
      <c r="AB119" s="500">
        <v>120</v>
      </c>
      <c r="AC119" s="469">
        <v>24.175626735426583</v>
      </c>
      <c r="AD119" s="450">
        <v>24.057162496874479</v>
      </c>
      <c r="AE119" s="450">
        <v>25.34536795886563</v>
      </c>
      <c r="AF119" s="450">
        <v>24.41125136084862</v>
      </c>
      <c r="AG119" s="450">
        <v>23.748335912724478</v>
      </c>
      <c r="AH119" s="450">
        <v>26.69681022679049</v>
      </c>
      <c r="AI119" s="462">
        <v>24.857631446816381</v>
      </c>
      <c r="AJ119" s="469">
        <f t="shared" si="68"/>
        <v>0.95972797034549373</v>
      </c>
      <c r="AK119" s="450">
        <f t="shared" si="61"/>
        <v>0.83958735105915494</v>
      </c>
      <c r="AL119" s="450">
        <f t="shared" si="62"/>
        <v>1.2711622578598281</v>
      </c>
      <c r="AM119" s="450">
        <f t="shared" si="63"/>
        <v>0.67800287473218646</v>
      </c>
      <c r="AN119" s="450">
        <f t="shared" si="64"/>
        <v>0.52768740222973065</v>
      </c>
      <c r="AO119" s="450">
        <f t="shared" si="65"/>
        <v>3.8132073767904906</v>
      </c>
      <c r="AP119" s="462">
        <f t="shared" si="66"/>
        <v>1.9740314468163795</v>
      </c>
    </row>
    <row r="120" spans="1:42">
      <c r="A120" s="494" t="s">
        <v>174</v>
      </c>
      <c r="B120" s="478"/>
      <c r="C120" s="478"/>
      <c r="D120" s="478"/>
      <c r="E120" s="478"/>
      <c r="G120" s="444" t="s">
        <v>139</v>
      </c>
      <c r="W120" s="444" t="s">
        <v>94</v>
      </c>
      <c r="AB120" s="444" t="s">
        <v>35</v>
      </c>
      <c r="AC120" s="444">
        <f>AC116-AC95</f>
        <v>1.1912547761949845</v>
      </c>
      <c r="AD120" s="444">
        <f t="shared" ref="AD120:AI120" si="89">AD119-AD95</f>
        <v>0.83958735105915494</v>
      </c>
      <c r="AE120" s="444">
        <f t="shared" si="89"/>
        <v>1.2711622578598281</v>
      </c>
      <c r="AF120" s="444">
        <f t="shared" si="89"/>
        <v>0.67800287473218646</v>
      </c>
      <c r="AG120" s="444">
        <f t="shared" si="89"/>
        <v>0.52768740222973065</v>
      </c>
      <c r="AH120" s="444">
        <f t="shared" si="89"/>
        <v>3.8132073767904906</v>
      </c>
      <c r="AI120" s="444">
        <f t="shared" si="89"/>
        <v>1.9740314468163795</v>
      </c>
    </row>
    <row r="121" spans="1:42">
      <c r="A121" s="329" t="s">
        <v>175</v>
      </c>
      <c r="C121" s="329" t="s">
        <v>160</v>
      </c>
      <c r="E121" s="329" t="s">
        <v>161</v>
      </c>
    </row>
    <row r="122" spans="1:42">
      <c r="T122" s="465" t="s">
        <v>182</v>
      </c>
    </row>
    <row r="123" spans="1:42">
      <c r="C123" s="465" t="s">
        <v>176</v>
      </c>
      <c r="D123" s="493"/>
      <c r="L123" s="465" t="s">
        <v>179</v>
      </c>
      <c r="M123" s="493"/>
      <c r="U123" s="444" t="s">
        <v>95</v>
      </c>
    </row>
    <row r="124" spans="1:42" ht="18.75">
      <c r="A124" s="329" t="s">
        <v>146</v>
      </c>
      <c r="B124" s="472">
        <v>0.5</v>
      </c>
      <c r="C124" s="444" t="s">
        <v>140</v>
      </c>
      <c r="D124" s="440" t="s">
        <v>0</v>
      </c>
      <c r="E124" s="441" t="s">
        <v>1</v>
      </c>
      <c r="F124" s="441" t="s">
        <v>141</v>
      </c>
      <c r="G124" s="441" t="s">
        <v>136</v>
      </c>
      <c r="H124" s="442" t="s">
        <v>137</v>
      </c>
      <c r="J124" s="329" t="s">
        <v>146</v>
      </c>
      <c r="K124" s="472">
        <v>0.5</v>
      </c>
      <c r="L124" s="444" t="s">
        <v>140</v>
      </c>
      <c r="M124" s="440" t="s">
        <v>0</v>
      </c>
      <c r="N124" s="441" t="s">
        <v>1</v>
      </c>
      <c r="O124" s="441" t="s">
        <v>141</v>
      </c>
      <c r="P124" s="441" t="s">
        <v>136</v>
      </c>
      <c r="Q124" s="442" t="s">
        <v>137</v>
      </c>
      <c r="S124" s="329" t="s">
        <v>148</v>
      </c>
      <c r="T124" s="472">
        <v>0.5</v>
      </c>
      <c r="U124" s="444" t="s">
        <v>140</v>
      </c>
      <c r="V124" s="440" t="s">
        <v>0</v>
      </c>
      <c r="W124" s="441" t="s">
        <v>1</v>
      </c>
      <c r="X124" s="441" t="s">
        <v>141</v>
      </c>
      <c r="Y124" s="441" t="s">
        <v>136</v>
      </c>
      <c r="Z124" s="442" t="s">
        <v>137</v>
      </c>
    </row>
    <row r="125" spans="1:42">
      <c r="A125" s="329" t="s">
        <v>147</v>
      </c>
      <c r="B125" s="472">
        <v>0.15</v>
      </c>
      <c r="C125" s="444">
        <f>0.0052</f>
        <v>5.1999999999999998E-3</v>
      </c>
      <c r="D125" s="445">
        <v>15</v>
      </c>
      <c r="E125" s="446">
        <v>133</v>
      </c>
      <c r="F125" s="444">
        <v>24.082215080000001</v>
      </c>
      <c r="G125" s="444">
        <v>38.571173760000001</v>
      </c>
      <c r="H125" s="447">
        <f t="shared" ref="H125" si="90">G125-F125</f>
        <v>14.48895868</v>
      </c>
      <c r="J125" s="329" t="s">
        <v>153</v>
      </c>
      <c r="K125" s="472">
        <v>0.15</v>
      </c>
      <c r="L125" s="444">
        <f>0.0056</f>
        <v>5.5999999999999999E-3</v>
      </c>
      <c r="M125" s="445">
        <v>15</v>
      </c>
      <c r="N125" s="446">
        <v>133</v>
      </c>
      <c r="O125" s="444">
        <v>23.738929550000002</v>
      </c>
      <c r="P125" s="444">
        <v>26.08833212</v>
      </c>
      <c r="Q125" s="447">
        <f t="shared" ref="Q125" si="91">P125-O125</f>
        <v>2.3494025699999987</v>
      </c>
      <c r="S125" s="329" t="s">
        <v>162</v>
      </c>
      <c r="T125" s="472">
        <v>0.15</v>
      </c>
      <c r="U125" s="444">
        <f>0.0043</f>
        <v>4.3E-3</v>
      </c>
      <c r="V125" s="445">
        <v>30</v>
      </c>
      <c r="W125" s="446">
        <v>149</v>
      </c>
      <c r="X125" s="444">
        <v>23.749453500000001</v>
      </c>
      <c r="Y125" s="444">
        <v>25.621598250000002</v>
      </c>
      <c r="Z125" s="447">
        <f t="shared" ref="Z125" si="92">Y125-X125</f>
        <v>1.8721447500000004</v>
      </c>
    </row>
    <row r="126" spans="1:42">
      <c r="D126" s="448">
        <v>15</v>
      </c>
      <c r="E126" s="449">
        <v>133</v>
      </c>
      <c r="F126" s="450">
        <v>23.785681950000001</v>
      </c>
      <c r="G126" s="450">
        <v>35.789871859999998</v>
      </c>
      <c r="H126" s="451">
        <f>G126-F126</f>
        <v>12.004189909999997</v>
      </c>
      <c r="L126" s="444"/>
      <c r="M126" s="448">
        <v>15</v>
      </c>
      <c r="N126" s="449">
        <v>133</v>
      </c>
      <c r="O126" s="450">
        <v>23.748149649999998</v>
      </c>
      <c r="P126" s="450">
        <v>25.95761946</v>
      </c>
      <c r="Q126" s="451">
        <f>P126-O126</f>
        <v>2.2094698100000016</v>
      </c>
      <c r="T126" s="465" t="s">
        <v>183</v>
      </c>
      <c r="AM126" s="472"/>
    </row>
    <row r="127" spans="1:42">
      <c r="C127" s="465" t="s">
        <v>177</v>
      </c>
      <c r="D127" s="448"/>
      <c r="E127" s="449"/>
      <c r="F127" s="450"/>
      <c r="G127" s="450"/>
      <c r="H127" s="451"/>
      <c r="L127" s="465" t="s">
        <v>180</v>
      </c>
      <c r="M127" s="448"/>
      <c r="N127" s="449"/>
      <c r="O127" s="450"/>
      <c r="P127" s="450"/>
      <c r="Q127" s="451"/>
      <c r="U127" s="444" t="s">
        <v>78</v>
      </c>
      <c r="V127" s="448">
        <v>15</v>
      </c>
      <c r="W127" s="449">
        <v>133</v>
      </c>
      <c r="X127" s="450">
        <v>23.748987840000002</v>
      </c>
      <c r="Y127" s="450">
        <v>25.44446069</v>
      </c>
      <c r="Z127" s="451">
        <f>Y127-X127</f>
        <v>1.695472849999998</v>
      </c>
      <c r="AM127" s="472"/>
    </row>
    <row r="128" spans="1:42" ht="18.75">
      <c r="A128" s="329" t="s">
        <v>146</v>
      </c>
      <c r="B128" s="472">
        <v>0.5</v>
      </c>
      <c r="C128" s="444" t="s">
        <v>140</v>
      </c>
      <c r="D128" s="440" t="s">
        <v>0</v>
      </c>
      <c r="E128" s="441" t="s">
        <v>1</v>
      </c>
      <c r="F128" s="441" t="s">
        <v>141</v>
      </c>
      <c r="G128" s="441" t="s">
        <v>136</v>
      </c>
      <c r="H128" s="442" t="s">
        <v>137</v>
      </c>
      <c r="J128" s="329" t="s">
        <v>146</v>
      </c>
      <c r="K128" s="472">
        <v>0.5</v>
      </c>
      <c r="L128" s="444" t="s">
        <v>140</v>
      </c>
      <c r="M128" s="440" t="s">
        <v>0</v>
      </c>
      <c r="N128" s="441" t="s">
        <v>1</v>
      </c>
      <c r="O128" s="441" t="s">
        <v>141</v>
      </c>
      <c r="P128" s="441" t="s">
        <v>136</v>
      </c>
      <c r="Q128" s="442" t="s">
        <v>137</v>
      </c>
      <c r="S128" s="329" t="s">
        <v>148</v>
      </c>
      <c r="T128" s="472">
        <v>0.5</v>
      </c>
      <c r="U128" s="444" t="s">
        <v>140</v>
      </c>
      <c r="V128" s="440" t="s">
        <v>0</v>
      </c>
      <c r="W128" s="441" t="s">
        <v>1</v>
      </c>
      <c r="X128" s="441" t="s">
        <v>141</v>
      </c>
      <c r="Y128" s="441" t="s">
        <v>136</v>
      </c>
      <c r="Z128" s="442" t="s">
        <v>137</v>
      </c>
      <c r="AM128" s="472"/>
    </row>
    <row r="129" spans="1:39">
      <c r="A129" s="329" t="s">
        <v>147</v>
      </c>
      <c r="B129" s="472">
        <v>0.15</v>
      </c>
      <c r="C129" s="444">
        <v>1.0699999999999999E-2</v>
      </c>
      <c r="D129" s="445">
        <v>15</v>
      </c>
      <c r="E129" s="446">
        <v>133</v>
      </c>
      <c r="F129" s="444">
        <v>24.086871689999999</v>
      </c>
      <c r="G129" s="444">
        <v>32.251684050000001</v>
      </c>
      <c r="H129" s="447">
        <f t="shared" ref="H129" si="93">G129-F129</f>
        <v>8.1648123600000027</v>
      </c>
      <c r="J129" s="329" t="s">
        <v>153</v>
      </c>
      <c r="K129" s="472">
        <v>0.15</v>
      </c>
      <c r="L129" s="444">
        <v>1.01E-2</v>
      </c>
      <c r="M129" s="445">
        <v>15</v>
      </c>
      <c r="N129" s="446">
        <v>133</v>
      </c>
      <c r="O129" s="444">
        <v>23.739115819999999</v>
      </c>
      <c r="P129" s="444">
        <v>26.330055380000001</v>
      </c>
      <c r="Q129" s="447">
        <f t="shared" ref="Q129" si="94">P129-O129</f>
        <v>2.5909395600000025</v>
      </c>
      <c r="S129" s="329" t="s">
        <v>162</v>
      </c>
      <c r="T129" s="472">
        <v>0.15</v>
      </c>
      <c r="U129" s="444">
        <v>1.0699999999999999E-2</v>
      </c>
      <c r="V129" s="445">
        <v>30</v>
      </c>
      <c r="W129" s="446">
        <v>149</v>
      </c>
      <c r="X129" s="444">
        <v>23.748801570000001</v>
      </c>
      <c r="Y129" s="444">
        <v>26.308821219999999</v>
      </c>
      <c r="Z129" s="447">
        <f t="shared" ref="Z129" si="95">Y129-X129</f>
        <v>2.5600196499999974</v>
      </c>
      <c r="AM129" s="472"/>
    </row>
    <row r="130" spans="1:39">
      <c r="D130" s="448">
        <v>15</v>
      </c>
      <c r="E130" s="449">
        <v>133</v>
      </c>
      <c r="F130" s="450">
        <v>24.091062640000001</v>
      </c>
      <c r="G130" s="450">
        <v>30.718913270000002</v>
      </c>
      <c r="H130" s="451">
        <f>G130-F130</f>
        <v>6.6278506300000011</v>
      </c>
      <c r="L130" s="444"/>
      <c r="M130" s="448">
        <v>15</v>
      </c>
      <c r="N130" s="449">
        <v>133</v>
      </c>
      <c r="O130" s="450">
        <v>23.747311459999999</v>
      </c>
      <c r="P130" s="450">
        <v>25.94756117</v>
      </c>
      <c r="Q130" s="451">
        <f>P130-O130</f>
        <v>2.2002497100000014</v>
      </c>
      <c r="V130" s="448">
        <v>15</v>
      </c>
      <c r="W130" s="449">
        <v>133</v>
      </c>
      <c r="X130" s="450">
        <v>23.748894709999998</v>
      </c>
      <c r="Y130" s="450">
        <v>25.87910896</v>
      </c>
      <c r="Z130" s="451">
        <f>Y130-X130</f>
        <v>2.1302142500000016</v>
      </c>
      <c r="AM130" s="472"/>
    </row>
    <row r="131" spans="1:39">
      <c r="C131" s="465" t="s">
        <v>178</v>
      </c>
      <c r="D131" s="448"/>
      <c r="E131" s="449"/>
      <c r="F131" s="450"/>
      <c r="G131" s="450"/>
      <c r="H131" s="451"/>
      <c r="L131" s="465" t="s">
        <v>181</v>
      </c>
      <c r="M131" s="448"/>
      <c r="N131" s="449"/>
      <c r="O131" s="450"/>
      <c r="P131" s="450"/>
      <c r="Q131" s="451"/>
      <c r="T131" s="465" t="s">
        <v>184</v>
      </c>
      <c r="AM131" s="472"/>
    </row>
    <row r="132" spans="1:39" ht="18.75">
      <c r="A132" s="329" t="s">
        <v>146</v>
      </c>
      <c r="B132" s="472">
        <v>0.5</v>
      </c>
      <c r="C132" s="444" t="s">
        <v>140</v>
      </c>
      <c r="D132" s="440" t="s">
        <v>0</v>
      </c>
      <c r="E132" s="441" t="s">
        <v>1</v>
      </c>
      <c r="F132" s="441" t="s">
        <v>141</v>
      </c>
      <c r="G132" s="441" t="s">
        <v>136</v>
      </c>
      <c r="H132" s="442" t="s">
        <v>137</v>
      </c>
      <c r="J132" s="329" t="s">
        <v>146</v>
      </c>
      <c r="K132" s="472">
        <v>0.5</v>
      </c>
      <c r="L132" s="444" t="s">
        <v>140</v>
      </c>
      <c r="M132" s="440" t="s">
        <v>0</v>
      </c>
      <c r="N132" s="441" t="s">
        <v>1</v>
      </c>
      <c r="O132" s="441" t="s">
        <v>141</v>
      </c>
      <c r="P132" s="441" t="s">
        <v>136</v>
      </c>
      <c r="Q132" s="442" t="s">
        <v>137</v>
      </c>
      <c r="S132" s="329" t="s">
        <v>148</v>
      </c>
      <c r="T132" s="472">
        <v>0.5</v>
      </c>
      <c r="U132" s="444" t="s">
        <v>140</v>
      </c>
      <c r="V132" s="440" t="s">
        <v>0</v>
      </c>
      <c r="W132" s="441" t="s">
        <v>1</v>
      </c>
      <c r="X132" s="441" t="s">
        <v>141</v>
      </c>
      <c r="Y132" s="441" t="s">
        <v>136</v>
      </c>
      <c r="Z132" s="442" t="s">
        <v>137</v>
      </c>
    </row>
    <row r="133" spans="1:39">
      <c r="A133" s="329" t="s">
        <v>147</v>
      </c>
      <c r="B133" s="472">
        <v>0.15</v>
      </c>
      <c r="C133" s="444">
        <v>0.151</v>
      </c>
      <c r="D133" s="445">
        <v>15</v>
      </c>
      <c r="E133" s="446">
        <v>133</v>
      </c>
      <c r="F133" s="456">
        <v>24.41525605</v>
      </c>
      <c r="G133" s="456">
        <v>30.385220369999999</v>
      </c>
      <c r="H133" s="447">
        <f t="shared" ref="H133" si="96">G133-F133</f>
        <v>5.969964319999999</v>
      </c>
      <c r="J133" s="329" t="s">
        <v>153</v>
      </c>
      <c r="K133" s="472">
        <v>0.15</v>
      </c>
      <c r="L133" s="444">
        <v>1.6199999999999999E-2</v>
      </c>
      <c r="M133" s="445">
        <v>15</v>
      </c>
      <c r="N133" s="446">
        <v>133</v>
      </c>
      <c r="O133" s="456">
        <v>24.10149345</v>
      </c>
      <c r="P133" s="456">
        <v>27.292577309999999</v>
      </c>
      <c r="Q133" s="447">
        <f t="shared" ref="Q133" si="97">P133-O133</f>
        <v>3.1910838599999991</v>
      </c>
      <c r="S133" s="329" t="s">
        <v>162</v>
      </c>
      <c r="T133" s="472">
        <v>0.15</v>
      </c>
      <c r="U133" s="444">
        <v>1.6199999999999999E-2</v>
      </c>
      <c r="V133" s="445">
        <v>30</v>
      </c>
      <c r="W133" s="446">
        <v>149</v>
      </c>
      <c r="X133" s="456">
        <v>24.092087100000001</v>
      </c>
      <c r="Y133" s="456">
        <v>27.219002830000001</v>
      </c>
      <c r="Z133" s="447">
        <f t="shared" ref="Z133" si="98">Y133-X133</f>
        <v>3.1269157300000003</v>
      </c>
      <c r="AM133" s="472"/>
    </row>
    <row r="134" spans="1:39">
      <c r="D134" s="448">
        <v>15</v>
      </c>
      <c r="E134" s="449">
        <v>133</v>
      </c>
      <c r="F134" s="450">
        <v>24.08333266</v>
      </c>
      <c r="G134" s="450">
        <v>29.027072579999999</v>
      </c>
      <c r="H134" s="451">
        <f>G134-F134</f>
        <v>4.9437399199999987</v>
      </c>
      <c r="L134" s="444"/>
      <c r="M134" s="448">
        <v>15</v>
      </c>
      <c r="N134" s="449">
        <v>133</v>
      </c>
      <c r="O134" s="450">
        <v>24.007522999999999</v>
      </c>
      <c r="P134" s="450">
        <v>26.303419550000001</v>
      </c>
      <c r="Q134" s="451">
        <f>P134-O134</f>
        <v>2.2958965500000019</v>
      </c>
      <c r="V134" s="448">
        <v>15</v>
      </c>
      <c r="W134" s="449">
        <v>133</v>
      </c>
      <c r="X134" s="450">
        <v>24.09115577</v>
      </c>
      <c r="Y134" s="450">
        <v>26.295968970000001</v>
      </c>
      <c r="Z134" s="451">
        <f>Y134-X134</f>
        <v>2.2048132000000003</v>
      </c>
    </row>
    <row r="135" spans="1:39">
      <c r="D135" s="444"/>
      <c r="L135" s="444"/>
      <c r="AM135" s="472"/>
    </row>
    <row r="136" spans="1:39">
      <c r="L136" s="444"/>
    </row>
    <row r="137" spans="1:39">
      <c r="L137" s="444"/>
    </row>
    <row r="138" spans="1:39">
      <c r="L138" s="444"/>
    </row>
    <row r="145" spans="4:12">
      <c r="D145" s="444"/>
    </row>
    <row r="160" spans="4:12">
      <c r="L160" s="444"/>
    </row>
    <row r="161" spans="12:12">
      <c r="L161" s="444"/>
    </row>
    <row r="162" spans="12:12">
      <c r="L162" s="444"/>
    </row>
    <row r="163" spans="12:12">
      <c r="L163" s="444"/>
    </row>
    <row r="164" spans="12:12">
      <c r="L164" s="444"/>
    </row>
    <row r="165" spans="12:12">
      <c r="L165" s="444"/>
    </row>
    <row r="166" spans="12:12">
      <c r="L166" s="444"/>
    </row>
    <row r="167" spans="12:12">
      <c r="L167" s="444"/>
    </row>
    <row r="168" spans="12:12">
      <c r="L168" s="444"/>
    </row>
    <row r="169" spans="12:12">
      <c r="L169" s="444"/>
    </row>
    <row r="170" spans="12:12">
      <c r="L170" s="444"/>
    </row>
    <row r="171" spans="12:12">
      <c r="L171" s="444"/>
    </row>
    <row r="172" spans="12:12">
      <c r="L172" s="444"/>
    </row>
    <row r="173" spans="12:12">
      <c r="L173" s="444"/>
    </row>
    <row r="174" spans="12:12">
      <c r="L174" s="444"/>
    </row>
    <row r="175" spans="12:12">
      <c r="L175" s="444"/>
    </row>
    <row r="176" spans="12:12">
      <c r="L176" s="444"/>
    </row>
    <row r="177" spans="6:13">
      <c r="L177" s="444"/>
    </row>
    <row r="178" spans="6:13">
      <c r="L178" s="444"/>
    </row>
    <row r="179" spans="6:13">
      <c r="L179" s="444"/>
    </row>
    <row r="185" spans="6:13">
      <c r="F185" s="466">
        <v>42440</v>
      </c>
    </row>
    <row r="187" spans="6:13">
      <c r="L187" s="472" t="e">
        <f>#REF!/#REF!*0.0047</f>
        <v>#REF!</v>
      </c>
      <c r="M187" s="444" t="e">
        <f>#REF!/(#REF!/0.48)</f>
        <v>#REF!</v>
      </c>
    </row>
    <row r="188" spans="6:13">
      <c r="L188" s="472" t="e">
        <f>#REF!/#REF!*0.0047</f>
        <v>#REF!</v>
      </c>
    </row>
    <row r="190" spans="6:13">
      <c r="L190" s="472" t="e">
        <f>#REF!/#REF!*0.0107</f>
        <v>#REF!</v>
      </c>
      <c r="M190" s="444" t="e">
        <f>#REF!/(#REF!/0.68)</f>
        <v>#REF!</v>
      </c>
    </row>
    <row r="191" spans="6:13">
      <c r="L191" s="472" t="e">
        <f>#REF!/#REF!*0.0107</f>
        <v>#REF!</v>
      </c>
    </row>
    <row r="193" spans="12:23">
      <c r="L193" s="472" t="e">
        <f>#REF!/#REF!*0.0153</f>
        <v>#REF!</v>
      </c>
      <c r="M193" s="444" t="e">
        <f>#REF!/#REF!</f>
        <v>#REF!</v>
      </c>
      <c r="N193" s="444" t="s">
        <v>117</v>
      </c>
      <c r="O193" s="444" t="s">
        <v>115</v>
      </c>
      <c r="R193" s="444" t="s">
        <v>81</v>
      </c>
      <c r="T193" s="444" t="s">
        <v>82</v>
      </c>
      <c r="V193" s="444" t="s">
        <v>116</v>
      </c>
    </row>
    <row r="194" spans="12:23">
      <c r="L194" s="472" t="e">
        <f>#REF!/#REF!*0.0153</f>
        <v>#REF!</v>
      </c>
      <c r="N194" s="444">
        <f>4.7*0.41</f>
        <v>1.927</v>
      </c>
      <c r="O194" s="444">
        <v>4.7</v>
      </c>
      <c r="P194" s="444">
        <v>1.3679258115000006</v>
      </c>
      <c r="Q194" s="444">
        <f>O194/0.31</f>
        <v>15.161290322580646</v>
      </c>
      <c r="R194" s="444">
        <v>5.1889586799999998</v>
      </c>
      <c r="S194" s="444">
        <f>R194-P194</f>
        <v>3.8210328684999992</v>
      </c>
      <c r="T194" s="444">
        <v>2.0349402570000001</v>
      </c>
      <c r="U194" s="444">
        <f>T194-P194</f>
        <v>0.66701444549999955</v>
      </c>
      <c r="V194" s="444">
        <v>1.8721447500000004</v>
      </c>
      <c r="W194" s="444">
        <f>V194-P194</f>
        <v>0.50421893849999977</v>
      </c>
    </row>
    <row r="195" spans="12:23">
      <c r="N195" s="444">
        <f>10.3*0.41</f>
        <v>4.2229999999999999</v>
      </c>
      <c r="O195" s="444">
        <v>10.7</v>
      </c>
      <c r="P195" s="444">
        <v>2.0817202794285747</v>
      </c>
      <c r="Q195" s="444">
        <f>O195/0.68</f>
        <v>15.735294117647056</v>
      </c>
      <c r="R195" s="444">
        <v>5.5648123600000003</v>
      </c>
      <c r="S195" s="444">
        <f>R195-P195</f>
        <v>3.4830920805714256</v>
      </c>
      <c r="T195" s="444">
        <v>2.5909395600000025</v>
      </c>
      <c r="U195" s="444">
        <f>T195-P195</f>
        <v>0.50921928057142773</v>
      </c>
      <c r="V195" s="444">
        <v>2.5600196499999974</v>
      </c>
      <c r="W195" s="444">
        <f>V195-P195</f>
        <v>0.47829937057142269</v>
      </c>
    </row>
    <row r="196" spans="12:23">
      <c r="N196" s="444">
        <f>15.3*0.41</f>
        <v>6.2729999999999997</v>
      </c>
      <c r="O196" s="444">
        <v>15.3</v>
      </c>
      <c r="P196" s="444">
        <v>2.4528172507692294</v>
      </c>
      <c r="Q196" s="444">
        <v>15.3</v>
      </c>
      <c r="R196" s="444">
        <v>5.4699643199999999</v>
      </c>
      <c r="S196" s="444">
        <f>R196-P196</f>
        <v>3.0171470692307705</v>
      </c>
      <c r="T196" s="444">
        <v>3.1910838599999991</v>
      </c>
      <c r="U196" s="444">
        <f>T196-P196</f>
        <v>0.7382666092307697</v>
      </c>
      <c r="V196" s="444">
        <v>3.0126915730000001</v>
      </c>
      <c r="W196" s="444">
        <f>V196-P196</f>
        <v>0.55987432223077072</v>
      </c>
    </row>
    <row r="197" spans="12:23">
      <c r="L197" s="472" t="e">
        <f>H125-L187</f>
        <v>#REF!</v>
      </c>
    </row>
    <row r="200" spans="12:23">
      <c r="L200" s="472" t="e">
        <f>H129-L190</f>
        <v>#REF!</v>
      </c>
    </row>
    <row r="203" spans="12:23">
      <c r="L203" s="472" t="e">
        <f>H133-#REF!</f>
        <v>#REF!</v>
      </c>
    </row>
    <row r="207" spans="12:23">
      <c r="L207" s="472" t="e">
        <f>Q125-L187</f>
        <v>#REF!</v>
      </c>
    </row>
    <row r="210" spans="12:18">
      <c r="L210" s="472">
        <f>Q129-L129*90+0.0107*99</f>
        <v>2.7412395600000026</v>
      </c>
    </row>
    <row r="213" spans="12:18">
      <c r="L213" s="472" t="e">
        <f>Q133-L193</f>
        <v>#REF!</v>
      </c>
    </row>
    <row r="215" spans="12:18">
      <c r="O215" s="444" t="s">
        <v>58</v>
      </c>
      <c r="P215" s="444" t="s">
        <v>81</v>
      </c>
      <c r="Q215" s="444" t="s">
        <v>82</v>
      </c>
      <c r="R215" s="444" t="s">
        <v>83</v>
      </c>
    </row>
    <row r="216" spans="12:18">
      <c r="O216" s="444">
        <v>0</v>
      </c>
      <c r="P216" s="458">
        <v>0.54</v>
      </c>
      <c r="Q216" s="458">
        <v>0.54</v>
      </c>
      <c r="R216" s="458">
        <v>0.54</v>
      </c>
    </row>
    <row r="217" spans="12:18">
      <c r="O217" s="444">
        <v>0.03</v>
      </c>
      <c r="P217" s="459">
        <v>1.6970560900000002</v>
      </c>
      <c r="Q217" s="456">
        <v>1.3114419599999998</v>
      </c>
      <c r="R217" s="461">
        <v>1.0261312750000009</v>
      </c>
    </row>
    <row r="218" spans="12:18">
      <c r="L218" s="472" t="e">
        <f>Z125-L187</f>
        <v>#REF!</v>
      </c>
      <c r="O218" s="444">
        <v>0.09</v>
      </c>
      <c r="P218" s="459">
        <v>4.1512549717418503</v>
      </c>
      <c r="Q218" s="456">
        <v>3.1302211629999999</v>
      </c>
      <c r="R218" s="461">
        <v>1.9095193300000011</v>
      </c>
    </row>
    <row r="219" spans="12:18">
      <c r="O219" s="444">
        <v>0.15</v>
      </c>
      <c r="P219" s="459">
        <v>5.0298666250000004</v>
      </c>
      <c r="Q219" s="456">
        <v>4.5743113500000003</v>
      </c>
      <c r="R219" s="461">
        <v>2.5319310610527999</v>
      </c>
    </row>
    <row r="220" spans="12:18">
      <c r="O220" s="444">
        <v>0.24</v>
      </c>
      <c r="P220" s="459">
        <v>8.9817300000000007</v>
      </c>
      <c r="Q220" s="467">
        <v>7.0000879999999999</v>
      </c>
      <c r="R220" s="461">
        <v>3.135336525</v>
      </c>
    </row>
    <row r="221" spans="12:18">
      <c r="L221" s="472" t="e">
        <f>Z129-L190</f>
        <v>#REF!</v>
      </c>
      <c r="O221" s="444">
        <v>0.3</v>
      </c>
      <c r="P221" s="469">
        <v>10.32</v>
      </c>
      <c r="Q221" s="450">
        <v>7.7413151400000002</v>
      </c>
      <c r="R221" s="462">
        <v>4.1551104999999975</v>
      </c>
    </row>
    <row r="223" spans="12:18">
      <c r="O223" s="444" t="s">
        <v>90</v>
      </c>
      <c r="P223" s="444" t="s">
        <v>81</v>
      </c>
      <c r="Q223" s="444" t="s">
        <v>82</v>
      </c>
      <c r="R223" s="444" t="s">
        <v>83</v>
      </c>
    </row>
    <row r="224" spans="12:18">
      <c r="L224" s="472" t="e">
        <f>Z133-L193</f>
        <v>#REF!</v>
      </c>
      <c r="O224" s="444">
        <v>0</v>
      </c>
      <c r="P224" s="458">
        <v>1.1609999999999998</v>
      </c>
      <c r="Q224" s="452">
        <f>0.009*129</f>
        <v>1.1609999999999998</v>
      </c>
      <c r="R224" s="460">
        <f>0.009*129</f>
        <v>1.1609999999999998</v>
      </c>
    </row>
    <row r="225" spans="14:19">
      <c r="O225" s="444">
        <v>0.03</v>
      </c>
      <c r="P225" s="459">
        <v>1.9784078599999979</v>
      </c>
      <c r="Q225" s="456">
        <v>1.6181326099999993</v>
      </c>
      <c r="R225" s="461">
        <v>1.4612578000000003</v>
      </c>
    </row>
    <row r="226" spans="14:19">
      <c r="O226" s="444">
        <v>0.09</v>
      </c>
      <c r="P226" s="459">
        <v>3.7355309699999992</v>
      </c>
      <c r="Q226" s="444">
        <v>2.8841463299999988</v>
      </c>
      <c r="R226" s="461">
        <v>2.0619293099999996</v>
      </c>
    </row>
    <row r="227" spans="14:19">
      <c r="O227" s="444">
        <v>0.15</v>
      </c>
      <c r="P227" s="468">
        <v>5.5845666250000008</v>
      </c>
      <c r="Q227" s="456">
        <v>3.9526646200000011</v>
      </c>
      <c r="R227" s="461">
        <v>2.3531293099999986</v>
      </c>
    </row>
    <row r="228" spans="14:19">
      <c r="O228" s="444">
        <v>0.24</v>
      </c>
      <c r="P228" s="459">
        <v>8.589328075000001</v>
      </c>
      <c r="Q228" s="456">
        <v>5.54296057</v>
      </c>
      <c r="R228" s="461">
        <v>2.8708029100000005</v>
      </c>
    </row>
    <row r="229" spans="14:19">
      <c r="O229" s="444">
        <v>0.39</v>
      </c>
      <c r="P229" s="470"/>
      <c r="Q229" s="471">
        <v>7.6807333599999978</v>
      </c>
      <c r="R229" s="462">
        <v>4.9206773849999994</v>
      </c>
    </row>
    <row r="231" spans="14:19">
      <c r="N231" s="444" t="s">
        <v>84</v>
      </c>
    </row>
    <row r="232" spans="14:19">
      <c r="N232" s="444" t="s">
        <v>85</v>
      </c>
      <c r="P232" s="444" t="s">
        <v>82</v>
      </c>
      <c r="R232" s="444" t="s">
        <v>83</v>
      </c>
    </row>
    <row r="233" spans="14:19">
      <c r="N233" s="458">
        <v>0</v>
      </c>
      <c r="O233" s="452">
        <v>1.9782633913043481</v>
      </c>
      <c r="P233" s="452">
        <v>0</v>
      </c>
      <c r="Q233" s="452">
        <v>1.9782633913043481</v>
      </c>
      <c r="R233" s="458">
        <v>0</v>
      </c>
      <c r="S233" s="460">
        <v>1.9782633913043481</v>
      </c>
    </row>
    <row r="234" spans="14:19">
      <c r="N234" s="459">
        <v>0.22499999999999998</v>
      </c>
      <c r="O234" s="456">
        <v>6.8852955844084898</v>
      </c>
      <c r="P234" s="456">
        <v>4.4999999999999998E-2</v>
      </c>
      <c r="Q234" s="456">
        <v>2.8858536335148792</v>
      </c>
      <c r="R234" s="459">
        <v>7.4999999999999997E-2</v>
      </c>
      <c r="S234" s="461">
        <v>2.606716454999999</v>
      </c>
    </row>
    <row r="235" spans="14:19">
      <c r="N235" s="459">
        <v>0.15</v>
      </c>
      <c r="O235" s="456">
        <v>5.4392078153614918</v>
      </c>
      <c r="P235" s="456">
        <v>0.15</v>
      </c>
      <c r="Q235" s="456">
        <v>4.0436817155</v>
      </c>
      <c r="R235" s="459">
        <v>0.15</v>
      </c>
      <c r="S235" s="461">
        <v>3.1403431433333338</v>
      </c>
    </row>
    <row r="236" spans="14:19">
      <c r="N236" s="459">
        <v>1.4999999999999999E-2</v>
      </c>
      <c r="O236" s="456">
        <v>2.6624453513534991</v>
      </c>
      <c r="P236" s="456">
        <v>0.24</v>
      </c>
      <c r="Q236" s="456">
        <v>4.7329427956575669</v>
      </c>
      <c r="R236" s="459">
        <v>0.24</v>
      </c>
      <c r="S236" s="461">
        <v>3.3135434099999999</v>
      </c>
    </row>
    <row r="237" spans="14:19">
      <c r="N237" s="459">
        <v>0.3</v>
      </c>
      <c r="O237" s="456">
        <v>9.42023408271276</v>
      </c>
      <c r="P237" s="456">
        <v>0.3</v>
      </c>
      <c r="Q237" s="456">
        <v>5.1344230499999997</v>
      </c>
      <c r="R237" s="459">
        <v>0.3</v>
      </c>
      <c r="S237" s="461">
        <v>3.8958018002690151</v>
      </c>
    </row>
    <row r="238" spans="14:19">
      <c r="N238" s="459">
        <v>7.4999999999999997E-2</v>
      </c>
      <c r="O238" s="456">
        <v>3.8758885667257101</v>
      </c>
      <c r="P238" s="456">
        <v>0.44999999999999996</v>
      </c>
      <c r="Q238" s="456">
        <v>7.1949516599999992</v>
      </c>
      <c r="R238" s="459">
        <v>0.39</v>
      </c>
      <c r="S238" s="461">
        <v>4.2727498324999988</v>
      </c>
    </row>
    <row r="239" spans="14:19">
      <c r="N239" s="469">
        <v>0.24</v>
      </c>
      <c r="O239" s="450">
        <v>8.4097301600000041</v>
      </c>
      <c r="P239" s="450">
        <v>0.375</v>
      </c>
      <c r="Q239" s="450">
        <v>6.4971949295</v>
      </c>
      <c r="R239" s="450">
        <v>0.54</v>
      </c>
      <c r="S239" s="462">
        <v>5.4009681500000006</v>
      </c>
    </row>
  </sheetData>
  <mergeCells count="2">
    <mergeCell ref="AC94:AI94"/>
    <mergeCell ref="AJ94:AP94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topLeftCell="A4" zoomScaleNormal="100" workbookViewId="0">
      <selection activeCell="L2" sqref="L2:P8"/>
    </sheetView>
  </sheetViews>
  <sheetFormatPr defaultRowHeight="15"/>
  <cols>
    <col min="1" max="1" width="10.7109375" bestFit="1" customWidth="1"/>
    <col min="13" max="13" width="14.42578125" customWidth="1"/>
    <col min="15" max="15" width="9" style="407"/>
    <col min="19" max="19" width="9" style="407"/>
  </cols>
  <sheetData>
    <row r="1" spans="1:22">
      <c r="A1" s="510" t="s">
        <v>243</v>
      </c>
      <c r="B1" s="511"/>
      <c r="C1" s="511"/>
      <c r="D1" s="511"/>
      <c r="E1" s="511"/>
      <c r="F1" s="511"/>
      <c r="G1" s="511"/>
      <c r="H1" s="511"/>
      <c r="I1" t="s">
        <v>228</v>
      </c>
    </row>
    <row r="2" spans="1:22">
      <c r="A2" t="s">
        <v>256</v>
      </c>
      <c r="D2" t="s">
        <v>257</v>
      </c>
      <c r="L2" s="435"/>
      <c r="M2" s="435"/>
      <c r="N2" s="435"/>
      <c r="O2" s="435"/>
      <c r="P2" s="435"/>
    </row>
    <row r="3" spans="1:22" ht="18.75">
      <c r="C3" s="287"/>
      <c r="D3" s="495" t="s">
        <v>0</v>
      </c>
      <c r="E3" s="441" t="s">
        <v>1</v>
      </c>
      <c r="F3" s="441" t="s">
        <v>237</v>
      </c>
      <c r="G3" s="441" t="s">
        <v>136</v>
      </c>
      <c r="H3" s="442" t="s">
        <v>137</v>
      </c>
      <c r="I3" s="297"/>
      <c r="L3" s="435"/>
      <c r="M3" s="435"/>
      <c r="N3" s="435"/>
      <c r="O3" s="435"/>
      <c r="P3" s="435"/>
      <c r="Q3" s="407"/>
      <c r="R3" s="407"/>
    </row>
    <row r="4" spans="1:22">
      <c r="B4" s="287" t="s">
        <v>222</v>
      </c>
      <c r="C4" s="287">
        <f>0.0086-0.0004</f>
        <v>8.2000000000000007E-3</v>
      </c>
      <c r="D4" s="330">
        <v>20</v>
      </c>
      <c r="E4" s="331">
        <v>130</v>
      </c>
      <c r="F4" s="337">
        <v>22.899158394286498</v>
      </c>
      <c r="G4" s="337">
        <v>23.745076283519037</v>
      </c>
      <c r="H4" s="332">
        <f t="shared" ref="H4" si="0">G4-F4</f>
        <v>0.8459178892325383</v>
      </c>
      <c r="I4" s="297"/>
      <c r="J4" s="298"/>
      <c r="L4" s="435"/>
      <c r="M4" s="435"/>
      <c r="N4" s="435"/>
      <c r="O4" s="435"/>
      <c r="P4" s="435"/>
      <c r="Q4" s="407"/>
      <c r="R4" s="407"/>
      <c r="U4" s="407"/>
      <c r="V4" s="407"/>
    </row>
    <row r="5" spans="1:22">
      <c r="B5" s="287" t="s">
        <v>238</v>
      </c>
      <c r="C5" s="287">
        <f>0.3*0.15</f>
        <v>4.4999999999999998E-2</v>
      </c>
      <c r="D5" s="330">
        <v>20</v>
      </c>
      <c r="E5" s="331">
        <v>100</v>
      </c>
      <c r="F5" s="339">
        <v>22.543018164814601</v>
      </c>
      <c r="G5" s="339">
        <v>23.229309810954931</v>
      </c>
      <c r="H5" s="332">
        <f>G5-F5</f>
        <v>0.68629164614032945</v>
      </c>
      <c r="I5" s="297"/>
      <c r="L5" s="435"/>
      <c r="M5" s="435"/>
      <c r="N5" s="435"/>
      <c r="O5" s="435"/>
      <c r="P5" s="435"/>
      <c r="Q5" s="407"/>
      <c r="R5" s="407"/>
      <c r="U5" s="407"/>
      <c r="V5" s="407"/>
    </row>
    <row r="6" spans="1:22">
      <c r="B6" s="287" t="s">
        <v>239</v>
      </c>
      <c r="C6" s="287" t="s">
        <v>69</v>
      </c>
      <c r="D6" s="333">
        <v>30</v>
      </c>
      <c r="E6" s="334">
        <v>130</v>
      </c>
      <c r="F6" s="335">
        <v>23.097110521621101</v>
      </c>
      <c r="G6" s="335">
        <v>24.1803524303646</v>
      </c>
      <c r="H6" s="336">
        <f>G6-F6</f>
        <v>1.0832419087434992</v>
      </c>
      <c r="I6" s="297"/>
      <c r="J6" s="299"/>
      <c r="L6" s="435"/>
      <c r="M6" s="435"/>
      <c r="N6" s="435"/>
      <c r="O6" s="435"/>
      <c r="P6" s="435"/>
      <c r="Q6" s="407"/>
      <c r="R6" s="407"/>
    </row>
    <row r="7" spans="1:22" ht="18.75">
      <c r="A7" s="435"/>
      <c r="B7" s="287"/>
      <c r="C7" s="287"/>
      <c r="D7" s="495" t="s">
        <v>0</v>
      </c>
      <c r="E7" s="441" t="s">
        <v>1</v>
      </c>
      <c r="F7" s="441" t="s">
        <v>237</v>
      </c>
      <c r="G7" s="441" t="s">
        <v>136</v>
      </c>
      <c r="H7" s="442" t="s">
        <v>137</v>
      </c>
      <c r="L7" s="435"/>
      <c r="M7" s="435"/>
      <c r="N7" s="435"/>
      <c r="O7" s="435"/>
      <c r="P7" s="435"/>
    </row>
    <row r="8" spans="1:22">
      <c r="B8" s="287" t="s">
        <v>222</v>
      </c>
      <c r="C8" s="287">
        <f>0.0098-0.0054</f>
        <v>4.3999999999999994E-3</v>
      </c>
      <c r="D8" s="330">
        <v>20</v>
      </c>
      <c r="E8" s="331">
        <v>130</v>
      </c>
      <c r="F8" s="287">
        <v>23.223349346122102</v>
      </c>
      <c r="G8" s="287">
        <v>23.850384822510801</v>
      </c>
      <c r="H8" s="332">
        <f>G8-F8</f>
        <v>0.6270354763886985</v>
      </c>
      <c r="I8" s="299"/>
      <c r="J8" s="299"/>
      <c r="L8" s="435"/>
      <c r="M8" s="435"/>
      <c r="N8" s="435"/>
      <c r="O8" s="435"/>
      <c r="P8" s="435"/>
    </row>
    <row r="9" spans="1:22">
      <c r="B9" s="287" t="s">
        <v>238</v>
      </c>
      <c r="C9" s="287">
        <f>0.3*0.15</f>
        <v>4.4999999999999998E-2</v>
      </c>
      <c r="D9" s="330">
        <v>20</v>
      </c>
      <c r="E9" s="331">
        <v>100</v>
      </c>
      <c r="F9" s="287">
        <v>23.082067703131898</v>
      </c>
      <c r="G9" s="287">
        <v>23.576227490677098</v>
      </c>
      <c r="H9" s="332">
        <f>G9-F9</f>
        <v>0.4941597875452004</v>
      </c>
      <c r="I9" s="299"/>
      <c r="J9" s="299"/>
    </row>
    <row r="10" spans="1:22">
      <c r="B10" s="287" t="s">
        <v>239</v>
      </c>
      <c r="C10" s="287" t="s">
        <v>69</v>
      </c>
      <c r="D10" s="333">
        <v>30</v>
      </c>
      <c r="E10" s="334">
        <v>130</v>
      </c>
      <c r="F10" s="515">
        <v>23.030986191689099</v>
      </c>
      <c r="G10" s="515">
        <v>23.9513161451409</v>
      </c>
      <c r="H10" s="336">
        <f>G10-F10</f>
        <v>0.92032995345180169</v>
      </c>
      <c r="I10" s="299"/>
      <c r="J10" s="306"/>
    </row>
    <row r="11" spans="1:22">
      <c r="I11" s="307"/>
      <c r="J11" s="306"/>
    </row>
    <row r="12" spans="1:22">
      <c r="A12" s="516" t="s">
        <v>258</v>
      </c>
      <c r="B12" s="511"/>
      <c r="C12" s="511"/>
      <c r="D12" s="511"/>
      <c r="E12" s="511"/>
      <c r="F12" s="511"/>
      <c r="G12" s="511"/>
      <c r="H12" s="511"/>
      <c r="I12" s="435" t="s">
        <v>228</v>
      </c>
    </row>
    <row r="13" spans="1:22">
      <c r="A13" s="435" t="s">
        <v>256</v>
      </c>
      <c r="B13" s="435"/>
      <c r="C13" s="435"/>
      <c r="D13" s="435" t="s">
        <v>257</v>
      </c>
    </row>
    <row r="14" spans="1:22" ht="18.75">
      <c r="B14" s="287"/>
      <c r="C14" s="287"/>
      <c r="D14" s="495" t="s">
        <v>0</v>
      </c>
      <c r="E14" s="441" t="s">
        <v>1</v>
      </c>
      <c r="F14" s="441" t="s">
        <v>237</v>
      </c>
      <c r="G14" s="441" t="s">
        <v>136</v>
      </c>
      <c r="H14" s="442" t="s">
        <v>137</v>
      </c>
      <c r="I14" s="307"/>
    </row>
    <row r="15" spans="1:22">
      <c r="B15" s="287" t="s">
        <v>222</v>
      </c>
      <c r="C15" s="287">
        <f>0.0116-0.0004</f>
        <v>1.12E-2</v>
      </c>
      <c r="D15" s="330">
        <v>20</v>
      </c>
      <c r="E15" s="331">
        <v>130</v>
      </c>
      <c r="F15" s="337">
        <v>22.148606099999999</v>
      </c>
      <c r="G15" s="337">
        <v>24.196044311000001</v>
      </c>
      <c r="H15" s="332">
        <f t="shared" ref="H15" si="1">G15-F15</f>
        <v>2.0474382110000029</v>
      </c>
      <c r="I15" s="307"/>
      <c r="J15" s="309"/>
      <c r="L15" s="311"/>
      <c r="M15" s="311"/>
      <c r="N15" s="311"/>
    </row>
    <row r="16" spans="1:22">
      <c r="B16" s="287" t="s">
        <v>238</v>
      </c>
      <c r="C16" s="287">
        <f>0.3*0.5</f>
        <v>0.15</v>
      </c>
      <c r="D16" s="330">
        <v>20</v>
      </c>
      <c r="E16" s="331">
        <v>100</v>
      </c>
      <c r="F16" s="339">
        <v>21.866039744975563</v>
      </c>
      <c r="G16" s="339">
        <v>23.226981500000001</v>
      </c>
      <c r="H16" s="332">
        <f>G16-F16</f>
        <v>1.360941755024438</v>
      </c>
      <c r="I16" s="307"/>
      <c r="J16" s="308"/>
    </row>
    <row r="17" spans="2:15">
      <c r="B17" s="287" t="s">
        <v>239</v>
      </c>
      <c r="C17" s="287" t="s">
        <v>28</v>
      </c>
      <c r="D17" s="333">
        <v>30</v>
      </c>
      <c r="E17" s="334">
        <v>130</v>
      </c>
      <c r="F17" s="335">
        <v>22.893102339999999</v>
      </c>
      <c r="G17" s="335">
        <v>25.797126420000001</v>
      </c>
      <c r="H17" s="336">
        <f>G17-F17</f>
        <v>2.9040240800000028</v>
      </c>
      <c r="I17" s="307"/>
      <c r="J17" s="310"/>
      <c r="L17" s="312"/>
      <c r="M17" s="312"/>
      <c r="N17" s="312"/>
    </row>
    <row r="18" spans="2:15" ht="18.75">
      <c r="B18" s="287"/>
      <c r="C18" s="287"/>
      <c r="D18" s="495" t="s">
        <v>0</v>
      </c>
      <c r="E18" s="441" t="s">
        <v>1</v>
      </c>
      <c r="F18" s="441" t="s">
        <v>237</v>
      </c>
      <c r="G18" s="441" t="s">
        <v>136</v>
      </c>
      <c r="H18" s="442" t="s">
        <v>137</v>
      </c>
      <c r="I18" s="310"/>
      <c r="K18" s="310"/>
    </row>
    <row r="19" spans="2:15">
      <c r="B19" s="287" t="s">
        <v>222</v>
      </c>
      <c r="C19" s="287">
        <f>0.0128-0.0004</f>
        <v>1.2400000000000001E-2</v>
      </c>
      <c r="D19" s="330">
        <v>20</v>
      </c>
      <c r="E19" s="331">
        <v>130</v>
      </c>
      <c r="F19" s="337">
        <v>22.194752829999999</v>
      </c>
      <c r="G19" s="337">
        <v>24.396278049999999</v>
      </c>
      <c r="H19" s="332">
        <f t="shared" ref="H19" si="2">G19-F19</f>
        <v>2.2015252200000006</v>
      </c>
      <c r="I19" s="310"/>
      <c r="J19" s="407"/>
    </row>
    <row r="20" spans="2:15">
      <c r="B20" s="287" t="s">
        <v>238</v>
      </c>
      <c r="C20" s="287">
        <f>0.3*0.15</f>
        <v>4.4999999999999998E-2</v>
      </c>
      <c r="D20" s="330">
        <v>20</v>
      </c>
      <c r="E20" s="331">
        <v>100</v>
      </c>
      <c r="F20" s="329">
        <v>22.032467100000002</v>
      </c>
      <c r="G20" s="339">
        <v>23.581442899999999</v>
      </c>
      <c r="H20" s="332">
        <f>G20-F20</f>
        <v>1.5489757999999973</v>
      </c>
      <c r="I20" s="310"/>
      <c r="J20" s="407"/>
    </row>
    <row r="21" spans="2:15">
      <c r="B21" s="287" t="s">
        <v>239</v>
      </c>
      <c r="C21" s="287">
        <f>C20/C19</f>
        <v>3.6290322580645156</v>
      </c>
      <c r="D21" s="333">
        <v>30</v>
      </c>
      <c r="E21" s="334">
        <v>130</v>
      </c>
      <c r="F21" s="335">
        <v>22.226188350000001</v>
      </c>
      <c r="G21" s="335">
        <v>25.43295118</v>
      </c>
      <c r="H21" s="336">
        <f>G21-F21</f>
        <v>3.2067628299999988</v>
      </c>
      <c r="I21" s="310"/>
      <c r="J21" s="310"/>
    </row>
    <row r="22" spans="2:15">
      <c r="B22" s="287"/>
      <c r="C22" s="287"/>
      <c r="D22" s="287"/>
      <c r="E22" s="287"/>
      <c r="F22" s="287"/>
      <c r="G22" s="287"/>
      <c r="H22" s="287"/>
    </row>
    <row r="23" spans="2:15" ht="18.75">
      <c r="B23" s="287"/>
      <c r="C23" s="287"/>
      <c r="D23" s="495" t="s">
        <v>0</v>
      </c>
      <c r="E23" s="441" t="s">
        <v>1</v>
      </c>
      <c r="F23" s="441" t="s">
        <v>237</v>
      </c>
      <c r="G23" s="441" t="s">
        <v>136</v>
      </c>
      <c r="H23" s="442" t="s">
        <v>137</v>
      </c>
      <c r="I23" s="312"/>
      <c r="J23" s="312"/>
      <c r="O23"/>
    </row>
    <row r="24" spans="2:15">
      <c r="B24" s="287" t="s">
        <v>222</v>
      </c>
      <c r="C24" s="287">
        <f>0.0132-0.0003</f>
        <v>1.29E-2</v>
      </c>
      <c r="D24" s="330">
        <v>20</v>
      </c>
      <c r="E24" s="331">
        <v>130</v>
      </c>
      <c r="F24" s="337">
        <v>22.09883151</v>
      </c>
      <c r="G24" s="329">
        <v>26.8954398569727</v>
      </c>
      <c r="H24" s="332">
        <f t="shared" ref="H24" si="3">G24-F24</f>
        <v>4.7966083469727003</v>
      </c>
      <c r="I24" s="312"/>
      <c r="J24" s="312"/>
      <c r="M24" s="315"/>
      <c r="N24" s="315"/>
      <c r="O24" s="315"/>
    </row>
    <row r="25" spans="2:15">
      <c r="B25" s="287" t="s">
        <v>238</v>
      </c>
      <c r="C25" s="287">
        <f>0.3*0.75</f>
        <v>0.22499999999999998</v>
      </c>
      <c r="D25" s="330">
        <v>20</v>
      </c>
      <c r="E25" s="331">
        <v>100</v>
      </c>
      <c r="F25" s="339">
        <v>22.513308970000001</v>
      </c>
      <c r="G25" s="339">
        <v>26.621303510000001</v>
      </c>
      <c r="H25" s="332">
        <f>G25-F25</f>
        <v>4.10799454</v>
      </c>
      <c r="I25" s="312"/>
      <c r="J25" s="312"/>
      <c r="M25" s="407"/>
      <c r="N25" s="407"/>
      <c r="O25"/>
    </row>
    <row r="26" spans="2:15">
      <c r="B26" s="287" t="s">
        <v>239</v>
      </c>
      <c r="C26" s="287" t="s">
        <v>27</v>
      </c>
      <c r="D26" s="333">
        <v>30</v>
      </c>
      <c r="E26" s="334">
        <v>130</v>
      </c>
      <c r="F26" s="335">
        <v>22.226143310000001</v>
      </c>
      <c r="G26" s="335">
        <v>25.63211299</v>
      </c>
      <c r="H26" s="336">
        <f>G26-F26</f>
        <v>3.4059696799999983</v>
      </c>
      <c r="I26" s="312"/>
      <c r="J26" s="312"/>
      <c r="M26" s="315"/>
      <c r="N26" s="315"/>
      <c r="O26" s="315"/>
    </row>
    <row r="27" spans="2:15" ht="18.75">
      <c r="B27" s="287"/>
      <c r="C27" s="287"/>
      <c r="D27" s="495" t="s">
        <v>0</v>
      </c>
      <c r="E27" s="441" t="s">
        <v>1</v>
      </c>
      <c r="F27" s="441" t="s">
        <v>237</v>
      </c>
      <c r="G27" s="441" t="s">
        <v>136</v>
      </c>
      <c r="H27" s="442" t="s">
        <v>137</v>
      </c>
      <c r="I27" s="312"/>
      <c r="J27" s="312"/>
    </row>
    <row r="28" spans="2:15">
      <c r="B28" s="287" t="s">
        <v>222</v>
      </c>
      <c r="C28" s="287">
        <f>0.0162-0.0055</f>
        <v>1.0699999999999999E-2</v>
      </c>
      <c r="D28" s="330">
        <v>20</v>
      </c>
      <c r="E28" s="331">
        <v>130</v>
      </c>
      <c r="F28" s="337">
        <v>22.02022174</v>
      </c>
      <c r="G28" s="337">
        <v>24.956065890000001</v>
      </c>
      <c r="H28" s="332">
        <f t="shared" ref="H28" si="4">G28-F28</f>
        <v>2.9358441500000012</v>
      </c>
      <c r="I28" s="312"/>
      <c r="J28" s="316"/>
      <c r="K28" s="312"/>
    </row>
    <row r="29" spans="2:15">
      <c r="B29" s="287" t="s">
        <v>238</v>
      </c>
      <c r="C29" s="287">
        <f>0.3*0.15</f>
        <v>4.4999999999999998E-2</v>
      </c>
      <c r="D29" s="330">
        <v>20</v>
      </c>
      <c r="E29" s="331">
        <v>100</v>
      </c>
      <c r="F29" s="329">
        <v>22.494033659999999</v>
      </c>
      <c r="G29" s="339">
        <v>25.096184919999999</v>
      </c>
      <c r="H29" s="332">
        <f>G29-F29</f>
        <v>2.6021512599999994</v>
      </c>
      <c r="I29" s="312"/>
      <c r="K29" s="312"/>
    </row>
    <row r="30" spans="2:15">
      <c r="B30" s="287" t="s">
        <v>239</v>
      </c>
      <c r="C30" s="287" t="s">
        <v>69</v>
      </c>
      <c r="D30" s="333">
        <v>30</v>
      </c>
      <c r="E30" s="334">
        <v>130</v>
      </c>
      <c r="F30" s="335">
        <v>22.491612230000001</v>
      </c>
      <c r="G30" s="335">
        <v>25.435558879999999</v>
      </c>
      <c r="H30" s="336">
        <f>G30-F30</f>
        <v>2.9439466499999973</v>
      </c>
      <c r="I30" s="312"/>
      <c r="J30" s="317"/>
      <c r="K30" s="312"/>
    </row>
    <row r="31" spans="2:15">
      <c r="B31" s="287" t="s">
        <v>222</v>
      </c>
      <c r="C31" s="287">
        <f>0.0162-0.0107</f>
        <v>5.4999999999999997E-3</v>
      </c>
      <c r="D31" s="330">
        <v>20</v>
      </c>
      <c r="E31" s="331">
        <v>130</v>
      </c>
      <c r="F31" s="337">
        <v>22.924280670000002</v>
      </c>
      <c r="G31" s="337">
        <v>23.760815640000001</v>
      </c>
      <c r="H31" s="332">
        <f t="shared" ref="H31" si="5">G31-F31</f>
        <v>0.83653496999999888</v>
      </c>
      <c r="I31" s="314"/>
    </row>
    <row r="32" spans="2:15">
      <c r="B32" s="287" t="s">
        <v>238</v>
      </c>
      <c r="C32" s="287">
        <f>0.3*0.15</f>
        <v>4.4999999999999998E-2</v>
      </c>
      <c r="D32" s="330">
        <v>20</v>
      </c>
      <c r="E32" s="331">
        <v>100</v>
      </c>
      <c r="F32" s="329">
        <v>22.891798489999999</v>
      </c>
      <c r="G32" s="339">
        <v>23.582746749999998</v>
      </c>
      <c r="H32" s="332">
        <f>G32-F32</f>
        <v>0.69094825999999898</v>
      </c>
      <c r="I32" s="314"/>
    </row>
    <row r="33" spans="2:16">
      <c r="B33" s="287" t="s">
        <v>239</v>
      </c>
      <c r="C33" s="287" t="s">
        <v>69</v>
      </c>
      <c r="D33" s="333">
        <v>30</v>
      </c>
      <c r="E33" s="334">
        <v>130</v>
      </c>
      <c r="F33" s="335">
        <v>22.37640455</v>
      </c>
      <c r="G33" s="335">
        <v>23.534245819999999</v>
      </c>
      <c r="H33" s="336">
        <f>G33-F33</f>
        <v>1.1578412699999987</v>
      </c>
      <c r="I33" s="314"/>
    </row>
    <row r="36" spans="2:16" ht="18.75">
      <c r="B36" s="287"/>
      <c r="C36" s="287"/>
      <c r="D36" s="495" t="s">
        <v>0</v>
      </c>
      <c r="E36" s="441" t="s">
        <v>1</v>
      </c>
      <c r="F36" s="441" t="s">
        <v>237</v>
      </c>
      <c r="G36" s="441" t="s">
        <v>136</v>
      </c>
      <c r="H36" s="442" t="s">
        <v>137</v>
      </c>
      <c r="I36" s="317"/>
      <c r="O36"/>
    </row>
    <row r="37" spans="2:16">
      <c r="B37" s="287" t="s">
        <v>222</v>
      </c>
      <c r="C37" s="287">
        <f>0.0185-0.0084</f>
        <v>1.01E-2</v>
      </c>
      <c r="D37" s="330">
        <v>20</v>
      </c>
      <c r="E37" s="331">
        <v>130</v>
      </c>
      <c r="F37" s="337">
        <v>22.55074814</v>
      </c>
      <c r="G37" s="329">
        <v>24.792898170000001</v>
      </c>
      <c r="H37" s="332">
        <f t="shared" ref="H37" si="6">G37-F37</f>
        <v>2.2421500300000012</v>
      </c>
      <c r="I37" s="317"/>
      <c r="J37" s="318"/>
      <c r="K37" s="318"/>
      <c r="O37"/>
    </row>
    <row r="38" spans="2:16">
      <c r="B38" s="287" t="s">
        <v>238</v>
      </c>
      <c r="C38" s="287">
        <f>0.3*1</f>
        <v>0.3</v>
      </c>
      <c r="D38" s="330">
        <v>20</v>
      </c>
      <c r="E38" s="331">
        <v>100</v>
      </c>
      <c r="F38" s="339">
        <v>22.561178959999999</v>
      </c>
      <c r="G38" s="339">
        <v>24.309451660000001</v>
      </c>
      <c r="H38" s="332">
        <f>G38-F38</f>
        <v>1.7482727000000011</v>
      </c>
      <c r="I38" s="317"/>
      <c r="J38" s="318"/>
      <c r="K38" s="318"/>
      <c r="N38" s="341"/>
      <c r="O38" s="341"/>
      <c r="P38" s="321"/>
    </row>
    <row r="39" spans="2:16">
      <c r="B39" s="287" t="s">
        <v>239</v>
      </c>
      <c r="C39" s="287" t="s">
        <v>23</v>
      </c>
      <c r="D39" s="333">
        <v>30</v>
      </c>
      <c r="E39" s="334">
        <v>130</v>
      </c>
      <c r="F39" s="335">
        <v>22.716781990000001</v>
      </c>
      <c r="G39" s="335">
        <v>24.99869949</v>
      </c>
      <c r="H39" s="336">
        <f>G39-F39</f>
        <v>2.2819174999999987</v>
      </c>
      <c r="I39" s="317"/>
      <c r="J39" s="318"/>
      <c r="K39" s="318"/>
      <c r="N39" s="341"/>
      <c r="O39" s="341"/>
      <c r="P39" s="321"/>
    </row>
    <row r="40" spans="2:16">
      <c r="B40" s="287" t="s">
        <v>222</v>
      </c>
      <c r="C40" s="287">
        <f>0.0084</f>
        <v>8.3999999999999995E-3</v>
      </c>
      <c r="D40" s="330">
        <v>20</v>
      </c>
      <c r="E40" s="331">
        <v>130</v>
      </c>
      <c r="F40" s="337">
        <v>22.339064650000001</v>
      </c>
      <c r="G40" s="329">
        <v>23.692898169999999</v>
      </c>
      <c r="H40" s="332">
        <f t="shared" ref="H40" si="7">G40-F40</f>
        <v>1.3538335199999985</v>
      </c>
      <c r="I40" s="317"/>
      <c r="P40" s="341"/>
    </row>
    <row r="41" spans="2:16">
      <c r="B41" s="287" t="s">
        <v>238</v>
      </c>
      <c r="C41" s="287">
        <f>0.3*1</f>
        <v>0.3</v>
      </c>
      <c r="D41" s="330">
        <v>20</v>
      </c>
      <c r="E41" s="331">
        <v>100</v>
      </c>
      <c r="F41" s="339">
        <v>22.55065501</v>
      </c>
      <c r="G41" s="339">
        <v>23.5872171</v>
      </c>
      <c r="H41" s="332">
        <f>G41-F41</f>
        <v>1.0365620900000003</v>
      </c>
      <c r="I41" s="317"/>
    </row>
    <row r="42" spans="2:16">
      <c r="B42" s="287" t="s">
        <v>239</v>
      </c>
      <c r="C42" s="287" t="s">
        <v>23</v>
      </c>
      <c r="D42" s="333">
        <v>30</v>
      </c>
      <c r="E42" s="334">
        <v>130</v>
      </c>
      <c r="F42" s="335">
        <v>22.54981682</v>
      </c>
      <c r="G42" s="335">
        <v>23.77650689</v>
      </c>
      <c r="H42" s="336">
        <f>G42-F42</f>
        <v>1.2266900700000001</v>
      </c>
      <c r="I42" s="317"/>
    </row>
    <row r="43" spans="2:16">
      <c r="B43" s="287" t="s">
        <v>222</v>
      </c>
      <c r="C43" s="287">
        <f>0.016-0.0073</f>
        <v>8.6999999999999994E-3</v>
      </c>
      <c r="D43" s="330">
        <v>20</v>
      </c>
      <c r="E43" s="331">
        <v>130</v>
      </c>
      <c r="F43" s="337">
        <v>22.54208684</v>
      </c>
      <c r="G43" s="329">
        <v>24.561374430000001</v>
      </c>
      <c r="H43" s="332">
        <f t="shared" ref="H43" si="8">G43-F43</f>
        <v>2.0192875900000011</v>
      </c>
      <c r="I43" s="319"/>
      <c r="J43" s="319"/>
      <c r="K43" s="407"/>
    </row>
    <row r="44" spans="2:16">
      <c r="B44" s="287" t="s">
        <v>238</v>
      </c>
      <c r="C44" s="287">
        <f>0.3*1</f>
        <v>0.3</v>
      </c>
      <c r="D44" s="330">
        <v>20</v>
      </c>
      <c r="E44" s="331">
        <v>100</v>
      </c>
      <c r="F44" s="339">
        <v>22.579805409999999</v>
      </c>
      <c r="G44" s="339">
        <v>23.955693360000001</v>
      </c>
      <c r="H44" s="332">
        <f>G44-F44</f>
        <v>1.3758879500000027</v>
      </c>
      <c r="I44" s="319"/>
      <c r="J44" s="319"/>
      <c r="K44" s="407"/>
    </row>
    <row r="45" spans="2:16">
      <c r="B45" s="287" t="s">
        <v>239</v>
      </c>
      <c r="C45" s="287">
        <f>C44/C43</f>
        <v>34.482758620689658</v>
      </c>
      <c r="D45" s="333">
        <v>30</v>
      </c>
      <c r="E45" s="334">
        <v>130</v>
      </c>
      <c r="F45" s="335">
        <v>22.818599599999999</v>
      </c>
      <c r="G45" s="335">
        <v>24.830250339999999</v>
      </c>
      <c r="H45" s="336">
        <f>G45-F45</f>
        <v>2.0116507400000003</v>
      </c>
      <c r="I45" s="319"/>
      <c r="J45" s="319"/>
      <c r="K45" s="319"/>
    </row>
    <row r="46" spans="2:16">
      <c r="B46" s="287" t="s">
        <v>222</v>
      </c>
      <c r="C46" s="287">
        <f>0.0073</f>
        <v>7.3000000000000001E-3</v>
      </c>
      <c r="D46" s="330">
        <v>20</v>
      </c>
      <c r="E46" s="331">
        <v>130</v>
      </c>
      <c r="F46" s="337">
        <v>23.23806424</v>
      </c>
      <c r="G46" s="329">
        <v>24.674287419999999</v>
      </c>
      <c r="H46" s="332">
        <f t="shared" ref="H46" si="9">G46-F46</f>
        <v>1.4362231799999989</v>
      </c>
      <c r="I46" s="319"/>
      <c r="J46" s="319"/>
      <c r="K46" s="319"/>
    </row>
    <row r="47" spans="2:16">
      <c r="B47" s="287" t="s">
        <v>238</v>
      </c>
      <c r="C47" s="287">
        <f>0.3*1</f>
        <v>0.3</v>
      </c>
      <c r="D47" s="330">
        <v>20</v>
      </c>
      <c r="E47" s="331">
        <v>100</v>
      </c>
      <c r="F47" s="339">
        <v>22.688445730000002</v>
      </c>
      <c r="G47" s="339">
        <v>23.860908770000002</v>
      </c>
      <c r="H47" s="332">
        <f>G47-F47</f>
        <v>1.1724630400000002</v>
      </c>
      <c r="I47" s="319"/>
      <c r="J47" s="319"/>
      <c r="K47" s="319"/>
    </row>
    <row r="48" spans="2:16">
      <c r="B48" s="287" t="s">
        <v>239</v>
      </c>
      <c r="C48" s="287">
        <f>C47/C46</f>
        <v>41.095890410958901</v>
      </c>
      <c r="D48" s="333">
        <v>30</v>
      </c>
      <c r="E48" s="334">
        <v>130</v>
      </c>
      <c r="F48" s="335">
        <v>22.552517659999999</v>
      </c>
      <c r="G48" s="335">
        <v>23.95904612</v>
      </c>
      <c r="H48" s="336">
        <f>G48-F48</f>
        <v>1.4065284600000005</v>
      </c>
      <c r="I48" s="319"/>
      <c r="J48" s="319"/>
      <c r="K48" s="319"/>
    </row>
    <row r="51" spans="1:11" ht="18.75">
      <c r="B51" s="287"/>
      <c r="C51" s="287"/>
      <c r="D51" s="495" t="s">
        <v>0</v>
      </c>
      <c r="E51" s="441" t="s">
        <v>1</v>
      </c>
      <c r="F51" s="441" t="s">
        <v>237</v>
      </c>
      <c r="G51" s="441" t="s">
        <v>136</v>
      </c>
      <c r="H51" s="442" t="s">
        <v>137</v>
      </c>
      <c r="I51" s="320"/>
    </row>
    <row r="52" spans="1:11">
      <c r="B52" s="287" t="s">
        <v>222</v>
      </c>
      <c r="C52" s="287">
        <f>0.0156-0.0008</f>
        <v>1.4799999999999999E-2</v>
      </c>
      <c r="D52" s="330">
        <v>20</v>
      </c>
      <c r="E52" s="331">
        <v>130</v>
      </c>
      <c r="F52" s="337">
        <v>22.27660002</v>
      </c>
      <c r="G52" s="329">
        <v>27.760869880000001</v>
      </c>
      <c r="H52" s="332">
        <f t="shared" ref="H52" si="10">G52-F52</f>
        <v>5.4842698600000013</v>
      </c>
      <c r="I52" s="320"/>
      <c r="J52" s="324"/>
    </row>
    <row r="53" spans="1:11">
      <c r="B53" s="287" t="s">
        <v>238</v>
      </c>
      <c r="C53" s="287">
        <f>0.3*1.25</f>
        <v>0.375</v>
      </c>
      <c r="D53" s="330">
        <v>20</v>
      </c>
      <c r="E53" s="331">
        <v>100</v>
      </c>
      <c r="F53" s="339">
        <v>22.299994130000002</v>
      </c>
      <c r="G53" s="339">
        <v>27.09245962</v>
      </c>
      <c r="H53" s="332">
        <f>G53-F53</f>
        <v>4.7924654899999979</v>
      </c>
      <c r="I53" s="320"/>
      <c r="J53" s="323"/>
    </row>
    <row r="54" spans="1:11">
      <c r="B54" s="287" t="s">
        <v>239</v>
      </c>
      <c r="C54" s="287" t="s">
        <v>50</v>
      </c>
      <c r="D54" s="333">
        <v>30</v>
      </c>
      <c r="E54" s="334">
        <v>130</v>
      </c>
      <c r="F54" s="335">
        <v>22.081815429999999</v>
      </c>
      <c r="G54" s="335">
        <v>28.004131350000002</v>
      </c>
      <c r="H54" s="336">
        <f>G54-F54</f>
        <v>5.9223159200000026</v>
      </c>
      <c r="I54" s="320"/>
      <c r="J54" s="325"/>
    </row>
    <row r="55" spans="1:11">
      <c r="C55" s="322"/>
      <c r="D55" s="322"/>
      <c r="E55" s="322"/>
      <c r="F55" s="322"/>
      <c r="G55" s="322"/>
      <c r="H55" s="322"/>
      <c r="I55" s="322"/>
      <c r="J55" s="322"/>
    </row>
    <row r="56" spans="1:11">
      <c r="A56" s="510" t="s">
        <v>244</v>
      </c>
      <c r="B56" s="511"/>
      <c r="C56" s="511"/>
      <c r="D56" s="511"/>
      <c r="E56" s="511"/>
      <c r="F56" s="511"/>
      <c r="G56" s="511"/>
      <c r="H56" s="511"/>
      <c r="I56" s="435" t="s">
        <v>228</v>
      </c>
      <c r="J56" s="322"/>
    </row>
    <row r="57" spans="1:11" ht="18.75">
      <c r="A57" s="435" t="s">
        <v>256</v>
      </c>
      <c r="B57" s="435"/>
      <c r="C57" s="435"/>
      <c r="D57" s="495" t="s">
        <v>0</v>
      </c>
      <c r="E57" s="441" t="s">
        <v>1</v>
      </c>
      <c r="F57" s="441" t="s">
        <v>237</v>
      </c>
      <c r="G57" s="441" t="s">
        <v>136</v>
      </c>
      <c r="H57" s="442" t="s">
        <v>137</v>
      </c>
      <c r="I57" s="340"/>
      <c r="J57" s="340"/>
      <c r="K57" s="340"/>
    </row>
    <row r="58" spans="1:11">
      <c r="B58" s="287" t="s">
        <v>222</v>
      </c>
      <c r="C58" s="287">
        <f>0.0201-0.008</f>
        <v>1.21E-2</v>
      </c>
      <c r="D58" s="330">
        <v>20</v>
      </c>
      <c r="E58" s="331">
        <v>130</v>
      </c>
      <c r="F58" s="337">
        <v>22.284347910000001</v>
      </c>
      <c r="G58" s="329">
        <v>24.519236679999999</v>
      </c>
      <c r="H58" s="332">
        <f t="shared" ref="H58" si="11">G58-F58</f>
        <v>2.2348887699999977</v>
      </c>
      <c r="I58" s="340"/>
      <c r="J58" s="340"/>
      <c r="K58" s="407"/>
    </row>
    <row r="59" spans="1:11">
      <c r="B59" s="287" t="s">
        <v>238</v>
      </c>
      <c r="C59" s="287">
        <f>0.3*1</f>
        <v>0.3</v>
      </c>
      <c r="D59" s="330">
        <v>20</v>
      </c>
      <c r="E59" s="331">
        <v>100</v>
      </c>
      <c r="F59" s="339">
        <v>22.203271669999999</v>
      </c>
      <c r="G59" s="339">
        <v>24.240792200000001</v>
      </c>
      <c r="H59" s="332">
        <f>G59-F59</f>
        <v>2.0375205300000019</v>
      </c>
      <c r="I59" s="340"/>
      <c r="J59" s="340"/>
      <c r="K59" s="407"/>
    </row>
    <row r="60" spans="1:11">
      <c r="B60" s="287" t="s">
        <v>239</v>
      </c>
      <c r="C60" s="287" t="s">
        <v>23</v>
      </c>
      <c r="D60" s="333">
        <v>30</v>
      </c>
      <c r="E60" s="334">
        <v>130</v>
      </c>
      <c r="F60" s="335">
        <v>21.897984109999999</v>
      </c>
      <c r="G60" s="335">
        <v>24.279048580000001</v>
      </c>
      <c r="H60" s="336">
        <f>G60-F60</f>
        <v>2.3810644700000019</v>
      </c>
      <c r="I60" s="340"/>
      <c r="J60" s="340"/>
      <c r="K60" s="340"/>
    </row>
    <row r="61" spans="1:11">
      <c r="B61" s="287" t="s">
        <v>222</v>
      </c>
      <c r="C61" s="287">
        <f>0.007</f>
        <v>7.0000000000000001E-3</v>
      </c>
      <c r="D61" s="330">
        <v>20</v>
      </c>
      <c r="E61" s="331">
        <v>130</v>
      </c>
      <c r="F61" s="337">
        <v>23.219437790000001</v>
      </c>
      <c r="G61" s="329">
        <v>24.653923850000002</v>
      </c>
      <c r="H61" s="332">
        <f t="shared" ref="H61" si="12">G61-F61</f>
        <v>1.4344860600000011</v>
      </c>
      <c r="I61" s="340"/>
      <c r="J61" s="340"/>
      <c r="K61" s="340"/>
    </row>
    <row r="62" spans="1:11">
      <c r="B62" s="287" t="s">
        <v>238</v>
      </c>
      <c r="C62" s="287">
        <f>0.3*1</f>
        <v>0.3</v>
      </c>
      <c r="D62" s="330">
        <v>20</v>
      </c>
      <c r="E62" s="331">
        <v>100</v>
      </c>
      <c r="F62" s="339">
        <v>22.54190058</v>
      </c>
      <c r="G62" s="339">
        <v>23.530334270000001</v>
      </c>
      <c r="H62" s="332">
        <f>G62-F62</f>
        <v>0.98843369000000081</v>
      </c>
      <c r="I62" s="340"/>
      <c r="J62" s="340"/>
      <c r="K62" s="340"/>
    </row>
    <row r="63" spans="1:11">
      <c r="B63" s="287" t="s">
        <v>239</v>
      </c>
      <c r="C63" s="287" t="s">
        <v>23</v>
      </c>
      <c r="D63" s="333">
        <v>30</v>
      </c>
      <c r="E63" s="334">
        <v>130</v>
      </c>
      <c r="F63" s="335">
        <v>23.566169210000002</v>
      </c>
      <c r="G63" s="335">
        <v>24.872715580000001</v>
      </c>
      <c r="H63" s="336">
        <f>G63-F63</f>
        <v>1.3065463699999995</v>
      </c>
      <c r="I63" s="340"/>
      <c r="J63" s="340"/>
      <c r="K63" s="340"/>
    </row>
    <row r="66" spans="1:13" ht="18.75">
      <c r="B66" s="287"/>
      <c r="C66" s="287"/>
      <c r="D66" s="495" t="s">
        <v>0</v>
      </c>
      <c r="E66" s="441" t="s">
        <v>1</v>
      </c>
      <c r="F66" s="441" t="s">
        <v>237</v>
      </c>
      <c r="G66" s="441" t="s">
        <v>136</v>
      </c>
      <c r="H66" s="442" t="s">
        <v>137</v>
      </c>
      <c r="I66" s="350"/>
      <c r="J66" s="350"/>
      <c r="L66" s="350"/>
      <c r="M66" s="350"/>
    </row>
    <row r="67" spans="1:13">
      <c r="B67" s="287" t="s">
        <v>222</v>
      </c>
      <c r="C67" s="287">
        <f>0.012</f>
        <v>1.2E-2</v>
      </c>
      <c r="D67" s="330">
        <v>15</v>
      </c>
      <c r="E67" s="331">
        <v>133</v>
      </c>
      <c r="F67" s="287">
        <v>22.884999834597092</v>
      </c>
      <c r="G67" s="287">
        <v>25.063079158251199</v>
      </c>
      <c r="H67" s="332">
        <f t="shared" ref="H67" si="13">G67-F67</f>
        <v>2.1780793236541065</v>
      </c>
      <c r="I67" s="350"/>
      <c r="J67" s="350"/>
      <c r="L67" s="350"/>
      <c r="M67" s="350"/>
    </row>
    <row r="68" spans="1:13">
      <c r="B68" s="287" t="s">
        <v>238</v>
      </c>
      <c r="C68" s="287">
        <f>0.3*0.45</f>
        <v>0.13500000000000001</v>
      </c>
      <c r="D68" s="330">
        <v>20</v>
      </c>
      <c r="E68" s="331">
        <v>100</v>
      </c>
      <c r="F68" s="287">
        <v>22.210349721333372</v>
      </c>
      <c r="G68" s="287">
        <v>24.247497722357402</v>
      </c>
      <c r="H68" s="332">
        <f>G68-F68</f>
        <v>2.037148001024029</v>
      </c>
      <c r="I68" s="350"/>
      <c r="J68" s="350"/>
      <c r="L68" s="350"/>
      <c r="M68" s="350"/>
    </row>
    <row r="69" spans="1:13">
      <c r="B69" s="287" t="s">
        <v>239</v>
      </c>
      <c r="C69" s="287" t="s">
        <v>56</v>
      </c>
      <c r="D69" s="333">
        <v>30</v>
      </c>
      <c r="E69" s="334">
        <v>130</v>
      </c>
      <c r="F69" s="335">
        <v>23.451337129999999</v>
      </c>
      <c r="G69" s="515">
        <v>25.907460058180099</v>
      </c>
      <c r="H69" s="336">
        <f>G69-F69</f>
        <v>2.4561229281801005</v>
      </c>
      <c r="I69" s="350"/>
      <c r="J69" s="350"/>
      <c r="L69" s="350"/>
      <c r="M69" s="350"/>
    </row>
    <row r="70" spans="1:13">
      <c r="B70" s="287" t="s">
        <v>222</v>
      </c>
      <c r="C70" s="287">
        <f>0.0112</f>
        <v>1.12E-2</v>
      </c>
      <c r="D70" s="330">
        <v>20</v>
      </c>
      <c r="E70" s="331">
        <v>130</v>
      </c>
      <c r="F70" s="287">
        <v>23.229496075480949</v>
      </c>
      <c r="G70" s="287">
        <v>24.9200057935718</v>
      </c>
      <c r="H70" s="332">
        <f t="shared" ref="H70" si="14">G70-F70</f>
        <v>1.6905097180908513</v>
      </c>
      <c r="I70" s="350"/>
      <c r="J70" s="350"/>
      <c r="L70" s="350"/>
      <c r="M70" s="350"/>
    </row>
    <row r="71" spans="1:13">
      <c r="B71" s="287" t="s">
        <v>238</v>
      </c>
      <c r="C71" s="287">
        <f>0.3*0.35</f>
        <v>0.105</v>
      </c>
      <c r="D71" s="330">
        <v>20</v>
      </c>
      <c r="E71" s="331">
        <v>100</v>
      </c>
      <c r="F71" s="287">
        <v>23.2877642385819</v>
      </c>
      <c r="G71" s="339">
        <v>24.657549483</v>
      </c>
      <c r="H71" s="332">
        <f>G71-F71</f>
        <v>1.3697852444181002</v>
      </c>
      <c r="I71" s="350"/>
      <c r="J71" s="350"/>
      <c r="L71" s="350"/>
      <c r="M71" s="350"/>
    </row>
    <row r="72" spans="1:13">
      <c r="B72" s="287" t="s">
        <v>239</v>
      </c>
      <c r="C72" s="287" t="s">
        <v>55</v>
      </c>
      <c r="D72" s="333">
        <v>30</v>
      </c>
      <c r="E72" s="334">
        <v>130</v>
      </c>
      <c r="F72" s="515">
        <v>23.272781596945599</v>
      </c>
      <c r="G72" s="515">
        <v>25.321847457995801</v>
      </c>
      <c r="H72" s="336">
        <f>G72-F72</f>
        <v>2.0490658610502024</v>
      </c>
      <c r="I72" s="350"/>
      <c r="J72" s="350"/>
      <c r="L72" s="350"/>
      <c r="M72" s="350"/>
    </row>
    <row r="74" spans="1:13">
      <c r="A74" s="510" t="s">
        <v>259</v>
      </c>
      <c r="B74" s="511"/>
      <c r="C74" s="511"/>
      <c r="D74" s="511"/>
      <c r="E74" s="511"/>
      <c r="F74" s="511"/>
      <c r="G74" s="511"/>
      <c r="H74" s="511"/>
      <c r="I74" s="435" t="s">
        <v>228</v>
      </c>
    </row>
    <row r="75" spans="1:13">
      <c r="A75" s="435" t="s">
        <v>256</v>
      </c>
      <c r="C75" s="435"/>
      <c r="D75" s="435"/>
      <c r="E75" s="435"/>
      <c r="F75" s="435"/>
      <c r="G75" s="435"/>
      <c r="H75" s="435"/>
      <c r="I75" s="435"/>
      <c r="J75" s="435"/>
      <c r="K75" s="435"/>
    </row>
    <row r="76" spans="1:13" ht="18.75">
      <c r="B76" s="537"/>
      <c r="C76" s="537"/>
      <c r="D76" s="495" t="s">
        <v>0</v>
      </c>
      <c r="E76" s="441" t="s">
        <v>1</v>
      </c>
      <c r="F76" s="441" t="s">
        <v>237</v>
      </c>
      <c r="G76" s="441" t="s">
        <v>136</v>
      </c>
      <c r="H76" s="442" t="s">
        <v>137</v>
      </c>
      <c r="I76" s="537"/>
      <c r="J76" s="537"/>
      <c r="K76" s="537"/>
    </row>
    <row r="77" spans="1:13">
      <c r="B77" s="537" t="s">
        <v>222</v>
      </c>
      <c r="C77" s="476">
        <f>0.0286-0.0169</f>
        <v>1.1700000000000002E-2</v>
      </c>
      <c r="D77" s="330">
        <v>20</v>
      </c>
      <c r="E77" s="331">
        <v>130</v>
      </c>
      <c r="F77" s="476">
        <v>22.884813569999999</v>
      </c>
      <c r="G77" s="476">
        <v>26.925500599999999</v>
      </c>
      <c r="H77" s="332">
        <f t="shared" ref="H77" si="15">G77-F77</f>
        <v>4.0406870300000008</v>
      </c>
      <c r="I77" s="537"/>
      <c r="J77" s="537"/>
      <c r="K77" s="537"/>
    </row>
    <row r="78" spans="1:13">
      <c r="B78" s="537" t="s">
        <v>238</v>
      </c>
      <c r="C78" s="476">
        <f>0.3*2</f>
        <v>0.6</v>
      </c>
      <c r="D78" s="330">
        <v>20</v>
      </c>
      <c r="E78" s="331">
        <v>100</v>
      </c>
      <c r="F78" s="476">
        <v>22.370630349999999</v>
      </c>
      <c r="G78" s="476">
        <v>25.746566399999999</v>
      </c>
      <c r="H78" s="332">
        <f>G78-F78</f>
        <v>3.37593605</v>
      </c>
      <c r="I78" s="537"/>
      <c r="J78" s="537"/>
      <c r="K78" s="537"/>
    </row>
    <row r="79" spans="1:13">
      <c r="B79" s="537" t="s">
        <v>239</v>
      </c>
      <c r="C79" s="537" t="s">
        <v>60</v>
      </c>
      <c r="D79" s="333">
        <v>30</v>
      </c>
      <c r="E79" s="334">
        <v>130</v>
      </c>
      <c r="F79" s="334">
        <v>21.854863869999999</v>
      </c>
      <c r="G79" s="334">
        <v>23.742096050000001</v>
      </c>
      <c r="H79" s="336">
        <f>G79-F79</f>
        <v>1.8872321800000016</v>
      </c>
      <c r="I79" s="537"/>
      <c r="J79" s="537"/>
      <c r="K79" s="537"/>
    </row>
    <row r="80" spans="1:13">
      <c r="B80" s="537" t="s">
        <v>222</v>
      </c>
      <c r="C80" s="476">
        <f>0.0169</f>
        <v>1.6899999999999998E-2</v>
      </c>
      <c r="D80" s="330">
        <v>20</v>
      </c>
      <c r="E80" s="331">
        <v>130</v>
      </c>
      <c r="F80" s="476">
        <v>21.860358680000001</v>
      </c>
      <c r="G80" s="476">
        <v>25.921468789999999</v>
      </c>
      <c r="H80" s="332">
        <f t="shared" ref="H80" si="16">G80-F80</f>
        <v>4.0611101099999978</v>
      </c>
      <c r="I80" s="537"/>
      <c r="J80" s="537"/>
      <c r="K80" s="537"/>
    </row>
    <row r="81" spans="2:17">
      <c r="B81" s="537" t="s">
        <v>238</v>
      </c>
      <c r="C81" s="476">
        <f>0.3*1</f>
        <v>0.3</v>
      </c>
      <c r="D81" s="330">
        <v>20</v>
      </c>
      <c r="E81" s="331">
        <v>100</v>
      </c>
      <c r="F81" s="476">
        <v>21.886249450000001</v>
      </c>
      <c r="G81" s="476">
        <v>25.750291690000001</v>
      </c>
      <c r="H81" s="332">
        <f>G81-F81</f>
        <v>3.8640422399999999</v>
      </c>
      <c r="I81" s="537"/>
      <c r="J81" s="537"/>
      <c r="K81" s="537"/>
    </row>
    <row r="82" spans="2:17">
      <c r="B82" s="537" t="s">
        <v>239</v>
      </c>
      <c r="C82" s="537" t="s">
        <v>60</v>
      </c>
      <c r="D82" s="333">
        <v>30</v>
      </c>
      <c r="E82" s="334">
        <v>130</v>
      </c>
      <c r="F82" s="334">
        <v>22.209325270000001</v>
      </c>
      <c r="G82" s="334">
        <v>24.929505280000001</v>
      </c>
      <c r="H82" s="336">
        <f>G82-F82</f>
        <v>2.72018001</v>
      </c>
      <c r="I82" s="537"/>
      <c r="J82" s="537"/>
      <c r="K82" s="537"/>
    </row>
    <row r="83" spans="2:17">
      <c r="B83" s="537"/>
      <c r="C83" s="537"/>
      <c r="D83" s="537"/>
      <c r="E83" s="537"/>
      <c r="F83" s="537"/>
      <c r="G83" s="537"/>
      <c r="H83" s="537"/>
      <c r="I83" s="537"/>
      <c r="J83" s="537"/>
      <c r="K83" s="537"/>
      <c r="Q83" s="375"/>
    </row>
    <row r="84" spans="2:17" ht="18.75">
      <c r="B84" s="538"/>
      <c r="C84" s="537"/>
      <c r="D84" s="495" t="s">
        <v>0</v>
      </c>
      <c r="E84" s="441" t="s">
        <v>1</v>
      </c>
      <c r="F84" s="441" t="s">
        <v>237</v>
      </c>
      <c r="G84" s="441" t="s">
        <v>136</v>
      </c>
      <c r="H84" s="442" t="s">
        <v>137</v>
      </c>
      <c r="I84" s="537"/>
      <c r="J84" s="537"/>
      <c r="K84" s="537"/>
      <c r="M84" s="389"/>
      <c r="N84" s="389"/>
      <c r="P84" s="389"/>
    </row>
    <row r="85" spans="2:17">
      <c r="B85" s="537" t="s">
        <v>222</v>
      </c>
      <c r="C85" s="476">
        <f>0.0318-0.0174</f>
        <v>1.4400000000000003E-2</v>
      </c>
      <c r="D85" s="330">
        <v>20</v>
      </c>
      <c r="E85" s="331">
        <v>130</v>
      </c>
      <c r="F85" s="476">
        <v>22.66371758</v>
      </c>
      <c r="G85" s="476">
        <v>26.958262170000001</v>
      </c>
      <c r="H85" s="332">
        <f t="shared" ref="H85" si="17">G85-F85</f>
        <v>4.294544590000001</v>
      </c>
      <c r="I85" s="283"/>
      <c r="J85" s="378"/>
      <c r="K85" s="378"/>
      <c r="M85" s="389"/>
      <c r="N85" s="389"/>
      <c r="P85" s="389"/>
    </row>
    <row r="86" spans="2:17">
      <c r="B86" s="537" t="s">
        <v>238</v>
      </c>
      <c r="C86" s="476">
        <f>0.3*1</f>
        <v>0.3</v>
      </c>
      <c r="D86" s="330">
        <v>20</v>
      </c>
      <c r="E86" s="331">
        <v>100</v>
      </c>
      <c r="F86" s="476">
        <v>22.259896090000002</v>
      </c>
      <c r="G86" s="476">
        <v>26.090690110000001</v>
      </c>
      <c r="H86" s="332">
        <f>G86-F86</f>
        <v>3.830794019999999</v>
      </c>
      <c r="I86" s="283"/>
      <c r="J86" s="378"/>
      <c r="K86" s="378"/>
      <c r="M86" s="389"/>
      <c r="N86" s="389"/>
      <c r="P86" s="389"/>
      <c r="Q86" s="391"/>
    </row>
    <row r="87" spans="2:17">
      <c r="B87" s="537" t="s">
        <v>239</v>
      </c>
      <c r="C87" s="476" t="s">
        <v>23</v>
      </c>
      <c r="D87" s="333">
        <v>30</v>
      </c>
      <c r="E87" s="334">
        <v>130</v>
      </c>
      <c r="F87" s="334">
        <v>22.2805955</v>
      </c>
      <c r="G87" s="334">
        <v>24.765060829999999</v>
      </c>
      <c r="H87" s="336">
        <f>G87-F87</f>
        <v>2.484465329999999</v>
      </c>
      <c r="I87" s="283"/>
      <c r="J87" s="378"/>
      <c r="K87" s="378"/>
      <c r="M87" s="389"/>
      <c r="N87" s="389"/>
      <c r="P87" s="389"/>
      <c r="Q87" s="391"/>
    </row>
    <row r="88" spans="2:17">
      <c r="B88" s="537" t="s">
        <v>222</v>
      </c>
      <c r="C88" s="476">
        <f>0.0174</f>
        <v>1.7399999999999999E-2</v>
      </c>
      <c r="D88" s="330">
        <v>20</v>
      </c>
      <c r="E88" s="331">
        <v>130</v>
      </c>
      <c r="F88" s="476">
        <v>22.444018570000001</v>
      </c>
      <c r="G88" s="476">
        <v>26.825873130000002</v>
      </c>
      <c r="H88" s="332">
        <f t="shared" ref="H88" si="18">G88-F88</f>
        <v>4.3818545600000007</v>
      </c>
      <c r="I88" s="283"/>
      <c r="J88" s="378"/>
      <c r="K88" s="378"/>
    </row>
    <row r="89" spans="2:17">
      <c r="B89" s="537" t="s">
        <v>238</v>
      </c>
      <c r="C89" s="476">
        <f>0.3*1</f>
        <v>0.3</v>
      </c>
      <c r="D89" s="330">
        <v>20</v>
      </c>
      <c r="E89" s="331">
        <v>100</v>
      </c>
      <c r="F89" s="476">
        <v>22.512563910000001</v>
      </c>
      <c r="G89" s="476">
        <v>26.05734876</v>
      </c>
      <c r="H89" s="332">
        <f>G89-F89</f>
        <v>3.5447848499999992</v>
      </c>
      <c r="I89" s="283"/>
      <c r="J89" s="378"/>
      <c r="K89" s="378"/>
    </row>
    <row r="90" spans="2:17">
      <c r="B90" s="537" t="s">
        <v>239</v>
      </c>
      <c r="C90" s="476" t="s">
        <v>23</v>
      </c>
      <c r="D90" s="333">
        <v>30</v>
      </c>
      <c r="E90" s="334">
        <v>130</v>
      </c>
      <c r="F90" s="334">
        <v>22.545998399999998</v>
      </c>
      <c r="G90" s="334">
        <v>24.769624310000001</v>
      </c>
      <c r="H90" s="336">
        <f>G90-F90</f>
        <v>2.2236259100000026</v>
      </c>
      <c r="I90" s="283"/>
      <c r="J90" s="378"/>
      <c r="K90" s="378"/>
    </row>
    <row r="91" spans="2:17">
      <c r="I91" s="292"/>
      <c r="J91" s="388"/>
      <c r="K91" s="388"/>
    </row>
    <row r="92" spans="2:17" ht="18.75">
      <c r="B92" s="537"/>
      <c r="C92" s="537"/>
      <c r="D92" s="495" t="s">
        <v>0</v>
      </c>
      <c r="E92" s="441" t="s">
        <v>1</v>
      </c>
      <c r="F92" s="441" t="s">
        <v>237</v>
      </c>
      <c r="G92" s="441" t="s">
        <v>136</v>
      </c>
      <c r="H92" s="442" t="s">
        <v>137</v>
      </c>
      <c r="I92" s="293"/>
      <c r="J92" s="388"/>
      <c r="K92" s="388"/>
    </row>
    <row r="93" spans="2:17">
      <c r="B93" s="537" t="s">
        <v>222</v>
      </c>
      <c r="C93" s="476">
        <f>0.0184-0.0084</f>
        <v>0.01</v>
      </c>
      <c r="D93" s="330">
        <v>20</v>
      </c>
      <c r="E93" s="331">
        <v>130</v>
      </c>
      <c r="F93" s="476">
        <v>22.545625869999999</v>
      </c>
      <c r="G93" s="476">
        <v>25.921817269999998</v>
      </c>
      <c r="H93" s="332">
        <f t="shared" ref="H93" si="19">G93-F93</f>
        <v>3.3761913999999997</v>
      </c>
      <c r="I93" s="293"/>
      <c r="J93" s="388"/>
      <c r="K93" s="388"/>
    </row>
    <row r="94" spans="2:17">
      <c r="B94" s="537" t="s">
        <v>238</v>
      </c>
      <c r="C94" s="476">
        <f>0.3*1.5</f>
        <v>0.44999999999999996</v>
      </c>
      <c r="D94" s="330">
        <v>20</v>
      </c>
      <c r="E94" s="331">
        <v>100</v>
      </c>
      <c r="F94" s="476">
        <v>22.545812130000002</v>
      </c>
      <c r="G94" s="476">
        <v>25.274591446999999</v>
      </c>
      <c r="H94" s="332">
        <f>G94-F94</f>
        <v>2.7287793169999972</v>
      </c>
      <c r="I94" s="293"/>
      <c r="J94" s="388"/>
      <c r="K94" s="388"/>
    </row>
    <row r="95" spans="2:17">
      <c r="B95" s="537" t="s">
        <v>239</v>
      </c>
      <c r="C95" s="537" t="s">
        <v>58</v>
      </c>
      <c r="D95" s="333">
        <v>30</v>
      </c>
      <c r="E95" s="334">
        <v>130</v>
      </c>
      <c r="F95" s="334">
        <v>22.302830060000002</v>
      </c>
      <c r="G95" s="334">
        <v>24.087244219999999</v>
      </c>
      <c r="H95" s="336">
        <f>G95-F95</f>
        <v>1.7844141599999972</v>
      </c>
      <c r="I95" s="293"/>
      <c r="J95" s="388"/>
      <c r="K95" s="388"/>
    </row>
    <row r="96" spans="2:17">
      <c r="B96" s="537" t="s">
        <v>222</v>
      </c>
      <c r="C96" s="476">
        <f>0.0044</f>
        <v>4.4000000000000003E-3</v>
      </c>
      <c r="D96" s="330">
        <v>20</v>
      </c>
      <c r="E96" s="331">
        <v>130</v>
      </c>
      <c r="F96" s="476">
        <v>22.54087612</v>
      </c>
      <c r="G96" s="476">
        <v>24.771105219999999</v>
      </c>
      <c r="H96" s="332">
        <f t="shared" ref="H96" si="20">G96-F96</f>
        <v>2.230229099999999</v>
      </c>
      <c r="I96" s="293"/>
      <c r="J96" s="388"/>
      <c r="K96" s="388"/>
    </row>
    <row r="97" spans="2:17">
      <c r="B97" s="537" t="s">
        <v>238</v>
      </c>
      <c r="C97" s="476">
        <f>0.3*1.5</f>
        <v>0.44999999999999996</v>
      </c>
      <c r="D97" s="330">
        <v>20</v>
      </c>
      <c r="E97" s="331">
        <v>100</v>
      </c>
      <c r="F97" s="476">
        <v>22.206624430000002</v>
      </c>
      <c r="G97" s="476">
        <v>24.289505812000002</v>
      </c>
      <c r="H97" s="332">
        <f>G97-F97</f>
        <v>2.0828813820000001</v>
      </c>
      <c r="I97" s="293"/>
      <c r="J97" s="388"/>
      <c r="K97" s="388"/>
    </row>
    <row r="98" spans="2:17">
      <c r="B98" s="537" t="s">
        <v>239</v>
      </c>
      <c r="C98" s="537" t="s">
        <v>58</v>
      </c>
      <c r="D98" s="333">
        <v>30</v>
      </c>
      <c r="E98" s="334">
        <v>130</v>
      </c>
      <c r="F98" s="334">
        <v>22.58844573</v>
      </c>
      <c r="G98" s="334">
        <v>23.746380139999999</v>
      </c>
      <c r="H98" s="336">
        <f>G98-F98</f>
        <v>1.1579344099999993</v>
      </c>
    </row>
    <row r="99" spans="2:17" ht="18.75">
      <c r="B99" s="537"/>
      <c r="C99" s="537"/>
      <c r="D99" s="495" t="s">
        <v>0</v>
      </c>
      <c r="E99" s="441" t="s">
        <v>1</v>
      </c>
      <c r="F99" s="441" t="s">
        <v>237</v>
      </c>
      <c r="G99" s="441" t="s">
        <v>136</v>
      </c>
      <c r="H99" s="442" t="s">
        <v>137</v>
      </c>
    </row>
    <row r="100" spans="2:17">
      <c r="B100" s="537" t="s">
        <v>222</v>
      </c>
      <c r="C100" s="476">
        <f>0.0232-0.0127</f>
        <v>1.0499999999999999E-2</v>
      </c>
      <c r="D100" s="330">
        <v>20</v>
      </c>
      <c r="E100" s="331">
        <v>130</v>
      </c>
      <c r="F100" s="476">
        <v>22.679598160000001</v>
      </c>
      <c r="G100" s="476">
        <v>26.097768160000001</v>
      </c>
      <c r="H100" s="332">
        <f t="shared" ref="H100" si="21">G100-F100</f>
        <v>3.4181699999999999</v>
      </c>
      <c r="I100" s="262"/>
      <c r="J100" s="390"/>
      <c r="K100" s="390"/>
      <c r="M100" s="392"/>
      <c r="N100" s="392"/>
      <c r="P100" s="392"/>
    </row>
    <row r="101" spans="2:17">
      <c r="B101" s="537" t="s">
        <v>238</v>
      </c>
      <c r="C101" s="476">
        <f>0.3*1.5</f>
        <v>0.44999999999999996</v>
      </c>
      <c r="D101" s="330">
        <v>20</v>
      </c>
      <c r="E101" s="331">
        <v>100</v>
      </c>
      <c r="F101" s="476">
        <v>22.264066060000001</v>
      </c>
      <c r="G101" s="476">
        <v>24.750012290000001</v>
      </c>
      <c r="H101" s="332">
        <f>G101-F101</f>
        <v>2.4859462299999997</v>
      </c>
      <c r="I101" s="283"/>
      <c r="J101" s="390"/>
      <c r="K101" s="390"/>
      <c r="M101" s="392"/>
      <c r="N101" s="392"/>
      <c r="P101" s="392"/>
    </row>
    <row r="102" spans="2:17">
      <c r="B102" s="537" t="s">
        <v>239</v>
      </c>
      <c r="C102" s="537" t="s">
        <v>58</v>
      </c>
      <c r="D102" s="333">
        <v>30</v>
      </c>
      <c r="E102" s="334">
        <v>130</v>
      </c>
      <c r="F102" s="334">
        <v>22.54953742</v>
      </c>
      <c r="G102" s="334">
        <v>25.388268669999999</v>
      </c>
      <c r="H102" s="336">
        <f>G102-F102</f>
        <v>2.8387312499999986</v>
      </c>
      <c r="I102" s="283"/>
      <c r="J102" s="390"/>
      <c r="K102" s="390"/>
      <c r="M102" s="393"/>
      <c r="N102" s="393"/>
      <c r="P102" s="394"/>
      <c r="Q102" s="399"/>
    </row>
    <row r="103" spans="2:17">
      <c r="B103" s="537" t="s">
        <v>222</v>
      </c>
      <c r="C103" s="476">
        <f>0.0124</f>
        <v>1.24E-2</v>
      </c>
      <c r="D103" s="330">
        <v>20</v>
      </c>
      <c r="E103" s="331">
        <v>130</v>
      </c>
      <c r="F103" s="476">
        <v>22.8825784</v>
      </c>
      <c r="G103" s="476">
        <v>25.417491219999999</v>
      </c>
      <c r="H103" s="332">
        <f t="shared" ref="H103" si="22">G103-F103</f>
        <v>2.5349128199999988</v>
      </c>
      <c r="I103" s="283"/>
      <c r="J103" s="390"/>
      <c r="K103" s="390"/>
      <c r="M103" s="393"/>
      <c r="N103" s="393"/>
      <c r="P103" s="394"/>
      <c r="Q103" s="399"/>
    </row>
    <row r="104" spans="2:17">
      <c r="B104" s="537" t="s">
        <v>238</v>
      </c>
      <c r="C104" s="476">
        <f>0.3*1.5</f>
        <v>0.44999999999999996</v>
      </c>
      <c r="D104" s="330">
        <v>20</v>
      </c>
      <c r="E104" s="331">
        <v>100</v>
      </c>
      <c r="F104" s="476">
        <v>22.350189350000001</v>
      </c>
      <c r="G104" s="476">
        <v>24.75122301</v>
      </c>
      <c r="H104" s="332">
        <f>G104-F104</f>
        <v>2.4010336599999995</v>
      </c>
      <c r="I104" s="283"/>
      <c r="J104" s="390"/>
      <c r="K104" s="390"/>
    </row>
    <row r="105" spans="2:17">
      <c r="B105" s="537" t="s">
        <v>239</v>
      </c>
      <c r="C105" s="537" t="s">
        <v>58</v>
      </c>
      <c r="D105" s="333">
        <v>30</v>
      </c>
      <c r="E105" s="334">
        <v>130</v>
      </c>
      <c r="F105" s="334">
        <v>22.228886110000001</v>
      </c>
      <c r="G105" s="334">
        <v>24.087337349999999</v>
      </c>
      <c r="H105" s="336">
        <f>G105-F105</f>
        <v>1.8584512399999973</v>
      </c>
      <c r="I105" s="283"/>
      <c r="J105" s="390"/>
      <c r="K105" s="390"/>
    </row>
    <row r="106" spans="2:17">
      <c r="I106" s="283"/>
      <c r="J106" s="390"/>
      <c r="K106" s="390"/>
    </row>
    <row r="107" spans="2:17" ht="18.75">
      <c r="B107" s="537"/>
      <c r="C107" s="537"/>
      <c r="D107" s="495" t="s">
        <v>0</v>
      </c>
      <c r="E107" s="441" t="s">
        <v>1</v>
      </c>
      <c r="F107" s="441" t="s">
        <v>237</v>
      </c>
      <c r="G107" s="441" t="s">
        <v>136</v>
      </c>
      <c r="H107" s="442" t="s">
        <v>137</v>
      </c>
      <c r="I107" s="292"/>
      <c r="J107" s="392"/>
      <c r="K107" s="392"/>
    </row>
    <row r="108" spans="2:17">
      <c r="B108" s="537" t="s">
        <v>222</v>
      </c>
      <c r="C108" s="476">
        <f>0.0217-0.0004</f>
        <v>2.1299999999999999E-2</v>
      </c>
      <c r="D108" s="330">
        <v>15</v>
      </c>
      <c r="E108" s="331">
        <v>133</v>
      </c>
      <c r="F108" s="476">
        <v>22.747581650000001</v>
      </c>
      <c r="G108" s="476">
        <v>27.833765320000001</v>
      </c>
      <c r="H108" s="332">
        <f t="shared" ref="H108" si="23">G108-F108</f>
        <v>5.0861836700000005</v>
      </c>
      <c r="I108" s="293"/>
      <c r="J108" s="392"/>
      <c r="K108" s="407"/>
    </row>
    <row r="109" spans="2:17">
      <c r="B109" s="537" t="s">
        <v>238</v>
      </c>
      <c r="C109" s="476">
        <f>0.3*1.25</f>
        <v>0.375</v>
      </c>
      <c r="D109" s="330">
        <v>20</v>
      </c>
      <c r="E109" s="331">
        <v>100</v>
      </c>
      <c r="F109" s="476">
        <v>22.34357696</v>
      </c>
      <c r="G109" s="476">
        <v>26.750012290000001</v>
      </c>
      <c r="H109" s="332">
        <f>G109-F109</f>
        <v>4.4064353300000008</v>
      </c>
      <c r="I109" s="293"/>
      <c r="J109" s="392"/>
      <c r="K109" s="407"/>
    </row>
    <row r="110" spans="2:17">
      <c r="B110" s="537" t="s">
        <v>239</v>
      </c>
      <c r="C110" s="537" t="s">
        <v>50</v>
      </c>
      <c r="D110" s="333">
        <v>30</v>
      </c>
      <c r="E110" s="334">
        <v>130</v>
      </c>
      <c r="F110" s="334">
        <v>22.303370940000001</v>
      </c>
      <c r="G110" s="334">
        <v>27.765526489999999</v>
      </c>
      <c r="H110" s="336">
        <f>G110-F110</f>
        <v>5.4621555499999985</v>
      </c>
      <c r="I110" s="293"/>
      <c r="J110" s="392"/>
      <c r="K110" s="392"/>
    </row>
    <row r="111" spans="2:17" ht="18.75">
      <c r="B111" s="537"/>
      <c r="C111" s="537"/>
      <c r="D111" s="495" t="s">
        <v>0</v>
      </c>
      <c r="E111" s="441" t="s">
        <v>1</v>
      </c>
      <c r="F111" s="441" t="s">
        <v>237</v>
      </c>
      <c r="G111" s="441" t="s">
        <v>136</v>
      </c>
      <c r="H111" s="442" t="s">
        <v>137</v>
      </c>
      <c r="I111" s="293"/>
      <c r="J111" s="392"/>
      <c r="K111" s="392"/>
    </row>
    <row r="112" spans="2:17">
      <c r="B112" s="537" t="s">
        <v>222</v>
      </c>
      <c r="C112" s="476">
        <f>0.0199-0.0021</f>
        <v>1.78E-2</v>
      </c>
      <c r="D112" s="330">
        <v>15</v>
      </c>
      <c r="E112" s="331">
        <v>133</v>
      </c>
      <c r="F112" s="476">
        <v>22.59608257</v>
      </c>
      <c r="G112" s="476">
        <v>27.533888759</v>
      </c>
      <c r="H112" s="332">
        <f t="shared" ref="H112" si="24">G112-F112</f>
        <v>4.9378061889999998</v>
      </c>
      <c r="I112" s="293"/>
      <c r="J112" s="392"/>
      <c r="K112" s="392"/>
    </row>
    <row r="113" spans="1:21">
      <c r="B113" s="537" t="s">
        <v>238</v>
      </c>
      <c r="C113" s="476">
        <f>0.3*1.25</f>
        <v>0.375</v>
      </c>
      <c r="D113" s="330">
        <v>20</v>
      </c>
      <c r="E113" s="331">
        <v>100</v>
      </c>
      <c r="F113" s="476">
        <v>22.520597339999998</v>
      </c>
      <c r="G113" s="476">
        <v>26.946007609999999</v>
      </c>
      <c r="H113" s="332">
        <f>G113-F113</f>
        <v>4.4254102700000004</v>
      </c>
      <c r="I113" s="293"/>
      <c r="J113" s="392"/>
      <c r="K113" s="392"/>
    </row>
    <row r="114" spans="1:21">
      <c r="B114" s="537" t="s">
        <v>239</v>
      </c>
      <c r="C114" s="537" t="s">
        <v>50</v>
      </c>
      <c r="D114" s="333">
        <v>30</v>
      </c>
      <c r="E114" s="334">
        <v>130</v>
      </c>
      <c r="F114" s="334">
        <v>22.516271289999999</v>
      </c>
      <c r="G114" s="334">
        <v>28.027131950000001</v>
      </c>
      <c r="H114" s="336">
        <f>G114-F114</f>
        <v>5.5108606600000023</v>
      </c>
    </row>
    <row r="116" spans="1:21">
      <c r="I116" s="262"/>
      <c r="J116" s="395"/>
    </row>
    <row r="117" spans="1:21">
      <c r="A117" s="510" t="s">
        <v>253</v>
      </c>
      <c r="B117" s="511"/>
      <c r="C117" s="511"/>
      <c r="D117" s="511"/>
      <c r="E117" s="511"/>
      <c r="F117" s="511"/>
      <c r="G117" s="511"/>
      <c r="H117" s="511"/>
      <c r="I117" s="435" t="s">
        <v>228</v>
      </c>
      <c r="J117" s="395"/>
      <c r="L117" s="396"/>
      <c r="M117" s="396"/>
      <c r="N117" s="396"/>
    </row>
    <row r="118" spans="1:21">
      <c r="A118" s="435" t="s">
        <v>256</v>
      </c>
      <c r="I118" s="283"/>
      <c r="J118" s="395"/>
      <c r="L118" s="397"/>
      <c r="M118" s="397"/>
      <c r="N118" s="397"/>
      <c r="P118" s="398"/>
    </row>
    <row r="119" spans="1:21" ht="18.75">
      <c r="C119" s="262"/>
      <c r="D119" s="263" t="s">
        <v>0</v>
      </c>
      <c r="E119" s="264" t="s">
        <v>1</v>
      </c>
      <c r="F119" s="264" t="s">
        <v>43</v>
      </c>
      <c r="G119" s="264" t="s">
        <v>44</v>
      </c>
      <c r="H119" s="265" t="s">
        <v>45</v>
      </c>
      <c r="I119" s="283"/>
      <c r="J119" s="395"/>
      <c r="L119" s="397"/>
      <c r="M119" s="397"/>
      <c r="N119" s="397"/>
      <c r="P119" s="398"/>
    </row>
    <row r="120" spans="1:21">
      <c r="B120" s="537" t="s">
        <v>222</v>
      </c>
      <c r="C120" s="283">
        <f>0.0174-0.0018</f>
        <v>1.5599999999999999E-2</v>
      </c>
      <c r="D120" s="266">
        <v>20</v>
      </c>
      <c r="E120" s="267">
        <v>100</v>
      </c>
      <c r="F120" s="283">
        <v>23.766403570000001</v>
      </c>
      <c r="G120" s="283">
        <v>29.33355551</v>
      </c>
      <c r="H120" s="268">
        <f t="shared" ref="H120" si="25">G120-F120</f>
        <v>5.5671519399999987</v>
      </c>
      <c r="I120" s="292"/>
      <c r="J120" s="395"/>
      <c r="K120" s="395"/>
    </row>
    <row r="121" spans="1:21">
      <c r="B121" s="537" t="s">
        <v>238</v>
      </c>
      <c r="C121" s="283">
        <f>0.3*1.8</f>
        <v>0.54</v>
      </c>
      <c r="D121" s="266">
        <v>15</v>
      </c>
      <c r="E121" s="267">
        <v>133</v>
      </c>
      <c r="F121" s="305">
        <v>22.239563570000001</v>
      </c>
      <c r="G121" s="305">
        <v>28.886836370000001</v>
      </c>
      <c r="H121" s="268">
        <f>G121-F121</f>
        <v>6.6472727999999996</v>
      </c>
      <c r="I121" s="293"/>
      <c r="J121" s="407"/>
      <c r="K121" s="395"/>
    </row>
    <row r="122" spans="1:21">
      <c r="B122" s="537" t="s">
        <v>239</v>
      </c>
      <c r="C122" s="406" t="s">
        <v>64</v>
      </c>
      <c r="D122" s="266">
        <v>26</v>
      </c>
      <c r="E122" s="267">
        <v>100</v>
      </c>
      <c r="F122" s="305">
        <v>23.759232390000001</v>
      </c>
      <c r="G122" s="305">
        <v>27.512928248222362</v>
      </c>
      <c r="H122" s="268">
        <f>G122-F122</f>
        <v>3.7536958582223612</v>
      </c>
      <c r="I122" s="293"/>
      <c r="J122" s="407"/>
      <c r="K122" s="395"/>
    </row>
    <row r="123" spans="1:21">
      <c r="C123" s="283"/>
      <c r="D123" s="269">
        <v>20</v>
      </c>
      <c r="E123" s="270">
        <v>130</v>
      </c>
      <c r="F123" s="284">
        <v>24.104659949999999</v>
      </c>
      <c r="G123" s="284">
        <v>29.04998312</v>
      </c>
      <c r="H123" s="271">
        <f>G123-F123</f>
        <v>4.9453231700000018</v>
      </c>
      <c r="I123" s="293"/>
      <c r="J123" s="397"/>
    </row>
    <row r="124" spans="1:21">
      <c r="C124" s="406"/>
      <c r="D124" s="406"/>
      <c r="E124" s="406"/>
      <c r="F124" s="406"/>
      <c r="G124" s="406"/>
      <c r="H124" s="406"/>
    </row>
    <row r="125" spans="1:21" ht="18.75">
      <c r="C125" s="262"/>
      <c r="D125" s="263" t="s">
        <v>0</v>
      </c>
      <c r="E125" s="264" t="s">
        <v>1</v>
      </c>
      <c r="F125" s="264" t="s">
        <v>43</v>
      </c>
      <c r="G125" s="264" t="s">
        <v>44</v>
      </c>
      <c r="H125" s="265" t="s">
        <v>45</v>
      </c>
      <c r="I125" s="406"/>
    </row>
    <row r="126" spans="1:21">
      <c r="B126" s="537" t="s">
        <v>222</v>
      </c>
      <c r="C126" s="283">
        <f>0.0132</f>
        <v>1.32E-2</v>
      </c>
      <c r="D126" s="266">
        <v>20</v>
      </c>
      <c r="E126" s="267">
        <v>100</v>
      </c>
      <c r="F126" s="283">
        <v>23.77022199</v>
      </c>
      <c r="G126" s="283">
        <v>26.991015050000001</v>
      </c>
      <c r="H126" s="268">
        <f t="shared" ref="H126" si="26">G126-F126</f>
        <v>3.2207930600000019</v>
      </c>
      <c r="I126" s="262"/>
      <c r="M126" s="6"/>
      <c r="N126" s="417"/>
      <c r="O126" s="417"/>
      <c r="P126" s="12"/>
      <c r="Q126" s="253"/>
      <c r="R126" s="412"/>
      <c r="S126" s="413"/>
      <c r="T126" s="7"/>
      <c r="U126" s="8"/>
    </row>
    <row r="127" spans="1:21">
      <c r="B127" s="537" t="s">
        <v>238</v>
      </c>
      <c r="C127" s="283">
        <f>0.3*0.8</f>
        <v>0.24</v>
      </c>
      <c r="D127" s="266">
        <v>15</v>
      </c>
      <c r="E127" s="267">
        <v>133</v>
      </c>
      <c r="F127" s="305">
        <v>24.43369624</v>
      </c>
      <c r="G127" s="305">
        <v>28.18813716</v>
      </c>
      <c r="H127" s="268">
        <f>G127-F127</f>
        <v>3.7544409200000004</v>
      </c>
      <c r="I127" s="283"/>
      <c r="J127" s="407"/>
    </row>
    <row r="128" spans="1:21">
      <c r="B128" s="537" t="s">
        <v>239</v>
      </c>
      <c r="C128" s="406" t="s">
        <v>51</v>
      </c>
      <c r="D128" s="266">
        <v>26</v>
      </c>
      <c r="E128" s="267">
        <v>100</v>
      </c>
      <c r="F128" s="305">
        <v>24.097116239999998</v>
      </c>
      <c r="G128" s="305">
        <v>27.51590848</v>
      </c>
      <c r="H128" s="268">
        <f>G128-F128</f>
        <v>3.4187922400000019</v>
      </c>
      <c r="I128" s="283"/>
      <c r="J128" s="407"/>
    </row>
    <row r="129" spans="2:21">
      <c r="B129" s="406"/>
      <c r="C129" s="283"/>
      <c r="D129" s="269">
        <v>20</v>
      </c>
      <c r="E129" s="270">
        <v>130</v>
      </c>
      <c r="F129" s="284">
        <v>24.427735770000002</v>
      </c>
      <c r="G129" s="284">
        <v>28.522016319999999</v>
      </c>
      <c r="H129" s="271">
        <f t="shared" ref="H129" si="27">G129-F129</f>
        <v>4.094280549999997</v>
      </c>
      <c r="I129" s="283"/>
    </row>
    <row r="130" spans="2:21">
      <c r="B130" s="406"/>
      <c r="C130" s="406"/>
      <c r="D130" s="406"/>
      <c r="E130" s="406"/>
      <c r="F130" s="406"/>
      <c r="G130" s="406"/>
      <c r="H130" s="406"/>
      <c r="I130" s="283"/>
    </row>
    <row r="131" spans="2:21" ht="18.75">
      <c r="B131" s="406"/>
      <c r="C131" s="262"/>
      <c r="D131" s="263" t="s">
        <v>0</v>
      </c>
      <c r="E131" s="264" t="s">
        <v>1</v>
      </c>
      <c r="F131" s="264" t="s">
        <v>43</v>
      </c>
      <c r="G131" s="264" t="s">
        <v>44</v>
      </c>
      <c r="H131" s="265" t="s">
        <v>45</v>
      </c>
      <c r="I131" s="406"/>
    </row>
    <row r="132" spans="2:21" ht="15.75">
      <c r="B132" s="537" t="s">
        <v>222</v>
      </c>
      <c r="C132" s="283">
        <f>0.0201-0.0024</f>
        <v>1.77E-2</v>
      </c>
      <c r="D132" s="266">
        <v>20</v>
      </c>
      <c r="E132" s="267">
        <v>100</v>
      </c>
      <c r="F132" s="283">
        <v>23.763330209999999</v>
      </c>
      <c r="G132" s="283">
        <v>27.714811869999998</v>
      </c>
      <c r="H132" s="268">
        <f t="shared" ref="H132" si="28">G132-F132</f>
        <v>3.9514816599999989</v>
      </c>
      <c r="I132" s="262"/>
      <c r="M132" s="249" t="s">
        <v>48</v>
      </c>
      <c r="N132" s="504" t="s">
        <v>4</v>
      </c>
      <c r="O132" s="501"/>
      <c r="P132" s="505"/>
      <c r="Q132" s="506"/>
      <c r="R132" s="504" t="s">
        <v>36</v>
      </c>
      <c r="S132" s="501"/>
      <c r="T132" s="505"/>
      <c r="U132" s="506"/>
    </row>
    <row r="133" spans="2:21">
      <c r="B133" s="537" t="s">
        <v>238</v>
      </c>
      <c r="C133" s="283">
        <f>0.3*1.3</f>
        <v>0.39</v>
      </c>
      <c r="D133" s="266">
        <v>15</v>
      </c>
      <c r="E133" s="267">
        <v>133</v>
      </c>
      <c r="F133" s="305">
        <v>24.110992944895798</v>
      </c>
      <c r="G133" s="305">
        <v>28.694190750000001</v>
      </c>
      <c r="H133" s="268">
        <f>G133-F133</f>
        <v>4.5831978051042022</v>
      </c>
      <c r="I133" s="283"/>
      <c r="J133" s="407"/>
      <c r="M133" s="408" t="s">
        <v>31</v>
      </c>
      <c r="N133" s="409" t="s">
        <v>32</v>
      </c>
      <c r="O133" s="409" t="s">
        <v>66</v>
      </c>
      <c r="P133" s="257" t="s">
        <v>33</v>
      </c>
      <c r="Q133" s="258" t="s">
        <v>34</v>
      </c>
      <c r="R133" s="409" t="s">
        <v>32</v>
      </c>
      <c r="S133" s="409" t="s">
        <v>66</v>
      </c>
      <c r="T133" s="257" t="s">
        <v>33</v>
      </c>
      <c r="U133" s="258" t="s">
        <v>34</v>
      </c>
    </row>
    <row r="134" spans="2:21">
      <c r="B134" s="537" t="s">
        <v>239</v>
      </c>
      <c r="C134" s="406" t="s">
        <v>62</v>
      </c>
      <c r="D134" s="266">
        <v>26</v>
      </c>
      <c r="E134" s="267">
        <v>100</v>
      </c>
      <c r="F134" s="305">
        <v>23.767241760000001</v>
      </c>
      <c r="G134" s="305">
        <v>27.510599939999999</v>
      </c>
      <c r="H134" s="268">
        <f>G134-F134</f>
        <v>3.7433581799999978</v>
      </c>
      <c r="I134" s="283"/>
      <c r="J134" s="407"/>
      <c r="M134" s="421">
        <v>0</v>
      </c>
      <c r="N134" s="342">
        <v>2.1643478260869564</v>
      </c>
      <c r="O134" s="342">
        <v>2.5859652173913048</v>
      </c>
      <c r="P134" s="5">
        <v>0.86955095304450347</v>
      </c>
      <c r="Q134" s="245">
        <v>1.2342068972420537</v>
      </c>
      <c r="R134" s="418">
        <v>0</v>
      </c>
      <c r="S134" s="418">
        <v>0</v>
      </c>
      <c r="T134" s="12">
        <v>0</v>
      </c>
      <c r="U134" s="253">
        <v>0</v>
      </c>
    </row>
    <row r="135" spans="2:21">
      <c r="B135" s="406"/>
      <c r="C135" s="283"/>
      <c r="D135" s="269">
        <v>20</v>
      </c>
      <c r="E135" s="270">
        <v>130</v>
      </c>
      <c r="F135" s="284">
        <v>24.42317229</v>
      </c>
      <c r="G135" s="284">
        <v>28.723461400000001</v>
      </c>
      <c r="H135" s="271">
        <f t="shared" ref="H135" si="29">G135-F135</f>
        <v>4.3002891100000014</v>
      </c>
      <c r="I135" s="283"/>
      <c r="M135" s="290">
        <f>0.3*0.15</f>
        <v>4.4999999999999998E-2</v>
      </c>
      <c r="N135" s="343">
        <v>2.3925815004831441</v>
      </c>
      <c r="O135" s="343">
        <v>2.8858536335148792</v>
      </c>
      <c r="P135" s="7">
        <v>0.97291788923253819</v>
      </c>
      <c r="Q135" s="8">
        <v>1.323241908743499</v>
      </c>
      <c r="R135" s="412">
        <f t="shared" ref="R135:R140" si="30">N135-$N$134</f>
        <v>0.22823367439618769</v>
      </c>
      <c r="S135" s="413">
        <f>O135-$O$134</f>
        <v>0.29988841612357442</v>
      </c>
      <c r="T135" s="7">
        <f t="shared" ref="T135" si="31">P135-$P$134</f>
        <v>0.10336693618803472</v>
      </c>
      <c r="U135" s="8">
        <f t="shared" ref="U135" si="32">Q135-$Q$134</f>
        <v>8.9035011501445327E-2</v>
      </c>
    </row>
    <row r="136" spans="2:21">
      <c r="B136" s="406"/>
      <c r="I136" s="283"/>
      <c r="M136" s="290">
        <f>0.3*0.5</f>
        <v>0.15</v>
      </c>
      <c r="N136" s="343">
        <v>3.0521587775122199</v>
      </c>
      <c r="O136" s="343">
        <v>4.0436817155</v>
      </c>
      <c r="P136" s="5">
        <v>1.563281115000001</v>
      </c>
      <c r="Q136" s="8">
        <v>2.2041934550000009</v>
      </c>
      <c r="R136" s="412">
        <f t="shared" si="30"/>
        <v>0.88781095142526345</v>
      </c>
      <c r="S136" s="413">
        <f t="shared" ref="S136:S140" si="33">O136-$O$134</f>
        <v>1.4577164981086952</v>
      </c>
      <c r="T136" s="7">
        <f>P136-$P$134</f>
        <v>0.69373016195549753</v>
      </c>
      <c r="U136" s="8">
        <f>Q136-$Q$134</f>
        <v>0.96998655775794718</v>
      </c>
    </row>
    <row r="137" spans="2:21">
      <c r="B137" s="406"/>
      <c r="I137" s="406"/>
      <c r="M137" s="290">
        <v>0.24</v>
      </c>
      <c r="N137" s="422">
        <v>3.9483930600000017</v>
      </c>
      <c r="O137" s="422">
        <v>4.6316409200000006</v>
      </c>
      <c r="P137" s="12">
        <v>2.1719937334863504</v>
      </c>
      <c r="Q137" s="253">
        <v>2.6626787999999975</v>
      </c>
      <c r="R137" s="412">
        <f t="shared" si="30"/>
        <v>1.7840452339130453</v>
      </c>
      <c r="S137" s="413">
        <f t="shared" si="33"/>
        <v>2.0456757026086958</v>
      </c>
      <c r="T137" s="7">
        <f>P137-$P$134</f>
        <v>1.3024427804418468</v>
      </c>
      <c r="U137" s="8">
        <f>Q137-$Q$134</f>
        <v>1.4284719027579438</v>
      </c>
    </row>
    <row r="138" spans="2:21">
      <c r="I138" s="262"/>
      <c r="M138" s="290">
        <v>0.3</v>
      </c>
      <c r="N138" s="343">
        <v>4.4891800000000002</v>
      </c>
      <c r="O138" s="343">
        <v>5.1344230499999997</v>
      </c>
      <c r="P138" s="12"/>
      <c r="Q138" s="253"/>
      <c r="R138" s="412">
        <f t="shared" si="30"/>
        <v>2.3248321739130438</v>
      </c>
      <c r="S138" s="413">
        <f t="shared" si="33"/>
        <v>2.5484578326086949</v>
      </c>
      <c r="T138" s="7"/>
      <c r="U138" s="8"/>
    </row>
    <row r="139" spans="2:21">
      <c r="B139" s="406"/>
      <c r="I139" s="283"/>
      <c r="J139" s="407"/>
      <c r="M139" s="290">
        <f>0.3*1.5</f>
        <v>0.44999999999999996</v>
      </c>
      <c r="N139" s="343">
        <v>6.0325202944999985</v>
      </c>
      <c r="O139" s="343">
        <v>7.1949516599999992</v>
      </c>
      <c r="P139" s="12">
        <v>3.5868516599999989</v>
      </c>
      <c r="Q139" s="253">
        <v>4.1701155299999977</v>
      </c>
      <c r="R139" s="412">
        <f t="shared" si="30"/>
        <v>3.8681724684130421</v>
      </c>
      <c r="S139" s="413">
        <f t="shared" si="33"/>
        <v>4.6089864426086944</v>
      </c>
      <c r="T139" s="7"/>
      <c r="U139" s="8"/>
    </row>
    <row r="140" spans="2:21">
      <c r="B140" s="406"/>
      <c r="I140" s="283"/>
      <c r="J140" s="407"/>
      <c r="M140" s="291">
        <v>0.375</v>
      </c>
      <c r="N140" s="282">
        <v>5.7348228000000008</v>
      </c>
      <c r="O140" s="282">
        <v>6.4971949295</v>
      </c>
      <c r="P140" s="281"/>
      <c r="Q140" s="248"/>
      <c r="R140" s="412">
        <f t="shared" si="30"/>
        <v>3.5704749739130444</v>
      </c>
      <c r="S140" s="413">
        <f t="shared" si="33"/>
        <v>3.9112297121086952</v>
      </c>
      <c r="T140" s="10"/>
      <c r="U140" s="11"/>
    </row>
    <row r="141" spans="2:21">
      <c r="B141" s="406"/>
      <c r="I141" s="283"/>
    </row>
    <row r="142" spans="2:21">
      <c r="B142" s="406"/>
      <c r="I142" s="283"/>
    </row>
    <row r="143" spans="2:21">
      <c r="B143" s="406"/>
      <c r="C143" s="406"/>
      <c r="D143" s="406"/>
      <c r="E143" s="406"/>
      <c r="F143" s="406"/>
      <c r="G143" s="406"/>
      <c r="H143" s="406"/>
      <c r="I143" s="406"/>
    </row>
    <row r="144" spans="2:21">
      <c r="D144" t="s">
        <v>71</v>
      </c>
    </row>
    <row r="145" spans="3:10">
      <c r="D145" s="426"/>
      <c r="E145" s="427">
        <v>1</v>
      </c>
      <c r="F145" s="428">
        <v>2</v>
      </c>
      <c r="G145" s="429">
        <v>3</v>
      </c>
    </row>
    <row r="146" spans="3:10">
      <c r="D146" s="430">
        <v>0</v>
      </c>
      <c r="E146" s="33">
        <v>2.1643478260869564</v>
      </c>
      <c r="F146" s="33">
        <v>2.220831943799972</v>
      </c>
      <c r="G146" s="431">
        <v>2.2951514896840557</v>
      </c>
    </row>
    <row r="147" spans="3:10">
      <c r="D147" s="430">
        <v>4.4999999999999998E-2</v>
      </c>
      <c r="E147" s="33">
        <v>2.7302075349234012</v>
      </c>
      <c r="F147" s="33">
        <v>2.9667178892325383</v>
      </c>
      <c r="G147" s="431">
        <v>2.9606354763886986</v>
      </c>
    </row>
    <row r="148" spans="3:10">
      <c r="D148" s="430">
        <v>0.15</v>
      </c>
      <c r="E148" s="33">
        <v>4.0002382110000028</v>
      </c>
      <c r="F148" s="33">
        <v>4.0871252200000008</v>
      </c>
      <c r="G148" s="431"/>
    </row>
    <row r="149" spans="3:10">
      <c r="D149" s="430">
        <v>0.24</v>
      </c>
      <c r="E149" s="33">
        <v>4.6566083469727007</v>
      </c>
      <c r="F149" s="33">
        <v>4.9105791200000004</v>
      </c>
      <c r="G149" s="431">
        <v>4.6316409200000006</v>
      </c>
    </row>
    <row r="150" spans="3:10">
      <c r="D150" s="430">
        <v>0.3</v>
      </c>
      <c r="E150" s="33">
        <v>5.1399835500000002</v>
      </c>
      <c r="F150" s="33">
        <v>5.1395107700000002</v>
      </c>
      <c r="G150" s="431">
        <v>5.1237748299999986</v>
      </c>
    </row>
    <row r="151" spans="3:10">
      <c r="D151" s="430">
        <v>0.44999999999999996</v>
      </c>
      <c r="E151" s="33">
        <v>7.1560204999999986</v>
      </c>
      <c r="F151" s="33">
        <v>7.2338828199999989</v>
      </c>
      <c r="G151" s="431"/>
    </row>
    <row r="152" spans="3:10">
      <c r="D152" s="432">
        <v>0.375</v>
      </c>
      <c r="E152" s="17">
        <v>6.4733836700000005</v>
      </c>
      <c r="F152" s="17">
        <v>6.5210061889999995</v>
      </c>
      <c r="G152" s="372"/>
    </row>
    <row r="154" spans="3:10">
      <c r="C154" s="435"/>
      <c r="D154" s="435"/>
      <c r="E154" s="435"/>
      <c r="F154" s="435"/>
      <c r="G154" s="435"/>
      <c r="H154" s="435"/>
      <c r="I154" s="435"/>
      <c r="J154" s="435"/>
    </row>
    <row r="155" spans="3:10">
      <c r="C155" s="435"/>
      <c r="D155" s="435"/>
      <c r="E155" s="435"/>
      <c r="F155" s="435"/>
      <c r="G155" s="435"/>
      <c r="H155" s="435"/>
      <c r="I155" s="435"/>
      <c r="J155" s="435"/>
    </row>
    <row r="156" spans="3:10">
      <c r="C156" s="435"/>
      <c r="D156" s="435"/>
      <c r="E156" s="435"/>
      <c r="F156" s="435"/>
      <c r="G156" s="435"/>
      <c r="H156" s="435"/>
      <c r="I156" s="435"/>
      <c r="J156" s="435"/>
    </row>
    <row r="157" spans="3:10">
      <c r="C157" s="435"/>
      <c r="D157" s="435"/>
      <c r="E157" s="435"/>
      <c r="F157" s="435"/>
      <c r="G157" s="435"/>
      <c r="H157" s="435"/>
      <c r="I157" s="435"/>
      <c r="J157" s="435"/>
    </row>
    <row r="158" spans="3:10">
      <c r="C158" s="435"/>
      <c r="D158" s="435"/>
      <c r="E158" s="435"/>
      <c r="F158" s="435"/>
      <c r="G158" s="435"/>
      <c r="H158" s="435"/>
    </row>
    <row r="159" spans="3:10">
      <c r="C159" s="435"/>
      <c r="D159" s="435"/>
      <c r="E159" s="435"/>
      <c r="F159" s="435"/>
      <c r="G159" s="435"/>
      <c r="H159" s="435"/>
    </row>
  </sheetData>
  <mergeCells count="2">
    <mergeCell ref="N132:Q132"/>
    <mergeCell ref="R132:U132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selection activeCell="A5" sqref="A5"/>
    </sheetView>
  </sheetViews>
  <sheetFormatPr defaultRowHeight="15"/>
  <cols>
    <col min="5" max="5" width="15.42578125" customWidth="1"/>
    <col min="6" max="6" width="10.7109375" customWidth="1"/>
    <col min="7" max="7" width="11.28515625" customWidth="1"/>
    <col min="8" max="8" width="11.7109375" customWidth="1"/>
    <col min="9" max="9" width="9.85546875" customWidth="1"/>
    <col min="15" max="15" width="10.140625" customWidth="1"/>
    <col min="16" max="16" width="11.42578125" customWidth="1"/>
  </cols>
  <sheetData>
    <row r="1" spans="1:21">
      <c r="A1" s="510" t="s">
        <v>227</v>
      </c>
      <c r="B1" s="511"/>
      <c r="C1" s="511"/>
      <c r="D1" s="511"/>
      <c r="E1" s="511"/>
      <c r="F1" s="511"/>
      <c r="G1" s="511"/>
    </row>
    <row r="2" spans="1:21">
      <c r="A2" t="s">
        <v>228</v>
      </c>
      <c r="G2" t="s">
        <v>229</v>
      </c>
      <c r="H2">
        <v>20.2</v>
      </c>
      <c r="I2" t="s">
        <v>230</v>
      </c>
      <c r="J2">
        <v>1</v>
      </c>
      <c r="O2" s="435"/>
      <c r="P2" s="435"/>
      <c r="Q2" s="435"/>
      <c r="R2" s="435"/>
      <c r="S2" s="435"/>
      <c r="T2" s="435"/>
      <c r="U2" s="435"/>
    </row>
    <row r="3" spans="1:21" ht="18.75">
      <c r="A3" t="s">
        <v>254</v>
      </c>
      <c r="F3" s="78" t="s">
        <v>233</v>
      </c>
      <c r="G3" s="1" t="s">
        <v>0</v>
      </c>
      <c r="H3" s="2" t="s">
        <v>1</v>
      </c>
      <c r="I3" s="2" t="s">
        <v>2</v>
      </c>
      <c r="J3" s="2" t="s">
        <v>3</v>
      </c>
      <c r="K3" s="3" t="s">
        <v>4</v>
      </c>
      <c r="L3" s="78"/>
      <c r="N3" s="178"/>
      <c r="O3" s="435"/>
      <c r="P3" s="435"/>
      <c r="Q3" s="435"/>
      <c r="R3" s="435"/>
      <c r="S3" s="435"/>
      <c r="T3" s="435"/>
      <c r="U3" s="435"/>
    </row>
    <row r="4" spans="1:21">
      <c r="A4" t="s">
        <v>255</v>
      </c>
      <c r="E4" s="78" t="s">
        <v>231</v>
      </c>
      <c r="F4" s="78">
        <f>0.0267-0.0053</f>
        <v>2.1400000000000002E-2</v>
      </c>
      <c r="G4" s="6">
        <v>10</v>
      </c>
      <c r="H4" s="7">
        <v>100</v>
      </c>
      <c r="I4" s="81">
        <v>21.678471367268045</v>
      </c>
      <c r="J4" s="80">
        <v>29.695575964187142</v>
      </c>
      <c r="K4" s="8">
        <f t="shared" ref="K4:K13" si="0">J4-I4</f>
        <v>8.017104596919097</v>
      </c>
      <c r="L4" s="78"/>
      <c r="M4" s="180"/>
      <c r="N4" s="180"/>
      <c r="O4" s="435"/>
      <c r="P4" s="435"/>
      <c r="Q4" s="435"/>
      <c r="R4" s="435"/>
      <c r="S4" s="435"/>
      <c r="T4" s="435"/>
      <c r="U4" s="435"/>
    </row>
    <row r="5" spans="1:21">
      <c r="E5" s="78" t="s">
        <v>232</v>
      </c>
      <c r="F5" s="78">
        <f>(F4/1)*20.2</f>
        <v>0.43228000000000005</v>
      </c>
      <c r="G5" s="6">
        <v>20</v>
      </c>
      <c r="H5" s="7">
        <v>100</v>
      </c>
      <c r="I5" s="79">
        <v>21.341984501003289</v>
      </c>
      <c r="J5" s="79">
        <v>31.2345866104714</v>
      </c>
      <c r="K5" s="8">
        <f t="shared" si="0"/>
        <v>9.8926021094681111</v>
      </c>
      <c r="L5" s="79"/>
      <c r="O5" s="435"/>
      <c r="P5" s="435"/>
      <c r="Q5" s="435"/>
      <c r="R5" s="435"/>
      <c r="S5" s="435"/>
      <c r="T5" s="435"/>
      <c r="U5" s="435"/>
    </row>
    <row r="6" spans="1:21" s="89" customFormat="1">
      <c r="G6" s="6">
        <v>3</v>
      </c>
      <c r="H6" s="7">
        <v>100</v>
      </c>
      <c r="I6" s="91">
        <v>21.34524413020873</v>
      </c>
      <c r="J6" s="90">
        <v>24.419074470941698</v>
      </c>
      <c r="K6" s="8">
        <f t="shared" si="0"/>
        <v>3.0738303407329681</v>
      </c>
      <c r="L6" s="91"/>
      <c r="O6" s="435"/>
      <c r="P6" s="435"/>
      <c r="Q6" s="435"/>
      <c r="R6" s="435"/>
      <c r="S6" s="435"/>
      <c r="T6" s="435"/>
      <c r="U6" s="435"/>
    </row>
    <row r="7" spans="1:21">
      <c r="E7" s="78"/>
      <c r="F7" s="78"/>
      <c r="G7" s="18">
        <v>10</v>
      </c>
      <c r="H7" s="12">
        <v>70</v>
      </c>
      <c r="I7" s="33">
        <v>22.208673340599141</v>
      </c>
      <c r="J7" s="33">
        <v>27.813000399649159</v>
      </c>
      <c r="K7" s="8">
        <f t="shared" si="0"/>
        <v>5.6043270590500178</v>
      </c>
      <c r="L7" s="79"/>
      <c r="O7" s="435"/>
      <c r="P7" s="435"/>
      <c r="Q7" s="435"/>
      <c r="R7" s="435"/>
      <c r="S7" s="435"/>
      <c r="T7" s="435"/>
      <c r="U7" s="435"/>
    </row>
    <row r="8" spans="1:21" s="82" customFormat="1" ht="15.75">
      <c r="G8" s="18">
        <v>5</v>
      </c>
      <c r="H8" s="12">
        <v>70</v>
      </c>
      <c r="I8" s="84">
        <v>21.33891113632389</v>
      </c>
      <c r="J8" s="83">
        <v>24.766457811978931</v>
      </c>
      <c r="K8" s="8">
        <f t="shared" si="0"/>
        <v>3.4275466756550408</v>
      </c>
      <c r="L8" s="84"/>
      <c r="N8" s="178"/>
      <c r="O8" s="435"/>
      <c r="P8" s="435"/>
      <c r="Q8" s="435"/>
      <c r="R8" s="435"/>
      <c r="S8" s="435"/>
      <c r="T8" s="435"/>
      <c r="U8" s="435"/>
    </row>
    <row r="9" spans="1:21">
      <c r="G9" s="18">
        <v>10</v>
      </c>
      <c r="H9" s="12">
        <v>50</v>
      </c>
      <c r="I9" s="33">
        <v>21.682103525525555</v>
      </c>
      <c r="J9" s="33">
        <v>25.541877033822349</v>
      </c>
      <c r="K9" s="8">
        <f t="shared" si="0"/>
        <v>3.8597735082967937</v>
      </c>
      <c r="L9" s="82"/>
      <c r="O9" s="435"/>
      <c r="P9" s="435"/>
      <c r="Q9" s="435"/>
      <c r="R9" s="435"/>
      <c r="S9" s="435"/>
      <c r="T9" s="435"/>
      <c r="U9" s="435"/>
    </row>
    <row r="10" spans="1:21" s="87" customFormat="1">
      <c r="G10" s="18">
        <v>5</v>
      </c>
      <c r="H10" s="12">
        <v>50</v>
      </c>
      <c r="I10" s="89">
        <v>21.359400234186676</v>
      </c>
      <c r="J10" s="88">
        <v>23.696181845437387</v>
      </c>
      <c r="K10" s="8">
        <f t="shared" si="0"/>
        <v>2.3367816112507107</v>
      </c>
      <c r="L10" s="89"/>
      <c r="O10" s="435"/>
      <c r="P10" s="435"/>
      <c r="Q10" s="435"/>
      <c r="R10" s="435"/>
      <c r="S10" s="435"/>
      <c r="T10" s="435"/>
      <c r="U10" s="435"/>
    </row>
    <row r="11" spans="1:21">
      <c r="G11" s="18">
        <v>10</v>
      </c>
      <c r="H11" s="12">
        <v>30</v>
      </c>
      <c r="I11" s="33">
        <v>21.341798236477267</v>
      </c>
      <c r="J11" s="85">
        <v>23.568870041899082</v>
      </c>
      <c r="K11" s="8">
        <f t="shared" si="0"/>
        <v>2.227071805421815</v>
      </c>
      <c r="L11" s="84"/>
      <c r="O11" s="435"/>
      <c r="P11" s="435"/>
      <c r="Q11" s="435"/>
      <c r="R11" s="435"/>
      <c r="S11" s="435"/>
      <c r="T11" s="435"/>
      <c r="U11" s="435"/>
    </row>
    <row r="12" spans="1:21" ht="15.75">
      <c r="G12" s="18">
        <v>20</v>
      </c>
      <c r="H12" s="12">
        <v>30</v>
      </c>
      <c r="I12" s="33">
        <v>21.684245567574823</v>
      </c>
      <c r="J12" s="33">
        <v>24.095346724709671</v>
      </c>
      <c r="K12" s="8">
        <f t="shared" si="0"/>
        <v>2.4111011571348477</v>
      </c>
      <c r="L12" s="86"/>
      <c r="N12" s="178"/>
      <c r="O12" s="435"/>
      <c r="P12" s="435"/>
      <c r="Q12" s="435"/>
      <c r="R12" s="435"/>
      <c r="S12" s="435"/>
      <c r="T12" s="435"/>
      <c r="U12" s="435"/>
    </row>
    <row r="13" spans="1:21">
      <c r="G13" s="42">
        <v>3</v>
      </c>
      <c r="H13" s="13">
        <v>30</v>
      </c>
      <c r="I13" s="17">
        <v>21.341425707425227</v>
      </c>
      <c r="J13" s="17">
        <v>21.855050137940065</v>
      </c>
      <c r="K13" s="11">
        <f t="shared" si="0"/>
        <v>0.51362443051483808</v>
      </c>
      <c r="L13" s="92"/>
    </row>
    <row r="14" spans="1:21">
      <c r="I14" s="180"/>
      <c r="J14" s="180"/>
      <c r="K14" s="11"/>
      <c r="L14" s="180"/>
    </row>
    <row r="15" spans="1:21" ht="18.75">
      <c r="F15" s="435" t="s">
        <v>234</v>
      </c>
      <c r="G15" s="1" t="s">
        <v>0</v>
      </c>
      <c r="H15" s="2" t="s">
        <v>1</v>
      </c>
      <c r="I15" s="2" t="s">
        <v>2</v>
      </c>
      <c r="J15" s="2" t="s">
        <v>3</v>
      </c>
      <c r="K15" s="3" t="s">
        <v>4</v>
      </c>
      <c r="L15" s="92"/>
    </row>
    <row r="16" spans="1:21">
      <c r="E16" s="435" t="s">
        <v>231</v>
      </c>
      <c r="F16" s="92">
        <f>0.0283-0.0055</f>
        <v>2.2800000000000001E-2</v>
      </c>
      <c r="G16" s="6">
        <v>10</v>
      </c>
      <c r="H16" s="7">
        <v>100</v>
      </c>
      <c r="I16" s="108">
        <v>21.556468102721457</v>
      </c>
      <c r="J16" s="107">
        <v>29.546750607892903</v>
      </c>
      <c r="K16" s="8">
        <f t="shared" ref="K16:K25" si="1">J16-I16</f>
        <v>7.9902825051714466</v>
      </c>
      <c r="L16" s="92"/>
    </row>
    <row r="17" spans="5:12">
      <c r="E17" s="435" t="s">
        <v>232</v>
      </c>
      <c r="F17" s="435">
        <f>(F16/1)*20.2</f>
        <v>0.46056000000000002</v>
      </c>
      <c r="G17" s="6">
        <v>20</v>
      </c>
      <c r="H17" s="7">
        <v>100</v>
      </c>
      <c r="I17" s="110">
        <v>21.716469330577215</v>
      </c>
      <c r="J17" s="109">
        <v>31.584670787136016</v>
      </c>
      <c r="K17" s="8">
        <f t="shared" si="1"/>
        <v>9.8682014565588005</v>
      </c>
      <c r="L17" s="101"/>
    </row>
    <row r="18" spans="5:12">
      <c r="F18" s="92"/>
      <c r="G18" s="6">
        <v>3</v>
      </c>
      <c r="H18" s="7">
        <v>100</v>
      </c>
      <c r="I18" s="100">
        <v>21.686853270939185</v>
      </c>
      <c r="J18" s="101">
        <v>25.159010300577307</v>
      </c>
      <c r="K18" s="8">
        <f t="shared" si="1"/>
        <v>3.4721570296381223</v>
      </c>
      <c r="L18" s="101"/>
    </row>
    <row r="19" spans="5:12">
      <c r="F19" s="92"/>
      <c r="G19" s="18">
        <v>10</v>
      </c>
      <c r="H19" s="12">
        <v>70</v>
      </c>
      <c r="I19" s="98">
        <v>21.698587936078791</v>
      </c>
      <c r="J19" s="97">
        <v>27.328246970668246</v>
      </c>
      <c r="K19" s="8">
        <f t="shared" si="1"/>
        <v>5.629659034589455</v>
      </c>
      <c r="L19" s="101"/>
    </row>
    <row r="20" spans="5:12">
      <c r="F20" s="92"/>
      <c r="G20" s="18">
        <v>5</v>
      </c>
      <c r="H20" s="12">
        <v>70</v>
      </c>
      <c r="I20" s="99">
        <v>21.713582230423814</v>
      </c>
      <c r="J20" s="102">
        <v>25.405438268508796</v>
      </c>
      <c r="K20" s="8">
        <f t="shared" si="1"/>
        <v>3.6918560380849819</v>
      </c>
      <c r="L20" s="101"/>
    </row>
    <row r="21" spans="5:12">
      <c r="F21" s="92"/>
      <c r="G21" s="18">
        <v>10</v>
      </c>
      <c r="H21" s="12">
        <v>50</v>
      </c>
      <c r="I21" s="106">
        <v>21.341798236477267</v>
      </c>
      <c r="J21" s="105">
        <v>25.441294189768673</v>
      </c>
      <c r="K21" s="8">
        <f t="shared" si="1"/>
        <v>4.0994959532914059</v>
      </c>
      <c r="L21" s="101"/>
    </row>
    <row r="22" spans="5:12">
      <c r="F22" s="92"/>
      <c r="G22" s="18">
        <v>5</v>
      </c>
      <c r="H22" s="12">
        <v>50</v>
      </c>
      <c r="I22" s="104">
        <v>21.34245016231835</v>
      </c>
      <c r="J22" s="103">
        <v>23.7565315518696</v>
      </c>
      <c r="K22" s="8">
        <f t="shared" si="1"/>
        <v>2.4140813895512494</v>
      </c>
      <c r="L22" s="101"/>
    </row>
    <row r="23" spans="5:12">
      <c r="F23" s="92"/>
      <c r="G23" s="18">
        <v>10</v>
      </c>
      <c r="H23" s="12">
        <v>30</v>
      </c>
      <c r="I23" s="94">
        <v>21.404848778536834</v>
      </c>
      <c r="J23" s="93">
        <v>23.684354048034784</v>
      </c>
      <c r="K23" s="8">
        <f t="shared" si="1"/>
        <v>2.2795052694979496</v>
      </c>
      <c r="L23" s="101"/>
    </row>
    <row r="24" spans="5:12">
      <c r="F24" s="92"/>
      <c r="G24" s="18">
        <v>20</v>
      </c>
      <c r="H24" s="12">
        <v>30</v>
      </c>
      <c r="I24" s="96">
        <v>21.547434273209234</v>
      </c>
      <c r="J24" s="95">
        <v>24.089758788928911</v>
      </c>
      <c r="K24" s="8">
        <f t="shared" si="1"/>
        <v>2.5423245157196774</v>
      </c>
      <c r="L24" s="101"/>
    </row>
    <row r="25" spans="5:12">
      <c r="F25" s="92"/>
      <c r="G25" s="42">
        <v>3</v>
      </c>
      <c r="H25" s="13">
        <v>30</v>
      </c>
      <c r="I25" s="17">
        <v>21.689367842040522</v>
      </c>
      <c r="J25" s="17">
        <v>22.213888747327861</v>
      </c>
      <c r="K25" s="11">
        <f t="shared" si="1"/>
        <v>0.52452090528733919</v>
      </c>
      <c r="L25" s="101"/>
    </row>
    <row r="27" spans="5:12" ht="18.75">
      <c r="F27" s="435" t="s">
        <v>235</v>
      </c>
      <c r="G27" s="1" t="s">
        <v>0</v>
      </c>
      <c r="H27" s="2" t="s">
        <v>1</v>
      </c>
      <c r="I27" s="2" t="s">
        <v>2</v>
      </c>
      <c r="J27" s="2" t="s">
        <v>3</v>
      </c>
      <c r="K27" s="3" t="s">
        <v>4</v>
      </c>
      <c r="L27" s="108"/>
    </row>
    <row r="28" spans="5:12">
      <c r="E28" s="435" t="s">
        <v>231</v>
      </c>
      <c r="F28" s="108">
        <f>0.0244-0.0025</f>
        <v>2.1900000000000003E-2</v>
      </c>
      <c r="G28" s="6">
        <v>10</v>
      </c>
      <c r="H28" s="7">
        <v>100</v>
      </c>
      <c r="I28" s="126">
        <v>21.711347056111521</v>
      </c>
      <c r="J28" s="125">
        <v>28.501527220101782</v>
      </c>
      <c r="K28" s="8">
        <f t="shared" ref="K28:K37" si="2">J28-I28</f>
        <v>6.7901801639902608</v>
      </c>
      <c r="L28" s="108"/>
    </row>
    <row r="29" spans="5:12">
      <c r="E29" s="435" t="s">
        <v>232</v>
      </c>
      <c r="F29" s="435">
        <f>(F28/1)*20.2</f>
        <v>0.44238000000000005</v>
      </c>
      <c r="G29" s="6">
        <v>20</v>
      </c>
      <c r="H29" s="7">
        <v>100</v>
      </c>
      <c r="I29" s="128">
        <v>21.855329534729108</v>
      </c>
      <c r="J29" s="127">
        <v>29.609149224111388</v>
      </c>
      <c r="K29" s="8">
        <f t="shared" si="2"/>
        <v>7.7538196893822793</v>
      </c>
      <c r="L29" s="114"/>
    </row>
    <row r="30" spans="5:12">
      <c r="F30" s="108"/>
      <c r="G30" s="6">
        <v>3</v>
      </c>
      <c r="H30" s="7">
        <v>100</v>
      </c>
      <c r="I30" s="124">
        <v>21.815934587474747</v>
      </c>
      <c r="J30" s="123">
        <v>25.189557682845464</v>
      </c>
      <c r="K30" s="8">
        <f t="shared" si="2"/>
        <v>3.3736230953707178</v>
      </c>
      <c r="L30" s="114"/>
    </row>
    <row r="31" spans="5:12">
      <c r="F31" s="108"/>
      <c r="G31" s="18">
        <v>10</v>
      </c>
      <c r="H31" s="12">
        <v>70</v>
      </c>
      <c r="I31" s="120">
        <v>21.67325596053935</v>
      </c>
      <c r="J31" s="119">
        <v>26.274921075995028</v>
      </c>
      <c r="K31" s="8">
        <f t="shared" si="2"/>
        <v>4.6016651154556776</v>
      </c>
      <c r="L31" s="114"/>
    </row>
    <row r="32" spans="5:12">
      <c r="F32" s="108"/>
      <c r="G32" s="18">
        <v>5</v>
      </c>
      <c r="H32" s="12">
        <v>70</v>
      </c>
      <c r="I32" s="122">
        <v>21.856912783200318</v>
      </c>
      <c r="J32" s="121">
        <v>24.973397700393065</v>
      </c>
      <c r="K32" s="8">
        <f t="shared" si="2"/>
        <v>3.1164849171927465</v>
      </c>
      <c r="L32" s="114"/>
    </row>
    <row r="33" spans="5:12">
      <c r="F33" s="108"/>
      <c r="G33" s="18">
        <v>10</v>
      </c>
      <c r="H33" s="12">
        <v>50</v>
      </c>
      <c r="I33" s="118">
        <v>21.684711228889888</v>
      </c>
      <c r="J33" s="117">
        <v>24.75956602451598</v>
      </c>
      <c r="K33" s="8">
        <f t="shared" si="2"/>
        <v>3.0748547956260914</v>
      </c>
      <c r="L33" s="114"/>
    </row>
    <row r="34" spans="5:12">
      <c r="F34" s="108"/>
      <c r="G34" s="18">
        <v>5</v>
      </c>
      <c r="H34" s="12">
        <v>50</v>
      </c>
      <c r="I34" s="116">
        <v>21.68638760962412</v>
      </c>
      <c r="J34" s="115">
        <v>23.748429044987503</v>
      </c>
      <c r="K34" s="8">
        <f t="shared" si="2"/>
        <v>2.0620414353633834</v>
      </c>
      <c r="L34" s="114"/>
    </row>
    <row r="35" spans="5:12">
      <c r="F35" s="108"/>
      <c r="G35" s="18">
        <v>10</v>
      </c>
      <c r="H35" s="12">
        <v>30</v>
      </c>
      <c r="I35" s="114">
        <v>21.780823724318978</v>
      </c>
      <c r="J35" s="113">
        <v>23.583398674929068</v>
      </c>
      <c r="K35" s="8">
        <f t="shared" si="2"/>
        <v>1.8025749506100901</v>
      </c>
      <c r="L35" s="114"/>
    </row>
    <row r="36" spans="5:12">
      <c r="F36" s="108"/>
      <c r="G36" s="18">
        <v>20</v>
      </c>
      <c r="H36" s="12">
        <v>30</v>
      </c>
      <c r="I36" s="112">
        <v>21.687877725832333</v>
      </c>
      <c r="J36" s="111">
        <v>23.753271922664155</v>
      </c>
      <c r="K36" s="8">
        <f t="shared" si="2"/>
        <v>2.0653941968318215</v>
      </c>
      <c r="L36" s="114"/>
    </row>
    <row r="37" spans="5:12">
      <c r="F37" s="108"/>
      <c r="G37" s="42">
        <v>3</v>
      </c>
      <c r="H37" s="13">
        <v>30</v>
      </c>
      <c r="I37" s="17">
        <v>21.681079070632403</v>
      </c>
      <c r="J37" s="17">
        <v>22.539851667872181</v>
      </c>
      <c r="K37" s="11">
        <f t="shared" si="2"/>
        <v>0.85877259723977772</v>
      </c>
      <c r="L37" s="114"/>
    </row>
    <row r="39" spans="5:12" ht="18.75">
      <c r="F39" s="435" t="s">
        <v>236</v>
      </c>
      <c r="G39" s="1" t="s">
        <v>0</v>
      </c>
      <c r="H39" s="2" t="s">
        <v>1</v>
      </c>
      <c r="I39" s="2" t="s">
        <v>2</v>
      </c>
      <c r="J39" s="2" t="s">
        <v>3</v>
      </c>
      <c r="K39" s="3" t="s">
        <v>4</v>
      </c>
      <c r="L39" s="146"/>
    </row>
    <row r="40" spans="5:12">
      <c r="E40" s="435" t="s">
        <v>231</v>
      </c>
      <c r="F40" s="146">
        <f>0.0226-0.0034</f>
        <v>1.9199999999999998E-2</v>
      </c>
      <c r="G40" s="69">
        <v>20</v>
      </c>
      <c r="H40" s="12">
        <v>100</v>
      </c>
      <c r="I40" s="165">
        <v>25.106111175186108</v>
      </c>
      <c r="J40" s="164">
        <v>33.125730343206541</v>
      </c>
      <c r="K40" s="8">
        <f t="shared" ref="K40:K49" si="3">J40-I40</f>
        <v>8.0196191680204336</v>
      </c>
      <c r="L40" s="166"/>
    </row>
    <row r="41" spans="5:12">
      <c r="E41" s="435" t="s">
        <v>232</v>
      </c>
      <c r="F41" s="435">
        <f>(F40/1)*20.2</f>
        <v>0.38783999999999996</v>
      </c>
      <c r="G41" s="6">
        <v>10</v>
      </c>
      <c r="H41" s="7">
        <v>100</v>
      </c>
      <c r="I41" s="149">
        <v>24.438259717122293</v>
      </c>
      <c r="J41" s="147">
        <v>31.3530508490235</v>
      </c>
      <c r="K41" s="8">
        <f t="shared" si="3"/>
        <v>6.9147911319012074</v>
      </c>
      <c r="L41" s="146"/>
    </row>
    <row r="42" spans="5:12">
      <c r="F42" s="146"/>
      <c r="G42" s="6">
        <v>5</v>
      </c>
      <c r="H42" s="7">
        <v>100</v>
      </c>
      <c r="I42" s="151">
        <v>24.761335537513236</v>
      </c>
      <c r="J42" s="150">
        <v>29.533712091071131</v>
      </c>
      <c r="K42" s="8">
        <f t="shared" si="3"/>
        <v>4.7723765535578941</v>
      </c>
      <c r="L42" s="148"/>
    </row>
    <row r="43" spans="5:12">
      <c r="F43" s="146"/>
      <c r="G43" s="18">
        <v>10</v>
      </c>
      <c r="H43" s="12">
        <v>70</v>
      </c>
      <c r="I43" s="155">
        <v>24.772604541337753</v>
      </c>
      <c r="J43" s="154">
        <v>29.380136989363258</v>
      </c>
      <c r="K43" s="8">
        <f t="shared" si="3"/>
        <v>4.6075324480255055</v>
      </c>
      <c r="L43" s="148"/>
    </row>
    <row r="44" spans="5:12">
      <c r="F44" s="146"/>
      <c r="G44" s="18">
        <v>5</v>
      </c>
      <c r="H44" s="12">
        <v>70</v>
      </c>
      <c r="I44" s="152">
        <v>24.778192477118512</v>
      </c>
      <c r="J44" s="153">
        <v>27.928856934836926</v>
      </c>
      <c r="K44" s="8">
        <f t="shared" si="3"/>
        <v>3.1506644577184133</v>
      </c>
      <c r="L44" s="148"/>
    </row>
    <row r="45" spans="5:12">
      <c r="F45" s="146"/>
      <c r="G45" s="18">
        <v>10</v>
      </c>
      <c r="H45" s="12">
        <v>50</v>
      </c>
      <c r="I45" s="157">
        <v>25.448837903072707</v>
      </c>
      <c r="J45" s="156">
        <v>28.522016317964567</v>
      </c>
      <c r="K45" s="8">
        <f t="shared" si="3"/>
        <v>3.0731784148918599</v>
      </c>
      <c r="L45" s="148"/>
    </row>
    <row r="46" spans="5:12">
      <c r="F46" s="146"/>
      <c r="G46" s="18">
        <v>5</v>
      </c>
      <c r="H46" s="12">
        <v>50</v>
      </c>
      <c r="I46" s="158">
        <v>25.450141754754874</v>
      </c>
      <c r="J46" s="159">
        <v>27.47474402038717</v>
      </c>
      <c r="K46" s="8">
        <f t="shared" si="3"/>
        <v>2.0246022656322964</v>
      </c>
      <c r="L46" s="148"/>
    </row>
    <row r="47" spans="5:12">
      <c r="F47" s="146"/>
      <c r="G47" s="18">
        <v>10</v>
      </c>
      <c r="H47" s="12">
        <v>30</v>
      </c>
      <c r="I47" s="161">
        <v>24.860521397621721</v>
      </c>
      <c r="J47" s="160">
        <v>26.65387625419357</v>
      </c>
      <c r="K47" s="8">
        <f t="shared" si="3"/>
        <v>1.7933548565718489</v>
      </c>
      <c r="L47" s="148"/>
    </row>
    <row r="48" spans="5:12">
      <c r="F48" s="146"/>
      <c r="G48" s="18">
        <v>20</v>
      </c>
      <c r="H48" s="12">
        <v>30</v>
      </c>
      <c r="I48" s="163">
        <v>25.085808341849344</v>
      </c>
      <c r="J48" s="162">
        <v>27.323310960728598</v>
      </c>
      <c r="K48" s="8">
        <f t="shared" si="3"/>
        <v>2.2375026188792546</v>
      </c>
      <c r="L48" s="148"/>
    </row>
    <row r="49" spans="6:12">
      <c r="F49" s="146"/>
      <c r="G49" s="42">
        <v>5</v>
      </c>
      <c r="H49" s="13">
        <v>30</v>
      </c>
      <c r="I49" s="17">
        <v>25.112257904544954</v>
      </c>
      <c r="J49" s="17">
        <v>26.29876293532628</v>
      </c>
      <c r="K49" s="11">
        <f t="shared" si="3"/>
        <v>1.1865050307813263</v>
      </c>
      <c r="L49" s="148"/>
    </row>
  </sheetData>
  <phoneticPr fontId="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35"/>
  <sheetViews>
    <sheetView topLeftCell="A190" zoomScale="85" zoomScaleNormal="85" workbookViewId="0">
      <selection activeCell="C216" sqref="C216:C218"/>
    </sheetView>
  </sheetViews>
  <sheetFormatPr defaultRowHeight="15"/>
  <cols>
    <col min="4" max="4" width="12" customWidth="1"/>
    <col min="5" max="5" width="11.7109375" customWidth="1"/>
    <col min="11" max="11" width="9.140625" style="345"/>
    <col min="12" max="12" width="13.42578125" customWidth="1"/>
    <col min="13" max="13" width="16.5703125" customWidth="1"/>
    <col min="14" max="14" width="13.140625" customWidth="1"/>
    <col min="15" max="15" width="13.140625" style="407" customWidth="1"/>
    <col min="16" max="16" width="10.5703125" customWidth="1"/>
    <col min="17" max="17" width="11" customWidth="1"/>
    <col min="19" max="19" width="9" style="407"/>
  </cols>
  <sheetData>
    <row r="3" spans="2:21">
      <c r="I3" s="181"/>
    </row>
    <row r="4" spans="2:21">
      <c r="I4" s="181"/>
    </row>
    <row r="5" spans="2:21">
      <c r="I5" s="181"/>
    </row>
    <row r="6" spans="2:21">
      <c r="I6" s="186"/>
    </row>
    <row r="7" spans="2:21">
      <c r="C7" s="181"/>
      <c r="D7" s="186"/>
      <c r="E7" s="186"/>
      <c r="F7" s="186"/>
      <c r="G7" s="186"/>
      <c r="H7" s="186"/>
      <c r="I7" s="181"/>
      <c r="Q7" t="s">
        <v>16</v>
      </c>
      <c r="R7" s="212" t="s">
        <v>16</v>
      </c>
    </row>
    <row r="8" spans="2:21">
      <c r="B8" s="4">
        <v>42305</v>
      </c>
      <c r="C8" s="181"/>
      <c r="D8" s="186" t="s">
        <v>18</v>
      </c>
      <c r="E8" s="186"/>
      <c r="F8" s="186"/>
      <c r="G8" s="186"/>
      <c r="H8" s="186"/>
      <c r="I8" s="181"/>
      <c r="P8">
        <f>0.08</f>
        <v>0.08</v>
      </c>
      <c r="Q8">
        <f>0.3*P8</f>
        <v>2.4E-2</v>
      </c>
      <c r="R8">
        <f>0.02/0.1*Q8</f>
        <v>4.7999999999999996E-3</v>
      </c>
      <c r="T8">
        <f>R8*1000</f>
        <v>4.8</v>
      </c>
      <c r="U8">
        <f>T8/0.02</f>
        <v>240</v>
      </c>
    </row>
    <row r="9" spans="2:21" ht="18.75">
      <c r="C9" s="186"/>
      <c r="D9" s="1" t="s">
        <v>0</v>
      </c>
      <c r="E9" s="2" t="s">
        <v>1</v>
      </c>
      <c r="F9" s="2" t="s">
        <v>2</v>
      </c>
      <c r="G9" s="2" t="s">
        <v>3</v>
      </c>
      <c r="H9" s="3" t="s">
        <v>4</v>
      </c>
      <c r="I9" s="186"/>
      <c r="P9">
        <v>0.1</v>
      </c>
      <c r="Q9" s="212">
        <f t="shared" ref="Q9:Q11" si="0">0.3*P9</f>
        <v>0.03</v>
      </c>
      <c r="R9" s="212">
        <f t="shared" ref="R9:R11" si="1">0.02/0.1*Q9</f>
        <v>5.9999999999999993E-3</v>
      </c>
      <c r="T9" s="212">
        <f t="shared" ref="T9:T11" si="2">R9*1000</f>
        <v>5.9999999999999991</v>
      </c>
      <c r="U9" s="212">
        <f t="shared" ref="U9:U11" si="3">T9/0.02</f>
        <v>299.99999999999994</v>
      </c>
    </row>
    <row r="10" spans="2:21">
      <c r="C10" s="186">
        <f>0.0219-0.0044</f>
        <v>1.7499999999999998E-2</v>
      </c>
      <c r="D10" s="6">
        <v>20</v>
      </c>
      <c r="E10" s="7">
        <v>130</v>
      </c>
      <c r="F10" s="189">
        <v>24.087151085564553</v>
      </c>
      <c r="G10" s="188">
        <v>26.29997365474545</v>
      </c>
      <c r="H10" s="8">
        <f t="shared" ref="H10:H13" si="4">G10-F10</f>
        <v>2.2128225691808971</v>
      </c>
      <c r="I10" s="186">
        <f>H10/$C$10</f>
        <v>126.44700395319414</v>
      </c>
      <c r="L10" t="s">
        <v>16</v>
      </c>
      <c r="P10">
        <v>0.2</v>
      </c>
      <c r="Q10" s="212">
        <f t="shared" si="0"/>
        <v>0.06</v>
      </c>
      <c r="R10" s="212">
        <f t="shared" si="1"/>
        <v>1.1999999999999999E-2</v>
      </c>
      <c r="T10" s="212">
        <f t="shared" si="2"/>
        <v>11.999999999999998</v>
      </c>
      <c r="U10" s="212">
        <f t="shared" si="3"/>
        <v>599.99999999999989</v>
      </c>
    </row>
    <row r="11" spans="2:21">
      <c r="C11" s="186">
        <f>0.3*0.1</f>
        <v>0.03</v>
      </c>
      <c r="D11" s="6">
        <v>20</v>
      </c>
      <c r="E11" s="7">
        <v>100</v>
      </c>
      <c r="F11" s="190">
        <v>23.589266007498871</v>
      </c>
      <c r="G11" s="190">
        <v>25.626161731848807</v>
      </c>
      <c r="H11" s="8">
        <f t="shared" si="4"/>
        <v>2.0368957243499359</v>
      </c>
      <c r="I11" s="204">
        <f t="shared" ref="I11:I13" si="5">H11/$C$10</f>
        <v>116.39404139142492</v>
      </c>
      <c r="L11">
        <v>0</v>
      </c>
      <c r="M11">
        <v>1.6220846248915457</v>
      </c>
      <c r="P11">
        <v>0.25</v>
      </c>
      <c r="Q11" s="212">
        <f t="shared" si="0"/>
        <v>7.4999999999999997E-2</v>
      </c>
      <c r="R11" s="212">
        <f t="shared" si="1"/>
        <v>1.4999999999999998E-2</v>
      </c>
      <c r="T11" s="212">
        <f t="shared" si="2"/>
        <v>14.999999999999998</v>
      </c>
      <c r="U11" s="212">
        <f t="shared" si="3"/>
        <v>749.99999999999989</v>
      </c>
    </row>
    <row r="12" spans="2:21">
      <c r="B12" t="s">
        <v>16</v>
      </c>
      <c r="D12" s="9">
        <v>20</v>
      </c>
      <c r="E12" s="10">
        <v>70</v>
      </c>
      <c r="F12" s="17">
        <v>23.7425617124177</v>
      </c>
      <c r="G12" s="17">
        <v>25.444833215763158</v>
      </c>
      <c r="H12" s="11">
        <f t="shared" si="4"/>
        <v>1.7022715033454574</v>
      </c>
      <c r="I12" s="204">
        <f t="shared" si="5"/>
        <v>97.27265733402615</v>
      </c>
      <c r="J12">
        <f>L12*1000</f>
        <v>4.9528301886792452</v>
      </c>
      <c r="L12">
        <v>4.9528301886792451E-3</v>
      </c>
      <c r="M12">
        <v>2.0368957243499359</v>
      </c>
    </row>
    <row r="13" spans="2:21">
      <c r="C13" s="181">
        <f>N39/C10</f>
        <v>0</v>
      </c>
      <c r="D13" s="193">
        <v>10</v>
      </c>
      <c r="E13" s="187">
        <v>70</v>
      </c>
      <c r="F13" s="192">
        <v>23.228844149639865</v>
      </c>
      <c r="G13" s="192">
        <v>24.429039623084048</v>
      </c>
      <c r="H13" s="11">
        <f t="shared" si="4"/>
        <v>1.2001954734441824</v>
      </c>
      <c r="I13" s="204">
        <f t="shared" si="5"/>
        <v>68.582598482524716</v>
      </c>
      <c r="J13" s="190">
        <f>L13*1000</f>
        <v>9.14</v>
      </c>
      <c r="L13">
        <v>9.1400000000000006E-3</v>
      </c>
      <c r="M13">
        <v>4</v>
      </c>
    </row>
    <row r="15" spans="2:21" ht="18.75">
      <c r="C15" s="191"/>
      <c r="D15" s="1" t="s">
        <v>0</v>
      </c>
      <c r="E15" s="2" t="s">
        <v>1</v>
      </c>
      <c r="F15" s="2" t="s">
        <v>2</v>
      </c>
      <c r="G15" s="2" t="s">
        <v>3</v>
      </c>
      <c r="H15" s="3" t="s">
        <v>4</v>
      </c>
      <c r="I15" s="191"/>
    </row>
    <row r="16" spans="2:21">
      <c r="C16" s="191">
        <f>0.0202-0.0035</f>
        <v>1.67E-2</v>
      </c>
      <c r="D16" s="6">
        <v>10</v>
      </c>
      <c r="E16" s="7">
        <v>130</v>
      </c>
      <c r="F16" s="201">
        <v>23.752247467771031</v>
      </c>
      <c r="G16" s="200">
        <v>25.964883772425885</v>
      </c>
      <c r="H16" s="8">
        <f t="shared" ref="H16:H19" si="6">G16-F16</f>
        <v>2.2126363046548541</v>
      </c>
      <c r="I16" s="191">
        <f>H16/$C$16</f>
        <v>132.49319189550025</v>
      </c>
    </row>
    <row r="17" spans="2:9">
      <c r="C17" s="191">
        <f>0.3*0.2</f>
        <v>0.06</v>
      </c>
      <c r="D17" s="6">
        <v>20</v>
      </c>
      <c r="E17" s="7">
        <v>100</v>
      </c>
      <c r="F17" s="195">
        <v>23.579487119882543</v>
      </c>
      <c r="G17" s="194">
        <v>25.624112822062536</v>
      </c>
      <c r="H17" s="8">
        <f t="shared" si="6"/>
        <v>2.0446257021799923</v>
      </c>
      <c r="I17" s="204">
        <f t="shared" ref="I17:I19" si="7">H17/$C$16</f>
        <v>122.43267677724505</v>
      </c>
    </row>
    <row r="18" spans="2:9">
      <c r="C18" s="191">
        <f>C16/0.106*C17</f>
        <v>9.4528301886792447E-3</v>
      </c>
      <c r="D18" s="9">
        <v>20</v>
      </c>
      <c r="E18" s="10">
        <v>70</v>
      </c>
      <c r="F18" s="197">
        <v>23.747125193305337</v>
      </c>
      <c r="G18" s="196">
        <v>25.415310288388149</v>
      </c>
      <c r="H18" s="11">
        <f t="shared" si="6"/>
        <v>1.6681850950828121</v>
      </c>
      <c r="I18" s="204">
        <f t="shared" si="7"/>
        <v>99.891323058851029</v>
      </c>
    </row>
    <row r="19" spans="2:9">
      <c r="C19" s="191">
        <f>C18/C16</f>
        <v>0.56603773584905659</v>
      </c>
      <c r="D19" s="193">
        <v>10</v>
      </c>
      <c r="E19" s="187">
        <v>70</v>
      </c>
      <c r="F19" s="199">
        <v>23.744703754466997</v>
      </c>
      <c r="G19" s="198">
        <v>25.102479016928626</v>
      </c>
      <c r="H19" s="11">
        <f t="shared" si="6"/>
        <v>1.3577752624616295</v>
      </c>
      <c r="I19" s="204">
        <f t="shared" si="7"/>
        <v>81.303907931834104</v>
      </c>
    </row>
    <row r="22" spans="2:9" ht="18.75">
      <c r="B22" s="4">
        <v>42286</v>
      </c>
      <c r="C22" s="202"/>
      <c r="D22" s="1" t="s">
        <v>0</v>
      </c>
      <c r="E22" s="2" t="s">
        <v>1</v>
      </c>
      <c r="F22" s="2" t="s">
        <v>2</v>
      </c>
      <c r="G22" s="2" t="s">
        <v>3</v>
      </c>
      <c r="H22" s="3" t="s">
        <v>4</v>
      </c>
      <c r="I22" s="202"/>
    </row>
    <row r="23" spans="2:9">
      <c r="B23" t="s">
        <v>17</v>
      </c>
      <c r="C23" s="202">
        <f>0.0186-0.0045</f>
        <v>1.4099999999999998E-2</v>
      </c>
      <c r="D23" s="6">
        <v>20</v>
      </c>
      <c r="E23" s="7">
        <v>130</v>
      </c>
      <c r="F23" s="206">
        <v>25.059172514627736</v>
      </c>
      <c r="G23" s="205">
        <v>26.991480707614475</v>
      </c>
      <c r="H23" s="8">
        <f t="shared" ref="H23" si="8">G23-F23</f>
        <v>1.9323081929867385</v>
      </c>
      <c r="I23" s="202">
        <f>H23/$C$23</f>
        <v>137.04313425437863</v>
      </c>
    </row>
    <row r="24" spans="2:9">
      <c r="C24" s="202">
        <f>0.3*0.1</f>
        <v>0.03</v>
      </c>
      <c r="D24" s="6">
        <v>20</v>
      </c>
      <c r="E24" s="7">
        <v>100</v>
      </c>
      <c r="F24" s="204">
        <v>24.777354286751407</v>
      </c>
      <c r="G24" s="203">
        <v>26.314129758723372</v>
      </c>
      <c r="H24" s="8">
        <f>G24-F24</f>
        <v>1.5367754719719642</v>
      </c>
      <c r="I24" s="202">
        <f>(H24)/$C$23</f>
        <v>108.99116822496201</v>
      </c>
    </row>
    <row r="25" spans="2:9">
      <c r="C25" s="202">
        <f>C23/0.106*C24</f>
        <v>3.9905660377358492E-3</v>
      </c>
      <c r="D25" s="9">
        <v>20</v>
      </c>
      <c r="E25" s="10">
        <v>70</v>
      </c>
      <c r="F25" s="17">
        <v>25.117845840325714</v>
      </c>
      <c r="G25" s="17">
        <v>26.31832071055894</v>
      </c>
      <c r="H25" s="11">
        <f>G25-F25</f>
        <v>1.2004748702332257</v>
      </c>
      <c r="I25" s="202">
        <f>(H25)/C23</f>
        <v>85.140061718668505</v>
      </c>
    </row>
    <row r="26" spans="2:9">
      <c r="C26" s="202">
        <f>C25/C23</f>
        <v>0.28301886792452835</v>
      </c>
      <c r="D26" s="212"/>
      <c r="E26" s="212"/>
      <c r="F26" s="212"/>
      <c r="G26" s="212"/>
      <c r="H26" s="212"/>
      <c r="I26" s="202">
        <f>(H26)/C23</f>
        <v>0</v>
      </c>
    </row>
    <row r="29" spans="2:9" ht="18.75">
      <c r="C29" s="207"/>
      <c r="D29" s="1" t="s">
        <v>0</v>
      </c>
      <c r="E29" s="2" t="s">
        <v>1</v>
      </c>
      <c r="F29" s="2" t="s">
        <v>2</v>
      </c>
      <c r="G29" s="2" t="s">
        <v>3</v>
      </c>
      <c r="H29" s="3" t="s">
        <v>4</v>
      </c>
      <c r="I29" s="207"/>
    </row>
    <row r="30" spans="2:9">
      <c r="C30" s="207">
        <f>0.0196-0.0045</f>
        <v>1.5099999999999999E-2</v>
      </c>
      <c r="D30" s="6">
        <v>20</v>
      </c>
      <c r="E30" s="7">
        <v>130</v>
      </c>
      <c r="F30" s="212">
        <v>25.120639808216094</v>
      </c>
      <c r="G30" s="210">
        <v>26.999955743548611</v>
      </c>
      <c r="H30" s="8">
        <f t="shared" ref="H30" si="9">G30-F30</f>
        <v>1.8793159353325173</v>
      </c>
      <c r="I30" s="207">
        <f>H30/$C$30</f>
        <v>124.45800896241838</v>
      </c>
    </row>
    <row r="31" spans="2:9">
      <c r="C31" s="207">
        <f>0.3*0.1</f>
        <v>0.03</v>
      </c>
      <c r="D31" s="6">
        <v>20</v>
      </c>
      <c r="E31" s="7">
        <v>100</v>
      </c>
      <c r="F31" s="209">
        <v>24.444685843270182</v>
      </c>
      <c r="G31" s="208">
        <v>25.995338022431021</v>
      </c>
      <c r="H31" s="8">
        <f>G31-F31</f>
        <v>1.5506521791608385</v>
      </c>
      <c r="I31" s="211">
        <f>H31/$C$30</f>
        <v>102.69219729541977</v>
      </c>
    </row>
    <row r="32" spans="2:9">
      <c r="C32" s="207">
        <f>C30/0.106*C31</f>
        <v>4.273584905660377E-3</v>
      </c>
      <c r="D32" s="9">
        <v>20</v>
      </c>
      <c r="E32" s="10">
        <v>70</v>
      </c>
      <c r="F32" s="17">
        <v>25.226065529946425</v>
      </c>
      <c r="G32" s="17">
        <v>26.322418530131486</v>
      </c>
      <c r="H32" s="11">
        <f>G32-F32</f>
        <v>1.0963530001850614</v>
      </c>
      <c r="I32" s="207">
        <f>(H32)/C30</f>
        <v>72.606158952653075</v>
      </c>
    </row>
    <row r="33" spans="2:17">
      <c r="C33">
        <f>C32/C30</f>
        <v>0.28301886792452829</v>
      </c>
    </row>
    <row r="39" spans="2:17">
      <c r="C39" s="4">
        <v>42311</v>
      </c>
      <c r="N39" s="186"/>
      <c r="P39" s="8"/>
    </row>
    <row r="40" spans="2:17" ht="18.75">
      <c r="B40" t="s">
        <v>19</v>
      </c>
      <c r="C40" s="212"/>
      <c r="D40" s="1" t="s">
        <v>0</v>
      </c>
      <c r="E40" s="2" t="s">
        <v>1</v>
      </c>
      <c r="F40" s="2" t="s">
        <v>2</v>
      </c>
      <c r="G40" s="2" t="s">
        <v>3</v>
      </c>
      <c r="H40" s="3" t="s">
        <v>4</v>
      </c>
      <c r="I40" s="212"/>
    </row>
    <row r="41" spans="2:17">
      <c r="C41" s="212">
        <f>0.0199-0.0005</f>
        <v>1.9400000000000001E-2</v>
      </c>
      <c r="D41" s="330">
        <v>15</v>
      </c>
      <c r="E41" s="331">
        <v>133</v>
      </c>
      <c r="F41" s="216">
        <v>23.574737374468885</v>
      </c>
      <c r="G41" s="215">
        <v>26.305189061474145</v>
      </c>
      <c r="H41" s="8">
        <f t="shared" ref="H41" si="10">G41-F41</f>
        <v>2.7304516870052602</v>
      </c>
      <c r="I41" s="212">
        <f>H41/$C$41</f>
        <v>140.74493231985878</v>
      </c>
      <c r="Q41" s="217"/>
    </row>
    <row r="42" spans="2:17">
      <c r="C42" s="212">
        <f>0.3*0.25</f>
        <v>7.4999999999999997E-2</v>
      </c>
      <c r="D42" s="6">
        <v>20</v>
      </c>
      <c r="E42" s="7">
        <v>100</v>
      </c>
      <c r="F42" s="214">
        <v>23.749267235354605</v>
      </c>
      <c r="G42" s="213">
        <v>25.962741730376589</v>
      </c>
      <c r="H42" s="8">
        <f>G42-F42</f>
        <v>2.213474495021984</v>
      </c>
      <c r="I42" s="217">
        <f t="shared" ref="I42:I43" si="11">H42/$C$41</f>
        <v>114.09662345474145</v>
      </c>
    </row>
    <row r="43" spans="2:17">
      <c r="B43">
        <f>C43/C41</f>
        <v>0.75</v>
      </c>
      <c r="C43" s="212">
        <f>C41/0.1*C42</f>
        <v>1.455E-2</v>
      </c>
      <c r="D43" s="9">
        <v>30</v>
      </c>
      <c r="E43" s="10">
        <v>130</v>
      </c>
      <c r="F43" s="17">
        <v>23.234432085420625</v>
      </c>
      <c r="G43" s="17">
        <v>26.650057831410042</v>
      </c>
      <c r="H43" s="11">
        <f>G43-F43</f>
        <v>3.4156257459894164</v>
      </c>
      <c r="I43" s="217">
        <f t="shared" si="11"/>
        <v>176.06318278295961</v>
      </c>
    </row>
    <row r="45" spans="2:17" ht="18.75">
      <c r="B45" t="s">
        <v>20</v>
      </c>
      <c r="C45" s="217"/>
      <c r="D45" s="1" t="s">
        <v>0</v>
      </c>
      <c r="E45" s="2" t="s">
        <v>1</v>
      </c>
      <c r="F45" s="2" t="s">
        <v>2</v>
      </c>
      <c r="G45" s="2" t="s">
        <v>3</v>
      </c>
      <c r="H45" s="3" t="s">
        <v>4</v>
      </c>
      <c r="I45" s="217"/>
    </row>
    <row r="46" spans="2:17">
      <c r="C46" s="217">
        <f>0.0176-0.0005</f>
        <v>1.7100000000000001E-2</v>
      </c>
      <c r="D46" s="330">
        <v>15</v>
      </c>
      <c r="E46" s="331">
        <v>133</v>
      </c>
      <c r="F46" s="221">
        <v>23.883191429566821</v>
      </c>
      <c r="G46" s="220">
        <v>26.307983029364525</v>
      </c>
      <c r="H46" s="8">
        <f t="shared" ref="H46" si="12">G46-F46</f>
        <v>2.4247915997977039</v>
      </c>
      <c r="I46" s="217">
        <f>H46/$C$41</f>
        <v>124.98925772153112</v>
      </c>
    </row>
    <row r="47" spans="2:17">
      <c r="C47" s="217">
        <f>0.3*0.2</f>
        <v>0.06</v>
      </c>
      <c r="D47" s="6">
        <v>20</v>
      </c>
      <c r="E47" s="7">
        <v>100</v>
      </c>
      <c r="F47" s="219">
        <v>23.9278949158129</v>
      </c>
      <c r="G47" s="218">
        <v>25.856012156964066</v>
      </c>
      <c r="H47" s="8">
        <f>G47-F47</f>
        <v>1.9281172411511669</v>
      </c>
      <c r="I47" s="217">
        <f t="shared" ref="I47:I48" si="13">H47/$C$41</f>
        <v>99.387486657276639</v>
      </c>
    </row>
    <row r="48" spans="2:17">
      <c r="C48" s="217">
        <f>C46/0.1*C47</f>
        <v>1.0259999999999998E-2</v>
      </c>
      <c r="D48" s="9">
        <v>30</v>
      </c>
      <c r="E48" s="10">
        <v>130</v>
      </c>
      <c r="F48" s="17">
        <v>24.056417438770374</v>
      </c>
      <c r="G48" s="17">
        <v>26.663096348231814</v>
      </c>
      <c r="H48" s="11">
        <f>G48-F48</f>
        <v>2.60667890946144</v>
      </c>
      <c r="I48" s="217">
        <f t="shared" si="13"/>
        <v>134.3648922402804</v>
      </c>
    </row>
    <row r="50" spans="1:19" ht="18.75">
      <c r="B50" t="s">
        <v>21</v>
      </c>
      <c r="C50" s="222"/>
      <c r="D50" s="1" t="s">
        <v>0</v>
      </c>
      <c r="E50" s="2" t="s">
        <v>1</v>
      </c>
      <c r="F50" s="2" t="s">
        <v>2</v>
      </c>
      <c r="G50" s="2" t="s">
        <v>3</v>
      </c>
      <c r="H50" s="3" t="s">
        <v>4</v>
      </c>
      <c r="I50" s="222"/>
    </row>
    <row r="51" spans="1:19">
      <c r="C51" s="222">
        <f>0.0176-0.0002</f>
        <v>1.7400000000000002E-2</v>
      </c>
      <c r="D51" s="330">
        <v>15</v>
      </c>
      <c r="E51" s="331">
        <v>133</v>
      </c>
      <c r="F51" s="226">
        <v>23.759884313338066</v>
      </c>
      <c r="G51" s="225">
        <v>25.116914517695587</v>
      </c>
      <c r="H51" s="8">
        <f t="shared" ref="H51" si="14">G51-F51</f>
        <v>1.3570302043575211</v>
      </c>
      <c r="I51" s="222">
        <f>H51/$C$41</f>
        <v>69.950010533892836</v>
      </c>
    </row>
    <row r="52" spans="1:19">
      <c r="C52" s="222">
        <f>0.3*0.1</f>
        <v>0.03</v>
      </c>
      <c r="D52" s="6">
        <v>20</v>
      </c>
      <c r="E52" s="7">
        <v>100</v>
      </c>
      <c r="F52" s="224">
        <v>23.758766726181918</v>
      </c>
      <c r="G52" s="223">
        <v>24.778378741644559</v>
      </c>
      <c r="H52" s="8">
        <f>G52-F52</f>
        <v>1.0196120154626414</v>
      </c>
      <c r="I52" s="222">
        <f t="shared" ref="I52:I53" si="15">H52/$C$41</f>
        <v>52.557320384672231</v>
      </c>
    </row>
    <row r="53" spans="1:19" ht="15.75">
      <c r="B53" s="238">
        <f>C53/C51</f>
        <v>0.3</v>
      </c>
      <c r="C53" s="222">
        <f>C51/0.1*C52</f>
        <v>5.2200000000000007E-3</v>
      </c>
      <c r="D53" s="9">
        <v>30</v>
      </c>
      <c r="E53" s="10">
        <v>130</v>
      </c>
      <c r="F53" s="17"/>
      <c r="G53" s="17"/>
      <c r="H53" s="11">
        <f>G53-F53</f>
        <v>0</v>
      </c>
      <c r="I53" s="222">
        <f t="shared" si="15"/>
        <v>0</v>
      </c>
      <c r="L53" s="7"/>
      <c r="M53" s="501" t="s">
        <v>35</v>
      </c>
      <c r="N53" s="502"/>
      <c r="O53" s="502"/>
      <c r="P53" s="502"/>
      <c r="Q53" s="502"/>
      <c r="R53" s="502"/>
      <c r="S53" s="502"/>
    </row>
    <row r="54" spans="1:19">
      <c r="L54" s="7"/>
      <c r="M54" s="10" t="s">
        <v>118</v>
      </c>
      <c r="N54" s="503" t="s">
        <v>124</v>
      </c>
      <c r="O54" s="503"/>
      <c r="P54" s="503" t="s">
        <v>125</v>
      </c>
      <c r="Q54" s="503"/>
      <c r="R54" s="503" t="s">
        <v>126</v>
      </c>
      <c r="S54" s="503"/>
    </row>
    <row r="55" spans="1:19">
      <c r="L55" s="7"/>
      <c r="M55" s="437" t="s">
        <v>123</v>
      </c>
      <c r="N55" s="250" t="s">
        <v>121</v>
      </c>
      <c r="O55" s="438" t="s">
        <v>122</v>
      </c>
      <c r="P55" s="250" t="s">
        <v>127</v>
      </c>
      <c r="Q55" s="438" t="s">
        <v>128</v>
      </c>
      <c r="R55" s="437" t="s">
        <v>130</v>
      </c>
      <c r="S55" s="437" t="s">
        <v>129</v>
      </c>
    </row>
    <row r="56" spans="1:19">
      <c r="L56" s="7" t="s">
        <v>131</v>
      </c>
      <c r="M56" s="7">
        <v>2.2128225691808971</v>
      </c>
      <c r="N56" s="6">
        <v>2.1548453513534991</v>
      </c>
      <c r="O56" s="8">
        <v>2.3698824566532801</v>
      </c>
      <c r="P56" s="246">
        <v>2.3350540600000009</v>
      </c>
      <c r="Q56" s="247">
        <v>2.2207930600000001</v>
      </c>
      <c r="R56" s="370">
        <v>1.9160729265042002</v>
      </c>
      <c r="S56" s="370">
        <v>2.3598901900000016</v>
      </c>
    </row>
    <row r="57" spans="1:19">
      <c r="B57" t="s">
        <v>22</v>
      </c>
      <c r="L57" s="7" t="s">
        <v>132</v>
      </c>
      <c r="M57" s="7">
        <v>2.213474495021984</v>
      </c>
      <c r="N57" s="6">
        <v>2.0368957243499399</v>
      </c>
      <c r="O57" s="8">
        <v>2.20219813474495</v>
      </c>
      <c r="P57" s="246">
        <v>2.0377339199999973</v>
      </c>
      <c r="Q57" s="247">
        <v>2.375444092</v>
      </c>
      <c r="R57" s="370">
        <v>2.3657185600000021</v>
      </c>
      <c r="S57" s="370">
        <v>2.1240613899999978</v>
      </c>
    </row>
    <row r="58" spans="1:19" ht="18.75">
      <c r="A58" s="4">
        <v>42321</v>
      </c>
      <c r="B58" s="226" t="s">
        <v>23</v>
      </c>
      <c r="C58" s="226"/>
      <c r="D58" s="1" t="s">
        <v>0</v>
      </c>
      <c r="E58" s="2" t="s">
        <v>1</v>
      </c>
      <c r="F58" s="2" t="s">
        <v>2</v>
      </c>
      <c r="G58" s="2" t="s">
        <v>3</v>
      </c>
      <c r="H58" s="3" t="s">
        <v>4</v>
      </c>
      <c r="I58" s="226"/>
      <c r="L58" s="7" t="s">
        <v>133</v>
      </c>
      <c r="M58" s="7">
        <v>2.089839881052967</v>
      </c>
      <c r="N58" s="6">
        <v>2.1446257021799902</v>
      </c>
      <c r="O58" s="8">
        <v>2.1972152410277799</v>
      </c>
      <c r="P58" s="246">
        <v>2.15784127</v>
      </c>
      <c r="Q58" s="247">
        <v>2.4187922400000001</v>
      </c>
      <c r="R58" s="370">
        <v>2.2851018300000003</v>
      </c>
      <c r="S58" s="370">
        <v>2.32988061</v>
      </c>
    </row>
    <row r="59" spans="1:19">
      <c r="B59" s="226"/>
      <c r="C59" s="226">
        <f>0.0207-0.0022</f>
        <v>1.8499999999999999E-2</v>
      </c>
      <c r="D59" s="330">
        <v>15</v>
      </c>
      <c r="E59" s="331">
        <v>133</v>
      </c>
      <c r="F59" s="230">
        <v>24.07653400758112</v>
      </c>
      <c r="G59" s="229">
        <v>25.622250176802282</v>
      </c>
      <c r="H59" s="8">
        <f t="shared" ref="H59" si="16">G59-F59</f>
        <v>1.5457161692211621</v>
      </c>
      <c r="I59" s="226">
        <f>H59/$C$59</f>
        <v>83.552225363306064</v>
      </c>
      <c r="L59" s="7" t="s">
        <v>134</v>
      </c>
      <c r="M59" s="7">
        <v>2.2723893000120015</v>
      </c>
      <c r="N59" s="6">
        <v>2.1755092149283199</v>
      </c>
      <c r="O59" s="8">
        <v>2.0529789839880999</v>
      </c>
      <c r="P59" s="246">
        <v>2.1358441500000001</v>
      </c>
      <c r="Q59" s="247">
        <v>2.0942805500000001</v>
      </c>
      <c r="R59" s="370">
        <v>2.1037646999999993</v>
      </c>
      <c r="S59" s="370">
        <v>2.32988061</v>
      </c>
    </row>
    <row r="60" spans="1:19">
      <c r="B60" s="226"/>
      <c r="C60" s="226">
        <f>0.3*1</f>
        <v>0.3</v>
      </c>
      <c r="D60" s="6">
        <v>20</v>
      </c>
      <c r="E60" s="7">
        <v>100</v>
      </c>
      <c r="F60" s="228">
        <v>24.080818091679685</v>
      </c>
      <c r="G60" s="227">
        <v>25.450700548332961</v>
      </c>
      <c r="H60" s="8">
        <f>G60-F60</f>
        <v>1.3698824566532757</v>
      </c>
      <c r="I60" s="232">
        <f t="shared" ref="I60:I61" si="17">H60/$C$59</f>
        <v>74.047700359636522</v>
      </c>
      <c r="L60" s="7" t="s">
        <v>135</v>
      </c>
      <c r="M60" s="10">
        <v>1.9323081929867385</v>
      </c>
      <c r="N60" s="9">
        <v>2.213474495021984</v>
      </c>
      <c r="O60" s="11">
        <v>2.328393568300843</v>
      </c>
      <c r="P60" s="424">
        <v>2.0621512599999998</v>
      </c>
      <c r="Q60" s="248">
        <v>2.2581237410380801</v>
      </c>
      <c r="R60" s="281">
        <v>1.9316531900000022</v>
      </c>
      <c r="S60" s="281">
        <v>2.2284355299999987</v>
      </c>
    </row>
    <row r="61" spans="1:19">
      <c r="B61" s="226">
        <f>C61/C59</f>
        <v>1.2</v>
      </c>
      <c r="C61" s="226">
        <f>C59/0.25*C60</f>
        <v>2.2199999999999998E-2</v>
      </c>
      <c r="D61" s="9">
        <v>30</v>
      </c>
      <c r="E61" s="10">
        <v>130</v>
      </c>
      <c r="F61" s="17">
        <v>24.070201013696252</v>
      </c>
      <c r="G61" s="17">
        <v>25.703182113360302</v>
      </c>
      <c r="H61" s="11">
        <f>G61-F61</f>
        <v>1.6329810996640504</v>
      </c>
      <c r="I61" s="232">
        <f t="shared" si="17"/>
        <v>88.269248630489216</v>
      </c>
      <c r="L61" s="7" t="s">
        <v>119</v>
      </c>
      <c r="M61" s="7">
        <f>AVERAGE(M56:M60)</f>
        <v>2.1441668876509175</v>
      </c>
      <c r="N61" s="6">
        <f>AVERAGE(N56:N60)</f>
        <v>2.1450700975667467</v>
      </c>
      <c r="O61" s="8">
        <f>AVERAGE(O56:O60)</f>
        <v>2.2301336769429905</v>
      </c>
      <c r="P61" s="6">
        <f t="shared" ref="P61:S61" si="18">AVERAGE(P56:P60)</f>
        <v>2.1457249319999998</v>
      </c>
      <c r="Q61" s="8">
        <f t="shared" si="18"/>
        <v>2.2734867366076164</v>
      </c>
      <c r="R61" s="7">
        <f t="shared" si="18"/>
        <v>2.1204622413008409</v>
      </c>
      <c r="S61" s="7">
        <f t="shared" si="18"/>
        <v>2.2744296659999996</v>
      </c>
    </row>
    <row r="62" spans="1:19">
      <c r="L62" s="10" t="s">
        <v>120</v>
      </c>
      <c r="M62" s="10">
        <f>_xlfn.STDEV.S(M56:M60)</f>
        <v>0.13582494637238712</v>
      </c>
      <c r="N62" s="9">
        <f>_xlfn.STDEV.S(N56:N60)</f>
        <v>6.5960498693668726E-2</v>
      </c>
      <c r="O62" s="11">
        <f>_xlfn.STDEV.S(O56:O60)</f>
        <v>0.12493251263894034</v>
      </c>
      <c r="P62" s="9">
        <f t="shared" ref="P62:S62" si="19">_xlfn.STDEV.S(P56:P60)</f>
        <v>0.11697924124930334</v>
      </c>
      <c r="Q62" s="11">
        <f t="shared" si="19"/>
        <v>0.12907022714443508</v>
      </c>
      <c r="R62" s="10">
        <f t="shared" si="19"/>
        <v>0.20307604103546364</v>
      </c>
      <c r="S62" s="10">
        <f t="shared" si="19"/>
        <v>9.7697485275897139E-2</v>
      </c>
    </row>
    <row r="63" spans="1:19" ht="18.75">
      <c r="A63" s="4">
        <v>42327</v>
      </c>
      <c r="C63" s="230"/>
      <c r="D63" s="1" t="s">
        <v>0</v>
      </c>
      <c r="E63" s="2" t="s">
        <v>1</v>
      </c>
      <c r="F63" s="2" t="s">
        <v>2</v>
      </c>
      <c r="G63" s="2" t="s">
        <v>3</v>
      </c>
      <c r="H63" s="3" t="s">
        <v>4</v>
      </c>
      <c r="I63" s="230"/>
    </row>
    <row r="64" spans="1:19">
      <c r="B64" t="s">
        <v>24</v>
      </c>
      <c r="C64" s="230">
        <v>4.0000000000000001E-3</v>
      </c>
      <c r="D64" s="330">
        <v>15</v>
      </c>
      <c r="E64" s="331">
        <v>133</v>
      </c>
      <c r="F64" s="234">
        <v>24.434161897549746</v>
      </c>
      <c r="G64" s="233">
        <v>25.631377138577527</v>
      </c>
      <c r="H64" s="8">
        <f t="shared" ref="H64" si="20">G64-F64</f>
        <v>1.1972152410277808</v>
      </c>
      <c r="I64" s="234">
        <f>H64/$C64</f>
        <v>299.30381025694521</v>
      </c>
      <c r="J64">
        <f>C64*90</f>
        <v>0.36</v>
      </c>
    </row>
    <row r="65" spans="1:11">
      <c r="B65" t="s">
        <v>25</v>
      </c>
      <c r="C65" s="230">
        <f>0.3*1</f>
        <v>0.3</v>
      </c>
      <c r="D65" s="6">
        <v>20</v>
      </c>
      <c r="E65" s="7">
        <v>100</v>
      </c>
      <c r="F65" s="231">
        <v>24.093204682660375</v>
      </c>
      <c r="G65" s="232">
        <v>25.351328423698455</v>
      </c>
      <c r="H65" s="8">
        <f>G65-F65</f>
        <v>1.2581237410380801</v>
      </c>
      <c r="I65" s="230">
        <f>H65/$C64</f>
        <v>314.53093525952005</v>
      </c>
    </row>
    <row r="66" spans="1:11">
      <c r="B66" t="s">
        <v>26</v>
      </c>
      <c r="C66" s="230">
        <f>C64/0.045*C65</f>
        <v>2.6666666666666668E-2</v>
      </c>
      <c r="D66" s="9">
        <v>30</v>
      </c>
      <c r="E66" s="10">
        <v>130</v>
      </c>
      <c r="F66" s="17"/>
      <c r="G66" s="17"/>
      <c r="H66" s="11">
        <f>G66-F66</f>
        <v>0</v>
      </c>
      <c r="I66" s="230">
        <f t="shared" ref="I66" si="21">H66/$C$41</f>
        <v>0</v>
      </c>
    </row>
    <row r="68" spans="1:11" ht="18.75">
      <c r="C68" s="234"/>
      <c r="D68" s="1" t="s">
        <v>0</v>
      </c>
      <c r="E68" s="2" t="s">
        <v>1</v>
      </c>
      <c r="F68" s="2" t="s">
        <v>2</v>
      </c>
      <c r="G68" s="2" t="s">
        <v>3</v>
      </c>
      <c r="H68" s="3" t="s">
        <v>4</v>
      </c>
      <c r="I68" s="234"/>
    </row>
    <row r="69" spans="1:11">
      <c r="C69" s="234">
        <v>4.0000000000000001E-3</v>
      </c>
      <c r="D69" s="330">
        <v>15</v>
      </c>
      <c r="E69" s="331">
        <v>133</v>
      </c>
      <c r="F69" s="236">
        <v>24.775864170543194</v>
      </c>
      <c r="G69" s="235">
        <v>25.287439691271757</v>
      </c>
      <c r="H69" s="8">
        <f t="shared" ref="H69" si="22">G69-F69</f>
        <v>0.51157552072856305</v>
      </c>
      <c r="I69" s="234">
        <f>H69/$C69</f>
        <v>127.89388018214076</v>
      </c>
    </row>
    <row r="70" spans="1:11">
      <c r="C70" s="234">
        <f>0.3*0.5</f>
        <v>0.15</v>
      </c>
      <c r="D70" s="6">
        <v>20</v>
      </c>
      <c r="E70" s="7">
        <v>130</v>
      </c>
      <c r="F70" s="238">
        <v>24.781358974060957</v>
      </c>
      <c r="G70" s="237">
        <v>25.464763520047885</v>
      </c>
      <c r="H70" s="8">
        <f>G70-F70</f>
        <v>0.68340454598692801</v>
      </c>
      <c r="I70" s="234">
        <f>H70/$C69</f>
        <v>170.85113649673201</v>
      </c>
    </row>
    <row r="71" spans="1:11">
      <c r="C71" s="236">
        <f>C69/0.045*C70</f>
        <v>1.3333333333333334E-2</v>
      </c>
    </row>
    <row r="72" spans="1:11">
      <c r="A72" s="514">
        <v>42330</v>
      </c>
      <c r="B72" s="511"/>
      <c r="C72" s="511"/>
      <c r="D72" s="511"/>
      <c r="E72" s="511"/>
      <c r="F72" s="511"/>
      <c r="G72" s="511"/>
      <c r="H72" s="511"/>
      <c r="I72" t="s">
        <v>240</v>
      </c>
    </row>
    <row r="73" spans="1:11">
      <c r="A73" t="s">
        <v>241</v>
      </c>
      <c r="B73" s="259"/>
      <c r="D73" s="259"/>
      <c r="E73" s="259"/>
      <c r="F73" s="259"/>
      <c r="G73" s="259"/>
      <c r="H73" s="259"/>
      <c r="I73" s="259"/>
      <c r="J73" s="259"/>
      <c r="K73" s="259"/>
    </row>
    <row r="74" spans="1:11" ht="18.75">
      <c r="B74" s="287"/>
      <c r="C74" s="287"/>
      <c r="D74" s="495" t="s">
        <v>0</v>
      </c>
      <c r="E74" s="441" t="s">
        <v>1</v>
      </c>
      <c r="F74" s="441" t="s">
        <v>237</v>
      </c>
      <c r="G74" s="441" t="s">
        <v>136</v>
      </c>
      <c r="H74" s="442" t="s">
        <v>137</v>
      </c>
      <c r="I74" s="259"/>
      <c r="J74" s="259"/>
      <c r="K74" s="259"/>
    </row>
    <row r="75" spans="1:11">
      <c r="B75" s="287" t="s">
        <v>222</v>
      </c>
      <c r="C75" s="287">
        <v>1.5299999999999999E-2</v>
      </c>
      <c r="D75" s="330">
        <v>15</v>
      </c>
      <c r="E75" s="331">
        <v>133</v>
      </c>
      <c r="F75" s="287">
        <v>21.648855307630011</v>
      </c>
      <c r="G75" s="287">
        <v>26.360455385473699</v>
      </c>
      <c r="H75" s="332">
        <f t="shared" ref="H75" si="23">G75-F75</f>
        <v>4.7116000778436877</v>
      </c>
      <c r="I75" s="259"/>
      <c r="J75" s="407"/>
      <c r="K75" s="259"/>
    </row>
    <row r="76" spans="1:11">
      <c r="B76" s="287" t="s">
        <v>238</v>
      </c>
      <c r="C76" s="287">
        <f>0.3*0.75</f>
        <v>0.22499999999999998</v>
      </c>
      <c r="D76" s="330">
        <v>20</v>
      </c>
      <c r="E76" s="331">
        <v>100</v>
      </c>
      <c r="F76" s="287">
        <v>21.348783156203218</v>
      </c>
      <c r="G76" s="287">
        <v>24.080724959416688</v>
      </c>
      <c r="H76" s="332">
        <f>G76-F76</f>
        <v>2.7319418032134699</v>
      </c>
      <c r="I76" s="259"/>
      <c r="J76" s="407"/>
      <c r="K76" s="259"/>
    </row>
    <row r="77" spans="1:11">
      <c r="B77" s="287" t="s">
        <v>239</v>
      </c>
      <c r="C77" s="287" t="s">
        <v>27</v>
      </c>
      <c r="D77" s="333">
        <v>30</v>
      </c>
      <c r="E77" s="334">
        <v>130</v>
      </c>
      <c r="F77" s="515">
        <v>21.861848793139995</v>
      </c>
      <c r="G77" s="515">
        <v>25.963673050000001</v>
      </c>
      <c r="H77" s="336">
        <f>G77-F77</f>
        <v>4.1018242568600058</v>
      </c>
      <c r="I77" s="259"/>
      <c r="J77" s="259"/>
      <c r="K77" s="259"/>
    </row>
    <row r="78" spans="1:11">
      <c r="B78" s="259"/>
      <c r="C78" s="259"/>
      <c r="D78" s="259"/>
      <c r="E78" s="259"/>
      <c r="F78" s="259"/>
      <c r="G78" s="259"/>
      <c r="H78" s="259"/>
      <c r="I78" s="259"/>
      <c r="J78" s="259"/>
      <c r="K78" s="259"/>
    </row>
    <row r="79" spans="1:11">
      <c r="B79" s="287"/>
      <c r="C79" s="287"/>
      <c r="D79" s="287"/>
      <c r="E79" s="287"/>
      <c r="F79" s="287"/>
      <c r="G79" s="287"/>
      <c r="H79" s="287"/>
      <c r="I79" s="259"/>
      <c r="J79" s="259"/>
      <c r="K79" s="259"/>
    </row>
    <row r="80" spans="1:11" ht="18.75">
      <c r="B80" s="287"/>
      <c r="C80" s="287"/>
      <c r="D80" s="495" t="s">
        <v>0</v>
      </c>
      <c r="E80" s="441" t="s">
        <v>1</v>
      </c>
      <c r="F80" s="441" t="s">
        <v>237</v>
      </c>
      <c r="G80" s="441" t="s">
        <v>136</v>
      </c>
      <c r="H80" s="442" t="s">
        <v>137</v>
      </c>
      <c r="I80" s="259"/>
      <c r="J80" s="259"/>
      <c r="K80" s="259"/>
    </row>
    <row r="81" spans="1:12">
      <c r="B81" s="287" t="s">
        <v>222</v>
      </c>
      <c r="C81" s="287">
        <v>1.3100000000000001E-2</v>
      </c>
      <c r="D81" s="330">
        <v>15</v>
      </c>
      <c r="E81" s="331">
        <v>133</v>
      </c>
      <c r="F81" s="287">
        <v>21.859241089775633</v>
      </c>
      <c r="G81" s="287">
        <v>23.9490809708286</v>
      </c>
      <c r="H81" s="332">
        <f t="shared" ref="H81" si="24">G81-F81</f>
        <v>2.089839881052967</v>
      </c>
      <c r="I81" s="259"/>
      <c r="J81" s="259"/>
      <c r="K81" s="259"/>
    </row>
    <row r="82" spans="1:12">
      <c r="B82" s="287" t="s">
        <v>238</v>
      </c>
      <c r="C82" s="287">
        <f>0.3*0.5</f>
        <v>0.15</v>
      </c>
      <c r="D82" s="330">
        <v>20</v>
      </c>
      <c r="E82" s="331">
        <v>100</v>
      </c>
      <c r="F82" s="287">
        <v>21.687412064517272</v>
      </c>
      <c r="G82" s="287">
        <v>25.229775472269999</v>
      </c>
      <c r="H82" s="332">
        <f>G82-F82</f>
        <v>3.5423634077527275</v>
      </c>
      <c r="I82" s="259"/>
      <c r="J82" s="259"/>
      <c r="K82" s="259"/>
    </row>
    <row r="83" spans="1:12">
      <c r="B83" s="287" t="s">
        <v>239</v>
      </c>
      <c r="C83" s="287" t="s">
        <v>28</v>
      </c>
      <c r="D83" s="333">
        <v>30</v>
      </c>
      <c r="E83" s="334">
        <v>130</v>
      </c>
      <c r="F83" s="515">
        <v>22.203271669344399</v>
      </c>
      <c r="G83" s="515">
        <v>24.6865922919865</v>
      </c>
      <c r="H83" s="336">
        <f>G83-F83</f>
        <v>2.4833206226421005</v>
      </c>
      <c r="I83" s="259"/>
      <c r="J83" s="259"/>
      <c r="K83" s="259"/>
    </row>
    <row r="84" spans="1:12">
      <c r="B84" s="287"/>
      <c r="C84" s="287"/>
      <c r="D84" s="287"/>
      <c r="E84" s="287"/>
      <c r="F84" s="287"/>
      <c r="G84" s="287"/>
      <c r="H84" s="287"/>
      <c r="I84" s="259"/>
      <c r="J84" s="259"/>
      <c r="K84" s="259"/>
    </row>
    <row r="85" spans="1:12">
      <c r="B85" s="287"/>
      <c r="C85" s="287"/>
      <c r="D85" s="287"/>
      <c r="E85" s="287"/>
      <c r="F85" s="287"/>
      <c r="G85" s="287"/>
      <c r="H85" s="287"/>
      <c r="I85" s="259"/>
      <c r="J85" s="259"/>
      <c r="K85" s="259"/>
    </row>
    <row r="86" spans="1:12" ht="18.75">
      <c r="B86" s="287"/>
      <c r="C86" s="287"/>
      <c r="D86" s="495" t="s">
        <v>0</v>
      </c>
      <c r="E86" s="441" t="s">
        <v>1</v>
      </c>
      <c r="F86" s="441" t="s">
        <v>237</v>
      </c>
      <c r="G86" s="441" t="s">
        <v>136</v>
      </c>
      <c r="H86" s="442" t="s">
        <v>137</v>
      </c>
      <c r="I86" s="259"/>
      <c r="J86" s="259"/>
      <c r="K86" s="259"/>
    </row>
    <row r="87" spans="1:12">
      <c r="B87" s="287" t="s">
        <v>222</v>
      </c>
      <c r="C87" s="287">
        <v>0.01</v>
      </c>
      <c r="D87" s="330">
        <v>15</v>
      </c>
      <c r="E87" s="331">
        <v>133</v>
      </c>
      <c r="F87" s="287">
        <v>22.333749969825199</v>
      </c>
      <c r="G87" s="287">
        <v>23.989638536550899</v>
      </c>
      <c r="H87" s="332">
        <f t="shared" ref="H87" si="25">G87-F87</f>
        <v>1.6558885667257002</v>
      </c>
      <c r="I87" s="259"/>
      <c r="J87" s="259"/>
      <c r="K87" s="407"/>
    </row>
    <row r="88" spans="1:12">
      <c r="B88" s="287" t="s">
        <v>238</v>
      </c>
      <c r="C88" s="287">
        <f>0.3*0.25</f>
        <v>7.4999999999999997E-2</v>
      </c>
      <c r="D88" s="330">
        <v>20</v>
      </c>
      <c r="E88" s="331">
        <v>100</v>
      </c>
      <c r="F88" s="287">
        <v>22.174586932336496</v>
      </c>
      <c r="G88" s="287">
        <v>23.223256213859106</v>
      </c>
      <c r="H88" s="332">
        <f>G88-F88</f>
        <v>1.04866928152261</v>
      </c>
      <c r="I88" s="259"/>
      <c r="J88" s="259"/>
      <c r="K88" s="407"/>
    </row>
    <row r="89" spans="1:12">
      <c r="B89" s="287" t="s">
        <v>239</v>
      </c>
      <c r="C89" s="287" t="s">
        <v>29</v>
      </c>
      <c r="D89" s="333">
        <v>30</v>
      </c>
      <c r="E89" s="334">
        <v>130</v>
      </c>
      <c r="F89" s="515">
        <v>22.511539459916314</v>
      </c>
      <c r="G89" s="515">
        <v>23.951688674192901</v>
      </c>
      <c r="H89" s="336">
        <f>G89-F89</f>
        <v>1.4401492142765875</v>
      </c>
      <c r="I89" s="259"/>
      <c r="J89" s="259"/>
      <c r="K89" s="259"/>
    </row>
    <row r="90" spans="1:12">
      <c r="B90" s="287"/>
      <c r="C90" s="287"/>
      <c r="D90" s="287"/>
      <c r="E90" s="287"/>
      <c r="F90" s="287"/>
      <c r="G90" s="287"/>
      <c r="H90" s="287"/>
      <c r="I90" s="259"/>
      <c r="J90" s="259"/>
      <c r="K90" s="259"/>
    </row>
    <row r="91" spans="1:12">
      <c r="A91" s="514" t="s">
        <v>242</v>
      </c>
      <c r="B91" s="517"/>
      <c r="C91" s="517"/>
      <c r="D91" s="517"/>
      <c r="E91" s="517"/>
      <c r="F91" s="517"/>
      <c r="G91" s="517"/>
      <c r="H91" s="517"/>
      <c r="I91" s="435" t="s">
        <v>240</v>
      </c>
      <c r="J91" s="259"/>
      <c r="K91" s="259"/>
    </row>
    <row r="92" spans="1:12">
      <c r="A92" s="435" t="s">
        <v>241</v>
      </c>
      <c r="C92" s="287"/>
      <c r="D92" s="287"/>
      <c r="E92" s="287"/>
      <c r="F92" s="287"/>
      <c r="G92" s="287"/>
      <c r="H92" s="287"/>
      <c r="I92" s="435"/>
      <c r="J92" s="259"/>
      <c r="K92" s="259"/>
    </row>
    <row r="93" spans="1:12" ht="18.75">
      <c r="B93" s="262"/>
      <c r="C93" s="287"/>
      <c r="D93" s="495" t="s">
        <v>0</v>
      </c>
      <c r="E93" s="441" t="s">
        <v>1</v>
      </c>
      <c r="F93" s="441" t="s">
        <v>237</v>
      </c>
      <c r="G93" s="441" t="s">
        <v>136</v>
      </c>
      <c r="H93" s="442" t="s">
        <v>137</v>
      </c>
      <c r="I93" s="435"/>
      <c r="J93" s="259"/>
      <c r="K93" s="259"/>
      <c r="L93" s="241"/>
    </row>
    <row r="94" spans="1:12">
      <c r="B94" s="287" t="s">
        <v>222</v>
      </c>
      <c r="C94" s="287">
        <v>1.5900000000000001E-2</v>
      </c>
      <c r="D94" s="330">
        <v>15</v>
      </c>
      <c r="E94" s="331">
        <v>133</v>
      </c>
      <c r="F94" s="287">
        <v>21.131460555282899</v>
      </c>
      <c r="G94" s="287">
        <v>26.289921002979</v>
      </c>
      <c r="H94" s="332">
        <f t="shared" ref="H94" si="26">G94-F94</f>
        <v>5.1584604476961005</v>
      </c>
      <c r="I94" s="435"/>
      <c r="J94" s="259"/>
      <c r="K94" s="259"/>
    </row>
    <row r="95" spans="1:12">
      <c r="B95" s="287" t="s">
        <v>238</v>
      </c>
      <c r="C95" s="287">
        <f>0.3*0.75</f>
        <v>0.22499999999999998</v>
      </c>
      <c r="D95" s="330">
        <v>20</v>
      </c>
      <c r="E95" s="331">
        <v>100</v>
      </c>
      <c r="F95" s="287">
        <v>21.2187248717978</v>
      </c>
      <c r="G95" s="287">
        <v>23.491114171809802</v>
      </c>
      <c r="H95" s="332">
        <f>G95-F95</f>
        <v>2.2723893000120015</v>
      </c>
      <c r="I95" s="435"/>
      <c r="J95" s="259"/>
      <c r="K95" s="259"/>
      <c r="L95" s="241"/>
    </row>
    <row r="96" spans="1:12">
      <c r="B96" s="287" t="s">
        <v>239</v>
      </c>
      <c r="C96" s="287" t="s">
        <v>27</v>
      </c>
      <c r="D96" s="333">
        <v>30</v>
      </c>
      <c r="E96" s="334">
        <v>130</v>
      </c>
      <c r="F96" s="515">
        <v>21.252535566838699</v>
      </c>
      <c r="G96" s="515">
        <v>24.759845421305023</v>
      </c>
      <c r="H96" s="336">
        <f>G96-F96</f>
        <v>3.5073098544663246</v>
      </c>
      <c r="I96" s="435"/>
    </row>
    <row r="97" spans="1:21">
      <c r="B97" s="262"/>
      <c r="C97" s="287"/>
      <c r="D97" s="513"/>
      <c r="E97" s="513"/>
      <c r="F97" s="287"/>
      <c r="G97" s="287"/>
      <c r="H97" s="287"/>
      <c r="I97" s="435"/>
      <c r="L97" s="242"/>
    </row>
    <row r="98" spans="1:21">
      <c r="B98" s="262"/>
      <c r="C98" s="287"/>
      <c r="D98" s="513"/>
      <c r="E98" s="513"/>
      <c r="F98" s="287"/>
      <c r="G98" s="287"/>
      <c r="H98" s="288"/>
      <c r="I98" s="435"/>
      <c r="L98" s="242"/>
    </row>
    <row r="99" spans="1:21" ht="18.75">
      <c r="B99" s="262"/>
      <c r="C99" s="287"/>
      <c r="D99" s="495" t="s">
        <v>0</v>
      </c>
      <c r="E99" s="441" t="s">
        <v>1</v>
      </c>
      <c r="F99" s="441" t="s">
        <v>237</v>
      </c>
      <c r="G99" s="441" t="s">
        <v>136</v>
      </c>
      <c r="H99" s="442" t="s">
        <v>137</v>
      </c>
      <c r="I99" s="435"/>
    </row>
    <row r="100" spans="1:21">
      <c r="B100" s="287" t="s">
        <v>222</v>
      </c>
      <c r="C100" s="287">
        <f>0.0125-0.0013</f>
        <v>1.1200000000000002E-2</v>
      </c>
      <c r="D100" s="330">
        <v>15</v>
      </c>
      <c r="E100" s="331">
        <v>133</v>
      </c>
      <c r="F100" s="329">
        <v>21.844433059956604</v>
      </c>
      <c r="G100" s="329">
        <v>25.276440875318102</v>
      </c>
      <c r="H100" s="332">
        <f t="shared" ref="H100" si="27">G100-F100</f>
        <v>3.4320078153614979</v>
      </c>
      <c r="I100" s="287"/>
    </row>
    <row r="101" spans="1:21">
      <c r="B101" s="287" t="s">
        <v>238</v>
      </c>
      <c r="C101" s="287">
        <f>0.3*0.5</f>
        <v>0.15</v>
      </c>
      <c r="D101" s="330">
        <v>20</v>
      </c>
      <c r="E101" s="331">
        <v>100</v>
      </c>
      <c r="F101" s="329">
        <v>21.679402689898172</v>
      </c>
      <c r="G101" s="329">
        <v>23.573433522786718</v>
      </c>
      <c r="H101" s="332">
        <f>G101-F101</f>
        <v>1.8940308328885465</v>
      </c>
      <c r="I101" s="287"/>
      <c r="J101" s="243"/>
    </row>
    <row r="102" spans="1:21">
      <c r="B102" s="287" t="s">
        <v>239</v>
      </c>
      <c r="C102" s="287" t="s">
        <v>28</v>
      </c>
      <c r="D102" s="333">
        <v>30</v>
      </c>
      <c r="E102" s="334">
        <v>130</v>
      </c>
      <c r="F102" s="335">
        <v>22.197218072248578</v>
      </c>
      <c r="G102" s="335">
        <v>24.815907973999298</v>
      </c>
      <c r="H102" s="336">
        <f>G102-F102</f>
        <v>2.6186899017507201</v>
      </c>
      <c r="I102" s="287"/>
      <c r="J102" s="243"/>
    </row>
    <row r="103" spans="1:21">
      <c r="B103" s="262"/>
      <c r="C103" s="287"/>
      <c r="D103" s="287"/>
      <c r="E103" s="287"/>
      <c r="F103" s="287"/>
      <c r="G103" s="287"/>
      <c r="H103" s="287"/>
      <c r="I103" s="287"/>
      <c r="J103" s="407"/>
    </row>
    <row r="104" spans="1:21">
      <c r="B104" s="262"/>
      <c r="C104" s="287"/>
      <c r="D104" s="287"/>
      <c r="E104" s="287"/>
      <c r="F104" s="287"/>
      <c r="G104" s="287"/>
      <c r="H104" s="287"/>
      <c r="I104" s="287"/>
      <c r="J104" s="407"/>
      <c r="M104" s="274"/>
      <c r="N104" s="274"/>
      <c r="P104" s="274"/>
      <c r="Q104" s="261"/>
      <c r="R104" s="261"/>
      <c r="T104" s="261"/>
      <c r="U104" s="261"/>
    </row>
    <row r="105" spans="1:21" ht="18.75">
      <c r="C105" s="287"/>
      <c r="D105" s="495" t="s">
        <v>0</v>
      </c>
      <c r="E105" s="441" t="s">
        <v>1</v>
      </c>
      <c r="F105" s="441" t="s">
        <v>237</v>
      </c>
      <c r="G105" s="441" t="s">
        <v>136</v>
      </c>
      <c r="H105" s="442" t="s">
        <v>137</v>
      </c>
      <c r="I105" s="287"/>
      <c r="J105" s="274"/>
      <c r="M105" s="274"/>
      <c r="N105" s="274"/>
      <c r="P105" s="274"/>
      <c r="Q105" s="261"/>
      <c r="R105" s="261"/>
      <c r="T105" s="261"/>
      <c r="U105" s="261"/>
    </row>
    <row r="106" spans="1:21">
      <c r="B106" s="287" t="s">
        <v>222</v>
      </c>
      <c r="C106" s="287">
        <f>0.0085-0.0005</f>
        <v>8.0000000000000002E-3</v>
      </c>
      <c r="D106" s="330">
        <v>20</v>
      </c>
      <c r="E106" s="331">
        <v>130</v>
      </c>
      <c r="F106" s="329">
        <v>21.847040763320965</v>
      </c>
      <c r="G106" s="329">
        <v>23.678180198561002</v>
      </c>
      <c r="H106" s="332">
        <f t="shared" ref="H106" si="28">G106-F106</f>
        <v>1.8311394352400363</v>
      </c>
      <c r="I106" s="287"/>
      <c r="J106" s="260"/>
      <c r="M106" s="272"/>
      <c r="N106" s="272"/>
      <c r="P106" s="272"/>
      <c r="Q106" s="261"/>
      <c r="R106" s="261"/>
      <c r="T106" s="261"/>
      <c r="U106" s="261"/>
    </row>
    <row r="107" spans="1:21">
      <c r="B107" s="287" t="s">
        <v>238</v>
      </c>
      <c r="C107" s="287">
        <f>0.3*0.25</f>
        <v>7.4999999999999997E-2</v>
      </c>
      <c r="D107" s="330">
        <v>20</v>
      </c>
      <c r="E107" s="331">
        <v>100</v>
      </c>
      <c r="F107" s="329">
        <v>21.672697166961264</v>
      </c>
      <c r="G107" s="329">
        <v>22.549537423225487</v>
      </c>
      <c r="H107" s="332">
        <f>G107-F107</f>
        <v>0.87684025626422368</v>
      </c>
      <c r="I107" s="287"/>
      <c r="J107" s="243"/>
      <c r="M107" s="272"/>
      <c r="N107" s="272"/>
      <c r="P107" s="272"/>
      <c r="Q107" s="261"/>
      <c r="R107" s="261"/>
      <c r="T107" s="261"/>
      <c r="U107" s="261"/>
    </row>
    <row r="108" spans="1:21">
      <c r="B108" s="287" t="s">
        <v>239</v>
      </c>
      <c r="C108" s="287" t="s">
        <v>29</v>
      </c>
      <c r="D108" s="333">
        <v>30</v>
      </c>
      <c r="E108" s="334">
        <v>130</v>
      </c>
      <c r="F108" s="335">
        <v>22.195169162462303</v>
      </c>
      <c r="G108" s="335">
        <v>23.569056310000001</v>
      </c>
      <c r="H108" s="336">
        <f>G108-F108</f>
        <v>1.3738871475376975</v>
      </c>
      <c r="I108" s="287"/>
      <c r="J108" s="272"/>
      <c r="M108" s="272"/>
      <c r="N108" s="272"/>
      <c r="P108" s="272"/>
      <c r="Q108" s="261"/>
      <c r="R108" s="261"/>
      <c r="T108" s="261"/>
      <c r="U108" s="261"/>
    </row>
    <row r="109" spans="1:21">
      <c r="C109" s="287"/>
      <c r="D109" s="287"/>
      <c r="E109" s="287"/>
      <c r="F109" s="287"/>
      <c r="G109" s="287"/>
      <c r="H109" s="287"/>
      <c r="I109" s="287"/>
      <c r="J109" s="274"/>
      <c r="M109" s="274"/>
      <c r="N109" s="274"/>
      <c r="P109" s="274"/>
      <c r="Q109" s="261"/>
      <c r="R109" s="261"/>
      <c r="T109" s="261"/>
      <c r="U109" s="261"/>
    </row>
    <row r="110" spans="1:21">
      <c r="I110" s="243"/>
      <c r="J110" s="407"/>
      <c r="M110" s="274"/>
      <c r="N110" s="274"/>
      <c r="P110" s="274"/>
    </row>
    <row r="111" spans="1:21">
      <c r="A111" s="510">
        <v>42333</v>
      </c>
      <c r="B111" s="511"/>
      <c r="C111" s="511"/>
      <c r="D111" s="511"/>
      <c r="E111" s="511"/>
      <c r="F111" s="511"/>
      <c r="G111" s="511"/>
      <c r="H111" s="511"/>
      <c r="I111" s="435" t="s">
        <v>240</v>
      </c>
      <c r="J111" s="407"/>
      <c r="M111" s="274"/>
      <c r="N111" s="274"/>
      <c r="P111" s="274"/>
    </row>
    <row r="112" spans="1:21">
      <c r="A112" s="435" t="s">
        <v>241</v>
      </c>
      <c r="I112" s="243"/>
      <c r="J112" s="243"/>
    </row>
    <row r="113" spans="2:17" ht="18.75">
      <c r="C113" s="292"/>
      <c r="D113" s="495" t="s">
        <v>0</v>
      </c>
      <c r="E113" s="441" t="s">
        <v>1</v>
      </c>
      <c r="F113" s="441" t="s">
        <v>237</v>
      </c>
      <c r="G113" s="441" t="s">
        <v>136</v>
      </c>
      <c r="H113" s="442" t="s">
        <v>137</v>
      </c>
      <c r="I113" s="243"/>
      <c r="J113" s="243"/>
    </row>
    <row r="114" spans="2:17">
      <c r="B114" s="287" t="s">
        <v>222</v>
      </c>
      <c r="C114" s="287">
        <f>0.0307-0.0177</f>
        <v>1.3000000000000001E-2</v>
      </c>
      <c r="D114" s="330">
        <v>15</v>
      </c>
      <c r="E114" s="331">
        <v>133</v>
      </c>
      <c r="F114" s="329">
        <v>22.892822944690174</v>
      </c>
      <c r="G114" s="329">
        <v>27.530343474766202</v>
      </c>
      <c r="H114" s="332">
        <f t="shared" ref="H114" si="29">G114-F114</f>
        <v>4.6375205300760278</v>
      </c>
      <c r="I114" s="243"/>
      <c r="J114" s="243"/>
    </row>
    <row r="115" spans="2:17">
      <c r="B115" s="287" t="s">
        <v>238</v>
      </c>
      <c r="C115" s="287">
        <f>0.3*1.25</f>
        <v>0.375</v>
      </c>
      <c r="D115" s="330">
        <v>20</v>
      </c>
      <c r="E115" s="331">
        <v>100</v>
      </c>
      <c r="F115" s="329">
        <v>22.553635242798034</v>
      </c>
      <c r="G115" s="329">
        <v>25.056810948658601</v>
      </c>
      <c r="H115" s="332">
        <f>G115-F115</f>
        <v>2.503175705860567</v>
      </c>
      <c r="I115" s="243"/>
      <c r="J115" s="407"/>
      <c r="M115" s="274"/>
      <c r="N115" s="274"/>
      <c r="P115" s="274"/>
    </row>
    <row r="116" spans="2:17">
      <c r="B116" s="287" t="s">
        <v>239</v>
      </c>
      <c r="C116" t="s">
        <v>46</v>
      </c>
      <c r="D116" s="333">
        <v>30</v>
      </c>
      <c r="E116" s="334">
        <v>130</v>
      </c>
      <c r="F116" s="335">
        <v>22.896455102947655</v>
      </c>
      <c r="G116" s="335">
        <v>25.224848671248498</v>
      </c>
      <c r="H116" s="336">
        <f>G116-F116</f>
        <v>2.328393568300843</v>
      </c>
      <c r="I116" s="243"/>
      <c r="J116" s="274"/>
      <c r="M116" s="274"/>
      <c r="N116" s="274"/>
      <c r="P116" s="274"/>
    </row>
    <row r="117" spans="2:17">
      <c r="B117" s="287" t="s">
        <v>222</v>
      </c>
      <c r="C117" s="287">
        <f>0.0177</f>
        <v>1.77E-2</v>
      </c>
      <c r="D117" s="330">
        <v>15</v>
      </c>
      <c r="E117" s="331">
        <v>133</v>
      </c>
      <c r="F117" s="329">
        <v>22.210638327040598</v>
      </c>
      <c r="G117" s="329">
        <v>27.3516318709631</v>
      </c>
      <c r="H117" s="332">
        <f t="shared" ref="H117" si="30">G117-F117</f>
        <v>5.1409935439225016</v>
      </c>
      <c r="I117" s="243"/>
      <c r="J117" s="274"/>
      <c r="M117" s="274"/>
      <c r="N117" s="274"/>
      <c r="P117" s="274"/>
    </row>
    <row r="118" spans="2:17">
      <c r="B118" s="287" t="s">
        <v>238</v>
      </c>
      <c r="C118" s="287">
        <f>0.3*1.25</f>
        <v>0.375</v>
      </c>
      <c r="D118" s="330">
        <v>20</v>
      </c>
      <c r="E118" s="331">
        <v>100</v>
      </c>
      <c r="F118" s="329">
        <v>23.231917514319264</v>
      </c>
      <c r="G118" s="329">
        <v>28.767482266872101</v>
      </c>
      <c r="H118" s="332">
        <f>G118-F118</f>
        <v>5.5355647525528369</v>
      </c>
      <c r="I118" s="243"/>
      <c r="J118" s="243"/>
    </row>
    <row r="119" spans="2:17">
      <c r="B119" s="287" t="s">
        <v>239</v>
      </c>
      <c r="C119" s="435" t="s">
        <v>46</v>
      </c>
      <c r="D119" s="333">
        <v>30</v>
      </c>
      <c r="E119" s="334">
        <v>130</v>
      </c>
      <c r="F119" s="335">
        <v>22.097993320107101</v>
      </c>
      <c r="G119" s="335">
        <v>24.551445606437099</v>
      </c>
      <c r="H119" s="336">
        <f>G119-F119</f>
        <v>2.4534522863299983</v>
      </c>
      <c r="I119" s="243"/>
      <c r="J119" s="243"/>
    </row>
    <row r="120" spans="2:17">
      <c r="H120" s="435"/>
      <c r="I120" s="435"/>
      <c r="J120" s="435"/>
    </row>
    <row r="121" spans="2:17">
      <c r="H121" s="435"/>
      <c r="I121" s="435"/>
      <c r="J121" s="435"/>
      <c r="N121" s="300"/>
    </row>
    <row r="122" spans="2:17" ht="18.75">
      <c r="B122" s="287"/>
      <c r="C122" s="287"/>
      <c r="D122" s="495" t="s">
        <v>0</v>
      </c>
      <c r="E122" s="441" t="s">
        <v>1</v>
      </c>
      <c r="F122" s="441" t="s">
        <v>237</v>
      </c>
      <c r="G122" s="441" t="s">
        <v>136</v>
      </c>
      <c r="H122" s="442" t="s">
        <v>137</v>
      </c>
      <c r="I122" s="435"/>
      <c r="J122" s="435"/>
      <c r="L122" s="273"/>
      <c r="M122" s="273"/>
      <c r="N122" s="300"/>
    </row>
    <row r="123" spans="2:17">
      <c r="B123" s="287" t="s">
        <v>222</v>
      </c>
      <c r="C123" s="287">
        <f>0.0265-0.0079</f>
        <v>1.8599999999999998E-2</v>
      </c>
      <c r="D123" s="330">
        <v>15</v>
      </c>
      <c r="E123" s="331">
        <v>133</v>
      </c>
      <c r="F123" s="329">
        <v>22.751541301699969</v>
      </c>
      <c r="G123" s="329">
        <v>27.8954823252846</v>
      </c>
      <c r="H123" s="332">
        <f t="shared" ref="H123" si="31">G123-F123</f>
        <v>5.143941023584631</v>
      </c>
      <c r="I123" s="435"/>
      <c r="J123" s="435"/>
      <c r="L123" s="273"/>
      <c r="M123" s="273"/>
      <c r="N123" s="273"/>
    </row>
    <row r="124" spans="2:17">
      <c r="B124" s="287" t="s">
        <v>238</v>
      </c>
      <c r="C124" s="287">
        <f>0.3*1</f>
        <v>0.3</v>
      </c>
      <c r="D124" s="330">
        <v>20</v>
      </c>
      <c r="E124" s="331">
        <v>100</v>
      </c>
      <c r="F124" s="329">
        <v>22.203737330659465</v>
      </c>
      <c r="G124" s="329">
        <v>26.5497692257028</v>
      </c>
      <c r="H124" s="332">
        <f>G124-F124</f>
        <v>4.3460318950433354</v>
      </c>
      <c r="I124" s="435"/>
      <c r="J124" s="435"/>
    </row>
    <row r="125" spans="2:17">
      <c r="B125" s="287" t="s">
        <v>239</v>
      </c>
      <c r="C125" s="287" t="s">
        <v>23</v>
      </c>
      <c r="D125" s="333">
        <v>30</v>
      </c>
      <c r="E125" s="334">
        <v>130</v>
      </c>
      <c r="F125" s="335">
        <v>23.273899184101801</v>
      </c>
      <c r="G125" s="335">
        <v>27.6179092894739</v>
      </c>
      <c r="H125" s="336">
        <f>G125-F125</f>
        <v>4.3440101053720994</v>
      </c>
      <c r="I125" s="435"/>
      <c r="J125" s="435"/>
    </row>
    <row r="126" spans="2:17">
      <c r="B126" s="287" t="s">
        <v>222</v>
      </c>
      <c r="C126" s="287">
        <f>0.0079-0.0005</f>
        <v>7.4000000000000003E-3</v>
      </c>
      <c r="D126" s="330">
        <v>15</v>
      </c>
      <c r="E126" s="331">
        <v>133</v>
      </c>
      <c r="F126" s="329">
        <v>23.226702107590569</v>
      </c>
      <c r="G126" s="329">
        <v>25.964595166718698</v>
      </c>
      <c r="H126" s="332">
        <f t="shared" ref="H126" si="32">G126-F126</f>
        <v>2.7378930591281296</v>
      </c>
      <c r="I126" s="292"/>
    </row>
    <row r="127" spans="2:17">
      <c r="B127" s="287" t="s">
        <v>238</v>
      </c>
      <c r="C127" s="287">
        <f>0.3*1</f>
        <v>0.3</v>
      </c>
      <c r="D127" s="330">
        <v>20</v>
      </c>
      <c r="E127" s="331">
        <v>100</v>
      </c>
      <c r="F127" s="329">
        <v>22.161269018725704</v>
      </c>
      <c r="G127" s="329">
        <v>24.568800960111702</v>
      </c>
      <c r="H127" s="332">
        <f>G127-F127</f>
        <v>2.4075319413859972</v>
      </c>
      <c r="I127" s="287"/>
      <c r="J127" s="278"/>
      <c r="L127" s="278"/>
      <c r="N127" s="301"/>
      <c r="P127" s="302"/>
    </row>
    <row r="128" spans="2:17">
      <c r="B128" s="287" t="s">
        <v>239</v>
      </c>
      <c r="C128" s="287" t="s">
        <v>23</v>
      </c>
      <c r="D128" s="333">
        <v>30</v>
      </c>
      <c r="E128" s="334">
        <v>130</v>
      </c>
      <c r="F128" s="335">
        <v>23.261698857647101</v>
      </c>
      <c r="G128" s="335">
        <v>25.503969133136799</v>
      </c>
      <c r="H128" s="336">
        <f>G128-F128</f>
        <v>2.2422702754896982</v>
      </c>
      <c r="I128" s="287"/>
      <c r="J128" s="299"/>
      <c r="L128" s="299"/>
      <c r="N128" s="303"/>
      <c r="P128" s="304"/>
      <c r="Q128" s="304"/>
    </row>
    <row r="129" spans="1:17">
      <c r="I129" s="287"/>
      <c r="J129" s="299"/>
      <c r="L129" s="299"/>
    </row>
    <row r="130" spans="1:17" ht="18.75">
      <c r="B130" s="287"/>
      <c r="C130" s="287"/>
      <c r="D130" s="495" t="s">
        <v>0</v>
      </c>
      <c r="E130" s="441" t="s">
        <v>1</v>
      </c>
      <c r="F130" s="441" t="s">
        <v>237</v>
      </c>
      <c r="G130" s="441" t="s">
        <v>136</v>
      </c>
      <c r="H130" s="442" t="s">
        <v>137</v>
      </c>
      <c r="I130" s="287"/>
      <c r="J130" s="285"/>
      <c r="L130" s="279"/>
      <c r="M130" s="279"/>
      <c r="N130" s="279"/>
    </row>
    <row r="131" spans="1:17">
      <c r="B131" s="287" t="s">
        <v>222</v>
      </c>
      <c r="C131" s="329">
        <f>0.0123-0.0008</f>
        <v>1.15E-2</v>
      </c>
      <c r="D131" s="330">
        <v>20</v>
      </c>
      <c r="E131" s="331">
        <v>130</v>
      </c>
      <c r="F131" s="329">
        <v>22.497548639628199</v>
      </c>
      <c r="G131" s="329">
        <v>23.57948712</v>
      </c>
      <c r="H131" s="332">
        <f t="shared" ref="H131" si="33">G131-F131</f>
        <v>1.0819384803718002</v>
      </c>
      <c r="I131" s="435"/>
      <c r="J131" s="435"/>
      <c r="K131" s="435"/>
      <c r="L131" s="435"/>
      <c r="M131" s="435"/>
      <c r="N131" s="435"/>
      <c r="P131" s="280"/>
      <c r="Q131" s="280"/>
    </row>
    <row r="132" spans="1:17">
      <c r="B132" s="287" t="s">
        <v>238</v>
      </c>
      <c r="C132" s="329">
        <f>0.3*0.05</f>
        <v>1.4999999999999999E-2</v>
      </c>
      <c r="D132" s="330">
        <v>20</v>
      </c>
      <c r="E132" s="331">
        <v>100</v>
      </c>
      <c r="F132" s="329">
        <v>22.4057862404457</v>
      </c>
      <c r="G132" s="329">
        <v>23.226236446275507</v>
      </c>
      <c r="H132" s="332">
        <f>G132-F132</f>
        <v>0.82045020582980754</v>
      </c>
      <c r="I132" s="435"/>
      <c r="J132" s="435"/>
      <c r="K132" s="435"/>
      <c r="L132" s="435"/>
      <c r="M132" s="435"/>
      <c r="N132" s="435"/>
      <c r="P132" s="280"/>
      <c r="Q132" s="280"/>
    </row>
    <row r="133" spans="1:17">
      <c r="B133" s="287" t="s">
        <v>239</v>
      </c>
      <c r="C133" s="287" t="s">
        <v>67</v>
      </c>
      <c r="D133" s="333">
        <v>30</v>
      </c>
      <c r="E133" s="334">
        <v>130</v>
      </c>
      <c r="F133" s="335">
        <v>23.566076074008699</v>
      </c>
      <c r="G133" s="335">
        <v>25.1669654349664</v>
      </c>
      <c r="H133" s="336">
        <f>G133-F133</f>
        <v>1.6008893609577015</v>
      </c>
      <c r="I133" s="435"/>
      <c r="J133" s="435"/>
      <c r="K133" s="435"/>
      <c r="L133" s="435"/>
      <c r="M133" s="435"/>
      <c r="N133" s="435"/>
    </row>
    <row r="134" spans="1:17">
      <c r="B134" s="287" t="s">
        <v>222</v>
      </c>
      <c r="C134" s="329">
        <f>0.0095</f>
        <v>9.4999999999999998E-3</v>
      </c>
      <c r="D134" s="330">
        <v>20</v>
      </c>
      <c r="E134" s="331">
        <v>130</v>
      </c>
      <c r="F134" s="329">
        <v>22.792498516589301</v>
      </c>
      <c r="G134" s="329">
        <v>23.6535513194532</v>
      </c>
      <c r="H134" s="332">
        <f t="shared" ref="H134" si="34">G134-F134</f>
        <v>0.86105280286389885</v>
      </c>
      <c r="I134" s="435"/>
      <c r="J134" s="435"/>
      <c r="K134" s="435"/>
      <c r="L134" s="435"/>
      <c r="M134" s="435"/>
      <c r="N134" s="435"/>
    </row>
    <row r="135" spans="1:17">
      <c r="B135" s="287" t="s">
        <v>238</v>
      </c>
      <c r="C135" s="329">
        <f>0.3*0.05</f>
        <v>1.4999999999999999E-2</v>
      </c>
      <c r="D135" s="330">
        <v>20</v>
      </c>
      <c r="E135" s="331">
        <v>100</v>
      </c>
      <c r="F135" s="329">
        <v>22.544228884233771</v>
      </c>
      <c r="G135" s="329">
        <v>23.258742675706301</v>
      </c>
      <c r="H135" s="332">
        <f>G135-F135</f>
        <v>0.71451379147253036</v>
      </c>
      <c r="I135" s="435"/>
      <c r="J135" s="435"/>
      <c r="K135" s="435"/>
      <c r="L135" s="435"/>
      <c r="M135" s="435"/>
      <c r="N135" s="435"/>
    </row>
    <row r="136" spans="1:17">
      <c r="B136" s="287" t="s">
        <v>239</v>
      </c>
      <c r="C136" s="287" t="s">
        <v>67</v>
      </c>
      <c r="D136" s="333">
        <v>30</v>
      </c>
      <c r="E136" s="334">
        <v>130</v>
      </c>
      <c r="F136" s="335">
        <v>23.56998763</v>
      </c>
      <c r="G136" s="335">
        <v>24.92279976</v>
      </c>
      <c r="H136" s="336">
        <f>G136-F136</f>
        <v>1.3528121300000002</v>
      </c>
      <c r="I136" s="435"/>
      <c r="J136" s="435"/>
      <c r="K136" s="435"/>
      <c r="L136" s="435"/>
      <c r="M136" s="435"/>
      <c r="N136" s="435"/>
    </row>
    <row r="137" spans="1:17">
      <c r="B137" s="287" t="s">
        <v>222</v>
      </c>
      <c r="C137" s="329">
        <f>0.0132-0.0018</f>
        <v>1.14E-2</v>
      </c>
      <c r="D137" s="330">
        <v>20</v>
      </c>
      <c r="E137" s="331">
        <v>130</v>
      </c>
      <c r="F137" s="329">
        <v>22.217202616763299</v>
      </c>
      <c r="G137" s="329">
        <v>23.2407921994205</v>
      </c>
      <c r="H137" s="332">
        <f t="shared" ref="H137" si="35">G137-F137</f>
        <v>1.0235895826572019</v>
      </c>
      <c r="I137" s="435"/>
      <c r="J137" s="435"/>
      <c r="K137" s="435"/>
      <c r="L137" s="435"/>
      <c r="M137" s="435"/>
      <c r="N137" s="435"/>
      <c r="P137" s="369"/>
      <c r="Q137" s="369"/>
    </row>
    <row r="138" spans="1:17">
      <c r="B138" s="287" t="s">
        <v>238</v>
      </c>
      <c r="C138" s="329">
        <f>0.3*0.05</f>
        <v>1.4999999999999999E-2</v>
      </c>
      <c r="D138" s="330">
        <v>20</v>
      </c>
      <c r="E138" s="331">
        <v>100</v>
      </c>
      <c r="F138" s="329">
        <v>22.208393943810098</v>
      </c>
      <c r="G138" s="329">
        <v>23.0256776526974</v>
      </c>
      <c r="H138" s="332">
        <f>G138-F138</f>
        <v>0.8172837088873024</v>
      </c>
      <c r="I138" s="435"/>
      <c r="J138" s="435"/>
      <c r="K138" s="435"/>
      <c r="L138" s="435"/>
      <c r="M138" s="435"/>
      <c r="N138" s="435"/>
      <c r="P138" s="369"/>
      <c r="Q138" s="369"/>
    </row>
    <row r="139" spans="1:17">
      <c r="B139" s="287" t="s">
        <v>239</v>
      </c>
      <c r="C139" s="287" t="s">
        <v>67</v>
      </c>
      <c r="D139" s="333">
        <v>30</v>
      </c>
      <c r="E139" s="334">
        <v>130</v>
      </c>
      <c r="F139" s="335">
        <v>22.568218116057999</v>
      </c>
      <c r="G139" s="335">
        <v>24.1866854242495</v>
      </c>
      <c r="H139" s="528">
        <f>G139-F139</f>
        <v>1.6184673081915015</v>
      </c>
      <c r="I139" s="435"/>
      <c r="J139" s="435"/>
      <c r="K139" s="435"/>
      <c r="L139" s="435"/>
      <c r="M139" s="435"/>
      <c r="N139" s="435"/>
    </row>
    <row r="140" spans="1:17"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</row>
    <row r="141" spans="1:17"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</row>
    <row r="142" spans="1:17">
      <c r="A142" s="510" t="s">
        <v>244</v>
      </c>
      <c r="B142" s="511"/>
      <c r="C142" s="529"/>
      <c r="D142" s="511"/>
      <c r="E142" s="511"/>
      <c r="F142" s="511"/>
      <c r="G142" s="511"/>
      <c r="H142" s="511"/>
      <c r="I142" s="435" t="s">
        <v>240</v>
      </c>
      <c r="J142" s="435"/>
      <c r="K142" s="435"/>
      <c r="L142" s="435"/>
      <c r="M142" s="435"/>
      <c r="N142" s="435"/>
    </row>
    <row r="143" spans="1:17" ht="18.75">
      <c r="A143" s="435" t="s">
        <v>241</v>
      </c>
      <c r="B143" s="287"/>
      <c r="C143" s="287"/>
      <c r="D143" s="495" t="s">
        <v>0</v>
      </c>
      <c r="E143" s="441" t="s">
        <v>1</v>
      </c>
      <c r="F143" s="441" t="s">
        <v>237</v>
      </c>
      <c r="G143" s="441" t="s">
        <v>136</v>
      </c>
      <c r="H143" s="442" t="s">
        <v>137</v>
      </c>
      <c r="J143" s="435"/>
      <c r="K143" s="435"/>
      <c r="L143" s="435"/>
      <c r="M143" s="435"/>
      <c r="N143" s="435"/>
    </row>
    <row r="144" spans="1:17">
      <c r="B144" s="287" t="s">
        <v>222</v>
      </c>
      <c r="C144" s="329">
        <f>0.0159-0.0008</f>
        <v>1.5100000000000001E-2</v>
      </c>
      <c r="D144" s="330">
        <v>20</v>
      </c>
      <c r="E144" s="331">
        <v>130</v>
      </c>
      <c r="F144" s="329">
        <v>23.217295749026281</v>
      </c>
      <c r="G144" s="329">
        <v>26.844238599791442</v>
      </c>
      <c r="H144" s="332">
        <f t="shared" ref="H144" si="36">G144-F144</f>
        <v>3.6269428507651611</v>
      </c>
      <c r="J144" s="435"/>
      <c r="K144" s="435"/>
      <c r="L144" s="435"/>
      <c r="N144" s="435"/>
    </row>
    <row r="145" spans="2:17">
      <c r="B145" s="287" t="s">
        <v>238</v>
      </c>
      <c r="C145" s="329">
        <f>0.3*1.25</f>
        <v>0.375</v>
      </c>
      <c r="D145" s="330">
        <v>20</v>
      </c>
      <c r="E145" s="331">
        <v>100</v>
      </c>
      <c r="F145" s="329">
        <v>23.215526236029049</v>
      </c>
      <c r="G145" s="329">
        <v>25.96320739169165</v>
      </c>
      <c r="H145" s="332">
        <f>G145-F145</f>
        <v>2.7476811556626011</v>
      </c>
      <c r="J145" s="435"/>
      <c r="K145" s="435"/>
      <c r="L145" s="435"/>
      <c r="M145" s="435"/>
      <c r="N145" s="435"/>
    </row>
    <row r="146" spans="2:17">
      <c r="B146" s="287" t="s">
        <v>239</v>
      </c>
      <c r="C146" s="287" t="s">
        <v>50</v>
      </c>
      <c r="D146" s="333">
        <v>30</v>
      </c>
      <c r="E146" s="334">
        <v>130</v>
      </c>
      <c r="F146" s="335">
        <v>23.216178159999998</v>
      </c>
      <c r="G146" s="335">
        <v>27.113670240000001</v>
      </c>
      <c r="H146" s="336">
        <f>G146-F146</f>
        <v>3.8974920800000028</v>
      </c>
      <c r="J146" s="435"/>
      <c r="K146" s="435"/>
      <c r="L146" s="435"/>
      <c r="M146" s="435"/>
      <c r="N146" s="435"/>
    </row>
    <row r="147" spans="2:17">
      <c r="B147" s="287" t="s">
        <v>222</v>
      </c>
      <c r="C147" s="329">
        <f>0.0261-0.0095</f>
        <v>1.6600000000000004E-2</v>
      </c>
      <c r="D147" s="330">
        <v>20</v>
      </c>
      <c r="E147" s="331">
        <v>130</v>
      </c>
      <c r="F147" s="329">
        <v>22.535940109999999</v>
      </c>
      <c r="G147" s="329">
        <v>28.36969083</v>
      </c>
      <c r="H147" s="332">
        <f t="shared" ref="H147" si="37">G147-F147</f>
        <v>5.8337507200000012</v>
      </c>
      <c r="J147" s="435"/>
      <c r="K147" s="435"/>
      <c r="L147" s="435"/>
      <c r="M147" s="435"/>
      <c r="N147" s="435"/>
    </row>
    <row r="148" spans="2:17">
      <c r="B148" s="287" t="s">
        <v>238</v>
      </c>
      <c r="C148" s="329">
        <f>0.3*1.25</f>
        <v>0.375</v>
      </c>
      <c r="D148" s="330">
        <v>20</v>
      </c>
      <c r="E148" s="331">
        <v>100</v>
      </c>
      <c r="F148" s="329">
        <v>21.343008959999999</v>
      </c>
      <c r="G148" s="329">
        <v>25.935706249999999</v>
      </c>
      <c r="H148" s="332">
        <f>G148-F148</f>
        <v>4.5926972900000003</v>
      </c>
      <c r="J148" s="435"/>
      <c r="K148" s="435"/>
      <c r="L148" s="435"/>
      <c r="M148" s="435"/>
      <c r="N148" s="435"/>
    </row>
    <row r="149" spans="2:17">
      <c r="B149" s="287" t="s">
        <v>239</v>
      </c>
      <c r="C149" s="287" t="s">
        <v>50</v>
      </c>
      <c r="D149" s="333">
        <v>30</v>
      </c>
      <c r="E149" s="334">
        <v>130</v>
      </c>
      <c r="F149" s="335">
        <v>22.87997069</v>
      </c>
      <c r="G149" s="335">
        <v>28.175843700000001</v>
      </c>
      <c r="H149" s="336">
        <f>G149-F149</f>
        <v>5.2958730100000011</v>
      </c>
      <c r="J149" s="435"/>
      <c r="K149" s="435"/>
      <c r="L149" s="435"/>
      <c r="M149" s="435"/>
      <c r="N149" s="435"/>
    </row>
    <row r="150" spans="2:17">
      <c r="B150" s="287" t="s">
        <v>222</v>
      </c>
      <c r="C150" s="329">
        <f>0.0095</f>
        <v>9.4999999999999998E-3</v>
      </c>
      <c r="D150" s="330">
        <v>20</v>
      </c>
      <c r="E150" s="331">
        <v>130</v>
      </c>
      <c r="F150" s="329">
        <v>22.876059139999999</v>
      </c>
      <c r="G150" s="329">
        <v>26.437103239999999</v>
      </c>
      <c r="H150" s="332">
        <f t="shared" ref="H150" si="38">G150-F150</f>
        <v>3.5610441000000002</v>
      </c>
      <c r="J150" s="435"/>
      <c r="K150" s="435"/>
      <c r="L150" s="435"/>
      <c r="M150" s="435"/>
      <c r="N150" s="435"/>
    </row>
    <row r="151" spans="2:17">
      <c r="B151" s="287" t="s">
        <v>238</v>
      </c>
      <c r="C151" s="329">
        <f>0.3*1.25</f>
        <v>0.375</v>
      </c>
      <c r="D151" s="330">
        <v>20</v>
      </c>
      <c r="E151" s="331">
        <v>100</v>
      </c>
      <c r="F151" s="329">
        <v>21.856074589999999</v>
      </c>
      <c r="G151" s="329">
        <v>24.587616749999999</v>
      </c>
      <c r="H151" s="332">
        <f>G151-F151</f>
        <v>2.7315421600000001</v>
      </c>
    </row>
    <row r="152" spans="2:17">
      <c r="B152" s="287" t="s">
        <v>239</v>
      </c>
      <c r="C152" s="287" t="s">
        <v>50</v>
      </c>
      <c r="D152" s="333">
        <v>30</v>
      </c>
      <c r="E152" s="334">
        <v>130</v>
      </c>
      <c r="F152" s="335">
        <v>23.211428420000001</v>
      </c>
      <c r="G152" s="335">
        <v>25.95734006</v>
      </c>
      <c r="H152" s="336">
        <f>G152-F152</f>
        <v>2.7459116399999992</v>
      </c>
    </row>
    <row r="153" spans="2:17">
      <c r="I153" s="435"/>
      <c r="J153" s="435"/>
      <c r="K153" s="435"/>
      <c r="L153" s="435"/>
      <c r="M153" s="294"/>
      <c r="N153" s="296"/>
      <c r="P153" s="294"/>
    </row>
    <row r="154" spans="2:17" ht="18.75">
      <c r="B154" s="287"/>
      <c r="C154" s="287"/>
      <c r="D154" s="495" t="s">
        <v>0</v>
      </c>
      <c r="E154" s="441" t="s">
        <v>1</v>
      </c>
      <c r="F154" s="441" t="s">
        <v>237</v>
      </c>
      <c r="G154" s="441" t="s">
        <v>136</v>
      </c>
      <c r="H154" s="442" t="s">
        <v>137</v>
      </c>
      <c r="J154" s="435"/>
      <c r="K154" s="435"/>
      <c r="L154" s="435"/>
      <c r="P154" s="296"/>
      <c r="Q154" s="296"/>
    </row>
    <row r="155" spans="2:17">
      <c r="B155" s="287" t="s">
        <v>222</v>
      </c>
      <c r="C155" s="329">
        <f>0.035*0.35</f>
        <v>1.225E-2</v>
      </c>
      <c r="D155" s="330">
        <v>15</v>
      </c>
      <c r="E155" s="331">
        <v>133</v>
      </c>
      <c r="F155" s="329">
        <v>23.2228627</v>
      </c>
      <c r="G155" s="329">
        <v>26.088518390000001</v>
      </c>
      <c r="H155" s="332">
        <f t="shared" ref="H155" si="39">G155-F155</f>
        <v>2.8656556900000005</v>
      </c>
      <c r="J155" s="435"/>
      <c r="K155" s="435"/>
      <c r="L155" s="435"/>
      <c r="M155" s="295"/>
      <c r="N155" s="296"/>
      <c r="P155" s="296"/>
      <c r="Q155" s="296"/>
    </row>
    <row r="156" spans="2:17">
      <c r="B156" s="287" t="s">
        <v>238</v>
      </c>
      <c r="C156" s="329">
        <f>0.3*0.35</f>
        <v>0.105</v>
      </c>
      <c r="D156" s="330">
        <v>20</v>
      </c>
      <c r="E156" s="331">
        <v>100</v>
      </c>
      <c r="F156" s="287">
        <v>23.2122989989697</v>
      </c>
      <c r="G156" s="287">
        <v>25.544460686711101</v>
      </c>
      <c r="H156" s="332">
        <f>G156-F156</f>
        <v>2.3321616877414009</v>
      </c>
      <c r="J156" s="435"/>
      <c r="K156" s="435"/>
      <c r="L156" s="435"/>
      <c r="M156" s="295"/>
    </row>
    <row r="157" spans="2:17">
      <c r="B157" s="287" t="s">
        <v>239</v>
      </c>
      <c r="C157" s="287" t="s">
        <v>55</v>
      </c>
      <c r="D157" s="333">
        <v>30</v>
      </c>
      <c r="E157" s="334">
        <v>130</v>
      </c>
      <c r="F157" s="335">
        <v>23.566728000000001</v>
      </c>
      <c r="G157" s="335">
        <v>26.632828360000001</v>
      </c>
      <c r="H157" s="336">
        <f>G157-F157</f>
        <v>3.0661003600000001</v>
      </c>
      <c r="J157" s="435"/>
      <c r="K157" s="435"/>
      <c r="L157" s="435"/>
    </row>
    <row r="158" spans="2:17" ht="18.75">
      <c r="B158" s="287"/>
      <c r="C158" s="287"/>
      <c r="D158" s="495" t="s">
        <v>0</v>
      </c>
      <c r="E158" s="441" t="s">
        <v>1</v>
      </c>
      <c r="F158" s="441" t="s">
        <v>237</v>
      </c>
      <c r="G158" s="441" t="s">
        <v>136</v>
      </c>
      <c r="H158" s="442" t="s">
        <v>137</v>
      </c>
      <c r="J158" s="435"/>
      <c r="K158" s="435"/>
      <c r="L158" s="435"/>
    </row>
    <row r="159" spans="2:17">
      <c r="B159" s="287" t="s">
        <v>222</v>
      </c>
      <c r="C159" s="329">
        <f>0.0127</f>
        <v>1.2699999999999999E-2</v>
      </c>
      <c r="D159" s="330">
        <v>20</v>
      </c>
      <c r="E159" s="331">
        <v>130</v>
      </c>
      <c r="F159" s="287">
        <v>23.56980136</v>
      </c>
      <c r="G159" s="287">
        <v>27.492718549999999</v>
      </c>
      <c r="H159" s="332">
        <f t="shared" ref="H159" si="40">G159-F159</f>
        <v>3.9229171899999997</v>
      </c>
      <c r="J159" s="435"/>
      <c r="K159" s="435"/>
      <c r="L159" s="435"/>
    </row>
    <row r="160" spans="2:17">
      <c r="B160" s="287" t="s">
        <v>238</v>
      </c>
      <c r="C160" s="329">
        <f>0.3*0.65</f>
        <v>0.19500000000000001</v>
      </c>
      <c r="D160" s="330">
        <v>20</v>
      </c>
      <c r="E160" s="331">
        <v>100</v>
      </c>
      <c r="F160" s="287">
        <v>22.8993422</v>
      </c>
      <c r="G160" s="287">
        <v>25.959016439856082</v>
      </c>
      <c r="H160" s="332">
        <f>G160-F160</f>
        <v>3.0596742398560828</v>
      </c>
      <c r="J160" s="435"/>
      <c r="K160" s="435"/>
      <c r="L160" s="435"/>
    </row>
    <row r="161" spans="2:16">
      <c r="B161" s="287" t="s">
        <v>239</v>
      </c>
      <c r="C161" s="287" t="s">
        <v>56</v>
      </c>
      <c r="D161" s="333">
        <v>30</v>
      </c>
      <c r="E161" s="334">
        <v>130</v>
      </c>
      <c r="F161" s="335">
        <v>23.886751440000001</v>
      </c>
      <c r="G161" s="515">
        <v>28.167554924938386</v>
      </c>
      <c r="H161" s="336">
        <f>G161-F161</f>
        <v>4.2808034849383851</v>
      </c>
      <c r="J161" s="435"/>
      <c r="K161" s="435"/>
      <c r="L161" s="435"/>
    </row>
    <row r="162" spans="2:16">
      <c r="B162" s="287"/>
      <c r="C162" s="287"/>
      <c r="D162" s="287"/>
      <c r="E162" s="287"/>
      <c r="F162" s="287"/>
      <c r="G162" s="287"/>
      <c r="H162" s="287"/>
      <c r="I162" s="435"/>
      <c r="J162" s="435"/>
      <c r="K162" s="435"/>
      <c r="L162" s="435"/>
    </row>
    <row r="163" spans="2:16" ht="18.75">
      <c r="B163" s="287"/>
      <c r="C163" s="287"/>
      <c r="D163" s="495" t="s">
        <v>0</v>
      </c>
      <c r="E163" s="441" t="s">
        <v>1</v>
      </c>
      <c r="F163" s="441" t="s">
        <v>237</v>
      </c>
      <c r="G163" s="441" t="s">
        <v>136</v>
      </c>
      <c r="H163" s="442" t="s">
        <v>137</v>
      </c>
      <c r="J163" s="435"/>
      <c r="K163" s="435"/>
      <c r="L163" s="435"/>
    </row>
    <row r="164" spans="2:16">
      <c r="B164" s="287" t="s">
        <v>222</v>
      </c>
      <c r="C164" s="329">
        <f>0.0152-0.0014</f>
        <v>1.38E-2</v>
      </c>
      <c r="D164" s="330">
        <v>15</v>
      </c>
      <c r="E164" s="331">
        <v>133</v>
      </c>
      <c r="F164" s="329">
        <v>23.213384189999999</v>
      </c>
      <c r="G164" s="329">
        <v>27.9</v>
      </c>
      <c r="H164" s="332">
        <f t="shared" ref="H164" si="41">G164-F164</f>
        <v>4.6866158099999993</v>
      </c>
      <c r="J164" s="435"/>
      <c r="K164" s="435"/>
      <c r="L164" s="435"/>
    </row>
    <row r="165" spans="2:16">
      <c r="B165" s="287" t="s">
        <v>238</v>
      </c>
      <c r="C165" s="329">
        <f>0.3*0.75</f>
        <v>0.22499999999999998</v>
      </c>
      <c r="D165" s="330">
        <v>20</v>
      </c>
      <c r="E165" s="331">
        <v>100</v>
      </c>
      <c r="F165" s="329">
        <v>22.888725130000001</v>
      </c>
      <c r="G165" s="329">
        <v>25.453680779999999</v>
      </c>
      <c r="H165" s="332">
        <f>G165-F165</f>
        <v>2.5649556499999981</v>
      </c>
      <c r="J165" s="435"/>
      <c r="K165" s="435"/>
      <c r="L165" s="435"/>
    </row>
    <row r="166" spans="2:16">
      <c r="B166" s="287" t="s">
        <v>239</v>
      </c>
      <c r="C166" s="287" t="s">
        <v>27</v>
      </c>
      <c r="D166" s="333">
        <v>30</v>
      </c>
      <c r="E166" s="334">
        <v>130</v>
      </c>
      <c r="F166" s="335">
        <v>21.665060319999998</v>
      </c>
      <c r="G166" s="335">
        <v>25.09391085</v>
      </c>
      <c r="H166" s="336">
        <f>G166-F166</f>
        <v>3.4288505300000018</v>
      </c>
      <c r="J166" s="435"/>
      <c r="K166" s="435"/>
      <c r="L166" s="435"/>
    </row>
    <row r="167" spans="2:16">
      <c r="B167" s="287"/>
      <c r="C167" s="287"/>
      <c r="D167" s="287"/>
      <c r="E167" s="287"/>
      <c r="F167" s="287"/>
      <c r="G167" s="287"/>
      <c r="H167" s="287"/>
      <c r="J167" s="435"/>
      <c r="K167" s="435"/>
      <c r="L167" s="435"/>
    </row>
    <row r="168" spans="2:16" ht="18.75">
      <c r="B168" s="287"/>
      <c r="C168" s="287"/>
      <c r="D168" s="495" t="s">
        <v>0</v>
      </c>
      <c r="E168" s="441" t="s">
        <v>1</v>
      </c>
      <c r="F168" s="441" t="s">
        <v>237</v>
      </c>
      <c r="G168" s="441" t="s">
        <v>136</v>
      </c>
      <c r="H168" s="442" t="s">
        <v>137</v>
      </c>
    </row>
    <row r="169" spans="2:16">
      <c r="B169" s="287" t="s">
        <v>222</v>
      </c>
      <c r="C169" s="329">
        <f>0.0202-0.0087</f>
        <v>1.15E-2</v>
      </c>
      <c r="D169" s="330">
        <v>15</v>
      </c>
      <c r="E169" s="331">
        <v>133</v>
      </c>
      <c r="F169" s="329">
        <v>21.80187162</v>
      </c>
      <c r="G169" s="329">
        <v>26.41562858</v>
      </c>
      <c r="H169" s="332">
        <f t="shared" ref="H169" si="42">G169-F169</f>
        <v>4.6137569599999999</v>
      </c>
    </row>
    <row r="170" spans="2:16">
      <c r="B170" s="287" t="s">
        <v>238</v>
      </c>
      <c r="C170" s="329">
        <f>0.3*1</f>
        <v>0.3</v>
      </c>
      <c r="D170" s="330">
        <v>20</v>
      </c>
      <c r="E170" s="331">
        <v>100</v>
      </c>
      <c r="F170" s="329">
        <v>22.197776865826665</v>
      </c>
      <c r="G170" s="329">
        <v>25.4101337736925</v>
      </c>
      <c r="H170" s="332">
        <f>G170-F170</f>
        <v>3.2123569078658356</v>
      </c>
    </row>
    <row r="171" spans="2:16">
      <c r="B171" s="287" t="s">
        <v>239</v>
      </c>
      <c r="C171" s="287" t="s">
        <v>23</v>
      </c>
      <c r="D171" s="333">
        <v>30</v>
      </c>
      <c r="E171" s="334">
        <v>130</v>
      </c>
      <c r="F171" s="335">
        <v>21.771603630000001</v>
      </c>
      <c r="G171" s="335">
        <v>24.75518881</v>
      </c>
      <c r="H171" s="336">
        <f>G171-F171</f>
        <v>2.9835851799999986</v>
      </c>
    </row>
    <row r="172" spans="2:16">
      <c r="B172" s="287" t="s">
        <v>222</v>
      </c>
      <c r="C172" s="329">
        <f>0.0087</f>
        <v>8.6999999999999994E-3</v>
      </c>
      <c r="D172" s="330">
        <v>15</v>
      </c>
      <c r="E172" s="331">
        <v>133</v>
      </c>
      <c r="F172" s="329">
        <v>22.875593479999999</v>
      </c>
      <c r="G172" s="329">
        <v>26.757144589999999</v>
      </c>
      <c r="H172" s="332">
        <f t="shared" ref="H172" si="43">G172-F172</f>
        <v>3.8815511100000002</v>
      </c>
      <c r="J172" s="307"/>
      <c r="M172" s="313"/>
      <c r="N172" s="313"/>
      <c r="P172" s="313"/>
    </row>
    <row r="173" spans="2:16">
      <c r="B173" s="287" t="s">
        <v>238</v>
      </c>
      <c r="C173" s="329">
        <f>0.3*1</f>
        <v>0.3</v>
      </c>
      <c r="D173" s="330">
        <v>20</v>
      </c>
      <c r="E173" s="331">
        <v>100</v>
      </c>
      <c r="F173" s="329">
        <v>22.196286749999999</v>
      </c>
      <c r="G173" s="329">
        <v>24.737253169999999</v>
      </c>
      <c r="H173" s="332">
        <f>G173-F173</f>
        <v>2.5409664200000002</v>
      </c>
      <c r="J173" s="307"/>
      <c r="M173" s="313"/>
      <c r="N173" s="313"/>
      <c r="P173" s="313"/>
    </row>
    <row r="174" spans="2:16">
      <c r="B174" s="287" t="s">
        <v>239</v>
      </c>
      <c r="C174" s="287" t="s">
        <v>23</v>
      </c>
      <c r="D174" s="333">
        <v>30</v>
      </c>
      <c r="E174" s="334">
        <v>130</v>
      </c>
      <c r="F174" s="335">
        <v>21.885597520000001</v>
      </c>
      <c r="G174" s="335">
        <v>24.39830598</v>
      </c>
      <c r="H174" s="336">
        <f>G174-F174</f>
        <v>2.5127084599999989</v>
      </c>
    </row>
    <row r="175" spans="2:16">
      <c r="B175" s="287"/>
      <c r="C175" s="287"/>
      <c r="D175" s="287"/>
      <c r="E175" s="287"/>
      <c r="F175" s="287"/>
      <c r="G175" s="287"/>
      <c r="H175" s="287"/>
      <c r="J175" s="338"/>
      <c r="L175" s="338"/>
    </row>
    <row r="176" spans="2:16" ht="18.75">
      <c r="B176" s="287"/>
      <c r="C176" s="287"/>
      <c r="D176" s="495" t="s">
        <v>0</v>
      </c>
      <c r="E176" s="441" t="s">
        <v>1</v>
      </c>
      <c r="F176" s="441" t="s">
        <v>237</v>
      </c>
      <c r="G176" s="441" t="s">
        <v>136</v>
      </c>
      <c r="H176" s="442" t="s">
        <v>137</v>
      </c>
      <c r="J176" s="338"/>
      <c r="L176" s="338"/>
    </row>
    <row r="177" spans="1:11">
      <c r="B177" s="287" t="s">
        <v>222</v>
      </c>
      <c r="C177" s="329">
        <f>0.0265-0.0157</f>
        <v>1.0800000000000001E-2</v>
      </c>
      <c r="D177" s="330">
        <v>20</v>
      </c>
      <c r="E177" s="331">
        <v>130</v>
      </c>
      <c r="F177" s="329">
        <v>22.87401023</v>
      </c>
      <c r="G177" s="329">
        <v>25.945139730000001</v>
      </c>
      <c r="H177" s="332">
        <f t="shared" ref="H177" si="44">G177-F177</f>
        <v>3.0711295000000014</v>
      </c>
    </row>
    <row r="178" spans="1:11">
      <c r="B178" s="287" t="s">
        <v>238</v>
      </c>
      <c r="C178" s="329">
        <f>0.3*1.5</f>
        <v>0.44999999999999996</v>
      </c>
      <c r="D178" s="330">
        <v>20</v>
      </c>
      <c r="E178" s="331">
        <v>100</v>
      </c>
      <c r="F178" s="329">
        <v>22.198987590000002</v>
      </c>
      <c r="G178" s="329">
        <v>24.75360556</v>
      </c>
      <c r="H178" s="332">
        <f>G178-F178</f>
        <v>2.5546179699999989</v>
      </c>
    </row>
    <row r="179" spans="1:11">
      <c r="B179" s="287" t="s">
        <v>239</v>
      </c>
      <c r="C179" s="287" t="s">
        <v>58</v>
      </c>
      <c r="D179" s="333">
        <v>30</v>
      </c>
      <c r="E179" s="334">
        <v>130</v>
      </c>
      <c r="F179" s="335">
        <v>22.19330652</v>
      </c>
      <c r="G179" s="335">
        <v>25.606138300000001</v>
      </c>
      <c r="H179" s="336">
        <f>G179-F179</f>
        <v>3.4128317800000012</v>
      </c>
    </row>
    <row r="180" spans="1:11">
      <c r="B180" s="287" t="s">
        <v>222</v>
      </c>
      <c r="C180" s="329">
        <f>0.0157</f>
        <v>1.5699999999999999E-2</v>
      </c>
      <c r="D180" s="330">
        <v>20</v>
      </c>
      <c r="E180" s="331">
        <v>130</v>
      </c>
      <c r="F180" s="329">
        <v>22.886583080000001</v>
      </c>
      <c r="G180" s="329">
        <v>26.643352310000001</v>
      </c>
      <c r="H180" s="332">
        <f t="shared" ref="H180" si="45">G180-F180</f>
        <v>3.7567692299999997</v>
      </c>
      <c r="J180" s="435"/>
      <c r="K180" s="435"/>
    </row>
    <row r="181" spans="1:11">
      <c r="B181" s="287" t="s">
        <v>238</v>
      </c>
      <c r="C181" s="329">
        <f>0.3*1</f>
        <v>0.3</v>
      </c>
      <c r="D181" s="330">
        <v>20</v>
      </c>
      <c r="E181" s="331">
        <v>100</v>
      </c>
      <c r="F181" s="329">
        <v>22.081920329999999</v>
      </c>
      <c r="G181" s="329">
        <v>25.0954941</v>
      </c>
      <c r="H181" s="332">
        <f>G181-F181</f>
        <v>3.0135737700000007</v>
      </c>
      <c r="J181" s="435"/>
      <c r="K181" s="435"/>
    </row>
    <row r="182" spans="1:11">
      <c r="B182" s="287" t="s">
        <v>239</v>
      </c>
      <c r="C182" s="287" t="s">
        <v>58</v>
      </c>
      <c r="D182" s="333">
        <v>30</v>
      </c>
      <c r="E182" s="334">
        <v>130</v>
      </c>
      <c r="F182" s="335">
        <v>22.965745510000001</v>
      </c>
      <c r="G182" s="335">
        <v>27.077814320000002</v>
      </c>
      <c r="H182" s="336">
        <f>G182-F182</f>
        <v>4.1120688100000002</v>
      </c>
      <c r="J182" s="435"/>
      <c r="K182" s="435"/>
    </row>
    <row r="183" spans="1:11">
      <c r="B183" s="287"/>
      <c r="C183" s="287"/>
      <c r="D183" s="287"/>
      <c r="E183" s="287"/>
      <c r="F183" s="287"/>
      <c r="G183" s="287"/>
      <c r="H183" s="287"/>
      <c r="I183" s="435"/>
      <c r="J183" s="435"/>
      <c r="K183" s="435"/>
    </row>
    <row r="184" spans="1:11">
      <c r="A184" s="510" t="s">
        <v>248</v>
      </c>
      <c r="B184" s="511"/>
      <c r="C184" s="511"/>
      <c r="D184" s="511"/>
      <c r="E184" s="511"/>
      <c r="F184" s="511"/>
      <c r="G184" s="511"/>
      <c r="H184" s="511"/>
      <c r="I184" s="435" t="s">
        <v>240</v>
      </c>
      <c r="J184" s="435"/>
      <c r="K184" s="435"/>
    </row>
    <row r="185" spans="1:11">
      <c r="A185" s="435" t="s">
        <v>241</v>
      </c>
      <c r="J185" s="435"/>
      <c r="K185" s="435"/>
    </row>
    <row r="186" spans="1:11">
      <c r="I186" s="435"/>
      <c r="J186" s="435"/>
      <c r="K186" s="435"/>
    </row>
    <row r="187" spans="1:11" ht="18.75">
      <c r="A187" s="287"/>
      <c r="B187" s="287"/>
      <c r="C187" s="287"/>
      <c r="D187" s="495" t="s">
        <v>0</v>
      </c>
      <c r="E187" s="441" t="s">
        <v>1</v>
      </c>
      <c r="F187" s="441" t="s">
        <v>237</v>
      </c>
      <c r="G187" s="441" t="s">
        <v>136</v>
      </c>
      <c r="H187" s="442" t="s">
        <v>137</v>
      </c>
      <c r="I187" s="287"/>
      <c r="J187" s="435"/>
      <c r="K187" s="435"/>
    </row>
    <row r="188" spans="1:11">
      <c r="A188" s="287"/>
      <c r="B188" s="287" t="s">
        <v>222</v>
      </c>
      <c r="C188" s="329">
        <f>0.0315-0.0157</f>
        <v>1.5800000000000002E-2</v>
      </c>
      <c r="D188" s="330">
        <v>15</v>
      </c>
      <c r="E188" s="331">
        <v>133</v>
      </c>
      <c r="F188" s="329">
        <v>22.346464059999999</v>
      </c>
      <c r="G188" s="329">
        <v>25.888701579999999</v>
      </c>
      <c r="H188" s="332">
        <f t="shared" ref="H188" si="46">G188-F188</f>
        <v>3.5422375200000005</v>
      </c>
      <c r="I188" s="287"/>
      <c r="J188" s="435"/>
      <c r="K188" s="435"/>
    </row>
    <row r="189" spans="1:11">
      <c r="A189" s="287"/>
      <c r="B189" s="287" t="s">
        <v>238</v>
      </c>
      <c r="C189" s="329">
        <f>0.3*2</f>
        <v>0.6</v>
      </c>
      <c r="D189" s="330">
        <v>20</v>
      </c>
      <c r="E189" s="331">
        <v>100</v>
      </c>
      <c r="F189" s="329">
        <v>21.85318749</v>
      </c>
      <c r="G189" s="329">
        <v>24.756772059999999</v>
      </c>
      <c r="H189" s="332">
        <f>G189-F189</f>
        <v>2.9035845699999996</v>
      </c>
      <c r="I189" s="287"/>
      <c r="J189" s="435"/>
      <c r="K189" s="435"/>
    </row>
    <row r="190" spans="1:11">
      <c r="A190" s="287"/>
      <c r="B190" s="287" t="s">
        <v>239</v>
      </c>
      <c r="C190" s="287" t="s">
        <v>60</v>
      </c>
      <c r="D190" s="333">
        <v>30</v>
      </c>
      <c r="E190" s="334">
        <v>130</v>
      </c>
      <c r="F190" s="335">
        <v>21.858961690000001</v>
      </c>
      <c r="G190" s="335">
        <v>25.930328630000002</v>
      </c>
      <c r="H190" s="336">
        <f>G190-F190</f>
        <v>4.0713669400000008</v>
      </c>
      <c r="I190" s="287"/>
      <c r="J190" s="435"/>
      <c r="K190" s="435"/>
    </row>
    <row r="191" spans="1:11">
      <c r="A191" s="287"/>
      <c r="B191" s="287" t="s">
        <v>222</v>
      </c>
      <c r="C191" s="329">
        <f>0.0157</f>
        <v>1.5699999999999999E-2</v>
      </c>
      <c r="D191" s="330">
        <v>20</v>
      </c>
      <c r="E191" s="331">
        <v>130</v>
      </c>
      <c r="F191" s="329">
        <v>21.563432039999999</v>
      </c>
      <c r="G191" s="329">
        <v>24.99917129</v>
      </c>
      <c r="H191" s="332">
        <f t="shared" ref="H191" si="47">G191-F191</f>
        <v>3.435739250000001</v>
      </c>
      <c r="I191" s="287"/>
      <c r="J191" s="435"/>
      <c r="K191" s="435"/>
    </row>
    <row r="192" spans="1:11">
      <c r="A192" s="287"/>
      <c r="B192" s="287" t="s">
        <v>238</v>
      </c>
      <c r="C192" s="329">
        <f>0.3*2</f>
        <v>0.6</v>
      </c>
      <c r="D192" s="330">
        <v>20</v>
      </c>
      <c r="E192" s="331">
        <v>100</v>
      </c>
      <c r="F192" s="329">
        <v>23.57818327</v>
      </c>
      <c r="G192" s="329">
        <v>26.627093049999999</v>
      </c>
      <c r="H192" s="332">
        <f>G192-F192</f>
        <v>3.0489097799999989</v>
      </c>
      <c r="I192" s="287"/>
    </row>
    <row r="193" spans="1:13">
      <c r="A193" s="287"/>
      <c r="B193" s="287" t="s">
        <v>239</v>
      </c>
      <c r="C193" s="287" t="s">
        <v>60</v>
      </c>
      <c r="D193" s="333">
        <v>30</v>
      </c>
      <c r="E193" s="334">
        <v>130</v>
      </c>
      <c r="F193" s="335">
        <v>22.15426312</v>
      </c>
      <c r="G193" s="335">
        <v>26.449303560000001</v>
      </c>
      <c r="H193" s="336">
        <f>G193-F193</f>
        <v>4.2950404400000011</v>
      </c>
      <c r="I193" s="287"/>
    </row>
    <row r="194" spans="1:13" ht="18.75">
      <c r="A194" s="287"/>
      <c r="B194" s="287"/>
      <c r="C194" s="287"/>
      <c r="D194" s="495" t="s">
        <v>0</v>
      </c>
      <c r="E194" s="441" t="s">
        <v>1</v>
      </c>
      <c r="F194" s="441" t="s">
        <v>237</v>
      </c>
      <c r="G194" s="441" t="s">
        <v>136</v>
      </c>
      <c r="H194" s="442" t="s">
        <v>137</v>
      </c>
      <c r="I194" s="287"/>
      <c r="J194" s="350"/>
    </row>
    <row r="195" spans="1:13">
      <c r="A195" s="287"/>
      <c r="B195" s="287" t="s">
        <v>222</v>
      </c>
      <c r="C195" s="329">
        <f>0.0296-0.0169</f>
        <v>1.2700000000000003E-2</v>
      </c>
      <c r="D195" s="330">
        <v>15</v>
      </c>
      <c r="E195" s="331">
        <v>133</v>
      </c>
      <c r="F195" s="329">
        <v>22.87317204</v>
      </c>
      <c r="G195" s="329">
        <v>25.436451309999999</v>
      </c>
      <c r="H195" s="332">
        <f t="shared" ref="H195" si="48">G195-F195</f>
        <v>2.5632792699999989</v>
      </c>
      <c r="I195" s="287"/>
      <c r="J195" s="350"/>
    </row>
    <row r="196" spans="1:13">
      <c r="A196" s="287"/>
      <c r="B196" s="287" t="s">
        <v>238</v>
      </c>
      <c r="C196" s="329">
        <f>0.3*1</f>
        <v>0.3</v>
      </c>
      <c r="D196" s="330">
        <v>20</v>
      </c>
      <c r="E196" s="331">
        <v>100</v>
      </c>
      <c r="F196" s="329">
        <v>22.23670615</v>
      </c>
      <c r="G196" s="329">
        <v>24.412368950000001</v>
      </c>
      <c r="H196" s="332">
        <f>G196-F196</f>
        <v>2.1756628000000013</v>
      </c>
      <c r="I196" s="287"/>
      <c r="J196" s="350"/>
      <c r="M196" s="407"/>
    </row>
    <row r="197" spans="1:13">
      <c r="A197" s="287"/>
      <c r="B197" s="287" t="s">
        <v>239</v>
      </c>
      <c r="C197" s="329">
        <f>C195/0.026*C196</f>
        <v>0.14653846153846159</v>
      </c>
      <c r="D197" s="333">
        <v>30</v>
      </c>
      <c r="E197" s="334">
        <v>130</v>
      </c>
      <c r="F197" s="335">
        <v>21.862852270000001</v>
      </c>
      <c r="G197" s="335">
        <v>24.756399529999999</v>
      </c>
      <c r="H197" s="336">
        <f>G197-F197</f>
        <v>2.8935472599999983</v>
      </c>
      <c r="I197" s="287"/>
      <c r="J197" s="350"/>
      <c r="L197" s="344"/>
      <c r="M197" s="344"/>
    </row>
    <row r="198" spans="1:13">
      <c r="A198" s="287"/>
      <c r="B198" s="287" t="s">
        <v>222</v>
      </c>
      <c r="C198" s="329">
        <f>0.0157</f>
        <v>1.5699999999999999E-2</v>
      </c>
      <c r="D198" s="330">
        <v>20</v>
      </c>
      <c r="E198" s="331">
        <v>130</v>
      </c>
      <c r="F198" s="329">
        <v>21.849927860000001</v>
      </c>
      <c r="G198" s="329">
        <v>25.606603960000001</v>
      </c>
      <c r="H198" s="332">
        <f t="shared" ref="H198" si="49">G198-F198</f>
        <v>3.7566761</v>
      </c>
      <c r="I198" s="287"/>
      <c r="J198" s="350"/>
      <c r="L198" s="344"/>
      <c r="M198" s="344"/>
    </row>
    <row r="199" spans="1:13">
      <c r="A199" s="287"/>
      <c r="B199" s="287" t="s">
        <v>238</v>
      </c>
      <c r="C199" s="329">
        <f>0.3*1</f>
        <v>0.3</v>
      </c>
      <c r="D199" s="330">
        <v>20</v>
      </c>
      <c r="E199" s="331">
        <v>100</v>
      </c>
      <c r="F199" s="329">
        <v>22.28699757</v>
      </c>
      <c r="G199" s="329">
        <v>25.17176942</v>
      </c>
      <c r="H199" s="332">
        <f>G199-F199</f>
        <v>2.8847718499999999</v>
      </c>
      <c r="I199" s="329"/>
      <c r="J199" s="350"/>
      <c r="L199" s="344"/>
      <c r="M199" s="344"/>
    </row>
    <row r="200" spans="1:13">
      <c r="A200" s="287"/>
      <c r="B200" s="287" t="s">
        <v>239</v>
      </c>
      <c r="C200" s="329">
        <f>C198/0.026*C199</f>
        <v>0.18115384615384614</v>
      </c>
      <c r="D200" s="333">
        <v>30</v>
      </c>
      <c r="E200" s="334">
        <v>130</v>
      </c>
      <c r="F200" s="335">
        <v>21.8526287</v>
      </c>
      <c r="G200" s="335">
        <v>25.950820799999999</v>
      </c>
      <c r="H200" s="336">
        <f>G200-F200</f>
        <v>4.0981920999999986</v>
      </c>
      <c r="I200" s="329"/>
      <c r="J200" s="350"/>
      <c r="L200" s="344"/>
      <c r="M200" s="344"/>
    </row>
    <row r="201" spans="1:13">
      <c r="A201" s="287"/>
      <c r="B201" s="287"/>
      <c r="C201" s="287"/>
      <c r="D201" s="287"/>
      <c r="E201" s="287"/>
      <c r="F201" s="287"/>
      <c r="G201" s="287"/>
      <c r="H201" s="287"/>
      <c r="I201" s="329"/>
      <c r="J201" s="350"/>
      <c r="L201" s="344"/>
      <c r="M201" s="344"/>
    </row>
    <row r="202" spans="1:13" ht="18.75">
      <c r="A202" s="287"/>
      <c r="B202" s="287"/>
      <c r="C202" s="287"/>
      <c r="D202" s="495" t="s">
        <v>0</v>
      </c>
      <c r="E202" s="441" t="s">
        <v>1</v>
      </c>
      <c r="F202" s="441" t="s">
        <v>237</v>
      </c>
      <c r="G202" s="441" t="s">
        <v>136</v>
      </c>
      <c r="H202" s="442" t="s">
        <v>137</v>
      </c>
      <c r="I202" s="287"/>
    </row>
    <row r="203" spans="1:13">
      <c r="A203" s="287"/>
      <c r="B203" s="287" t="s">
        <v>222</v>
      </c>
      <c r="C203" s="329">
        <f>0.0296-0.0106</f>
        <v>1.9000000000000003E-2</v>
      </c>
      <c r="D203" s="330">
        <v>15</v>
      </c>
      <c r="E203" s="331">
        <v>133</v>
      </c>
      <c r="F203" s="329">
        <v>22.017938470000001</v>
      </c>
      <c r="G203" s="329">
        <v>26.912318280000001</v>
      </c>
      <c r="H203" s="332">
        <f t="shared" ref="H203" si="50">G203-F203</f>
        <v>4.8943798100000002</v>
      </c>
      <c r="I203" s="287"/>
    </row>
    <row r="204" spans="1:13">
      <c r="A204" s="287"/>
      <c r="B204" s="287" t="s">
        <v>238</v>
      </c>
      <c r="C204" s="329">
        <f>0.3*1.75</f>
        <v>0.52500000000000002</v>
      </c>
      <c r="D204" s="330">
        <v>20</v>
      </c>
      <c r="E204" s="331">
        <v>100</v>
      </c>
      <c r="F204" s="329">
        <v>21.857937239999998</v>
      </c>
      <c r="G204" s="329">
        <v>25.618059219999999</v>
      </c>
      <c r="H204" s="332">
        <f>G204-F204</f>
        <v>3.760121980000001</v>
      </c>
      <c r="I204" s="287"/>
    </row>
    <row r="205" spans="1:13">
      <c r="A205" s="287"/>
      <c r="B205" s="287" t="s">
        <v>239</v>
      </c>
      <c r="C205" s="287" t="s">
        <v>61</v>
      </c>
      <c r="D205" s="333">
        <v>30</v>
      </c>
      <c r="E205" s="334">
        <v>130</v>
      </c>
      <c r="F205" s="335">
        <v>22.194703499999999</v>
      </c>
      <c r="G205" s="335">
        <v>27.3086892</v>
      </c>
      <c r="H205" s="336">
        <f>G205-F205</f>
        <v>5.1139857000000006</v>
      </c>
      <c r="I205" s="287"/>
    </row>
    <row r="206" spans="1:13">
      <c r="A206" s="287"/>
      <c r="B206" s="287" t="s">
        <v>222</v>
      </c>
      <c r="C206" s="329">
        <f>0.0105</f>
        <v>1.0500000000000001E-2</v>
      </c>
      <c r="D206" s="330">
        <v>20</v>
      </c>
      <c r="E206" s="331">
        <v>130</v>
      </c>
      <c r="F206" s="329">
        <v>22.195727959999999</v>
      </c>
      <c r="G206" s="329">
        <v>24.75444375</v>
      </c>
      <c r="H206" s="332">
        <f t="shared" ref="H206" si="51">G206-F206</f>
        <v>2.5587157900000008</v>
      </c>
      <c r="I206" s="287"/>
    </row>
    <row r="207" spans="1:13">
      <c r="A207" s="287"/>
      <c r="B207" s="287" t="s">
        <v>238</v>
      </c>
      <c r="C207" s="329">
        <f>0.3*1.75</f>
        <v>0.52500000000000002</v>
      </c>
      <c r="D207" s="330">
        <v>20</v>
      </c>
      <c r="E207" s="331">
        <v>100</v>
      </c>
      <c r="F207" s="329">
        <v>21.85495701</v>
      </c>
      <c r="G207" s="329">
        <v>23.756065889999999</v>
      </c>
      <c r="H207" s="332">
        <f>G207-F207</f>
        <v>1.9011088799999989</v>
      </c>
      <c r="I207" s="287"/>
    </row>
    <row r="208" spans="1:13">
      <c r="A208" s="287"/>
      <c r="B208" s="287" t="s">
        <v>239</v>
      </c>
      <c r="C208" s="287" t="s">
        <v>61</v>
      </c>
      <c r="D208" s="333">
        <v>30</v>
      </c>
      <c r="E208" s="334">
        <v>130</v>
      </c>
      <c r="F208" s="335">
        <v>22.19256146</v>
      </c>
      <c r="G208" s="335">
        <v>24.949414610000002</v>
      </c>
      <c r="H208" s="336">
        <f>G208-F208</f>
        <v>2.7568531500000013</v>
      </c>
      <c r="I208" s="518"/>
      <c r="J208" s="530"/>
    </row>
    <row r="209" spans="1:10" ht="18.75">
      <c r="A209" s="287"/>
      <c r="B209" s="287"/>
      <c r="C209" s="287"/>
      <c r="D209" s="495" t="s">
        <v>0</v>
      </c>
      <c r="E209" s="441" t="s">
        <v>1</v>
      </c>
      <c r="F209" s="441" t="s">
        <v>237</v>
      </c>
      <c r="G209" s="441" t="s">
        <v>136</v>
      </c>
      <c r="H209" s="442" t="s">
        <v>137</v>
      </c>
      <c r="I209" s="518"/>
      <c r="J209" s="530"/>
    </row>
    <row r="210" spans="1:10">
      <c r="A210" s="287"/>
      <c r="B210" s="287" t="s">
        <v>222</v>
      </c>
      <c r="C210" s="329">
        <f>0.0261-0.0088</f>
        <v>1.7300000000000003E-2</v>
      </c>
      <c r="D210" s="330">
        <v>15</v>
      </c>
      <c r="E210" s="331">
        <v>133</v>
      </c>
      <c r="F210" s="329">
        <v>22.231490749999999</v>
      </c>
      <c r="G210" s="329">
        <v>27.311296899999999</v>
      </c>
      <c r="H210" s="332">
        <f t="shared" ref="H210" si="52">G210-F210</f>
        <v>5.0798061499999996</v>
      </c>
      <c r="I210" s="518"/>
      <c r="J210" s="530"/>
    </row>
    <row r="211" spans="1:10">
      <c r="A211" s="287"/>
      <c r="B211" s="287" t="s">
        <v>238</v>
      </c>
      <c r="C211" s="329">
        <f>0.3*1.75</f>
        <v>0.52500000000000002</v>
      </c>
      <c r="D211" s="330">
        <v>20</v>
      </c>
      <c r="E211" s="331">
        <v>100</v>
      </c>
      <c r="F211" s="329">
        <v>22.20196782</v>
      </c>
      <c r="G211" s="329">
        <v>25.953521640000002</v>
      </c>
      <c r="H211" s="332">
        <f>G211-F211</f>
        <v>3.7515538200000016</v>
      </c>
      <c r="I211" s="526"/>
      <c r="J211" s="530"/>
    </row>
    <row r="212" spans="1:10">
      <c r="A212" s="287"/>
      <c r="B212" s="287" t="s">
        <v>239</v>
      </c>
      <c r="C212" s="287" t="s">
        <v>61</v>
      </c>
      <c r="D212" s="333">
        <v>30</v>
      </c>
      <c r="E212" s="334">
        <v>130</v>
      </c>
      <c r="F212" s="335">
        <v>22.532028560000001</v>
      </c>
      <c r="G212" s="335">
        <v>27.476886059999998</v>
      </c>
      <c r="H212" s="336">
        <f>G212-F212</f>
        <v>4.9448574999999977</v>
      </c>
      <c r="I212" s="526"/>
      <c r="J212" s="530"/>
    </row>
    <row r="213" spans="1:10">
      <c r="A213" s="287"/>
      <c r="B213" s="287"/>
      <c r="C213" s="287"/>
      <c r="D213" s="287"/>
      <c r="E213" s="287"/>
      <c r="F213" s="287"/>
      <c r="G213" s="287"/>
      <c r="H213" s="287"/>
      <c r="I213" s="526"/>
      <c r="J213" s="530"/>
    </row>
    <row r="214" spans="1:10">
      <c r="A214" s="510" t="s">
        <v>253</v>
      </c>
      <c r="B214" s="517"/>
      <c r="C214" s="517"/>
      <c r="D214" s="517"/>
      <c r="E214" s="517"/>
      <c r="F214" s="517"/>
      <c r="G214" s="517"/>
      <c r="H214" s="517"/>
      <c r="I214" s="435" t="s">
        <v>240</v>
      </c>
      <c r="J214" s="530"/>
    </row>
    <row r="215" spans="1:10" ht="18.75">
      <c r="A215" s="435" t="s">
        <v>241</v>
      </c>
      <c r="D215" s="262"/>
      <c r="E215" s="263" t="s">
        <v>0</v>
      </c>
      <c r="F215" s="264" t="s">
        <v>1</v>
      </c>
      <c r="G215" s="264" t="s">
        <v>43</v>
      </c>
      <c r="H215" s="264" t="s">
        <v>44</v>
      </c>
      <c r="I215" s="265" t="s">
        <v>45</v>
      </c>
      <c r="J215" s="530"/>
    </row>
    <row r="216" spans="1:10">
      <c r="C216" s="287" t="s">
        <v>222</v>
      </c>
      <c r="D216" s="283">
        <f>0.0247</f>
        <v>2.47E-2</v>
      </c>
      <c r="E216" s="266">
        <v>20</v>
      </c>
      <c r="F216" s="267">
        <v>100</v>
      </c>
      <c r="G216" s="283">
        <v>23.762678281228446</v>
      </c>
      <c r="H216" s="283">
        <v>42.808132935055077</v>
      </c>
      <c r="I216" s="268">
        <f t="shared" ref="I216" si="53">H216-G216</f>
        <v>19.045454653826631</v>
      </c>
      <c r="J216" s="530"/>
    </row>
    <row r="217" spans="1:10">
      <c r="C217" s="287" t="s">
        <v>238</v>
      </c>
      <c r="D217" s="283">
        <f>0.3*1.3</f>
        <v>0.39</v>
      </c>
      <c r="E217" s="266">
        <v>15</v>
      </c>
      <c r="F217" s="267">
        <v>133</v>
      </c>
      <c r="G217" s="305">
        <v>25.983882754080458</v>
      </c>
      <c r="H217" s="305">
        <v>48.642589819999998</v>
      </c>
      <c r="I217" s="268">
        <f>H217-G217</f>
        <v>22.65870706591954</v>
      </c>
      <c r="J217" s="530"/>
    </row>
    <row r="218" spans="1:10">
      <c r="C218" s="287" t="s">
        <v>239</v>
      </c>
      <c r="D218" t="s">
        <v>62</v>
      </c>
      <c r="E218" s="266">
        <v>26</v>
      </c>
      <c r="F218" s="267">
        <v>100</v>
      </c>
      <c r="G218" s="305">
        <v>24.86825138</v>
      </c>
      <c r="H218" s="305">
        <v>45.462774959999997</v>
      </c>
      <c r="I218" s="268">
        <f>H218-G218</f>
        <v>20.594523579999997</v>
      </c>
      <c r="J218" s="530"/>
    </row>
    <row r="219" spans="1:10">
      <c r="D219" s="283"/>
      <c r="E219" s="269">
        <v>20</v>
      </c>
      <c r="F219" s="270">
        <v>130</v>
      </c>
      <c r="G219" s="284">
        <v>26.312919040000001</v>
      </c>
      <c r="H219" s="284">
        <v>51.035623309999998</v>
      </c>
      <c r="I219" s="271">
        <f t="shared" ref="I219" si="54">H219-G219</f>
        <v>24.722704269999998</v>
      </c>
      <c r="J219" s="530"/>
    </row>
    <row r="220" spans="1:10" ht="18.75">
      <c r="D220" s="262"/>
      <c r="E220" s="263" t="s">
        <v>0</v>
      </c>
      <c r="F220" s="264" t="s">
        <v>1</v>
      </c>
      <c r="G220" s="264" t="s">
        <v>43</v>
      </c>
      <c r="H220" s="264" t="s">
        <v>44</v>
      </c>
      <c r="I220" s="265" t="s">
        <v>45</v>
      </c>
      <c r="J220" s="530"/>
    </row>
    <row r="221" spans="1:10">
      <c r="A221" s="4"/>
      <c r="C221" s="287" t="s">
        <v>222</v>
      </c>
      <c r="D221" s="283">
        <f>0.0195</f>
        <v>1.95E-2</v>
      </c>
      <c r="E221" s="266">
        <v>20</v>
      </c>
      <c r="F221" s="267">
        <v>100</v>
      </c>
      <c r="G221" s="283">
        <v>23.756252159999999</v>
      </c>
      <c r="H221" s="283">
        <v>25.93482303</v>
      </c>
      <c r="I221" s="268">
        <f t="shared" ref="I221" si="55">H221-G221</f>
        <v>2.1785708700000015</v>
      </c>
      <c r="J221" s="530"/>
    </row>
    <row r="222" spans="1:10">
      <c r="C222" s="287" t="s">
        <v>238</v>
      </c>
      <c r="D222" s="283">
        <f>0.3*0.05</f>
        <v>1.4999999999999999E-2</v>
      </c>
      <c r="E222" s="266">
        <v>15</v>
      </c>
      <c r="F222" s="267">
        <v>133</v>
      </c>
      <c r="G222" s="305">
        <v>24.106615730000001</v>
      </c>
      <c r="H222" s="305">
        <v>26.7150610813535</v>
      </c>
      <c r="I222" s="268">
        <f>H222-G222</f>
        <v>2.6084453513534989</v>
      </c>
    </row>
    <row r="223" spans="1:10">
      <c r="C223" s="287" t="s">
        <v>239</v>
      </c>
      <c r="D223" t="s">
        <v>63</v>
      </c>
      <c r="E223" s="266">
        <v>26</v>
      </c>
      <c r="F223" s="267">
        <v>100</v>
      </c>
      <c r="G223" s="305">
        <v>23.76062937</v>
      </c>
      <c r="H223" s="305">
        <v>25.975873379461383</v>
      </c>
      <c r="I223" s="268">
        <f>H223-G223</f>
        <v>2.215244009461383</v>
      </c>
    </row>
    <row r="224" spans="1:10">
      <c r="D224" s="283"/>
      <c r="E224" s="269">
        <v>20</v>
      </c>
      <c r="F224" s="270">
        <v>130</v>
      </c>
      <c r="G224" s="284">
        <v>24.104753079999998</v>
      </c>
      <c r="H224" s="284">
        <v>26.667380430000001</v>
      </c>
      <c r="I224" s="271">
        <f t="shared" ref="I224" si="56">H224-G224</f>
        <v>2.5626273500000032</v>
      </c>
    </row>
    <row r="225" spans="1:12" ht="18.75">
      <c r="D225" s="262"/>
      <c r="E225" s="263" t="s">
        <v>0</v>
      </c>
      <c r="F225" s="264" t="s">
        <v>1</v>
      </c>
      <c r="G225" s="264" t="s">
        <v>43</v>
      </c>
      <c r="H225" s="264" t="s">
        <v>44</v>
      </c>
      <c r="I225" s="265" t="s">
        <v>45</v>
      </c>
    </row>
    <row r="226" spans="1:12">
      <c r="C226" s="287" t="s">
        <v>222</v>
      </c>
      <c r="D226" s="283">
        <f>0.0194</f>
        <v>1.9400000000000001E-2</v>
      </c>
      <c r="E226" s="266">
        <v>20</v>
      </c>
      <c r="F226" s="267">
        <v>100</v>
      </c>
      <c r="G226" s="283">
        <v>23.76109503</v>
      </c>
      <c r="H226" s="283">
        <v>30.978752279999998</v>
      </c>
      <c r="I226" s="268">
        <f t="shared" ref="I226" si="57">H226-G226</f>
        <v>7.2176572499999985</v>
      </c>
      <c r="J226" s="407"/>
    </row>
    <row r="227" spans="1:12">
      <c r="C227" s="287" t="s">
        <v>238</v>
      </c>
      <c r="D227" s="283">
        <f>0.3*0.8</f>
        <v>0.24</v>
      </c>
      <c r="E227" s="266">
        <v>15</v>
      </c>
      <c r="F227" s="267">
        <v>133</v>
      </c>
      <c r="G227" s="305">
        <v>24.784525469999998</v>
      </c>
      <c r="H227" s="305">
        <v>33.129455630000002</v>
      </c>
      <c r="I227" s="268">
        <f>H227-G227</f>
        <v>8.3449301600000041</v>
      </c>
      <c r="J227" s="407"/>
    </row>
    <row r="228" spans="1:12">
      <c r="C228" s="287" t="s">
        <v>239</v>
      </c>
      <c r="D228" s="405" t="s">
        <v>51</v>
      </c>
      <c r="E228" s="266">
        <v>26</v>
      </c>
      <c r="F228" s="267">
        <v>100</v>
      </c>
      <c r="G228" s="305">
        <v>24.10149345</v>
      </c>
      <c r="H228" s="305">
        <v>31.592121368177029</v>
      </c>
      <c r="I228" s="268">
        <f>H228-G228</f>
        <v>7.4906279181770294</v>
      </c>
      <c r="J228" s="368"/>
    </row>
    <row r="229" spans="1:12">
      <c r="A229" s="405"/>
      <c r="D229" s="283"/>
      <c r="E229" s="269">
        <v>20</v>
      </c>
      <c r="F229" s="270">
        <v>130</v>
      </c>
      <c r="G229" s="284">
        <v>24.908857040000001</v>
      </c>
      <c r="H229" s="284">
        <v>33.800473590000003</v>
      </c>
      <c r="I229" s="271">
        <f t="shared" ref="I229" si="58">H229-G229</f>
        <v>8.891616550000002</v>
      </c>
    </row>
    <row r="230" spans="1:12">
      <c r="A230" s="405"/>
      <c r="J230" s="366"/>
    </row>
    <row r="231" spans="1:12">
      <c r="A231" s="405"/>
      <c r="J231" s="367"/>
      <c r="K231" s="366"/>
    </row>
    <row r="232" spans="1:12">
      <c r="A232" s="405"/>
      <c r="J232" s="366"/>
      <c r="K232" s="407"/>
    </row>
    <row r="233" spans="1:12">
      <c r="I233" s="283"/>
      <c r="J233" s="367"/>
      <c r="K233" s="407"/>
    </row>
    <row r="234" spans="1:12">
      <c r="I234" s="283"/>
    </row>
    <row r="235" spans="1:12">
      <c r="I235" s="283"/>
    </row>
    <row r="236" spans="1:12">
      <c r="I236" s="283"/>
    </row>
    <row r="238" spans="1:12">
      <c r="I238" s="262"/>
      <c r="J238" s="371"/>
      <c r="K238" s="371"/>
      <c r="L238" s="373"/>
    </row>
    <row r="239" spans="1:12">
      <c r="I239" s="283"/>
      <c r="J239" s="371"/>
      <c r="K239" s="371"/>
      <c r="L239" s="373"/>
    </row>
    <row r="240" spans="1:12">
      <c r="I240" s="283"/>
      <c r="J240" s="371"/>
      <c r="K240" s="371"/>
      <c r="L240" s="373"/>
    </row>
    <row r="241" spans="9:11">
      <c r="I241" s="283"/>
      <c r="J241" s="371"/>
      <c r="K241" s="371"/>
    </row>
    <row r="242" spans="9:11">
      <c r="I242" s="283"/>
      <c r="J242" s="371"/>
      <c r="K242" s="371"/>
    </row>
    <row r="243" spans="9:11">
      <c r="I243" s="283"/>
      <c r="J243" s="371"/>
      <c r="K243" s="371"/>
    </row>
    <row r="244" spans="9:11">
      <c r="I244" s="283"/>
      <c r="J244" s="371"/>
      <c r="K244" s="371"/>
    </row>
    <row r="261" spans="9:16">
      <c r="I261" s="262"/>
      <c r="J261" s="377"/>
      <c r="K261" s="377"/>
      <c r="M261" s="383"/>
      <c r="N261" s="383"/>
      <c r="P261" s="383"/>
    </row>
    <row r="262" spans="9:16">
      <c r="I262" s="283"/>
      <c r="J262" s="377"/>
      <c r="K262" s="377"/>
    </row>
    <row r="263" spans="9:16">
      <c r="I263" s="283"/>
      <c r="J263" s="377"/>
      <c r="K263" s="377"/>
      <c r="L263" s="383"/>
      <c r="M263" s="407"/>
      <c r="N263" s="407"/>
      <c r="P263" s="383"/>
    </row>
    <row r="264" spans="9:16">
      <c r="I264" s="283"/>
      <c r="J264" s="377"/>
      <c r="K264" s="377"/>
      <c r="M264" s="407"/>
      <c r="N264" s="407"/>
      <c r="P264" s="383"/>
    </row>
    <row r="265" spans="9:16">
      <c r="I265" s="283"/>
      <c r="J265" s="377"/>
      <c r="K265" s="377"/>
    </row>
    <row r="266" spans="9:16">
      <c r="I266" s="283"/>
      <c r="J266" s="377"/>
      <c r="K266" s="377"/>
    </row>
    <row r="267" spans="9:16">
      <c r="I267" s="283"/>
      <c r="J267" s="377"/>
      <c r="K267" s="377"/>
    </row>
    <row r="268" spans="9:16">
      <c r="I268" s="292"/>
      <c r="J268" s="381"/>
      <c r="K268" s="381"/>
    </row>
    <row r="269" spans="9:16">
      <c r="I269" s="293"/>
      <c r="J269" s="381"/>
      <c r="K269" s="381"/>
      <c r="L269" s="383"/>
    </row>
    <row r="270" spans="9:16">
      <c r="I270" s="293"/>
      <c r="J270" s="381"/>
      <c r="K270" s="381"/>
      <c r="L270" s="383"/>
    </row>
    <row r="271" spans="9:16">
      <c r="I271" s="293"/>
      <c r="J271" s="381"/>
      <c r="K271" s="381"/>
    </row>
    <row r="272" spans="9:16">
      <c r="I272" s="293"/>
      <c r="J272" s="381"/>
      <c r="K272" s="381"/>
    </row>
    <row r="273" spans="9:16">
      <c r="I273" s="293"/>
      <c r="J273" s="381"/>
      <c r="K273" s="381"/>
    </row>
    <row r="274" spans="9:16">
      <c r="I274" s="293"/>
      <c r="J274" s="381"/>
      <c r="K274" s="381"/>
    </row>
    <row r="276" spans="9:16">
      <c r="I276" s="262"/>
      <c r="J276" s="382"/>
      <c r="K276" s="382"/>
      <c r="M276" s="384"/>
      <c r="N276" s="384"/>
      <c r="P276" s="384"/>
    </row>
    <row r="277" spans="9:16">
      <c r="I277" s="283"/>
      <c r="J277" s="382"/>
      <c r="K277" s="382"/>
      <c r="M277" s="384"/>
      <c r="N277" s="384"/>
      <c r="P277" s="384"/>
    </row>
    <row r="278" spans="9:16">
      <c r="I278" s="283"/>
      <c r="J278" s="382"/>
      <c r="K278" s="382"/>
      <c r="L278" s="387"/>
      <c r="M278" s="384"/>
      <c r="N278" s="384"/>
      <c r="P278" s="384"/>
    </row>
    <row r="279" spans="9:16">
      <c r="I279" s="283"/>
      <c r="J279" s="382"/>
      <c r="K279" s="382"/>
      <c r="M279" s="384"/>
      <c r="N279" s="384"/>
      <c r="P279" s="384"/>
    </row>
    <row r="280" spans="9:16">
      <c r="I280" s="283"/>
      <c r="J280" s="382"/>
      <c r="K280" s="382"/>
    </row>
    <row r="281" spans="9:16">
      <c r="I281" s="283"/>
      <c r="J281" s="382"/>
      <c r="K281" s="382"/>
    </row>
    <row r="282" spans="9:16">
      <c r="I282" s="283"/>
      <c r="J282" s="382"/>
      <c r="K282" s="382"/>
    </row>
    <row r="283" spans="9:16">
      <c r="I283" s="292"/>
      <c r="J283" s="385"/>
      <c r="K283" s="385"/>
    </row>
    <row r="284" spans="9:16">
      <c r="I284" s="293"/>
      <c r="J284" s="385"/>
      <c r="K284" s="386"/>
    </row>
    <row r="285" spans="9:16">
      <c r="I285" s="293"/>
      <c r="J285" s="385"/>
      <c r="K285" s="386"/>
    </row>
    <row r="286" spans="9:16">
      <c r="I286" s="293"/>
      <c r="J286" s="385"/>
      <c r="K286" s="386"/>
    </row>
    <row r="287" spans="9:16">
      <c r="I287" s="293"/>
      <c r="J287" s="385"/>
      <c r="K287" s="385"/>
    </row>
    <row r="288" spans="9:16">
      <c r="I288" s="293"/>
      <c r="J288" s="385"/>
      <c r="K288" s="385"/>
    </row>
    <row r="289" spans="9:21">
      <c r="I289" s="293"/>
      <c r="J289" s="385"/>
      <c r="K289" s="286"/>
      <c r="L289" s="286"/>
      <c r="M289" s="286"/>
      <c r="N289" s="286"/>
    </row>
    <row r="290" spans="9:21">
      <c r="K290" s="286"/>
      <c r="L290" s="286"/>
      <c r="M290" s="286"/>
      <c r="N290" s="286"/>
    </row>
    <row r="291" spans="9:21">
      <c r="I291" s="262"/>
      <c r="K291" s="286"/>
      <c r="L291" s="286"/>
      <c r="M291" s="286"/>
      <c r="N291" s="286"/>
    </row>
    <row r="292" spans="9:21">
      <c r="I292" s="283"/>
    </row>
    <row r="293" spans="9:21">
      <c r="I293" s="283"/>
      <c r="J293" s="407"/>
    </row>
    <row r="294" spans="9:21">
      <c r="I294" s="283"/>
    </row>
    <row r="295" spans="9:21">
      <c r="I295" s="283"/>
    </row>
    <row r="298" spans="9:21">
      <c r="I298" s="262"/>
    </row>
    <row r="299" spans="9:21">
      <c r="I299" s="283"/>
      <c r="J299" s="407"/>
    </row>
    <row r="300" spans="9:21">
      <c r="I300" s="283"/>
      <c r="J300" s="407"/>
    </row>
    <row r="301" spans="9:21" ht="15.75">
      <c r="I301" s="283"/>
      <c r="M301" s="249" t="s">
        <v>49</v>
      </c>
      <c r="N301" s="504" t="s">
        <v>4</v>
      </c>
      <c r="O301" s="501"/>
      <c r="P301" s="505"/>
      <c r="Q301" s="506"/>
      <c r="R301" s="504" t="s">
        <v>36</v>
      </c>
      <c r="S301" s="501"/>
      <c r="T301" s="505"/>
      <c r="U301" s="506"/>
    </row>
    <row r="302" spans="9:21">
      <c r="I302" s="283"/>
      <c r="M302" s="408" t="s">
        <v>31</v>
      </c>
      <c r="N302" s="409" t="s">
        <v>32</v>
      </c>
      <c r="O302" s="409" t="s">
        <v>65</v>
      </c>
      <c r="P302" s="251" t="s">
        <v>33</v>
      </c>
      <c r="Q302" s="252" t="s">
        <v>34</v>
      </c>
      <c r="R302" s="251" t="s">
        <v>32</v>
      </c>
      <c r="S302" s="403" t="s">
        <v>65</v>
      </c>
      <c r="T302" s="251" t="s">
        <v>33</v>
      </c>
      <c r="U302" s="252" t="s">
        <v>34</v>
      </c>
    </row>
    <row r="303" spans="9:21">
      <c r="M303" s="410">
        <v>0</v>
      </c>
      <c r="N303" s="411">
        <v>1.6557260869565218</v>
      </c>
      <c r="O303" s="411">
        <v>1.9782633913043481</v>
      </c>
      <c r="P303" s="71">
        <v>0.87536197890300094</v>
      </c>
      <c r="Q303" s="73">
        <v>1.2576990004861199</v>
      </c>
      <c r="R303" s="12">
        <v>0</v>
      </c>
      <c r="S303" s="12">
        <v>0</v>
      </c>
      <c r="T303" s="12">
        <v>0</v>
      </c>
      <c r="U303" s="253">
        <v>0</v>
      </c>
    </row>
    <row r="304" spans="9:21">
      <c r="I304" s="262"/>
      <c r="M304" s="352">
        <f>0.3*0.75</f>
        <v>0.22499999999999998</v>
      </c>
      <c r="N304" s="413">
        <v>5.3852955844084889</v>
      </c>
      <c r="O304" s="413">
        <v>6.8852955844084898</v>
      </c>
      <c r="P304" s="7">
        <v>3.3190550360552655</v>
      </c>
      <c r="Q304" s="8">
        <v>3.6571947902820838</v>
      </c>
      <c r="R304" s="7">
        <f>N304-$N$303</f>
        <v>3.7295694974519673</v>
      </c>
      <c r="S304" s="7">
        <f>O304-$O$303</f>
        <v>4.9070321931041416</v>
      </c>
      <c r="T304" s="7">
        <f>P304-$P$303</f>
        <v>2.4436930571522648</v>
      </c>
      <c r="U304" s="8">
        <f>Q304-$Q$303</f>
        <v>2.3994957897959637</v>
      </c>
    </row>
    <row r="305" spans="2:21">
      <c r="I305" s="283"/>
      <c r="J305" s="407"/>
      <c r="M305" s="352">
        <f>0.3*0.5</f>
        <v>0.15</v>
      </c>
      <c r="N305" s="407">
        <v>4.5492308328885471</v>
      </c>
      <c r="O305" s="407">
        <v>5.4392078153614918</v>
      </c>
      <c r="P305" s="7">
        <v>2.3403668305951073</v>
      </c>
      <c r="Q305" s="8">
        <v>2.8075146112082363</v>
      </c>
      <c r="R305" s="7">
        <f t="shared" ref="R305" si="59">N305-$N$303</f>
        <v>2.8935047459320256</v>
      </c>
      <c r="S305" s="7">
        <f t="shared" ref="S305" si="60">O305-$O$303</f>
        <v>3.4609444240571436</v>
      </c>
      <c r="T305" s="7">
        <f>P305-$P$303</f>
        <v>1.4650048516921064</v>
      </c>
      <c r="U305" s="8">
        <f>Q305-$P$303</f>
        <v>1.9321526323052354</v>
      </c>
    </row>
    <row r="306" spans="2:21">
      <c r="I306" s="283"/>
      <c r="J306" s="407"/>
      <c r="M306" s="352">
        <v>1.4999999999999999E-2</v>
      </c>
      <c r="N306" s="413">
        <v>2.2430708700000017</v>
      </c>
      <c r="O306" s="413">
        <v>2.6624453513534991</v>
      </c>
      <c r="P306" s="7">
        <v>1.6525708782838606</v>
      </c>
      <c r="Q306" s="8">
        <v>1.9210219407909139</v>
      </c>
      <c r="R306" s="7">
        <f>N306-$N$303</f>
        <v>0.58734478304347992</v>
      </c>
      <c r="S306" s="7">
        <f>O306-$O$303</f>
        <v>0.68418196004915099</v>
      </c>
      <c r="T306" s="7">
        <f>P306-$P$303</f>
        <v>0.77720889938085969</v>
      </c>
      <c r="U306" s="8">
        <f>Q306-$P$303</f>
        <v>1.045659961887913</v>
      </c>
    </row>
    <row r="307" spans="2:21">
      <c r="I307" s="283"/>
      <c r="M307" s="352">
        <v>0.3</v>
      </c>
      <c r="N307" s="407">
        <v>8.0379638364293324</v>
      </c>
      <c r="O307" s="407">
        <v>9.42023408271276</v>
      </c>
      <c r="P307" s="7">
        <v>4.0673710763563804</v>
      </c>
      <c r="Q307" s="8">
        <v>4.9712870104308973</v>
      </c>
      <c r="R307" s="7">
        <f>N307-$N$303</f>
        <v>6.3822377494728109</v>
      </c>
      <c r="S307" s="7">
        <f>O307-$O$303</f>
        <v>7.4419706914084118</v>
      </c>
      <c r="T307" s="7">
        <f>P307-$P$303</f>
        <v>3.1920090974533792</v>
      </c>
      <c r="U307" s="8">
        <f>Q307-$P$303</f>
        <v>4.0959250315278961</v>
      </c>
    </row>
    <row r="308" spans="2:21">
      <c r="I308" s="283"/>
      <c r="M308" s="352">
        <v>7.4999999999999997E-2</v>
      </c>
      <c r="N308" s="413">
        <v>2.82</v>
      </c>
      <c r="O308" s="414">
        <v>3.8758885667257101</v>
      </c>
      <c r="P308" s="370">
        <v>6.4637326650000002</v>
      </c>
      <c r="Q308" s="247">
        <v>7.0589868850000004</v>
      </c>
      <c r="R308" s="7">
        <f>N308-$N$303</f>
        <v>1.164273913043478</v>
      </c>
      <c r="S308" s="7">
        <f>O308-$O$303</f>
        <v>1.897625175421362</v>
      </c>
      <c r="T308" s="7"/>
      <c r="U308" s="8"/>
    </row>
    <row r="309" spans="2:21">
      <c r="M309" s="353">
        <v>0.24</v>
      </c>
      <c r="N309" s="415">
        <v>7.2818572499999981</v>
      </c>
      <c r="O309" s="416">
        <v>7.8160301600000039</v>
      </c>
      <c r="P309" s="281">
        <v>6.8255660699999998</v>
      </c>
      <c r="Q309" s="248">
        <v>7.7451733699999998</v>
      </c>
      <c r="R309" s="7">
        <f>N309-$N$303</f>
        <v>5.6261311630434765</v>
      </c>
      <c r="S309" s="7">
        <f>O309-$O$303</f>
        <v>5.8377667686956558</v>
      </c>
      <c r="T309" s="7"/>
      <c r="U309" s="8"/>
    </row>
    <row r="310" spans="2:21">
      <c r="B310" s="406"/>
      <c r="C310" s="262"/>
      <c r="D310" s="407"/>
      <c r="E310" s="407"/>
      <c r="F310" s="407"/>
      <c r="G310" s="407"/>
      <c r="H310" s="407"/>
      <c r="I310" s="407"/>
      <c r="T310" s="7"/>
      <c r="U310" s="8"/>
    </row>
    <row r="311" spans="2:21">
      <c r="B311" s="406"/>
      <c r="C311" s="283"/>
      <c r="D311" s="407"/>
      <c r="E311" s="407"/>
      <c r="F311" s="407"/>
      <c r="G311" s="407"/>
      <c r="H311" s="407"/>
      <c r="I311" s="407"/>
    </row>
    <row r="312" spans="2:21">
      <c r="B312" s="406"/>
      <c r="C312" s="283"/>
      <c r="D312" s="407"/>
      <c r="E312" s="407"/>
      <c r="F312" s="407"/>
      <c r="G312" s="407"/>
      <c r="H312" s="407"/>
      <c r="I312" s="407"/>
      <c r="R312" s="17"/>
      <c r="S312" s="17"/>
      <c r="T312" s="17"/>
      <c r="U312" s="372"/>
    </row>
    <row r="313" spans="2:21">
      <c r="B313" s="406"/>
      <c r="C313" s="404"/>
      <c r="D313" s="407"/>
      <c r="E313" s="407"/>
      <c r="F313" s="407"/>
      <c r="G313" s="407"/>
      <c r="H313" s="407"/>
      <c r="I313" s="407"/>
    </row>
    <row r="314" spans="2:21">
      <c r="B314" s="406"/>
      <c r="C314" s="283"/>
      <c r="D314" s="407"/>
      <c r="E314" s="407"/>
      <c r="F314" s="407"/>
      <c r="G314" s="407"/>
      <c r="H314" s="407"/>
      <c r="I314" s="407"/>
    </row>
    <row r="315" spans="2:21">
      <c r="I315" s="407"/>
      <c r="K315" s="407"/>
    </row>
    <row r="316" spans="2:21">
      <c r="D316" t="s">
        <v>70</v>
      </c>
    </row>
    <row r="317" spans="2:21">
      <c r="C317" t="s">
        <v>251</v>
      </c>
      <c r="D317" s="244" t="s">
        <v>252</v>
      </c>
      <c r="E317" s="423">
        <v>1</v>
      </c>
      <c r="F317" s="423">
        <v>2</v>
      </c>
      <c r="G317" s="245">
        <v>3</v>
      </c>
    </row>
    <row r="318" spans="2:21">
      <c r="D318" s="246">
        <v>0</v>
      </c>
      <c r="E318" s="370">
        <v>2.1643478260869564</v>
      </c>
      <c r="F318" s="370">
        <v>2.220831943799972</v>
      </c>
      <c r="G318" s="247">
        <v>2.2951514896840557</v>
      </c>
    </row>
    <row r="319" spans="2:21">
      <c r="C319">
        <f>D319/0.3</f>
        <v>0.75</v>
      </c>
      <c r="D319" s="246">
        <v>0.22499999999999998</v>
      </c>
      <c r="E319" s="370">
        <v>6.8480604476961009</v>
      </c>
      <c r="F319" s="370">
        <v>6.3762158099999997</v>
      </c>
      <c r="G319" s="247">
        <v>6.434800077843688</v>
      </c>
    </row>
    <row r="320" spans="2:21">
      <c r="C320" s="435">
        <f t="shared" ref="C320:C324" si="61">D320/0.3</f>
        <v>0.5</v>
      </c>
      <c r="D320" s="246">
        <v>0.15</v>
      </c>
      <c r="E320" s="370">
        <v>5.4348000778436916</v>
      </c>
      <c r="F320" s="370">
        <v>5.5757418032134698</v>
      </c>
      <c r="G320" s="247">
        <v>5.4363556499999977</v>
      </c>
    </row>
    <row r="321" spans="3:11">
      <c r="C321" s="435">
        <f t="shared" si="61"/>
        <v>0.05</v>
      </c>
      <c r="D321" s="246">
        <v>1.4999999999999999E-2</v>
      </c>
      <c r="E321" s="370">
        <v>2.6624453513534991</v>
      </c>
      <c r="F321" s="370">
        <v>2.5351353566244001</v>
      </c>
      <c r="G321" s="247">
        <v>2.3535662445351</v>
      </c>
    </row>
    <row r="322" spans="3:11">
      <c r="C322" s="435">
        <f t="shared" si="61"/>
        <v>1</v>
      </c>
      <c r="D322" s="246">
        <v>0.3</v>
      </c>
      <c r="E322" s="370">
        <v>9.42023408271276</v>
      </c>
      <c r="F322" s="370">
        <v>9.4593080700000005</v>
      </c>
      <c r="G322" s="247"/>
    </row>
    <row r="323" spans="3:11">
      <c r="C323" s="435">
        <f t="shared" si="61"/>
        <v>0.25</v>
      </c>
      <c r="D323" s="246">
        <v>7.4999999999999997E-2</v>
      </c>
      <c r="E323" s="370">
        <v>3.9631394352400364</v>
      </c>
      <c r="F323" s="247">
        <v>3.6758885667257002</v>
      </c>
      <c r="G323" s="425"/>
    </row>
    <row r="324" spans="3:11">
      <c r="C324" s="435">
        <f t="shared" si="61"/>
        <v>0.8</v>
      </c>
      <c r="D324" s="424">
        <v>0.24</v>
      </c>
      <c r="E324" s="281">
        <v>8.4223301600000049</v>
      </c>
      <c r="F324" s="281">
        <v>8.4223301600000049</v>
      </c>
      <c r="G324" s="281">
        <v>8.4223301600000049</v>
      </c>
    </row>
    <row r="325" spans="3:11">
      <c r="E325" s="5"/>
      <c r="F325" s="5"/>
      <c r="G325" s="5"/>
    </row>
    <row r="326" spans="3:11">
      <c r="D326" s="435"/>
      <c r="E326" s="435"/>
      <c r="F326" s="435"/>
      <c r="G326" s="435"/>
      <c r="H326" s="435"/>
    </row>
    <row r="327" spans="3:11">
      <c r="D327" s="435"/>
      <c r="E327" s="435"/>
      <c r="F327" s="435"/>
      <c r="G327" s="435"/>
      <c r="H327" s="435"/>
    </row>
    <row r="328" spans="3:11">
      <c r="D328" s="435"/>
      <c r="E328" s="435"/>
      <c r="F328" s="435"/>
      <c r="G328" s="435"/>
      <c r="H328" s="435"/>
      <c r="I328" s="435"/>
      <c r="J328" s="435"/>
      <c r="K328" s="435"/>
    </row>
    <row r="329" spans="3:11">
      <c r="D329" s="435"/>
      <c r="E329" s="435"/>
      <c r="F329" s="435"/>
      <c r="G329" s="435"/>
      <c r="H329" s="435"/>
      <c r="I329" s="435"/>
      <c r="J329" s="435"/>
      <c r="K329" s="435"/>
    </row>
    <row r="330" spans="3:11">
      <c r="D330" s="435"/>
      <c r="E330" s="435"/>
      <c r="F330" s="435"/>
      <c r="G330" s="435"/>
      <c r="H330" s="435"/>
      <c r="I330" s="435"/>
      <c r="J330" s="435"/>
      <c r="K330" s="435"/>
    </row>
    <row r="331" spans="3:11">
      <c r="D331" s="435"/>
      <c r="E331" s="435"/>
      <c r="F331" s="435"/>
      <c r="G331" s="435"/>
      <c r="H331" s="435"/>
      <c r="I331" s="435"/>
      <c r="J331" s="435"/>
      <c r="K331" s="435"/>
    </row>
    <row r="332" spans="3:11">
      <c r="D332" s="435"/>
      <c r="E332" s="435"/>
      <c r="F332" s="435"/>
      <c r="G332" s="435"/>
      <c r="H332" s="435"/>
      <c r="I332" s="435"/>
      <c r="J332" s="435"/>
      <c r="K332" s="435"/>
    </row>
    <row r="333" spans="3:11">
      <c r="D333" s="435"/>
      <c r="E333" s="435"/>
      <c r="F333" s="435"/>
      <c r="G333" s="435"/>
      <c r="H333" s="435"/>
      <c r="I333" s="435"/>
      <c r="J333" s="435"/>
      <c r="K333" s="435"/>
    </row>
    <row r="334" spans="3:11">
      <c r="D334" s="435"/>
      <c r="E334" s="435"/>
      <c r="F334" s="435"/>
      <c r="G334" s="435"/>
      <c r="H334" s="435"/>
    </row>
    <row r="335" spans="3:11">
      <c r="D335" s="435"/>
      <c r="E335" s="435"/>
      <c r="F335" s="435"/>
      <c r="G335" s="435"/>
      <c r="H335" s="435"/>
    </row>
  </sheetData>
  <mergeCells count="6">
    <mergeCell ref="M53:S53"/>
    <mergeCell ref="P54:Q54"/>
    <mergeCell ref="R54:S54"/>
    <mergeCell ref="N301:Q301"/>
    <mergeCell ref="R301:U301"/>
    <mergeCell ref="N54:O54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3"/>
  <sheetViews>
    <sheetView workbookViewId="0">
      <selection activeCell="C15" sqref="C15"/>
    </sheetView>
  </sheetViews>
  <sheetFormatPr defaultRowHeight="15"/>
  <sheetData>
    <row r="3" spans="3:12">
      <c r="C3" s="5"/>
      <c r="D3" s="5" t="s">
        <v>96</v>
      </c>
      <c r="E3" s="5"/>
      <c r="F3" s="5"/>
      <c r="G3" s="5"/>
      <c r="H3" s="5"/>
      <c r="I3" s="5"/>
      <c r="J3" s="5"/>
    </row>
    <row r="4" spans="3:12">
      <c r="C4" s="5"/>
      <c r="D4" s="5" t="s">
        <v>97</v>
      </c>
      <c r="E4" s="5">
        <v>6</v>
      </c>
      <c r="F4" s="5"/>
      <c r="G4" s="5"/>
      <c r="H4" s="5"/>
      <c r="I4" s="5"/>
      <c r="J4" s="5"/>
    </row>
    <row r="5" spans="3:12" ht="16.5">
      <c r="C5" s="5"/>
      <c r="D5" s="5" t="s">
        <v>98</v>
      </c>
      <c r="E5" s="5">
        <v>3.14</v>
      </c>
      <c r="F5" s="5"/>
      <c r="G5" s="5"/>
      <c r="H5" s="5"/>
      <c r="I5" s="5"/>
      <c r="J5" s="5"/>
    </row>
    <row r="6" spans="3:12">
      <c r="C6" s="5"/>
      <c r="D6" s="5" t="s">
        <v>99</v>
      </c>
      <c r="E6" s="5"/>
      <c r="F6" s="5">
        <f>3.14*E15</f>
        <v>1.2000433500384043E-2</v>
      </c>
      <c r="G6" s="5" t="s">
        <v>111</v>
      </c>
      <c r="H6" s="5"/>
      <c r="I6" s="5"/>
      <c r="J6" s="5"/>
    </row>
    <row r="7" spans="3:12" ht="15.75">
      <c r="C7" s="5"/>
      <c r="D7" s="436" t="s">
        <v>100</v>
      </c>
      <c r="E7" s="376" t="s">
        <v>35</v>
      </c>
      <c r="F7" s="374">
        <f>1000*F6/0.0153</f>
        <v>784.34205884863024</v>
      </c>
      <c r="G7" s="374" t="s">
        <v>114</v>
      </c>
      <c r="H7" s="374"/>
      <c r="I7" s="5"/>
      <c r="J7" s="5"/>
      <c r="L7" t="s">
        <v>113</v>
      </c>
    </row>
    <row r="8" spans="3:12">
      <c r="C8" s="5" t="s">
        <v>101</v>
      </c>
      <c r="D8" s="244">
        <f>(E8-2.0708)/23.465</f>
        <v>1.5962128854303845E-2</v>
      </c>
      <c r="E8" s="245">
        <v>2.4453513535662399</v>
      </c>
      <c r="F8" s="5"/>
      <c r="G8" s="5"/>
      <c r="H8" s="5"/>
      <c r="I8" s="5"/>
      <c r="J8" s="5"/>
    </row>
    <row r="9" spans="3:12">
      <c r="C9" s="5" t="s">
        <v>102</v>
      </c>
      <c r="D9" s="246">
        <f t="shared" ref="D9:D14" si="0">(E9-2.0708)/23.465</f>
        <v>1.7374758789686768E-2</v>
      </c>
      <c r="E9" s="247">
        <v>2.4784987150000002</v>
      </c>
      <c r="F9" s="5"/>
      <c r="G9" s="5"/>
      <c r="H9" s="5"/>
      <c r="I9" s="5"/>
      <c r="J9" s="5"/>
    </row>
    <row r="10" spans="3:12">
      <c r="C10" s="5" t="s">
        <v>103</v>
      </c>
      <c r="D10" s="246">
        <f t="shared" si="0"/>
        <v>2.3390278031110146E-2</v>
      </c>
      <c r="E10" s="247">
        <v>2.6196528739999998</v>
      </c>
      <c r="F10" s="5"/>
      <c r="G10" s="5"/>
      <c r="H10" s="5"/>
      <c r="I10" s="5"/>
      <c r="J10" s="5"/>
    </row>
    <row r="11" spans="3:12">
      <c r="C11" s="5" t="s">
        <v>104</v>
      </c>
      <c r="D11" s="246">
        <f t="shared" si="0"/>
        <v>1.496158107820156E-2</v>
      </c>
      <c r="E11" s="247">
        <v>2.4218734999999998</v>
      </c>
      <c r="F11" s="5">
        <f>AVERAGE(E8:E14)</f>
        <v>2.4830514192237487</v>
      </c>
      <c r="G11" s="5">
        <f>F11/1.978263</f>
        <v>1.2551674975590954</v>
      </c>
      <c r="H11" s="5"/>
      <c r="I11" s="5"/>
      <c r="J11" s="5"/>
    </row>
    <row r="12" spans="3:12">
      <c r="C12" s="5" t="s">
        <v>105</v>
      </c>
      <c r="D12" s="246">
        <f t="shared" si="0"/>
        <v>2.0506149584487519E-2</v>
      </c>
      <c r="E12" s="247">
        <v>2.5519767999999998</v>
      </c>
      <c r="F12" s="5"/>
      <c r="G12" s="5"/>
      <c r="H12" s="5"/>
      <c r="I12" s="5"/>
      <c r="J12" s="5"/>
    </row>
    <row r="13" spans="3:12">
      <c r="C13" s="5" t="s">
        <v>106</v>
      </c>
      <c r="D13" s="246">
        <f t="shared" si="0"/>
        <v>1.9015203068399732E-2</v>
      </c>
      <c r="E13" s="247">
        <v>2.5169917399999999</v>
      </c>
      <c r="F13" s="5"/>
      <c r="G13" s="5"/>
      <c r="H13" s="5"/>
      <c r="I13" s="5"/>
      <c r="J13" s="5"/>
    </row>
    <row r="14" spans="3:12">
      <c r="C14" s="5" t="s">
        <v>107</v>
      </c>
      <c r="D14" s="424">
        <f t="shared" si="0"/>
        <v>1.177135955678669E-2</v>
      </c>
      <c r="E14" s="248">
        <v>2.3470149519999999</v>
      </c>
      <c r="F14" s="5"/>
      <c r="G14" s="5"/>
      <c r="H14" s="5"/>
      <c r="I14" s="5"/>
      <c r="J14" s="5"/>
      <c r="L14">
        <f>1000*0.015/0.0153</f>
        <v>980.39215686274508</v>
      </c>
    </row>
    <row r="15" spans="3:12">
      <c r="C15" s="5"/>
      <c r="D15" s="5" t="s">
        <v>108</v>
      </c>
      <c r="E15" s="5">
        <f>_xlfn.STDEV.S(D8:D14)</f>
        <v>3.8217941084025611E-3</v>
      </c>
      <c r="F15" s="5" t="s">
        <v>99</v>
      </c>
      <c r="G15" s="5"/>
      <c r="H15" s="5">
        <f>3.14*E24</f>
        <v>1.814391251182873E-2</v>
      </c>
      <c r="I15" s="5"/>
      <c r="J15" s="5"/>
    </row>
    <row r="16" spans="3:12" ht="15.75">
      <c r="C16" s="5"/>
      <c r="D16" s="436" t="s">
        <v>109</v>
      </c>
      <c r="E16" s="376" t="s">
        <v>35</v>
      </c>
      <c r="F16" s="374" t="s">
        <v>109</v>
      </c>
      <c r="G16" s="374"/>
      <c r="H16" s="374">
        <f>1000*H15/0.0153</f>
        <v>1185.8766347600479</v>
      </c>
      <c r="I16" s="374" t="s">
        <v>112</v>
      </c>
      <c r="J16" s="374"/>
    </row>
    <row r="17" spans="3:10">
      <c r="C17" s="5" t="s">
        <v>101</v>
      </c>
      <c r="D17" s="244">
        <f>(E17-2.1765)/11.046</f>
        <v>4.6112043591787083E-2</v>
      </c>
      <c r="E17" s="245">
        <v>2.6858536335148799</v>
      </c>
      <c r="F17" s="5"/>
      <c r="G17" s="5"/>
      <c r="H17" s="5"/>
      <c r="I17" s="5"/>
      <c r="J17" s="5"/>
    </row>
    <row r="18" spans="3:10">
      <c r="C18" s="5" t="s">
        <v>102</v>
      </c>
      <c r="D18" s="246">
        <f t="shared" ref="D18:D23" si="1">(E18-2.1765)/11.046</f>
        <v>3.0635406481984425E-2</v>
      </c>
      <c r="E18" s="247">
        <v>2.5148986999999998</v>
      </c>
      <c r="F18" s="5"/>
      <c r="G18" s="5"/>
      <c r="H18" s="5"/>
      <c r="I18" s="5"/>
      <c r="J18" s="5"/>
    </row>
    <row r="19" spans="3:10">
      <c r="C19" s="5" t="s">
        <v>103</v>
      </c>
      <c r="D19" s="246">
        <f t="shared" si="1"/>
        <v>4.2667353557848994E-2</v>
      </c>
      <c r="E19" s="247">
        <v>2.6478035873999999</v>
      </c>
      <c r="F19" s="5"/>
      <c r="G19" s="5"/>
      <c r="H19" s="5"/>
      <c r="I19" s="5"/>
      <c r="J19" s="5"/>
    </row>
    <row r="20" spans="3:10">
      <c r="C20" s="5" t="s">
        <v>104</v>
      </c>
      <c r="D20" s="246">
        <f t="shared" si="1"/>
        <v>3.9776867500452659E-2</v>
      </c>
      <c r="E20" s="247">
        <v>2.6158752784099999</v>
      </c>
      <c r="F20" s="5">
        <f>AVERAGE(E17:E23)</f>
        <v>2.621424300046411</v>
      </c>
      <c r="G20" s="5">
        <f>F20/1.978263</f>
        <v>1.3251141531972295</v>
      </c>
      <c r="H20" s="5"/>
      <c r="I20" s="5"/>
      <c r="J20" s="5"/>
    </row>
    <row r="21" spans="3:10">
      <c r="C21" s="5" t="s">
        <v>105</v>
      </c>
      <c r="D21" s="246">
        <f t="shared" si="1"/>
        <v>3.7166025801195018E-2</v>
      </c>
      <c r="E21" s="247">
        <v>2.587035921</v>
      </c>
      <c r="F21" s="5"/>
      <c r="G21" s="5"/>
      <c r="H21" s="5"/>
      <c r="I21" s="5"/>
      <c r="J21" s="5"/>
    </row>
    <row r="22" spans="3:10">
      <c r="C22" s="5" t="s">
        <v>106</v>
      </c>
      <c r="D22" s="246">
        <f t="shared" si="1"/>
        <v>3.8056689299293865E-2</v>
      </c>
      <c r="E22" s="247">
        <v>2.5968741899999999</v>
      </c>
      <c r="F22" s="5"/>
      <c r="G22" s="5"/>
      <c r="H22" s="5"/>
      <c r="I22" s="5"/>
      <c r="J22" s="5"/>
    </row>
    <row r="23" spans="3:10">
      <c r="C23" s="5" t="s">
        <v>107</v>
      </c>
      <c r="D23" s="424">
        <f t="shared" si="1"/>
        <v>4.7540176534492135E-2</v>
      </c>
      <c r="E23" s="248">
        <v>2.70162879</v>
      </c>
      <c r="F23" s="5"/>
      <c r="G23" s="5"/>
      <c r="H23" s="5"/>
      <c r="I23" s="5"/>
      <c r="J23" s="5"/>
    </row>
    <row r="24" spans="3:10">
      <c r="C24" s="5"/>
      <c r="D24" s="5" t="s">
        <v>108</v>
      </c>
      <c r="E24" s="5">
        <f>_xlfn.STDEV.S(D17:D23)</f>
        <v>5.7783160865696589E-3</v>
      </c>
      <c r="F24" s="5" t="s">
        <v>99</v>
      </c>
      <c r="G24" s="5"/>
      <c r="H24" s="5">
        <f>3.14*E33</f>
        <v>3.0935328619008027E-2</v>
      </c>
      <c r="I24" s="5"/>
      <c r="J24" s="5"/>
    </row>
    <row r="25" spans="3:10" ht="15.75">
      <c r="C25" s="5"/>
      <c r="D25" s="436" t="s">
        <v>52</v>
      </c>
      <c r="E25" s="376" t="s">
        <v>35</v>
      </c>
      <c r="F25" s="374" t="s">
        <v>110</v>
      </c>
      <c r="G25" s="374"/>
      <c r="H25" s="374">
        <f>1000*H24/0.0153</f>
        <v>2021.9169032031391</v>
      </c>
      <c r="I25" s="374" t="s">
        <v>114</v>
      </c>
      <c r="J25" s="374"/>
    </row>
    <row r="26" spans="3:10">
      <c r="C26" s="5" t="s">
        <v>101</v>
      </c>
      <c r="D26" s="244">
        <f>(E26-2.0583)/6.0131</f>
        <v>9.1203614608105485E-2</v>
      </c>
      <c r="E26" s="245">
        <v>2.606716454999999</v>
      </c>
      <c r="F26" s="5"/>
      <c r="G26" s="5"/>
      <c r="H26" s="5"/>
      <c r="I26" s="5"/>
      <c r="J26" s="5"/>
    </row>
    <row r="27" spans="3:10">
      <c r="C27" s="5" t="s">
        <v>102</v>
      </c>
      <c r="D27" s="246">
        <f t="shared" ref="D27:D32" si="2">(E27-2.0583)/6.0131</f>
        <v>8.3146962465284122E-2</v>
      </c>
      <c r="E27" s="247">
        <v>2.558271</v>
      </c>
      <c r="F27" s="5"/>
      <c r="G27" s="5"/>
      <c r="H27" s="5"/>
      <c r="I27" s="5"/>
      <c r="J27" s="5"/>
    </row>
    <row r="28" spans="3:10">
      <c r="C28" s="5" t="s">
        <v>103</v>
      </c>
      <c r="D28" s="246">
        <f t="shared" si="2"/>
        <v>7.242247549516885E-2</v>
      </c>
      <c r="E28" s="247">
        <v>2.4937835873999998</v>
      </c>
      <c r="F28" s="5"/>
      <c r="G28" s="5"/>
      <c r="H28" s="5"/>
      <c r="I28" s="5"/>
      <c r="J28" s="5"/>
    </row>
    <row r="29" spans="3:10">
      <c r="C29" s="5" t="s">
        <v>104</v>
      </c>
      <c r="D29" s="246">
        <f t="shared" si="2"/>
        <v>8.1091713763283474E-2</v>
      </c>
      <c r="E29" s="247">
        <v>2.5459125840299999</v>
      </c>
      <c r="F29" s="5">
        <f>AVERAGE(E26:E32)</f>
        <v>2.5582055660471426</v>
      </c>
      <c r="G29" s="5">
        <f>F29/1.978263</f>
        <v>1.2931574649311757</v>
      </c>
      <c r="H29" s="5"/>
      <c r="I29" s="5"/>
      <c r="J29" s="5"/>
    </row>
    <row r="30" spans="3:10">
      <c r="C30" s="5" t="s">
        <v>105</v>
      </c>
      <c r="D30" s="246">
        <f t="shared" si="2"/>
        <v>7.0191460627629709E-2</v>
      </c>
      <c r="E30" s="247">
        <v>2.4803682719000002</v>
      </c>
      <c r="F30" s="5"/>
      <c r="G30" s="5"/>
      <c r="H30" s="5"/>
      <c r="I30" s="5"/>
      <c r="J30" s="5"/>
    </row>
    <row r="31" spans="3:10">
      <c r="C31" s="5" t="s">
        <v>106</v>
      </c>
      <c r="D31" s="246">
        <f t="shared" si="2"/>
        <v>8.5805763083933409E-2</v>
      </c>
      <c r="E31" s="247">
        <v>2.574258634</v>
      </c>
      <c r="F31" s="5"/>
      <c r="G31" s="5"/>
      <c r="H31" s="5"/>
      <c r="I31" s="5"/>
      <c r="J31" s="5"/>
    </row>
    <row r="32" spans="3:10">
      <c r="C32" s="5" t="s">
        <v>107</v>
      </c>
      <c r="D32" s="424">
        <f t="shared" si="2"/>
        <v>9.8090573913621901E-2</v>
      </c>
      <c r="E32" s="248">
        <v>2.6481284299999999</v>
      </c>
      <c r="F32" s="5"/>
      <c r="G32" s="5"/>
      <c r="H32" s="5"/>
      <c r="I32" s="5"/>
      <c r="J32" s="5"/>
    </row>
    <row r="33" spans="3:10">
      <c r="C33" s="5"/>
      <c r="D33" s="5" t="s">
        <v>108</v>
      </c>
      <c r="E33" s="5">
        <f>_xlfn.STDEV.S(D26:D32)</f>
        <v>9.8520154837605182E-3</v>
      </c>
      <c r="F33" s="5"/>
      <c r="G33" s="5"/>
      <c r="H33" s="5"/>
      <c r="I33" s="5"/>
      <c r="J33" s="5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10mgMWCNT</vt:lpstr>
      <vt:lpstr>COOH</vt:lpstr>
      <vt:lpstr>plot</vt:lpstr>
      <vt:lpstr>Mass</vt:lpstr>
      <vt:lpstr>SWCNT</vt:lpstr>
      <vt:lpstr>SWCNTCTAB</vt:lpstr>
      <vt:lpstr>MWCNT</vt:lpstr>
      <vt:lpstr>MDL</vt:lpstr>
      <vt:lpstr>SludgeOnly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dcterms:created xsi:type="dcterms:W3CDTF">2015-08-27T14:24:58Z</dcterms:created>
  <dcterms:modified xsi:type="dcterms:W3CDTF">2017-07-11T20:20:01Z</dcterms:modified>
</cp:coreProperties>
</file>