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LabData\Desktop\Data\"/>
    </mc:Choice>
  </mc:AlternateContent>
  <bookViews>
    <workbookView xWindow="0" yWindow="0" windowWidth="20490" windowHeight="7755" firstSheet="1" activeTab="4"/>
  </bookViews>
  <sheets>
    <sheet name="Sludge" sheetId="1" r:id="rId1"/>
    <sheet name="10mgMWCNT" sheetId="2" r:id="rId2"/>
    <sheet name="20mgSWCNTCTAB" sheetId="3" r:id="rId3"/>
    <sheet name="MWCNT" sheetId="4" r:id="rId4"/>
    <sheet name="Mass" sheetId="8" r:id="rId5"/>
    <sheet name="SWCNT" sheetId="6" r:id="rId6"/>
    <sheet name="COOH" sheetId="7" r:id="rId7"/>
    <sheet name="plot" sheetId="5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3" i="8" l="1"/>
  <c r="P200" i="8"/>
  <c r="P199" i="8"/>
  <c r="P197" i="8"/>
  <c r="P196" i="8"/>
  <c r="P194" i="8"/>
  <c r="P193" i="8"/>
  <c r="K182" i="8"/>
  <c r="P189" i="8"/>
  <c r="P188" i="8"/>
  <c r="P186" i="8"/>
  <c r="P185" i="8"/>
  <c r="P183" i="8"/>
  <c r="P182" i="8"/>
  <c r="K172" i="8"/>
  <c r="P179" i="8" l="1"/>
  <c r="P178" i="8"/>
  <c r="P176" i="8"/>
  <c r="P175" i="8"/>
  <c r="P173" i="8"/>
  <c r="P172" i="8"/>
  <c r="P169" i="8"/>
  <c r="P168" i="8"/>
  <c r="P166" i="8"/>
  <c r="P165" i="8"/>
  <c r="K162" i="8"/>
  <c r="P163" i="8"/>
  <c r="P162" i="8"/>
  <c r="T157" i="8" l="1"/>
  <c r="Y158" i="8"/>
  <c r="Y157" i="8"/>
  <c r="T153" i="8"/>
  <c r="T151" i="8"/>
  <c r="Y154" i="8"/>
  <c r="Y153" i="8"/>
  <c r="Y152" i="8"/>
  <c r="Y151" i="8"/>
  <c r="T147" i="8"/>
  <c r="Y148" i="8"/>
  <c r="Y147" i="8"/>
  <c r="Y146" i="8"/>
  <c r="Y145" i="8"/>
  <c r="T145" i="8"/>
  <c r="T141" i="8"/>
  <c r="T139" i="8" l="1"/>
  <c r="Y142" i="8"/>
  <c r="Y141" i="8"/>
  <c r="Y140" i="8"/>
  <c r="Y139" i="8"/>
  <c r="T135" i="8"/>
  <c r="T133" i="8"/>
  <c r="Y136" i="8"/>
  <c r="Y135" i="8"/>
  <c r="Y134" i="8"/>
  <c r="Y133" i="8"/>
  <c r="L153" i="8"/>
  <c r="G166" i="8"/>
  <c r="G167" i="8" s="1"/>
  <c r="G165" i="8"/>
  <c r="L151" i="8"/>
  <c r="Q154" i="8"/>
  <c r="Q153" i="8"/>
  <c r="Q152" i="8"/>
  <c r="Q151" i="8"/>
  <c r="R147" i="8"/>
  <c r="R146" i="8"/>
  <c r="L147" i="8"/>
  <c r="L145" i="8"/>
  <c r="Q148" i="8"/>
  <c r="Q147" i="8"/>
  <c r="Q146" i="8"/>
  <c r="Q145" i="8"/>
  <c r="L141" i="8"/>
  <c r="L139" i="8"/>
  <c r="Q142" i="8"/>
  <c r="Q141" i="8"/>
  <c r="Q140" i="8"/>
  <c r="Q139" i="8"/>
  <c r="L135" i="8"/>
  <c r="Q136" i="8"/>
  <c r="Q135" i="8"/>
  <c r="L133" i="8"/>
  <c r="Q134" i="8"/>
  <c r="Q133" i="8"/>
  <c r="D145" i="8"/>
  <c r="D143" i="8"/>
  <c r="I146" i="8"/>
  <c r="I145" i="8"/>
  <c r="I144" i="8"/>
  <c r="I143" i="8"/>
  <c r="D139" i="8"/>
  <c r="I140" i="8"/>
  <c r="I139" i="8"/>
  <c r="D137" i="8"/>
  <c r="I138" i="8"/>
  <c r="I137" i="8"/>
  <c r="D133" i="8"/>
  <c r="I134" i="8"/>
  <c r="I133" i="8"/>
  <c r="Y20" i="8"/>
  <c r="W119" i="8"/>
  <c r="AC119" i="8"/>
  <c r="AH120" i="8"/>
  <c r="AH119" i="8"/>
  <c r="Q119" i="8"/>
  <c r="J126" i="8"/>
  <c r="J122" i="8"/>
  <c r="J120" i="8"/>
  <c r="K119" i="8"/>
  <c r="AB120" i="8"/>
  <c r="V120" i="8"/>
  <c r="P120" i="8"/>
  <c r="AB119" i="8"/>
  <c r="V119" i="8"/>
  <c r="P119" i="8"/>
  <c r="W125" i="8"/>
  <c r="AB126" i="8"/>
  <c r="AB125" i="8"/>
  <c r="Q125" i="8"/>
  <c r="V126" i="8"/>
  <c r="V125" i="8"/>
  <c r="K125" i="8"/>
  <c r="P126" i="8"/>
  <c r="P125" i="8"/>
  <c r="D125" i="8"/>
  <c r="I122" i="8"/>
  <c r="D121" i="8"/>
  <c r="D119" i="8"/>
  <c r="AM110" i="8"/>
  <c r="D111" i="8"/>
  <c r="I128" i="8"/>
  <c r="I127" i="8"/>
  <c r="D127" i="8"/>
  <c r="I126" i="8"/>
  <c r="I125" i="8"/>
  <c r="I121" i="8"/>
  <c r="I120" i="8"/>
  <c r="I119" i="8"/>
  <c r="D115" i="8"/>
  <c r="I116" i="8"/>
  <c r="I115" i="8"/>
  <c r="D113" i="8"/>
  <c r="I114" i="8"/>
  <c r="I113" i="8"/>
  <c r="I112" i="8"/>
  <c r="I111" i="8"/>
  <c r="V86" i="8" l="1"/>
  <c r="V88" i="8"/>
  <c r="V96" i="8"/>
  <c r="P90" i="8"/>
  <c r="AA47" i="8"/>
  <c r="AA46" i="8"/>
  <c r="Z41" i="8"/>
  <c r="Z39" i="8"/>
  <c r="AA41" i="8" s="1"/>
  <c r="L22" i="7"/>
  <c r="K22" i="7"/>
  <c r="K29" i="7"/>
  <c r="K73" i="7"/>
  <c r="K56" i="7"/>
  <c r="K52" i="7"/>
  <c r="K47" i="7"/>
  <c r="K4" i="7"/>
  <c r="Z20" i="8"/>
  <c r="J27" i="8"/>
  <c r="V100" i="8"/>
  <c r="L79" i="7"/>
  <c r="K79" i="7"/>
  <c r="K101" i="7"/>
  <c r="K113" i="7"/>
  <c r="K43" i="7"/>
  <c r="K38" i="7"/>
  <c r="K34" i="7"/>
  <c r="K30" i="7"/>
  <c r="K16" i="7"/>
  <c r="K10" i="7"/>
  <c r="K6" i="7"/>
  <c r="K5" i="7"/>
  <c r="K107" i="7"/>
  <c r="P89" i="8"/>
  <c r="AA45" i="8"/>
  <c r="Z47" i="8"/>
  <c r="Z45" i="8"/>
  <c r="Z27" i="8"/>
  <c r="Z15" i="8"/>
  <c r="Z13" i="8"/>
  <c r="Z29" i="8"/>
  <c r="AA27" i="8"/>
  <c r="AA13" i="8"/>
  <c r="R34" i="8"/>
  <c r="R33" i="8"/>
  <c r="AE98" i="8"/>
  <c r="AE88" i="8"/>
  <c r="Q35" i="8"/>
  <c r="Q33" i="8"/>
  <c r="Q29" i="8"/>
  <c r="Q27" i="8"/>
  <c r="Q20" i="8"/>
  <c r="Q22" i="8"/>
  <c r="J75" i="4"/>
  <c r="J103" i="4"/>
  <c r="K315" i="4"/>
  <c r="K314" i="4"/>
  <c r="J226" i="4"/>
  <c r="J227" i="4"/>
  <c r="J96" i="8"/>
  <c r="C49" i="8"/>
  <c r="C50" i="8" s="1"/>
  <c r="AA40" i="8" l="1"/>
  <c r="AA42" i="8" s="1"/>
  <c r="J98" i="8" l="1"/>
  <c r="N50" i="8"/>
  <c r="M50" i="8"/>
  <c r="L50" i="8"/>
  <c r="K5" i="8"/>
  <c r="J104" i="8"/>
  <c r="J102" i="8"/>
  <c r="I35" i="8"/>
  <c r="I33" i="8"/>
  <c r="I22" i="8"/>
  <c r="I20" i="8"/>
  <c r="I13" i="8"/>
  <c r="Q15" i="8"/>
  <c r="Q13" i="8"/>
  <c r="Y97" i="8" l="1"/>
  <c r="AD100" i="8"/>
  <c r="Y100" i="8"/>
  <c r="AD99" i="8"/>
  <c r="Y99" i="8"/>
  <c r="AD98" i="8"/>
  <c r="Y98" i="8"/>
  <c r="AD97" i="8"/>
  <c r="AD96" i="8"/>
  <c r="Y96" i="8"/>
  <c r="AD95" i="8"/>
  <c r="Y95" i="8"/>
  <c r="Y87" i="8"/>
  <c r="AD90" i="8"/>
  <c r="Y90" i="8"/>
  <c r="AD89" i="8"/>
  <c r="Y89" i="8"/>
  <c r="AD88" i="8"/>
  <c r="Y88" i="8"/>
  <c r="AD87" i="8"/>
  <c r="AD86" i="8"/>
  <c r="Y86" i="8"/>
  <c r="AD85" i="8"/>
  <c r="Y85" i="8"/>
  <c r="P100" i="8"/>
  <c r="P95" i="8"/>
  <c r="P99" i="8"/>
  <c r="U100" i="8"/>
  <c r="U99" i="8"/>
  <c r="U98" i="8"/>
  <c r="P98" i="8"/>
  <c r="U97" i="8"/>
  <c r="P97" i="8"/>
  <c r="U96" i="8"/>
  <c r="P96" i="8"/>
  <c r="U95" i="8"/>
  <c r="S47" i="8"/>
  <c r="S46" i="8"/>
  <c r="P87" i="8"/>
  <c r="S38" i="8"/>
  <c r="S40" i="8"/>
  <c r="P86" i="8"/>
  <c r="P85" i="8"/>
  <c r="U90" i="8"/>
  <c r="V90" i="8" s="1"/>
  <c r="U89" i="8"/>
  <c r="U88" i="8"/>
  <c r="P88" i="8"/>
  <c r="U87" i="8"/>
  <c r="U86" i="8"/>
  <c r="U85" i="8"/>
  <c r="S45" i="8"/>
  <c r="S44" i="8"/>
  <c r="X47" i="8"/>
  <c r="X46" i="8"/>
  <c r="X45" i="8"/>
  <c r="X44" i="8"/>
  <c r="S39" i="8"/>
  <c r="X41" i="8"/>
  <c r="S41" i="8"/>
  <c r="X40" i="8"/>
  <c r="X39" i="8"/>
  <c r="X38" i="8"/>
  <c r="S34" i="8"/>
  <c r="S32" i="8"/>
  <c r="X35" i="8"/>
  <c r="Z35" i="8" s="1"/>
  <c r="S35" i="8"/>
  <c r="X34" i="8"/>
  <c r="X33" i="8"/>
  <c r="Z33" i="8" s="1"/>
  <c r="S33" i="8"/>
  <c r="X32" i="8"/>
  <c r="S28" i="8"/>
  <c r="S26" i="8"/>
  <c r="X29" i="8"/>
  <c r="S29" i="8"/>
  <c r="X28" i="8"/>
  <c r="X27" i="8"/>
  <c r="S27" i="8"/>
  <c r="X26" i="8"/>
  <c r="M2" i="8"/>
  <c r="R3" i="8"/>
  <c r="S3" i="8" s="1"/>
  <c r="R2" i="8"/>
  <c r="S2" i="8" s="1"/>
  <c r="J88" i="8"/>
  <c r="J87" i="8"/>
  <c r="J4" i="8"/>
  <c r="J3" i="8"/>
  <c r="J2" i="8"/>
  <c r="J92" i="8"/>
  <c r="J90" i="8"/>
  <c r="J86" i="8"/>
  <c r="J91" i="8"/>
  <c r="J89" i="8"/>
  <c r="J85" i="8"/>
  <c r="D4" i="8"/>
  <c r="D2" i="8"/>
  <c r="I5" i="8"/>
  <c r="J5" i="8" s="1"/>
  <c r="I4" i="8"/>
  <c r="I3" i="8"/>
  <c r="I2" i="8"/>
  <c r="AA33" i="8" l="1"/>
  <c r="D107" i="8"/>
  <c r="D106" i="8"/>
  <c r="I107" i="8"/>
  <c r="I106" i="8"/>
  <c r="D104" i="8"/>
  <c r="D103" i="8"/>
  <c r="D98" i="8"/>
  <c r="D97" i="8"/>
  <c r="D101" i="8"/>
  <c r="I104" i="8"/>
  <c r="I103" i="8"/>
  <c r="I102" i="8"/>
  <c r="D102" i="8"/>
  <c r="I101" i="8"/>
  <c r="D95" i="8"/>
  <c r="I98" i="8"/>
  <c r="I97" i="8"/>
  <c r="I96" i="8"/>
  <c r="D96" i="8"/>
  <c r="I95" i="8"/>
  <c r="AK110" i="8"/>
  <c r="AJ110" i="8"/>
  <c r="AI110" i="8"/>
  <c r="AL110" i="8"/>
  <c r="D91" i="8"/>
  <c r="D89" i="8"/>
  <c r="I92" i="8"/>
  <c r="I91" i="8"/>
  <c r="I90" i="8"/>
  <c r="I89" i="8"/>
  <c r="D87" i="8"/>
  <c r="I88" i="8"/>
  <c r="I87" i="8"/>
  <c r="D85" i="8"/>
  <c r="I86" i="8"/>
  <c r="I85" i="8"/>
  <c r="C43" i="8"/>
  <c r="C42" i="8"/>
  <c r="H43" i="8"/>
  <c r="H42" i="8"/>
  <c r="K46" i="8"/>
  <c r="K45" i="8"/>
  <c r="P48" i="8"/>
  <c r="K48" i="8"/>
  <c r="P47" i="8"/>
  <c r="K47" i="8"/>
  <c r="P46" i="8"/>
  <c r="P45" i="8"/>
  <c r="I28" i="8" l="1"/>
  <c r="C12" i="8" l="1"/>
  <c r="R27" i="8" l="1"/>
  <c r="R20" i="8"/>
  <c r="R13" i="8"/>
  <c r="J306" i="4" l="1"/>
  <c r="J305" i="4"/>
  <c r="J299" i="4"/>
  <c r="J300" i="4"/>
  <c r="J20" i="8"/>
  <c r="C22" i="8"/>
  <c r="Y15" i="8"/>
  <c r="Y13" i="8"/>
  <c r="P41" i="8" l="1"/>
  <c r="K41" i="8"/>
  <c r="P40" i="8"/>
  <c r="K40" i="8"/>
  <c r="P39" i="8"/>
  <c r="Q39" i="8" s="1"/>
  <c r="K39" i="8"/>
  <c r="H39" i="8"/>
  <c r="C39" i="8"/>
  <c r="P38" i="8"/>
  <c r="K38" i="8"/>
  <c r="H38" i="8"/>
  <c r="C38" i="8"/>
  <c r="P35" i="8"/>
  <c r="K35" i="8"/>
  <c r="H35" i="8"/>
  <c r="C35" i="8"/>
  <c r="P34" i="8"/>
  <c r="K34" i="8"/>
  <c r="H34" i="8"/>
  <c r="C34" i="8"/>
  <c r="P33" i="8"/>
  <c r="K33" i="8"/>
  <c r="H33" i="8"/>
  <c r="C33" i="8"/>
  <c r="P32" i="8"/>
  <c r="K32" i="8"/>
  <c r="H32" i="8"/>
  <c r="C32" i="8"/>
  <c r="P29" i="8"/>
  <c r="K29" i="8"/>
  <c r="H29" i="8"/>
  <c r="I29" i="8" s="1"/>
  <c r="C29" i="8"/>
  <c r="P28" i="8"/>
  <c r="K28" i="8"/>
  <c r="H28" i="8"/>
  <c r="C28" i="8"/>
  <c r="P27" i="8"/>
  <c r="K27" i="8"/>
  <c r="H27" i="8"/>
  <c r="I27" i="8" s="1"/>
  <c r="C27" i="8"/>
  <c r="P26" i="8"/>
  <c r="K26" i="8"/>
  <c r="H26" i="8"/>
  <c r="C26" i="8"/>
  <c r="X22" i="8"/>
  <c r="S22" i="8"/>
  <c r="P22" i="8"/>
  <c r="K22" i="8"/>
  <c r="H22" i="8"/>
  <c r="X21" i="8"/>
  <c r="S21" i="8"/>
  <c r="P21" i="8"/>
  <c r="K21" i="8"/>
  <c r="H21" i="8"/>
  <c r="C21" i="8"/>
  <c r="X20" i="8"/>
  <c r="S20" i="8"/>
  <c r="P20" i="8"/>
  <c r="K20" i="8"/>
  <c r="H20" i="8"/>
  <c r="C20" i="8"/>
  <c r="X19" i="8"/>
  <c r="S19" i="8"/>
  <c r="P19" i="8"/>
  <c r="K19" i="8"/>
  <c r="H19" i="8"/>
  <c r="C19" i="8"/>
  <c r="X15" i="8"/>
  <c r="S15" i="8"/>
  <c r="P15" i="8"/>
  <c r="K15" i="8"/>
  <c r="H15" i="8"/>
  <c r="X14" i="8"/>
  <c r="S14" i="8"/>
  <c r="P14" i="8"/>
  <c r="K14" i="8"/>
  <c r="H14" i="8"/>
  <c r="X13" i="8"/>
  <c r="S13" i="8"/>
  <c r="P13" i="8"/>
  <c r="K13" i="8"/>
  <c r="H13" i="8"/>
  <c r="C13" i="8"/>
  <c r="X12" i="8"/>
  <c r="S12" i="8"/>
  <c r="P12" i="8"/>
  <c r="K12" i="8"/>
  <c r="H12" i="8"/>
  <c r="O53" i="7" l="1"/>
  <c r="O54" i="7"/>
  <c r="O52" i="7"/>
  <c r="N53" i="7"/>
  <c r="N54" i="7"/>
  <c r="N52" i="7"/>
  <c r="K39" i="7"/>
  <c r="K35" i="7"/>
  <c r="K11" i="7"/>
  <c r="D80" i="7"/>
  <c r="D112" i="7"/>
  <c r="N37" i="6" l="1"/>
  <c r="N25" i="6"/>
  <c r="N24" i="6"/>
  <c r="M25" i="6"/>
  <c r="M24" i="6"/>
  <c r="K29" i="6"/>
  <c r="K28" i="6"/>
  <c r="M104" i="4" l="1"/>
  <c r="M67" i="7" l="1"/>
  <c r="L67" i="7"/>
  <c r="S136" i="6" l="1"/>
  <c r="S137" i="6"/>
  <c r="S138" i="6"/>
  <c r="S139" i="6"/>
  <c r="S140" i="6"/>
  <c r="R136" i="6"/>
  <c r="R137" i="6"/>
  <c r="R138" i="6"/>
  <c r="R139" i="6"/>
  <c r="R140" i="6"/>
  <c r="K59" i="6"/>
  <c r="K44" i="6"/>
  <c r="K38" i="6"/>
  <c r="C10" i="6"/>
  <c r="U5" i="6"/>
  <c r="V5" i="6"/>
  <c r="V4" i="6"/>
  <c r="U4" i="6"/>
  <c r="J10" i="6"/>
  <c r="J9" i="6"/>
  <c r="R5" i="6"/>
  <c r="R4" i="6"/>
  <c r="J5" i="6"/>
  <c r="J4" i="6"/>
  <c r="J122" i="6"/>
  <c r="J121" i="6"/>
  <c r="J118" i="6"/>
  <c r="J117" i="6"/>
  <c r="K102" i="6"/>
  <c r="K101" i="6"/>
  <c r="K109" i="6"/>
  <c r="K108" i="6"/>
  <c r="J134" i="6"/>
  <c r="J133" i="6"/>
  <c r="J128" i="6"/>
  <c r="J127" i="6"/>
  <c r="C227" i="4"/>
  <c r="S307" i="4"/>
  <c r="R307" i="4"/>
  <c r="L223" i="4"/>
  <c r="I315" i="4"/>
  <c r="I314" i="4"/>
  <c r="O59" i="1"/>
  <c r="C285" i="4"/>
  <c r="M289" i="4" l="1"/>
  <c r="N289" i="4" s="1"/>
  <c r="C86" i="6" l="1"/>
  <c r="C133" i="6"/>
  <c r="C4" i="6"/>
  <c r="P6" i="6"/>
  <c r="R6" i="6" s="1"/>
  <c r="P5" i="6"/>
  <c r="P4" i="6"/>
  <c r="C53" i="6"/>
  <c r="C154" i="4"/>
  <c r="C240" i="4"/>
  <c r="Q6" i="6" l="1"/>
  <c r="Q5" i="6"/>
  <c r="Q4" i="6"/>
  <c r="C196" i="4" l="1"/>
  <c r="M70" i="6"/>
  <c r="C195" i="4"/>
  <c r="S103" i="7" l="1"/>
  <c r="S104" i="7"/>
  <c r="S105" i="7"/>
  <c r="S106" i="7"/>
  <c r="S102" i="7"/>
  <c r="S126" i="6"/>
  <c r="S135" i="6"/>
  <c r="R126" i="6"/>
  <c r="R308" i="4"/>
  <c r="S308" i="4"/>
  <c r="S305" i="4"/>
  <c r="S306" i="4"/>
  <c r="S309" i="4"/>
  <c r="S304" i="4"/>
  <c r="R305" i="4"/>
  <c r="R306" i="4"/>
  <c r="R309" i="4"/>
  <c r="C212" i="4"/>
  <c r="I10" i="5"/>
  <c r="I11" i="5"/>
  <c r="I12" i="5"/>
  <c r="I13" i="5"/>
  <c r="I9" i="5"/>
  <c r="D100" i="7" l="1"/>
  <c r="D106" i="7"/>
  <c r="I115" i="7"/>
  <c r="J115" i="7" s="1"/>
  <c r="I114" i="7"/>
  <c r="J114" i="7" s="1"/>
  <c r="I113" i="7"/>
  <c r="D113" i="7"/>
  <c r="I112" i="7"/>
  <c r="K112" i="7" s="1"/>
  <c r="I109" i="7"/>
  <c r="J109" i="7" s="1"/>
  <c r="I108" i="7"/>
  <c r="J108" i="7" s="1"/>
  <c r="I107" i="7"/>
  <c r="D107" i="7"/>
  <c r="D108" i="7" s="1"/>
  <c r="I106" i="7"/>
  <c r="I103" i="7"/>
  <c r="J103" i="7" s="1"/>
  <c r="I102" i="7"/>
  <c r="J102" i="7" s="1"/>
  <c r="I101" i="7"/>
  <c r="D101" i="7"/>
  <c r="I100" i="7"/>
  <c r="D102" i="7"/>
  <c r="C135" i="6"/>
  <c r="H130" i="6"/>
  <c r="I130" i="6" s="1"/>
  <c r="H129" i="6"/>
  <c r="C127" i="6"/>
  <c r="C128" i="6"/>
  <c r="C140" i="6"/>
  <c r="C139" i="6"/>
  <c r="H142" i="6"/>
  <c r="I142" i="6" s="1"/>
  <c r="H141" i="6"/>
  <c r="I141" i="6" s="1"/>
  <c r="H140" i="6"/>
  <c r="H139" i="6"/>
  <c r="J139" i="6" s="1"/>
  <c r="C141" i="6"/>
  <c r="H136" i="6"/>
  <c r="I136" i="6" s="1"/>
  <c r="H135" i="6"/>
  <c r="I135" i="6" s="1"/>
  <c r="H134" i="6"/>
  <c r="I134" i="6" s="1"/>
  <c r="C134" i="6"/>
  <c r="H133" i="6"/>
  <c r="I133" i="6" s="1"/>
  <c r="I129" i="6"/>
  <c r="C129" i="6"/>
  <c r="H128" i="6"/>
  <c r="I128" i="6" s="1"/>
  <c r="H127" i="6"/>
  <c r="I127" i="6" s="1"/>
  <c r="C306" i="4"/>
  <c r="C305" i="4"/>
  <c r="C307" i="4" s="1"/>
  <c r="H308" i="4"/>
  <c r="H307" i="4"/>
  <c r="H306" i="4"/>
  <c r="H305" i="4"/>
  <c r="K289" i="4"/>
  <c r="L289" i="4" s="1"/>
  <c r="J113" i="7" l="1"/>
  <c r="J107" i="7"/>
  <c r="J100" i="7"/>
  <c r="K100" i="7"/>
  <c r="D114" i="7"/>
  <c r="J112" i="7"/>
  <c r="J101" i="7"/>
  <c r="J106" i="7"/>
  <c r="K106" i="7"/>
  <c r="N112" i="7"/>
  <c r="O112" i="7"/>
  <c r="I140" i="6"/>
  <c r="J140" i="6"/>
  <c r="I139" i="6"/>
  <c r="C300" i="4"/>
  <c r="C299" i="4"/>
  <c r="I306" i="4" s="1"/>
  <c r="H302" i="4"/>
  <c r="H301" i="4"/>
  <c r="H300" i="4"/>
  <c r="H299" i="4"/>
  <c r="C293" i="4"/>
  <c r="C292" i="4"/>
  <c r="H295" i="4"/>
  <c r="H294" i="4"/>
  <c r="H293" i="4"/>
  <c r="H292" i="4"/>
  <c r="I295" i="4" l="1"/>
  <c r="I305" i="4"/>
  <c r="I302" i="4"/>
  <c r="O113" i="7"/>
  <c r="N113" i="7"/>
  <c r="I294" i="4"/>
  <c r="C294" i="4"/>
  <c r="I307" i="4"/>
  <c r="I292" i="4"/>
  <c r="J292" i="4"/>
  <c r="C301" i="4"/>
  <c r="I308" i="4"/>
  <c r="I293" i="4"/>
  <c r="J293" i="4"/>
  <c r="I301" i="4"/>
  <c r="I300" i="4"/>
  <c r="I299" i="4"/>
  <c r="C263" i="4"/>
  <c r="D95" i="7" l="1"/>
  <c r="D94" i="7"/>
  <c r="I96" i="7"/>
  <c r="K96" i="7" s="1"/>
  <c r="I95" i="7"/>
  <c r="K95" i="7" s="1"/>
  <c r="I94" i="7"/>
  <c r="K94" i="7" s="1"/>
  <c r="J87" i="7"/>
  <c r="D89" i="7"/>
  <c r="D86" i="7"/>
  <c r="D82" i="7"/>
  <c r="D79" i="7"/>
  <c r="D90" i="7"/>
  <c r="D91" i="7" s="1"/>
  <c r="D87" i="7"/>
  <c r="D83" i="7"/>
  <c r="D81" i="7"/>
  <c r="I91" i="7"/>
  <c r="J91" i="7" s="1"/>
  <c r="I90" i="7"/>
  <c r="I89" i="7"/>
  <c r="J89" i="7" s="1"/>
  <c r="I88" i="7"/>
  <c r="I87" i="7"/>
  <c r="I86" i="7"/>
  <c r="D88" i="7"/>
  <c r="I84" i="7"/>
  <c r="J84" i="7" s="1"/>
  <c r="I83" i="7"/>
  <c r="I82" i="7"/>
  <c r="I81" i="7"/>
  <c r="J81" i="7" s="1"/>
  <c r="I80" i="7"/>
  <c r="I79" i="7"/>
  <c r="Q103" i="6"/>
  <c r="C121" i="6"/>
  <c r="C123" i="6" s="1"/>
  <c r="C122" i="6"/>
  <c r="C118" i="6"/>
  <c r="K60" i="6"/>
  <c r="H123" i="6"/>
  <c r="J123" i="6" s="1"/>
  <c r="H122" i="6"/>
  <c r="H121" i="6"/>
  <c r="I121" i="6" s="1"/>
  <c r="C117" i="6"/>
  <c r="H119" i="6"/>
  <c r="I119" i="6" s="1"/>
  <c r="H118" i="6"/>
  <c r="I118" i="6" s="1"/>
  <c r="C119" i="6"/>
  <c r="H117" i="6"/>
  <c r="M117" i="6" s="1"/>
  <c r="C104" i="6"/>
  <c r="C111" i="6"/>
  <c r="M103" i="6"/>
  <c r="N103" i="6"/>
  <c r="C108" i="6"/>
  <c r="H113" i="6"/>
  <c r="H112" i="6"/>
  <c r="I112" i="6" s="1"/>
  <c r="C112" i="6"/>
  <c r="H111" i="6"/>
  <c r="H110" i="6"/>
  <c r="J110" i="6" s="1"/>
  <c r="K110" i="6" s="1"/>
  <c r="H109" i="6"/>
  <c r="J109" i="6" s="1"/>
  <c r="C109" i="6"/>
  <c r="H108" i="6"/>
  <c r="I108" i="6" s="1"/>
  <c r="C101" i="6"/>
  <c r="C103" i="6" s="1"/>
  <c r="C105" i="6"/>
  <c r="C106" i="6" s="1"/>
  <c r="C102" i="6"/>
  <c r="H106" i="6"/>
  <c r="H105" i="6"/>
  <c r="I105" i="6" s="1"/>
  <c r="H104" i="6"/>
  <c r="H103" i="6"/>
  <c r="H102" i="6"/>
  <c r="H101" i="6"/>
  <c r="C95" i="6"/>
  <c r="C97" i="6" s="1"/>
  <c r="C92" i="6"/>
  <c r="H97" i="6"/>
  <c r="H96" i="6"/>
  <c r="C96" i="6"/>
  <c r="H95" i="6"/>
  <c r="H94" i="6"/>
  <c r="H93" i="6"/>
  <c r="C93" i="6"/>
  <c r="C94" i="6" s="1"/>
  <c r="H92" i="6"/>
  <c r="C200" i="4"/>
  <c r="C284" i="4"/>
  <c r="C286" i="4" s="1"/>
  <c r="H289" i="4"/>
  <c r="H288" i="4"/>
  <c r="C288" i="4"/>
  <c r="H287" i="4"/>
  <c r="C287" i="4"/>
  <c r="C289" i="4" s="1"/>
  <c r="H286" i="4"/>
  <c r="H285" i="4"/>
  <c r="H284" i="4"/>
  <c r="C280" i="4"/>
  <c r="C277" i="4"/>
  <c r="C279" i="4" s="1"/>
  <c r="H282" i="4"/>
  <c r="H281" i="4"/>
  <c r="C281" i="4"/>
  <c r="H280" i="4"/>
  <c r="I280" i="4" s="1"/>
  <c r="H279" i="4"/>
  <c r="H278" i="4"/>
  <c r="C278" i="4"/>
  <c r="H277" i="4"/>
  <c r="C269" i="4"/>
  <c r="D73" i="7"/>
  <c r="H274" i="4"/>
  <c r="H273" i="4"/>
  <c r="C273" i="4"/>
  <c r="H272" i="4"/>
  <c r="C272" i="4"/>
  <c r="H271" i="4"/>
  <c r="H270" i="4"/>
  <c r="I270" i="4" s="1"/>
  <c r="C270" i="4"/>
  <c r="H269" i="4"/>
  <c r="D74" i="7"/>
  <c r="D75" i="7" s="1"/>
  <c r="I75" i="7"/>
  <c r="K75" i="7" s="1"/>
  <c r="I74" i="7"/>
  <c r="K74" i="7" s="1"/>
  <c r="I73" i="7"/>
  <c r="C88" i="6"/>
  <c r="C85" i="6"/>
  <c r="H90" i="6"/>
  <c r="I90" i="6" s="1"/>
  <c r="C90" i="6"/>
  <c r="H89" i="6"/>
  <c r="I89" i="6" s="1"/>
  <c r="C89" i="6"/>
  <c r="H88" i="6"/>
  <c r="I88" i="6" s="1"/>
  <c r="H87" i="6"/>
  <c r="H86" i="6"/>
  <c r="I86" i="6" s="1"/>
  <c r="H85" i="6"/>
  <c r="C87" i="6"/>
  <c r="C265" i="4"/>
  <c r="C262" i="4"/>
  <c r="H267" i="4"/>
  <c r="H266" i="4"/>
  <c r="I266" i="4" s="1"/>
  <c r="C266" i="4"/>
  <c r="H265" i="4"/>
  <c r="H264" i="4"/>
  <c r="H263" i="4"/>
  <c r="H262" i="4"/>
  <c r="C264" i="4"/>
  <c r="C256" i="4"/>
  <c r="C252" i="4"/>
  <c r="C248" i="4"/>
  <c r="H258" i="4"/>
  <c r="I258" i="4" s="1"/>
  <c r="H257" i="4"/>
  <c r="I257" i="4" s="1"/>
  <c r="C257" i="4"/>
  <c r="C258" i="4" s="1"/>
  <c r="H256" i="4"/>
  <c r="H254" i="4"/>
  <c r="H253" i="4"/>
  <c r="C253" i="4"/>
  <c r="H252" i="4"/>
  <c r="H250" i="4"/>
  <c r="I250" i="4" s="1"/>
  <c r="H249" i="4"/>
  <c r="I249" i="4" s="1"/>
  <c r="C249" i="4"/>
  <c r="C250" i="4" s="1"/>
  <c r="H248" i="4"/>
  <c r="I248" i="4" s="1"/>
  <c r="C254" i="4" l="1"/>
  <c r="I254" i="4"/>
  <c r="I256" i="4"/>
  <c r="C267" i="4"/>
  <c r="I282" i="4"/>
  <c r="J94" i="7"/>
  <c r="K80" i="7"/>
  <c r="L80" i="7" s="1"/>
  <c r="J90" i="7"/>
  <c r="O80" i="7"/>
  <c r="Q80" i="7"/>
  <c r="I267" i="4"/>
  <c r="C271" i="4"/>
  <c r="I252" i="4"/>
  <c r="C274" i="4"/>
  <c r="I263" i="4"/>
  <c r="I287" i="4"/>
  <c r="I253" i="4"/>
  <c r="I265" i="4"/>
  <c r="I278" i="4"/>
  <c r="C282" i="4"/>
  <c r="I285" i="4"/>
  <c r="J285" i="4"/>
  <c r="K285" i="4" s="1"/>
  <c r="I273" i="4"/>
  <c r="I288" i="4"/>
  <c r="I274" i="4"/>
  <c r="I289" i="4"/>
  <c r="J95" i="7"/>
  <c r="L117" i="6"/>
  <c r="P117" i="6" s="1"/>
  <c r="J80" i="7"/>
  <c r="K88" i="7"/>
  <c r="L88" i="7" s="1"/>
  <c r="D96" i="7"/>
  <c r="J96" i="7"/>
  <c r="J88" i="7"/>
  <c r="K86" i="7"/>
  <c r="L86" i="7" s="1"/>
  <c r="J86" i="7"/>
  <c r="K87" i="7"/>
  <c r="L87" i="7" s="1"/>
  <c r="J82" i="7"/>
  <c r="J83" i="7"/>
  <c r="D84" i="7"/>
  <c r="J79" i="7"/>
  <c r="K81" i="7"/>
  <c r="L81" i="7" s="1"/>
  <c r="I122" i="6"/>
  <c r="J119" i="6"/>
  <c r="P103" i="6"/>
  <c r="I113" i="6"/>
  <c r="I123" i="6"/>
  <c r="I117" i="6"/>
  <c r="I109" i="6"/>
  <c r="J108" i="6"/>
  <c r="I110" i="6"/>
  <c r="I111" i="6"/>
  <c r="C113" i="6"/>
  <c r="C110" i="6"/>
  <c r="J103" i="6"/>
  <c r="K103" i="6" s="1"/>
  <c r="J101" i="6"/>
  <c r="I93" i="6"/>
  <c r="I106" i="6"/>
  <c r="I92" i="6"/>
  <c r="I104" i="6"/>
  <c r="I102" i="6"/>
  <c r="J102" i="6"/>
  <c r="I103" i="6"/>
  <c r="I101" i="6"/>
  <c r="I97" i="6"/>
  <c r="I95" i="6"/>
  <c r="J94" i="6"/>
  <c r="K94" i="6" s="1"/>
  <c r="I96" i="6"/>
  <c r="J92" i="6"/>
  <c r="K92" i="6" s="1"/>
  <c r="J93" i="6"/>
  <c r="K93" i="6" s="1"/>
  <c r="I94" i="6"/>
  <c r="J286" i="4"/>
  <c r="K286" i="4" s="1"/>
  <c r="J279" i="4"/>
  <c r="K279" i="4" s="1"/>
  <c r="J284" i="4"/>
  <c r="K284" i="4" s="1"/>
  <c r="I286" i="4"/>
  <c r="I284" i="4"/>
  <c r="J277" i="4"/>
  <c r="I281" i="4"/>
  <c r="J278" i="4"/>
  <c r="K278" i="4" s="1"/>
  <c r="N278" i="4" s="1"/>
  <c r="I279" i="4"/>
  <c r="I277" i="4"/>
  <c r="J269" i="4"/>
  <c r="K269" i="4" s="1"/>
  <c r="L269" i="4" s="1"/>
  <c r="J270" i="4"/>
  <c r="K270" i="4" s="1"/>
  <c r="L270" i="4" s="1"/>
  <c r="J271" i="4"/>
  <c r="K271" i="4" s="1"/>
  <c r="L271" i="4" s="1"/>
  <c r="I271" i="4"/>
  <c r="I272" i="4"/>
  <c r="I269" i="4"/>
  <c r="J73" i="7"/>
  <c r="J74" i="7"/>
  <c r="J75" i="7"/>
  <c r="J87" i="6"/>
  <c r="K87" i="6" s="1"/>
  <c r="J86" i="6"/>
  <c r="K86" i="6" s="1"/>
  <c r="J85" i="6"/>
  <c r="K85" i="6" s="1"/>
  <c r="I87" i="6"/>
  <c r="I85" i="6"/>
  <c r="J264" i="4"/>
  <c r="J263" i="4"/>
  <c r="J262" i="4"/>
  <c r="I264" i="4"/>
  <c r="I262" i="4"/>
  <c r="C77" i="6"/>
  <c r="C79" i="6"/>
  <c r="M139" i="6"/>
  <c r="C76" i="6"/>
  <c r="H81" i="6"/>
  <c r="H80" i="6"/>
  <c r="C80" i="6"/>
  <c r="C81" i="6" s="1"/>
  <c r="H79" i="6"/>
  <c r="H78" i="6"/>
  <c r="H77" i="6"/>
  <c r="J77" i="6" s="1"/>
  <c r="K77" i="6" s="1"/>
  <c r="H76" i="6"/>
  <c r="C242" i="4"/>
  <c r="C239" i="4"/>
  <c r="H244" i="4"/>
  <c r="H243" i="4"/>
  <c r="C243" i="4"/>
  <c r="H242" i="4"/>
  <c r="H241" i="4"/>
  <c r="H240" i="4"/>
  <c r="I240" i="4" s="1"/>
  <c r="H239" i="4"/>
  <c r="C241" i="4"/>
  <c r="C244" i="4" l="1"/>
  <c r="K264" i="4"/>
  <c r="N264" i="4"/>
  <c r="M264" i="4"/>
  <c r="K262" i="4"/>
  <c r="M262" i="4"/>
  <c r="N262" i="4"/>
  <c r="K263" i="4"/>
  <c r="M263" i="4" s="1"/>
  <c r="Q79" i="7"/>
  <c r="O79" i="7"/>
  <c r="M278" i="4"/>
  <c r="P278" i="4" s="1"/>
  <c r="I243" i="4"/>
  <c r="K277" i="4"/>
  <c r="N277" i="4" s="1"/>
  <c r="M102" i="6"/>
  <c r="Q102" i="6" s="1"/>
  <c r="N102" i="6"/>
  <c r="P102" i="6" s="1"/>
  <c r="M101" i="6"/>
  <c r="Q101" i="6" s="1"/>
  <c r="N101" i="6"/>
  <c r="P101" i="6" s="1"/>
  <c r="L119" i="6"/>
  <c r="P119" i="6" s="1"/>
  <c r="M119" i="6"/>
  <c r="M118" i="6"/>
  <c r="L118" i="6"/>
  <c r="P118" i="6" s="1"/>
  <c r="N117" i="6"/>
  <c r="R80" i="7"/>
  <c r="O81" i="7"/>
  <c r="Q81" i="7"/>
  <c r="C78" i="6"/>
  <c r="N85" i="6"/>
  <c r="M85" i="6"/>
  <c r="Q85" i="6" s="1"/>
  <c r="M86" i="6"/>
  <c r="Q86" i="6" s="1"/>
  <c r="N86" i="6"/>
  <c r="N87" i="6"/>
  <c r="M87" i="6"/>
  <c r="Q87" i="6" s="1"/>
  <c r="P262" i="4"/>
  <c r="M279" i="4"/>
  <c r="J78" i="6"/>
  <c r="K78" i="6" s="1"/>
  <c r="J76" i="6"/>
  <c r="K76" i="6" s="1"/>
  <c r="I80" i="6"/>
  <c r="I81" i="6"/>
  <c r="I79" i="6"/>
  <c r="I76" i="6"/>
  <c r="I77" i="6"/>
  <c r="I78" i="6"/>
  <c r="J241" i="4"/>
  <c r="K241" i="4" s="1"/>
  <c r="J240" i="4"/>
  <c r="K240" i="4" s="1"/>
  <c r="I242" i="4"/>
  <c r="I244" i="4"/>
  <c r="J239" i="4"/>
  <c r="K239" i="4" s="1"/>
  <c r="I241" i="4"/>
  <c r="I239" i="4"/>
  <c r="C234" i="4"/>
  <c r="C236" i="4" s="1"/>
  <c r="H236" i="4"/>
  <c r="H235" i="4"/>
  <c r="C235" i="4"/>
  <c r="H234" i="4"/>
  <c r="C231" i="4"/>
  <c r="C233" i="4" s="1"/>
  <c r="H233" i="4"/>
  <c r="H232" i="4"/>
  <c r="C232" i="4"/>
  <c r="H231" i="4"/>
  <c r="C226" i="4"/>
  <c r="H228" i="4"/>
  <c r="J228" i="4" s="1"/>
  <c r="H227" i="4"/>
  <c r="H226" i="4"/>
  <c r="C219" i="4"/>
  <c r="N263" i="4" l="1"/>
  <c r="M277" i="4"/>
  <c r="P277" i="4" s="1"/>
  <c r="J231" i="4"/>
  <c r="K231" i="4" s="1"/>
  <c r="R79" i="7"/>
  <c r="C228" i="4"/>
  <c r="I234" i="4"/>
  <c r="J232" i="4"/>
  <c r="K232" i="4" s="1"/>
  <c r="I236" i="4"/>
  <c r="I231" i="4"/>
  <c r="P263" i="4"/>
  <c r="I228" i="4"/>
  <c r="I232" i="4"/>
  <c r="P264" i="4"/>
  <c r="I233" i="4"/>
  <c r="N119" i="6"/>
  <c r="N118" i="6"/>
  <c r="R81" i="7"/>
  <c r="P87" i="6"/>
  <c r="P85" i="6"/>
  <c r="P86" i="6"/>
  <c r="N279" i="4"/>
  <c r="P279" i="4" s="1"/>
  <c r="I235" i="4"/>
  <c r="J233" i="4"/>
  <c r="K233" i="4" s="1"/>
  <c r="I227" i="4"/>
  <c r="I226" i="4"/>
  <c r="C215" i="4"/>
  <c r="H221" i="4"/>
  <c r="I221" i="4" s="1"/>
  <c r="H220" i="4"/>
  <c r="I220" i="4" s="1"/>
  <c r="C220" i="4"/>
  <c r="C221" i="4" s="1"/>
  <c r="H219" i="4"/>
  <c r="I219" i="4" s="1"/>
  <c r="H217" i="4"/>
  <c r="H216" i="4"/>
  <c r="C216" i="4"/>
  <c r="H215" i="4"/>
  <c r="C211" i="4"/>
  <c r="C213" i="4" s="1"/>
  <c r="H213" i="4"/>
  <c r="H212" i="4"/>
  <c r="H211" i="4"/>
  <c r="C217" i="4" l="1"/>
  <c r="I213" i="4"/>
  <c r="I216" i="4"/>
  <c r="I211" i="4"/>
  <c r="I212" i="4"/>
  <c r="I215" i="4"/>
  <c r="I217" i="4"/>
  <c r="D67" i="7"/>
  <c r="D68" i="7"/>
  <c r="D52" i="7"/>
  <c r="D56" i="7"/>
  <c r="D63" i="7"/>
  <c r="I69" i="7"/>
  <c r="K69" i="7" s="1"/>
  <c r="M69" i="7" s="1"/>
  <c r="I68" i="7"/>
  <c r="K68" i="7" s="1"/>
  <c r="M68" i="7" s="1"/>
  <c r="N68" i="7" s="1"/>
  <c r="I67" i="7"/>
  <c r="K67" i="7" s="1"/>
  <c r="I65" i="7"/>
  <c r="K65" i="7" s="1"/>
  <c r="I64" i="7"/>
  <c r="K64" i="7" s="1"/>
  <c r="L64" i="7" s="1"/>
  <c r="M64" i="7" s="1"/>
  <c r="D64" i="7"/>
  <c r="I63" i="7"/>
  <c r="K63" i="7" s="1"/>
  <c r="L63" i="7" s="1"/>
  <c r="M63" i="7" s="1"/>
  <c r="D48" i="7"/>
  <c r="D49" i="7" s="1"/>
  <c r="D44" i="7"/>
  <c r="D57" i="7"/>
  <c r="D53" i="7"/>
  <c r="D54" i="7" s="1"/>
  <c r="I58" i="7"/>
  <c r="K58" i="7" s="1"/>
  <c r="I57" i="7"/>
  <c r="K57" i="7" s="1"/>
  <c r="I56" i="7"/>
  <c r="I54" i="7"/>
  <c r="K54" i="7" s="1"/>
  <c r="I53" i="7"/>
  <c r="K53" i="7" s="1"/>
  <c r="I52" i="7"/>
  <c r="D47" i="7"/>
  <c r="I49" i="7"/>
  <c r="K49" i="7" s="1"/>
  <c r="I48" i="7"/>
  <c r="K48" i="7" s="1"/>
  <c r="I47" i="7"/>
  <c r="D43" i="7"/>
  <c r="I45" i="7"/>
  <c r="K45" i="7" s="1"/>
  <c r="O45" i="7" s="1"/>
  <c r="I44" i="7"/>
  <c r="I43" i="7"/>
  <c r="D38" i="7"/>
  <c r="I39" i="7"/>
  <c r="I40" i="7"/>
  <c r="K40" i="7" s="1"/>
  <c r="D39" i="7"/>
  <c r="I38" i="7"/>
  <c r="D34" i="7"/>
  <c r="I36" i="7"/>
  <c r="K36" i="7" s="1"/>
  <c r="O36" i="7" s="1"/>
  <c r="I35" i="7"/>
  <c r="D35" i="7"/>
  <c r="D36" i="7" s="1"/>
  <c r="I34" i="7"/>
  <c r="K24" i="7"/>
  <c r="D29" i="7"/>
  <c r="D31" i="7" s="1"/>
  <c r="L24" i="7"/>
  <c r="I31" i="7"/>
  <c r="K31" i="7" s="1"/>
  <c r="I30" i="7"/>
  <c r="D30" i="7"/>
  <c r="I29" i="7"/>
  <c r="D22" i="7"/>
  <c r="D25" i="7"/>
  <c r="D26" i="7"/>
  <c r="D23" i="7"/>
  <c r="D24" i="7" s="1"/>
  <c r="I27" i="7"/>
  <c r="I26" i="7"/>
  <c r="I25" i="7"/>
  <c r="I24" i="7"/>
  <c r="I23" i="7"/>
  <c r="K23" i="7" s="1"/>
  <c r="L23" i="7" s="1"/>
  <c r="I22" i="7"/>
  <c r="C70" i="6"/>
  <c r="C71" i="6"/>
  <c r="C72" i="6" s="1"/>
  <c r="C68" i="6"/>
  <c r="C67" i="6"/>
  <c r="H72" i="6"/>
  <c r="H71" i="6"/>
  <c r="H70" i="6"/>
  <c r="I70" i="6" s="1"/>
  <c r="H69" i="6"/>
  <c r="J69" i="6" s="1"/>
  <c r="L69" i="6" s="1"/>
  <c r="M69" i="6" s="1"/>
  <c r="H68" i="6"/>
  <c r="H67" i="6"/>
  <c r="C199" i="4"/>
  <c r="C201" i="4"/>
  <c r="H201" i="4"/>
  <c r="J201" i="4" s="1"/>
  <c r="L201" i="4" s="1"/>
  <c r="H200" i="4"/>
  <c r="J200" i="4" s="1"/>
  <c r="L200" i="4" s="1"/>
  <c r="H199" i="4"/>
  <c r="C197" i="4"/>
  <c r="H197" i="4"/>
  <c r="J197" i="4" s="1"/>
  <c r="L197" i="4" s="1"/>
  <c r="H196" i="4"/>
  <c r="J196" i="4" s="1"/>
  <c r="L196" i="4" s="1"/>
  <c r="H195" i="4"/>
  <c r="J195" i="4" s="1"/>
  <c r="L195" i="4" s="1"/>
  <c r="C58" i="6"/>
  <c r="C61" i="6"/>
  <c r="H63" i="6"/>
  <c r="H62" i="6"/>
  <c r="C62" i="6"/>
  <c r="H61" i="6"/>
  <c r="H60" i="6"/>
  <c r="H59" i="6"/>
  <c r="C59" i="6"/>
  <c r="H58" i="6"/>
  <c r="C189" i="4"/>
  <c r="H191" i="4"/>
  <c r="I191" i="4" s="1"/>
  <c r="H190" i="4"/>
  <c r="C190" i="4"/>
  <c r="H189" i="4"/>
  <c r="C183" i="4"/>
  <c r="H185" i="4"/>
  <c r="I185" i="4" s="1"/>
  <c r="H184" i="4"/>
  <c r="H183" i="4"/>
  <c r="C177" i="4"/>
  <c r="C174" i="4"/>
  <c r="C176" i="4" s="1"/>
  <c r="H179" i="4"/>
  <c r="H178" i="4"/>
  <c r="C178" i="4"/>
  <c r="H177" i="4"/>
  <c r="H176" i="4"/>
  <c r="H175" i="4"/>
  <c r="C175" i="4"/>
  <c r="H174" i="4"/>
  <c r="J58" i="6" l="1"/>
  <c r="K58" i="6" s="1"/>
  <c r="J199" i="4"/>
  <c r="L199" i="4" s="1"/>
  <c r="M199" i="4" s="1"/>
  <c r="I183" i="4"/>
  <c r="I184" i="4"/>
  <c r="Q30" i="7"/>
  <c r="O30" i="7"/>
  <c r="D27" i="7"/>
  <c r="N69" i="7"/>
  <c r="Q29" i="7"/>
  <c r="O29" i="7"/>
  <c r="O44" i="7"/>
  <c r="R44" i="7" s="1"/>
  <c r="K44" i="7"/>
  <c r="Q44" i="7" s="1"/>
  <c r="N67" i="7"/>
  <c r="J45" i="7"/>
  <c r="O31" i="7"/>
  <c r="Q31" i="7"/>
  <c r="R31" i="7" s="1"/>
  <c r="Q53" i="7"/>
  <c r="C191" i="4"/>
  <c r="I176" i="4"/>
  <c r="I174" i="4"/>
  <c r="I189" i="4"/>
  <c r="I175" i="4"/>
  <c r="C179" i="4"/>
  <c r="O35" i="7"/>
  <c r="Q35" i="7"/>
  <c r="J175" i="4"/>
  <c r="L175" i="4" s="1"/>
  <c r="J174" i="4"/>
  <c r="L174" i="4" s="1"/>
  <c r="J68" i="6"/>
  <c r="L68" i="6"/>
  <c r="M68" i="6" s="1"/>
  <c r="J67" i="6"/>
  <c r="K67" i="6" s="1"/>
  <c r="L67" i="6" s="1"/>
  <c r="M67" i="6"/>
  <c r="M196" i="4"/>
  <c r="M195" i="4"/>
  <c r="C63" i="6"/>
  <c r="C60" i="6"/>
  <c r="I68" i="6"/>
  <c r="I71" i="6"/>
  <c r="J70" i="6"/>
  <c r="L70" i="6" s="1"/>
  <c r="J69" i="7"/>
  <c r="J68" i="7"/>
  <c r="D69" i="7"/>
  <c r="L65" i="7"/>
  <c r="M65" i="7" s="1"/>
  <c r="J63" i="7"/>
  <c r="J65" i="7"/>
  <c r="D65" i="7"/>
  <c r="J64" i="7"/>
  <c r="J67" i="7"/>
  <c r="J56" i="7"/>
  <c r="D58" i="7"/>
  <c r="J57" i="7"/>
  <c r="J58" i="7"/>
  <c r="J52" i="7"/>
  <c r="Q52" i="7"/>
  <c r="J53" i="7"/>
  <c r="J54" i="7"/>
  <c r="Q45" i="7"/>
  <c r="R45" i="7" s="1"/>
  <c r="Q43" i="7"/>
  <c r="O43" i="7"/>
  <c r="J47" i="7"/>
  <c r="J48" i="7"/>
  <c r="J49" i="7"/>
  <c r="D45" i="7"/>
  <c r="J44" i="7"/>
  <c r="J43" i="7"/>
  <c r="O34" i="7"/>
  <c r="Q34" i="7"/>
  <c r="Q36" i="7"/>
  <c r="R36" i="7" s="1"/>
  <c r="D40" i="7"/>
  <c r="J38" i="7"/>
  <c r="J39" i="7"/>
  <c r="J40" i="7"/>
  <c r="J34" i="7"/>
  <c r="J35" i="7"/>
  <c r="J36" i="7"/>
  <c r="J29" i="7"/>
  <c r="J30" i="7"/>
  <c r="J31" i="7"/>
  <c r="J25" i="7"/>
  <c r="J26" i="7"/>
  <c r="J27" i="7"/>
  <c r="J22" i="7"/>
  <c r="J23" i="7"/>
  <c r="J24" i="7"/>
  <c r="J72" i="6"/>
  <c r="L72" i="6" s="1"/>
  <c r="M72" i="6" s="1"/>
  <c r="J71" i="6"/>
  <c r="L71" i="6" s="1"/>
  <c r="M71" i="6" s="1"/>
  <c r="C69" i="6"/>
  <c r="I67" i="6"/>
  <c r="I69" i="6"/>
  <c r="I72" i="6"/>
  <c r="M197" i="4"/>
  <c r="M201" i="4"/>
  <c r="M200" i="4"/>
  <c r="I200" i="4"/>
  <c r="I199" i="4"/>
  <c r="I201" i="4"/>
  <c r="I196" i="4"/>
  <c r="I195" i="4"/>
  <c r="I197" i="4"/>
  <c r="J60" i="6"/>
  <c r="I61" i="6"/>
  <c r="I62" i="6"/>
  <c r="I59" i="6"/>
  <c r="I58" i="6"/>
  <c r="I63" i="6"/>
  <c r="J59" i="6"/>
  <c r="I60" i="6"/>
  <c r="I190" i="4"/>
  <c r="I178" i="4"/>
  <c r="I179" i="4"/>
  <c r="I177" i="4"/>
  <c r="J176" i="4"/>
  <c r="L176" i="4" s="1"/>
  <c r="R103" i="7"/>
  <c r="R102" i="7"/>
  <c r="D16" i="7"/>
  <c r="D18" i="7"/>
  <c r="T103" i="7"/>
  <c r="D17" i="7"/>
  <c r="D11" i="7"/>
  <c r="T106" i="7"/>
  <c r="R106" i="7"/>
  <c r="T105" i="7"/>
  <c r="R105" i="7"/>
  <c r="T104" i="7"/>
  <c r="R104" i="7"/>
  <c r="M103" i="7"/>
  <c r="T102" i="7"/>
  <c r="M102" i="7"/>
  <c r="D5" i="7"/>
  <c r="D4" i="7"/>
  <c r="I18" i="7"/>
  <c r="K18" i="7" s="1"/>
  <c r="I17" i="7"/>
  <c r="I16" i="7"/>
  <c r="I12" i="7"/>
  <c r="K12" i="7" s="1"/>
  <c r="I11" i="7"/>
  <c r="I10" i="7"/>
  <c r="D10" i="7"/>
  <c r="J10" i="7" s="1"/>
  <c r="I6" i="7"/>
  <c r="D6" i="7"/>
  <c r="I5" i="7"/>
  <c r="I4" i="7"/>
  <c r="C52" i="6"/>
  <c r="U136" i="6"/>
  <c r="U137" i="6"/>
  <c r="U126" i="6"/>
  <c r="U135" i="6"/>
  <c r="T136" i="6"/>
  <c r="T137" i="6"/>
  <c r="T126" i="6"/>
  <c r="T135" i="6"/>
  <c r="R135" i="6"/>
  <c r="H54" i="6"/>
  <c r="J54" i="6" s="1"/>
  <c r="H53" i="6"/>
  <c r="J53" i="6" s="1"/>
  <c r="H52" i="6"/>
  <c r="J52" i="6" s="1"/>
  <c r="C46" i="6"/>
  <c r="C43" i="6"/>
  <c r="H48" i="6"/>
  <c r="H47" i="6"/>
  <c r="C47" i="6"/>
  <c r="C48" i="6" s="1"/>
  <c r="H46" i="6"/>
  <c r="H45" i="6"/>
  <c r="H44" i="6"/>
  <c r="C44" i="6"/>
  <c r="C45" i="6" s="1"/>
  <c r="H43" i="6"/>
  <c r="C41" i="6"/>
  <c r="C42" i="6" s="1"/>
  <c r="C38" i="6"/>
  <c r="C40" i="6"/>
  <c r="H42" i="6"/>
  <c r="H41" i="6"/>
  <c r="H40" i="6"/>
  <c r="I40" i="6" s="1"/>
  <c r="C37" i="6"/>
  <c r="H39" i="6"/>
  <c r="H38" i="6"/>
  <c r="J38" i="6" s="1"/>
  <c r="O38" i="6" s="1"/>
  <c r="H37" i="6"/>
  <c r="H28" i="6"/>
  <c r="C31" i="6"/>
  <c r="H33" i="6"/>
  <c r="H32" i="6"/>
  <c r="C32" i="6"/>
  <c r="H31" i="6"/>
  <c r="I31" i="6" s="1"/>
  <c r="C28" i="6"/>
  <c r="C25" i="6"/>
  <c r="C24" i="6"/>
  <c r="H30" i="6"/>
  <c r="H29" i="6"/>
  <c r="C29" i="6"/>
  <c r="C30" i="6" s="1"/>
  <c r="H26" i="6"/>
  <c r="J26" i="6" s="1"/>
  <c r="N26" i="6" s="1"/>
  <c r="H25" i="6"/>
  <c r="J25" i="6" s="1"/>
  <c r="H24" i="6"/>
  <c r="J24" i="6" s="1"/>
  <c r="C16" i="6"/>
  <c r="C19" i="6"/>
  <c r="H21" i="6"/>
  <c r="J21" i="6" s="1"/>
  <c r="H20" i="6"/>
  <c r="J20" i="6" s="1"/>
  <c r="C20" i="6"/>
  <c r="H19" i="6"/>
  <c r="J19" i="6" s="1"/>
  <c r="C9" i="6"/>
  <c r="C15" i="6"/>
  <c r="H17" i="6"/>
  <c r="J17" i="6" s="1"/>
  <c r="M17" i="6" s="1"/>
  <c r="H16" i="6"/>
  <c r="J16" i="6" s="1"/>
  <c r="H15" i="6"/>
  <c r="J15" i="6" s="1"/>
  <c r="H11" i="6"/>
  <c r="H9" i="6"/>
  <c r="H10" i="6"/>
  <c r="C5" i="6"/>
  <c r="C172" i="4"/>
  <c r="C171" i="4"/>
  <c r="H173" i="4"/>
  <c r="I173" i="4" s="1"/>
  <c r="H172" i="4"/>
  <c r="H171" i="4"/>
  <c r="C165" i="4"/>
  <c r="H167" i="4"/>
  <c r="H166" i="4"/>
  <c r="H165" i="4"/>
  <c r="R30" i="7" l="1"/>
  <c r="J43" i="6"/>
  <c r="K43" i="6" s="1"/>
  <c r="R29" i="7"/>
  <c r="J4" i="7"/>
  <c r="Q54" i="7"/>
  <c r="D12" i="7"/>
  <c r="C173" i="4"/>
  <c r="I171" i="4"/>
  <c r="J17" i="7"/>
  <c r="K17" i="7"/>
  <c r="R34" i="7"/>
  <c r="R35" i="7"/>
  <c r="L15" i="6"/>
  <c r="M15" i="6"/>
  <c r="C26" i="6"/>
  <c r="N38" i="6"/>
  <c r="P38" i="6" s="1"/>
  <c r="I10" i="6"/>
  <c r="I42" i="6"/>
  <c r="I48" i="6"/>
  <c r="C54" i="6"/>
  <c r="C33" i="6"/>
  <c r="I47" i="6"/>
  <c r="I46" i="6"/>
  <c r="J30" i="6"/>
  <c r="K30" i="6" s="1"/>
  <c r="I11" i="6"/>
  <c r="I16" i="6"/>
  <c r="C39" i="6"/>
  <c r="R43" i="7"/>
  <c r="J12" i="7"/>
  <c r="J5" i="7"/>
  <c r="J18" i="7"/>
  <c r="J6" i="7"/>
  <c r="J16" i="7"/>
  <c r="J11" i="7"/>
  <c r="I52" i="6"/>
  <c r="I54" i="6"/>
  <c r="L17" i="6"/>
  <c r="N17" i="6" s="1"/>
  <c r="I32" i="6"/>
  <c r="J28" i="6"/>
  <c r="I37" i="6"/>
  <c r="J11" i="6"/>
  <c r="I44" i="6"/>
  <c r="I53" i="6"/>
  <c r="J45" i="6"/>
  <c r="K45" i="6" s="1"/>
  <c r="J44" i="6"/>
  <c r="I45" i="6"/>
  <c r="I43" i="6"/>
  <c r="O25" i="6"/>
  <c r="J39" i="6"/>
  <c r="K39" i="6" s="1"/>
  <c r="I41" i="6"/>
  <c r="J37" i="6"/>
  <c r="K37" i="6" s="1"/>
  <c r="I38" i="6"/>
  <c r="I39" i="6"/>
  <c r="M26" i="6"/>
  <c r="O26" i="6" s="1"/>
  <c r="O24" i="6"/>
  <c r="J29" i="6"/>
  <c r="I33" i="6"/>
  <c r="I24" i="6"/>
  <c r="I25" i="6"/>
  <c r="I26" i="6"/>
  <c r="I28" i="6"/>
  <c r="I29" i="6"/>
  <c r="I30" i="6"/>
  <c r="I15" i="6"/>
  <c r="C21" i="6"/>
  <c r="I19" i="6"/>
  <c r="I20" i="6"/>
  <c r="I21" i="6"/>
  <c r="I17" i="6"/>
  <c r="C17" i="6"/>
  <c r="I9" i="6"/>
  <c r="I172" i="4"/>
  <c r="I166" i="4"/>
  <c r="J166" i="4" s="1"/>
  <c r="I165" i="4"/>
  <c r="J165" i="4" s="1"/>
  <c r="I167" i="4"/>
  <c r="J167" i="4" s="1"/>
  <c r="C11" i="6"/>
  <c r="M135" i="6"/>
  <c r="M136" i="6"/>
  <c r="C6" i="6"/>
  <c r="H6" i="6"/>
  <c r="H5" i="6"/>
  <c r="H4" i="6"/>
  <c r="C159" i="4"/>
  <c r="H161" i="4"/>
  <c r="J161" i="4" s="1"/>
  <c r="H160" i="4"/>
  <c r="J160" i="4" s="1"/>
  <c r="C160" i="4"/>
  <c r="H159" i="4"/>
  <c r="J159" i="4" s="1"/>
  <c r="C156" i="4"/>
  <c r="H158" i="4"/>
  <c r="J158" i="4" s="1"/>
  <c r="H157" i="4"/>
  <c r="J157" i="4" s="1"/>
  <c r="C157" i="4"/>
  <c r="H156" i="4"/>
  <c r="J156" i="4" s="1"/>
  <c r="C153" i="4"/>
  <c r="C155" i="4" s="1"/>
  <c r="H155" i="4"/>
  <c r="J155" i="4" s="1"/>
  <c r="N155" i="4" s="1"/>
  <c r="H154" i="4"/>
  <c r="J154" i="4" s="1"/>
  <c r="N154" i="4" s="1"/>
  <c r="H153" i="4"/>
  <c r="C147" i="4"/>
  <c r="C139" i="4"/>
  <c r="H141" i="4"/>
  <c r="J141" i="4" s="1"/>
  <c r="H140" i="4"/>
  <c r="J140" i="4" s="1"/>
  <c r="C140" i="4"/>
  <c r="H139" i="4"/>
  <c r="J139" i="4" s="1"/>
  <c r="C136" i="4"/>
  <c r="C137" i="4"/>
  <c r="H149" i="4"/>
  <c r="H148" i="4"/>
  <c r="H147" i="4"/>
  <c r="U307" i="4"/>
  <c r="T307" i="4"/>
  <c r="H138" i="4"/>
  <c r="J138" i="4" s="1"/>
  <c r="H137" i="4"/>
  <c r="H136" i="4"/>
  <c r="C130" i="4"/>
  <c r="H132" i="4"/>
  <c r="J129" i="4" s="1"/>
  <c r="L129" i="4" s="1"/>
  <c r="H131" i="4"/>
  <c r="C131" i="4"/>
  <c r="H130" i="4"/>
  <c r="C128" i="4"/>
  <c r="C129" i="4" s="1"/>
  <c r="C127" i="4"/>
  <c r="H129" i="4"/>
  <c r="I129" i="4" s="1"/>
  <c r="H128" i="4"/>
  <c r="I128" i="4" s="1"/>
  <c r="H127" i="4"/>
  <c r="K136" i="4" l="1"/>
  <c r="K134" i="4" s="1"/>
  <c r="K137" i="4"/>
  <c r="K135" i="4" s="1"/>
  <c r="J171" i="4"/>
  <c r="N171" i="4" s="1"/>
  <c r="C161" i="4"/>
  <c r="C132" i="4"/>
  <c r="P155" i="4"/>
  <c r="Q155" i="4" s="1"/>
  <c r="I153" i="4"/>
  <c r="J173" i="4"/>
  <c r="J172" i="4"/>
  <c r="P154" i="4"/>
  <c r="Q154" i="4" s="1"/>
  <c r="I137" i="4"/>
  <c r="J137" i="4"/>
  <c r="L137" i="4" s="1"/>
  <c r="I136" i="4"/>
  <c r="J136" i="4"/>
  <c r="N39" i="6"/>
  <c r="O39" i="6"/>
  <c r="O37" i="6"/>
  <c r="I4" i="6"/>
  <c r="I5" i="6"/>
  <c r="J127" i="4"/>
  <c r="L127" i="4" s="1"/>
  <c r="J128" i="4"/>
  <c r="L128" i="4" s="1"/>
  <c r="N15" i="6"/>
  <c r="M16" i="6"/>
  <c r="L16" i="6"/>
  <c r="I6" i="6"/>
  <c r="J6" i="6"/>
  <c r="I131" i="4"/>
  <c r="C138" i="4"/>
  <c r="I127" i="4"/>
  <c r="I132" i="4"/>
  <c r="C141" i="4"/>
  <c r="C158" i="4"/>
  <c r="I159" i="4"/>
  <c r="I160" i="4"/>
  <c r="I161" i="4"/>
  <c r="I138" i="4"/>
  <c r="I154" i="4"/>
  <c r="I156" i="4"/>
  <c r="I157" i="4"/>
  <c r="I158" i="4"/>
  <c r="J153" i="4"/>
  <c r="L138" i="4"/>
  <c r="I155" i="4"/>
  <c r="I140" i="4"/>
  <c r="I139" i="4"/>
  <c r="I141" i="4"/>
  <c r="I147" i="4"/>
  <c r="I148" i="4"/>
  <c r="I149" i="4"/>
  <c r="I130" i="4"/>
  <c r="K11" i="5"/>
  <c r="J11" i="5"/>
  <c r="E11" i="5"/>
  <c r="K10" i="5"/>
  <c r="J10" i="5"/>
  <c r="E10" i="5"/>
  <c r="K9" i="5"/>
  <c r="J9" i="5"/>
  <c r="E9" i="5"/>
  <c r="C109" i="4"/>
  <c r="C115" i="4"/>
  <c r="C121" i="4"/>
  <c r="H123" i="4"/>
  <c r="H122" i="4"/>
  <c r="H121" i="4"/>
  <c r="H117" i="4"/>
  <c r="H116" i="4"/>
  <c r="J116" i="4" s="1"/>
  <c r="C116" i="4"/>
  <c r="H115" i="4"/>
  <c r="H111" i="4"/>
  <c r="J111" i="4" s="1"/>
  <c r="H110" i="4"/>
  <c r="J110" i="4" s="1"/>
  <c r="C110" i="4"/>
  <c r="H109" i="4"/>
  <c r="J109" i="4" s="1"/>
  <c r="H105" i="4"/>
  <c r="I105" i="4" s="1"/>
  <c r="H104" i="4"/>
  <c r="I104" i="4" s="1"/>
  <c r="C104" i="4"/>
  <c r="C105" i="4" s="1"/>
  <c r="H103" i="4"/>
  <c r="M171" i="4" l="1"/>
  <c r="I115" i="4"/>
  <c r="J115" i="4"/>
  <c r="I116" i="4"/>
  <c r="I117" i="4"/>
  <c r="I103" i="4"/>
  <c r="M172" i="4"/>
  <c r="N172" i="4"/>
  <c r="P172" i="4" s="1"/>
  <c r="M173" i="4"/>
  <c r="N173" i="4"/>
  <c r="P173" i="4" s="1"/>
  <c r="P138" i="4"/>
  <c r="N138" i="4"/>
  <c r="P171" i="4"/>
  <c r="I123" i="4"/>
  <c r="N123" i="4" s="1"/>
  <c r="P137" i="4"/>
  <c r="N137" i="4"/>
  <c r="N136" i="4"/>
  <c r="P136" i="4"/>
  <c r="Q136" i="4" s="1"/>
  <c r="P39" i="6"/>
  <c r="P37" i="6"/>
  <c r="N16" i="6"/>
  <c r="P153" i="4"/>
  <c r="N153" i="4"/>
  <c r="C117" i="4"/>
  <c r="I122" i="4"/>
  <c r="J122" i="4"/>
  <c r="J123" i="4"/>
  <c r="J105" i="4" s="1"/>
  <c r="L123" i="4"/>
  <c r="C111" i="4"/>
  <c r="I109" i="4"/>
  <c r="I121" i="4"/>
  <c r="N121" i="4" s="1"/>
  <c r="I110" i="4"/>
  <c r="I111" i="4"/>
  <c r="Q15" i="5"/>
  <c r="P15" i="5"/>
  <c r="Q14" i="5"/>
  <c r="P14" i="5"/>
  <c r="Q13" i="5"/>
  <c r="P13" i="5"/>
  <c r="Q12" i="5"/>
  <c r="P12" i="5"/>
  <c r="Q11" i="5"/>
  <c r="P11" i="5"/>
  <c r="Q10" i="5"/>
  <c r="P10" i="5"/>
  <c r="Q9" i="5"/>
  <c r="P9" i="5"/>
  <c r="Q138" i="4" l="1"/>
  <c r="M122" i="4"/>
  <c r="N122" i="4"/>
  <c r="Q137" i="4"/>
  <c r="L122" i="4"/>
  <c r="N116" i="4" s="1"/>
  <c r="M123" i="4"/>
  <c r="Q153" i="4"/>
  <c r="N110" i="4"/>
  <c r="J117" i="4"/>
  <c r="N117" i="4" s="1"/>
  <c r="M105" i="4"/>
  <c r="N105" i="4"/>
  <c r="J121" i="4"/>
  <c r="M121" i="4"/>
  <c r="L121" i="4"/>
  <c r="M116" i="4"/>
  <c r="N104" i="4"/>
  <c r="T306" i="4"/>
  <c r="U304" i="4"/>
  <c r="U306" i="4"/>
  <c r="U305" i="4"/>
  <c r="T305" i="4"/>
  <c r="T304" i="4"/>
  <c r="R304" i="4"/>
  <c r="C93" i="4"/>
  <c r="H95" i="4"/>
  <c r="H94" i="4"/>
  <c r="H93" i="4"/>
  <c r="J64" i="4"/>
  <c r="M49" i="1"/>
  <c r="L49" i="1"/>
  <c r="N49" i="1" s="1"/>
  <c r="M58" i="1"/>
  <c r="L58" i="1"/>
  <c r="N58" i="1" s="1"/>
  <c r="N59" i="1"/>
  <c r="M59" i="1"/>
  <c r="L59" i="1"/>
  <c r="C88" i="4"/>
  <c r="C89" i="4" s="1"/>
  <c r="M305" i="4"/>
  <c r="C82" i="4"/>
  <c r="C83" i="4" s="1"/>
  <c r="M304" i="4"/>
  <c r="H89" i="4"/>
  <c r="I89" i="4" s="1"/>
  <c r="H88" i="4"/>
  <c r="H87" i="4"/>
  <c r="H83" i="4"/>
  <c r="I83" i="4" s="1"/>
  <c r="H82" i="4"/>
  <c r="H81" i="4"/>
  <c r="I81" i="4" s="1"/>
  <c r="C76" i="4"/>
  <c r="C77" i="4" s="1"/>
  <c r="H77" i="4"/>
  <c r="I77" i="4" s="1"/>
  <c r="H76" i="4"/>
  <c r="H75" i="4"/>
  <c r="I76" i="4" l="1"/>
  <c r="J76" i="4"/>
  <c r="I88" i="4"/>
  <c r="K88" i="4"/>
  <c r="I87" i="4"/>
  <c r="K87" i="4"/>
  <c r="I75" i="4"/>
  <c r="I82" i="4"/>
  <c r="J82" i="4"/>
  <c r="P116" i="4"/>
  <c r="I95" i="4"/>
  <c r="J95" i="4" s="1"/>
  <c r="M111" i="4"/>
  <c r="N111" i="4"/>
  <c r="P104" i="4"/>
  <c r="L95" i="4"/>
  <c r="J83" i="4" s="1"/>
  <c r="I93" i="4"/>
  <c r="L93" i="4" s="1"/>
  <c r="M110" i="4"/>
  <c r="P110" i="4" s="1"/>
  <c r="I94" i="4"/>
  <c r="M117" i="4"/>
  <c r="P117" i="4" s="1"/>
  <c r="M103" i="4"/>
  <c r="N103" i="4"/>
  <c r="N115" i="4"/>
  <c r="M115" i="4"/>
  <c r="P105" i="4"/>
  <c r="F6" i="3"/>
  <c r="L98" i="4" l="1"/>
  <c r="J89" i="4" s="1"/>
  <c r="P111" i="4"/>
  <c r="J93" i="4"/>
  <c r="J81" i="4" s="1"/>
  <c r="L96" i="4"/>
  <c r="P103" i="4"/>
  <c r="J94" i="4"/>
  <c r="L94" i="4"/>
  <c r="L97" i="4"/>
  <c r="P115" i="4"/>
  <c r="M109" i="4"/>
  <c r="N109" i="4"/>
  <c r="C70" i="4"/>
  <c r="C71" i="4" s="1"/>
  <c r="H70" i="4"/>
  <c r="I70" i="4" s="1"/>
  <c r="H69" i="4"/>
  <c r="I69" i="4" s="1"/>
  <c r="H66" i="4"/>
  <c r="H65" i="4"/>
  <c r="I65" i="4" s="1"/>
  <c r="C65" i="4"/>
  <c r="C66" i="4" s="1"/>
  <c r="H64" i="4"/>
  <c r="M64" i="4" s="1"/>
  <c r="J87" i="4" l="1"/>
  <c r="J88" i="4"/>
  <c r="P109" i="4"/>
  <c r="I64" i="4"/>
  <c r="C60" i="4"/>
  <c r="C59" i="4"/>
  <c r="H61" i="4"/>
  <c r="H60" i="4"/>
  <c r="H59" i="4"/>
  <c r="I60" i="4" l="1"/>
  <c r="C61" i="4"/>
  <c r="B61" i="4" s="1"/>
  <c r="I61" i="4"/>
  <c r="I59" i="4"/>
  <c r="G35" i="4"/>
  <c r="G36" i="4" s="1"/>
  <c r="F36" i="4"/>
  <c r="I35" i="4"/>
  <c r="I37" i="4"/>
  <c r="I36" i="4"/>
  <c r="I34" i="4"/>
  <c r="F5" i="3"/>
  <c r="P46" i="4"/>
  <c r="P47" i="4" s="1"/>
  <c r="C51" i="4" l="1"/>
  <c r="C52" i="4"/>
  <c r="H53" i="4"/>
  <c r="H52" i="4"/>
  <c r="H51" i="4"/>
  <c r="C47" i="4"/>
  <c r="C46" i="4"/>
  <c r="C48" i="4" s="1"/>
  <c r="H48" i="4"/>
  <c r="I48" i="4" s="1"/>
  <c r="H47" i="4"/>
  <c r="H46" i="4"/>
  <c r="C17" i="4"/>
  <c r="C42" i="4"/>
  <c r="C41" i="4"/>
  <c r="I66" i="4" s="1"/>
  <c r="H43" i="4"/>
  <c r="I43" i="4" s="1"/>
  <c r="H42" i="4"/>
  <c r="I42" i="4" s="1"/>
  <c r="H41" i="4"/>
  <c r="C43" i="4" l="1"/>
  <c r="B43" i="4" s="1"/>
  <c r="I52" i="4"/>
  <c r="I53" i="4"/>
  <c r="I41" i="4"/>
  <c r="C53" i="4"/>
  <c r="B53" i="4" s="1"/>
  <c r="I46" i="4"/>
  <c r="I47" i="4"/>
  <c r="I51" i="4"/>
  <c r="Q9" i="4"/>
  <c r="R9" i="4" s="1"/>
  <c r="T9" i="4" s="1"/>
  <c r="U9" i="4" s="1"/>
  <c r="Q10" i="4"/>
  <c r="R10" i="4" s="1"/>
  <c r="T10" i="4" s="1"/>
  <c r="U10" i="4" s="1"/>
  <c r="Q11" i="4"/>
  <c r="R11" i="4" s="1"/>
  <c r="T11" i="4" s="1"/>
  <c r="U11" i="4" s="1"/>
  <c r="P8" i="4"/>
  <c r="Q8" i="4" s="1"/>
  <c r="R8" i="4" s="1"/>
  <c r="T8" i="4" s="1"/>
  <c r="U8" i="4" s="1"/>
  <c r="T5" i="3"/>
  <c r="T4" i="3"/>
  <c r="C24" i="4" l="1"/>
  <c r="C23" i="4"/>
  <c r="C30" i="4"/>
  <c r="H32" i="4"/>
  <c r="H31" i="4"/>
  <c r="C31" i="4"/>
  <c r="H30" i="4"/>
  <c r="H25" i="4"/>
  <c r="H24" i="4"/>
  <c r="I26" i="4"/>
  <c r="H23" i="4"/>
  <c r="I31" i="4" l="1"/>
  <c r="C25" i="4"/>
  <c r="C26" i="4" s="1"/>
  <c r="I23" i="4"/>
  <c r="C32" i="4"/>
  <c r="C33" i="4" s="1"/>
  <c r="I24" i="4"/>
  <c r="I25" i="4"/>
  <c r="I30" i="4"/>
  <c r="I32" i="4"/>
  <c r="C11" i="4"/>
  <c r="C5" i="4"/>
  <c r="C16" i="4"/>
  <c r="C18" i="4" s="1"/>
  <c r="C19" i="4" s="1"/>
  <c r="H19" i="4"/>
  <c r="H18" i="4"/>
  <c r="H17" i="4"/>
  <c r="H16" i="4"/>
  <c r="H13" i="4"/>
  <c r="I17" i="4" l="1"/>
  <c r="I18" i="4"/>
  <c r="I16" i="4"/>
  <c r="I19" i="4"/>
  <c r="J13" i="4"/>
  <c r="J12" i="4"/>
  <c r="C10" i="4"/>
  <c r="I13" i="4" s="1"/>
  <c r="H12" i="4"/>
  <c r="I12" i="4" s="1"/>
  <c r="H11" i="4"/>
  <c r="H10" i="4"/>
  <c r="I11" i="4" l="1"/>
  <c r="I10" i="4"/>
  <c r="C13" i="4"/>
  <c r="C4" i="4"/>
  <c r="C6" i="4" s="1"/>
  <c r="H6" i="4"/>
  <c r="H5" i="4"/>
  <c r="H4" i="4"/>
  <c r="I4" i="4" s="1"/>
  <c r="I6" i="4" l="1"/>
  <c r="I5" i="4"/>
  <c r="N12" i="3"/>
  <c r="S10" i="3"/>
  <c r="S9" i="3"/>
  <c r="N8" i="3"/>
  <c r="N3" i="3"/>
  <c r="L5" i="3"/>
  <c r="S6" i="3"/>
  <c r="S5" i="3"/>
  <c r="N4" i="3"/>
  <c r="S4" i="3"/>
  <c r="K59" i="1" l="1"/>
  <c r="K60" i="1"/>
  <c r="K62" i="1"/>
  <c r="K63" i="1"/>
  <c r="K64" i="1"/>
  <c r="J61" i="1"/>
  <c r="K61" i="1" s="1"/>
  <c r="J63" i="1"/>
  <c r="J62" i="1"/>
  <c r="E57" i="1"/>
  <c r="J64" i="1"/>
  <c r="J60" i="1"/>
  <c r="J59" i="1"/>
  <c r="J58" i="1"/>
  <c r="K58" i="1" s="1"/>
  <c r="F41" i="3" l="1"/>
  <c r="L40" i="3" l="1"/>
  <c r="K40" i="3"/>
  <c r="F40" i="3"/>
  <c r="K49" i="3"/>
  <c r="L49" i="3" s="1"/>
  <c r="K48" i="3"/>
  <c r="L48" i="3" s="1"/>
  <c r="K47" i="3"/>
  <c r="K46" i="3"/>
  <c r="L46" i="3" s="1"/>
  <c r="K45" i="3"/>
  <c r="L45" i="3" s="1"/>
  <c r="K44" i="3"/>
  <c r="L44" i="3" s="1"/>
  <c r="K43" i="3"/>
  <c r="K42" i="3"/>
  <c r="L42" i="3" s="1"/>
  <c r="K41" i="3"/>
  <c r="L41" i="3" s="1"/>
  <c r="L43" i="3" l="1"/>
  <c r="L47" i="3"/>
  <c r="T39" i="1"/>
  <c r="T41" i="1"/>
  <c r="T42" i="1"/>
  <c r="T43" i="1"/>
  <c r="T44" i="1"/>
  <c r="T45" i="1"/>
  <c r="T46" i="1"/>
  <c r="T47" i="1"/>
  <c r="N38" i="1"/>
  <c r="S47" i="1"/>
  <c r="S46" i="1"/>
  <c r="S45" i="1"/>
  <c r="S44" i="1"/>
  <c r="S43" i="1"/>
  <c r="S42" i="1"/>
  <c r="S41" i="1"/>
  <c r="S40" i="1"/>
  <c r="T40" i="1" s="1"/>
  <c r="S39" i="1"/>
  <c r="S38" i="1"/>
  <c r="T38" i="1" s="1"/>
  <c r="F28" i="3"/>
  <c r="L28" i="3"/>
  <c r="K37" i="3"/>
  <c r="L37" i="3" s="1"/>
  <c r="K36" i="3"/>
  <c r="K35" i="3"/>
  <c r="K34" i="3"/>
  <c r="L34" i="3" s="1"/>
  <c r="K33" i="3"/>
  <c r="L33" i="3" s="1"/>
  <c r="K32" i="3"/>
  <c r="L32" i="3" s="1"/>
  <c r="K31" i="3"/>
  <c r="K30" i="3"/>
  <c r="K29" i="3"/>
  <c r="L29" i="3" s="1"/>
  <c r="K28" i="3"/>
  <c r="F16" i="3"/>
  <c r="L16" i="3" s="1"/>
  <c r="K25" i="3"/>
  <c r="L25" i="3" s="1"/>
  <c r="K24" i="3"/>
  <c r="L24" i="3" s="1"/>
  <c r="K23" i="3"/>
  <c r="K22" i="3"/>
  <c r="L22" i="3" s="1"/>
  <c r="K21" i="3"/>
  <c r="K20" i="3"/>
  <c r="K19" i="3"/>
  <c r="L19" i="3" s="1"/>
  <c r="K18" i="3"/>
  <c r="L18" i="3" s="1"/>
  <c r="K17" i="3"/>
  <c r="K16" i="3"/>
  <c r="K13" i="3"/>
  <c r="L13" i="3"/>
  <c r="K6" i="3"/>
  <c r="L6" i="3" s="1"/>
  <c r="K10" i="3"/>
  <c r="L10" i="3"/>
  <c r="K12" i="3"/>
  <c r="L12" i="3" s="1"/>
  <c r="K11" i="3"/>
  <c r="L11" i="3"/>
  <c r="K8" i="3"/>
  <c r="L8" i="3" s="1"/>
  <c r="K9" i="3"/>
  <c r="L9" i="3"/>
  <c r="F4" i="3"/>
  <c r="K7" i="3"/>
  <c r="L7" i="3" s="1"/>
  <c r="K5" i="3"/>
  <c r="K4" i="3"/>
  <c r="L4" i="3" s="1"/>
  <c r="L23" i="3" l="1"/>
  <c r="L17" i="3"/>
  <c r="L21" i="3"/>
  <c r="L20" i="3"/>
  <c r="L30" i="3"/>
  <c r="L36" i="3"/>
  <c r="L31" i="3"/>
  <c r="L35" i="3"/>
  <c r="E18" i="2"/>
  <c r="K13" i="2"/>
  <c r="J13" i="2"/>
  <c r="K49" i="1"/>
  <c r="K47" i="1"/>
  <c r="K48" i="1"/>
  <c r="K50" i="1"/>
  <c r="K51" i="1"/>
  <c r="K52" i="1"/>
  <c r="K53" i="1"/>
  <c r="K54" i="1"/>
  <c r="K46" i="1"/>
  <c r="J54" i="1"/>
  <c r="J20" i="2"/>
  <c r="K20" i="2" s="1"/>
  <c r="J19" i="2"/>
  <c r="K19" i="2" s="1"/>
  <c r="J18" i="2"/>
  <c r="K18" i="2" s="1"/>
  <c r="J53" i="1"/>
  <c r="J52" i="1"/>
  <c r="J49" i="1"/>
  <c r="J50" i="1"/>
  <c r="J51" i="1"/>
  <c r="E45" i="1" l="1"/>
  <c r="J48" i="1"/>
  <c r="J47" i="1"/>
  <c r="J46" i="1"/>
  <c r="K41" i="1" l="1"/>
  <c r="K40" i="1"/>
  <c r="K14" i="2"/>
  <c r="E39" i="1"/>
  <c r="J42" i="1"/>
  <c r="K42" i="1" s="1"/>
  <c r="J41" i="1"/>
  <c r="J40" i="1"/>
  <c r="J15" i="2" l="1"/>
  <c r="K15" i="2" s="1"/>
  <c r="E13" i="2"/>
  <c r="J14" i="2"/>
  <c r="K36" i="1"/>
  <c r="E33" i="1"/>
  <c r="J36" i="1"/>
  <c r="J35" i="1"/>
  <c r="J34" i="1"/>
  <c r="K34" i="1" s="1"/>
  <c r="K35" i="1" l="1"/>
  <c r="K6" i="2" l="1"/>
  <c r="K5" i="2"/>
  <c r="J9" i="2"/>
  <c r="K9" i="2" s="1"/>
  <c r="K10" i="2"/>
  <c r="E9" i="2"/>
  <c r="J10" i="2"/>
  <c r="R32" i="1"/>
  <c r="R31" i="1"/>
  <c r="R30" i="1"/>
  <c r="R29" i="1"/>
  <c r="R25" i="1"/>
  <c r="R26" i="1"/>
  <c r="R27" i="1"/>
  <c r="R28" i="1"/>
  <c r="R22" i="1"/>
  <c r="R21" i="1"/>
  <c r="R20" i="1"/>
  <c r="R19" i="1"/>
  <c r="M15" i="1"/>
  <c r="R34" i="1"/>
  <c r="R33" i="1"/>
  <c r="R24" i="1"/>
  <c r="R23" i="1"/>
  <c r="R18" i="1"/>
  <c r="R17" i="1"/>
  <c r="R16" i="1"/>
  <c r="E4" i="2"/>
  <c r="S29" i="1" l="1"/>
  <c r="S25" i="1"/>
  <c r="S21" i="1"/>
  <c r="S33" i="1"/>
  <c r="S19" i="1"/>
  <c r="S20" i="1"/>
  <c r="S22" i="1"/>
  <c r="S16" i="1"/>
  <c r="S18" i="1"/>
  <c r="S17" i="1"/>
  <c r="S32" i="1"/>
  <c r="S28" i="1"/>
  <c r="S24" i="1"/>
  <c r="S31" i="1"/>
  <c r="S27" i="1"/>
  <c r="S23" i="1"/>
  <c r="S34" i="1"/>
  <c r="S30" i="1"/>
  <c r="S26" i="1"/>
  <c r="J6" i="2"/>
  <c r="J5" i="2"/>
  <c r="J30" i="1" l="1"/>
  <c r="J29" i="1"/>
  <c r="J28" i="1"/>
  <c r="J25" i="1"/>
  <c r="J24" i="1"/>
  <c r="J22" i="1"/>
  <c r="J23" i="1"/>
  <c r="E15" i="1"/>
  <c r="J27" i="1"/>
  <c r="J26" i="1"/>
  <c r="J21" i="1"/>
  <c r="J20" i="1"/>
  <c r="K20" i="1" s="1"/>
  <c r="J19" i="1"/>
  <c r="J18" i="1"/>
  <c r="J17" i="1"/>
  <c r="J16" i="1"/>
  <c r="K16" i="1" s="1"/>
  <c r="K25" i="1" l="1"/>
  <c r="K17" i="1"/>
  <c r="K21" i="1"/>
  <c r="K23" i="1"/>
  <c r="K28" i="1"/>
  <c r="K18" i="1"/>
  <c r="K26" i="1"/>
  <c r="K22" i="1"/>
  <c r="K29" i="1"/>
  <c r="K19" i="1"/>
  <c r="K27" i="1"/>
  <c r="K24" i="1"/>
  <c r="K30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<sst xmlns="http://schemas.openxmlformats.org/spreadsheetml/2006/main" count="1182" uniqueCount="157">
  <si>
    <t>Time (sec)</t>
  </si>
  <si>
    <t>Power (W)</t>
  </si>
  <si>
    <r>
      <t>T</t>
    </r>
    <r>
      <rPr>
        <vertAlign val="subscript"/>
        <sz val="12"/>
        <color theme="1"/>
        <rFont val="宋体"/>
        <family val="3"/>
        <charset val="134"/>
      </rPr>
      <t>○</t>
    </r>
    <r>
      <rPr>
        <sz val="12"/>
        <color theme="1"/>
        <rFont val="宋体"/>
        <family val="3"/>
        <charset val="134"/>
      </rPr>
      <t xml:space="preserve"> (℃)</t>
    </r>
  </si>
  <si>
    <r>
      <t>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</si>
  <si>
    <r>
      <t>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</si>
  <si>
    <t>Sludge only</t>
  </si>
  <si>
    <t>Powerded sludege</t>
  </si>
  <si>
    <t>freeze dried</t>
  </si>
  <si>
    <t>oven dried sample</t>
  </si>
  <si>
    <t xml:space="preserve">Dry mix </t>
  </si>
  <si>
    <t>10mg MWCNT</t>
  </si>
  <si>
    <t>with balls</t>
  </si>
  <si>
    <t>After 1 day tumbled with balls</t>
  </si>
  <si>
    <t>After 2 day tumbled with balls</t>
  </si>
  <si>
    <t>After 4 day tumbled with balls</t>
  </si>
  <si>
    <t>no tumbled</t>
  </si>
  <si>
    <t>20mg SWCNT/2mL CTAB</t>
  </si>
  <si>
    <t>CNT as mg</t>
  </si>
  <si>
    <t>sludge 2</t>
  </si>
  <si>
    <t>(dark color)</t>
  </si>
  <si>
    <t>yellow color</t>
  </si>
  <si>
    <t>tumbled no balls</t>
  </si>
  <si>
    <t>mg</t>
  </si>
  <si>
    <t>after 1 night tumbled</t>
  </si>
  <si>
    <t>0.3mgMWCNT/CTAB 100mg sludge</t>
  </si>
  <si>
    <t>250ul</t>
  </si>
  <si>
    <t>200ul</t>
  </si>
  <si>
    <t>130,30</t>
  </si>
  <si>
    <t>100ul</t>
  </si>
  <si>
    <t>1g sludge</t>
  </si>
  <si>
    <t>250mgSludge+0.3mg/ml MWCNT/CTAB</t>
  </si>
  <si>
    <t>1ml</t>
  </si>
  <si>
    <t>0.3mgCNT</t>
  </si>
  <si>
    <t>10mlsludge</t>
  </si>
  <si>
    <t>freeze dry</t>
  </si>
  <si>
    <t>g</t>
  </si>
  <si>
    <t>0.75ml</t>
  </si>
  <si>
    <t>0.5ml</t>
  </si>
  <si>
    <t>0.25ml</t>
  </si>
  <si>
    <t>5mlsludge after centrifuge+cnt+ freeze dry</t>
  </si>
  <si>
    <t>sludge +CTAB only</t>
  </si>
  <si>
    <t>Control</t>
  </si>
  <si>
    <t>CNT Mass (mg)</t>
  </si>
  <si>
    <t>CNT Mass (mg)</t>
    <phoneticPr fontId="5" type="noConversion"/>
  </si>
  <si>
    <t>100w, 20s</t>
    <phoneticPr fontId="5" type="noConversion"/>
  </si>
  <si>
    <t>130w, 20s</t>
    <phoneticPr fontId="5" type="noConversion"/>
  </si>
  <si>
    <t>130w, 30s</t>
    <phoneticPr fontId="5" type="noConversion"/>
  </si>
  <si>
    <t>∆T (℃)</t>
  </si>
  <si>
    <r>
      <t>Subtraction ∆T (</t>
    </r>
    <r>
      <rPr>
        <sz val="12"/>
        <color theme="1"/>
        <rFont val="宋体"/>
        <family val="3"/>
        <charset val="134"/>
      </rPr>
      <t>℃</t>
    </r>
    <r>
      <rPr>
        <sz val="12"/>
        <color theme="1"/>
        <rFont val="Times New Roman"/>
        <family val="1"/>
      </rPr>
      <t>)</t>
    </r>
    <phoneticPr fontId="5" type="noConversion"/>
  </si>
  <si>
    <t>Sludge</t>
    <phoneticPr fontId="5" type="noConversion"/>
  </si>
  <si>
    <t>Soil</t>
    <phoneticPr fontId="5" type="noConversion"/>
  </si>
  <si>
    <t>Subtraction∆T (℃)</t>
  </si>
  <si>
    <t>100W</t>
  </si>
  <si>
    <t>130W</t>
  </si>
  <si>
    <t>Sand</t>
    <phoneticPr fontId="5" type="noConversion"/>
  </si>
  <si>
    <r>
      <t>T</t>
    </r>
    <r>
      <rPr>
        <vertAlign val="subscript"/>
        <sz val="12"/>
        <color theme="9" tint="-0.249977111117893"/>
        <rFont val="宋体"/>
        <family val="3"/>
        <charset val="134"/>
      </rPr>
      <t>○</t>
    </r>
    <r>
      <rPr>
        <sz val="12"/>
        <color theme="9" tint="-0.249977111117893"/>
        <rFont val="宋体"/>
        <family val="3"/>
        <charset val="134"/>
      </rPr>
      <t xml:space="preserve"> (℃)</t>
    </r>
  </si>
  <si>
    <r>
      <t>T (</t>
    </r>
    <r>
      <rPr>
        <sz val="12"/>
        <color theme="9" tint="-0.249977111117893"/>
        <rFont val="宋体"/>
        <family val="3"/>
        <charset val="134"/>
      </rPr>
      <t>℃</t>
    </r>
    <r>
      <rPr>
        <sz val="12"/>
        <color theme="9" tint="-0.249977111117893"/>
        <rFont val="Times New Roman"/>
        <family val="1"/>
      </rPr>
      <t>)</t>
    </r>
  </si>
  <si>
    <r>
      <t>∆T (</t>
    </r>
    <r>
      <rPr>
        <sz val="12"/>
        <color theme="9" tint="-0.249977111117893"/>
        <rFont val="宋体"/>
        <family val="3"/>
        <charset val="134"/>
      </rPr>
      <t>℃</t>
    </r>
    <r>
      <rPr>
        <sz val="12"/>
        <color theme="9" tint="-0.249977111117893"/>
        <rFont val="Times New Roman"/>
        <family val="1"/>
      </rPr>
      <t>)</t>
    </r>
  </si>
  <si>
    <r>
      <t>T</t>
    </r>
    <r>
      <rPr>
        <vertAlign val="subscript"/>
        <sz val="12"/>
        <color rgb="FF7030A0"/>
        <rFont val="宋体"/>
        <family val="3"/>
        <charset val="134"/>
      </rPr>
      <t>○</t>
    </r>
    <r>
      <rPr>
        <sz val="12"/>
        <color rgb="FF7030A0"/>
        <rFont val="宋体"/>
        <family val="3"/>
        <charset val="134"/>
      </rPr>
      <t xml:space="preserve"> (℃)</t>
    </r>
  </si>
  <si>
    <r>
      <t>T (</t>
    </r>
    <r>
      <rPr>
        <sz val="12"/>
        <color rgb="FF7030A0"/>
        <rFont val="宋体"/>
        <family val="3"/>
        <charset val="134"/>
      </rPr>
      <t>℃</t>
    </r>
    <r>
      <rPr>
        <sz val="12"/>
        <color rgb="FF7030A0"/>
        <rFont val="Times New Roman"/>
        <family val="1"/>
      </rPr>
      <t>)</t>
    </r>
  </si>
  <si>
    <r>
      <t>∆T (</t>
    </r>
    <r>
      <rPr>
        <sz val="12"/>
        <color rgb="FF7030A0"/>
        <rFont val="宋体"/>
        <family val="3"/>
        <charset val="134"/>
      </rPr>
      <t>℃</t>
    </r>
    <r>
      <rPr>
        <sz val="12"/>
        <color rgb="FF7030A0"/>
        <rFont val="Times New Roman"/>
        <family val="1"/>
      </rPr>
      <t>)</t>
    </r>
  </si>
  <si>
    <t>ave</t>
  </si>
  <si>
    <t>std</t>
  </si>
  <si>
    <t xml:space="preserve">1.25ml </t>
  </si>
  <si>
    <t>control</t>
  </si>
  <si>
    <r>
      <t>T</t>
    </r>
    <r>
      <rPr>
        <vertAlign val="subscript"/>
        <sz val="12"/>
        <color rgb="FF00B050"/>
        <rFont val="宋体"/>
        <family val="3"/>
        <charset val="134"/>
      </rPr>
      <t>○</t>
    </r>
    <r>
      <rPr>
        <sz val="12"/>
        <color rgb="FF00B050"/>
        <rFont val="宋体"/>
        <family val="3"/>
        <charset val="134"/>
      </rPr>
      <t xml:space="preserve"> (℃)</t>
    </r>
  </si>
  <si>
    <r>
      <t>T (</t>
    </r>
    <r>
      <rPr>
        <sz val="12"/>
        <color rgb="FF00B050"/>
        <rFont val="宋体"/>
        <family val="3"/>
        <charset val="134"/>
      </rPr>
      <t>℃</t>
    </r>
    <r>
      <rPr>
        <sz val="12"/>
        <color rgb="FF00B050"/>
        <rFont val="Times New Roman"/>
        <family val="1"/>
      </rPr>
      <t>)</t>
    </r>
  </si>
  <si>
    <r>
      <t>∆T (</t>
    </r>
    <r>
      <rPr>
        <sz val="12"/>
        <color rgb="FF00B050"/>
        <rFont val="宋体"/>
        <family val="3"/>
        <charset val="134"/>
      </rPr>
      <t>℃</t>
    </r>
    <r>
      <rPr>
        <sz val="12"/>
        <color rgb="FF00B050"/>
        <rFont val="Times New Roman"/>
        <family val="1"/>
      </rPr>
      <t>)</t>
    </r>
  </si>
  <si>
    <t>5mlsludge+1.25mlCTAB</t>
  </si>
  <si>
    <t>%</t>
  </si>
  <si>
    <t>5mlsludge+SWCNT</t>
  </si>
  <si>
    <t>SWCNT</t>
  </si>
  <si>
    <t>MWCNT</t>
  </si>
  <si>
    <t>sludge+1.25mlCTAB</t>
  </si>
  <si>
    <t>1.25ml</t>
  </si>
  <si>
    <t>0.8ml</t>
  </si>
  <si>
    <t>M-COOH</t>
  </si>
  <si>
    <t>Subtraction ∆T (℃)</t>
  </si>
  <si>
    <t>5mlsludge+1mlCTAB</t>
  </si>
  <si>
    <t>sludge +0.75CTAB only</t>
  </si>
  <si>
    <r>
      <t>T</t>
    </r>
    <r>
      <rPr>
        <vertAlign val="subscript"/>
        <sz val="12"/>
        <color rgb="FF0070C0"/>
        <rFont val="宋体"/>
        <family val="3"/>
        <charset val="134"/>
      </rPr>
      <t>○</t>
    </r>
    <r>
      <rPr>
        <sz val="12"/>
        <color rgb="FF0070C0"/>
        <rFont val="宋体"/>
        <family val="3"/>
        <charset val="134"/>
      </rPr>
      <t xml:space="preserve"> (℃)</t>
    </r>
  </si>
  <si>
    <r>
      <t>T (</t>
    </r>
    <r>
      <rPr>
        <sz val="12"/>
        <color rgb="FF0070C0"/>
        <rFont val="宋体"/>
        <family val="3"/>
        <charset val="134"/>
      </rPr>
      <t>℃</t>
    </r>
    <r>
      <rPr>
        <sz val="12"/>
        <color rgb="FF0070C0"/>
        <rFont val="Times New Roman"/>
        <family val="1"/>
      </rPr>
      <t>)</t>
    </r>
  </si>
  <si>
    <r>
      <t>∆T (</t>
    </r>
    <r>
      <rPr>
        <sz val="12"/>
        <color rgb="FF0070C0"/>
        <rFont val="宋体"/>
        <family val="3"/>
        <charset val="134"/>
      </rPr>
      <t>℃</t>
    </r>
    <r>
      <rPr>
        <sz val="12"/>
        <color rgb="FF0070C0"/>
        <rFont val="Times New Roman"/>
        <family val="1"/>
      </rPr>
      <t>)</t>
    </r>
  </si>
  <si>
    <t>0.35ml</t>
  </si>
  <si>
    <t>0.45ml</t>
  </si>
  <si>
    <r>
      <t>T</t>
    </r>
    <r>
      <rPr>
        <vertAlign val="subscript"/>
        <sz val="12"/>
        <color rgb="FFFF0000"/>
        <rFont val="宋体"/>
        <family val="3"/>
        <charset val="134"/>
      </rPr>
      <t>○</t>
    </r>
    <r>
      <rPr>
        <sz val="12"/>
        <color rgb="FFFF0000"/>
        <rFont val="宋体"/>
        <family val="3"/>
        <charset val="134"/>
      </rPr>
      <t xml:space="preserve"> (℃)</t>
    </r>
  </si>
  <si>
    <r>
      <t>T (</t>
    </r>
    <r>
      <rPr>
        <sz val="12"/>
        <color rgb="FFFF0000"/>
        <rFont val="宋体"/>
        <family val="3"/>
        <charset val="134"/>
      </rPr>
      <t>℃</t>
    </r>
    <r>
      <rPr>
        <sz val="12"/>
        <color rgb="FFFF0000"/>
        <rFont val="Times New Roman"/>
        <family val="1"/>
      </rPr>
      <t>)</t>
    </r>
  </si>
  <si>
    <r>
      <t>∆T (</t>
    </r>
    <r>
      <rPr>
        <sz val="12"/>
        <color rgb="FFFF0000"/>
        <rFont val="宋体"/>
        <family val="3"/>
        <charset val="134"/>
      </rPr>
      <t>℃</t>
    </r>
    <r>
      <rPr>
        <sz val="12"/>
        <color rgb="FFFF0000"/>
        <rFont val="Times New Roman"/>
        <family val="1"/>
      </rPr>
      <t>)</t>
    </r>
  </si>
  <si>
    <t>0.4ml</t>
  </si>
  <si>
    <t>1mlCTAB</t>
  </si>
  <si>
    <t>1.25mlCTAB</t>
  </si>
  <si>
    <t>1.5mlCTAB</t>
  </si>
  <si>
    <t>1.5ml</t>
  </si>
  <si>
    <t>T (℃)</t>
  </si>
  <si>
    <r>
      <t>T</t>
    </r>
    <r>
      <rPr>
        <vertAlign val="subscript"/>
        <sz val="12"/>
        <color theme="1"/>
        <rFont val="Times New Roman"/>
        <family val="1"/>
      </rPr>
      <t>○</t>
    </r>
    <r>
      <rPr>
        <sz val="12"/>
        <color theme="1"/>
        <rFont val="Times New Roman"/>
        <family val="1"/>
      </rPr>
      <t xml:space="preserve"> (℃)</t>
    </r>
  </si>
  <si>
    <t>2mlCTAB</t>
  </si>
  <si>
    <t>1.75mlCTAB</t>
  </si>
  <si>
    <t>2ml</t>
  </si>
  <si>
    <t>no change</t>
  </si>
  <si>
    <t>1.75ml</t>
  </si>
  <si>
    <t>1.3ml</t>
  </si>
  <si>
    <t>0.05ml</t>
  </si>
  <si>
    <t>1.8ml</t>
  </si>
  <si>
    <t>133w, 15s</t>
    <phoneticPr fontId="5" type="noConversion"/>
  </si>
  <si>
    <t>133w, 15s</t>
    <phoneticPr fontId="5" type="noConversion"/>
  </si>
  <si>
    <t>0.05ml</t>
    <phoneticPr fontId="5" type="noConversion"/>
  </si>
  <si>
    <t>0.8ml</t>
    <phoneticPr fontId="5" type="noConversion"/>
  </si>
  <si>
    <t>1.25ml</t>
    <phoneticPr fontId="5" type="noConversion"/>
  </si>
  <si>
    <t>1.8ml</t>
    <phoneticPr fontId="5" type="noConversion"/>
  </si>
  <si>
    <t>0.15ml</t>
  </si>
  <si>
    <t>MWCNT/Sludge</t>
    <phoneticPr fontId="5" type="noConversion"/>
  </si>
  <si>
    <t>sludge/SWCNT</t>
  </si>
  <si>
    <t>M-COOH/sludge</t>
  </si>
  <si>
    <t>0.1ml</t>
  </si>
  <si>
    <t>0.1ML</t>
  </si>
  <si>
    <t>LOSS</t>
  </si>
  <si>
    <t>0.3ml</t>
  </si>
  <si>
    <t>0.3ML</t>
  </si>
  <si>
    <t>0.5ML</t>
  </si>
  <si>
    <t>loss sample</t>
  </si>
  <si>
    <t>0.8ML</t>
  </si>
  <si>
    <t>1.3ML</t>
  </si>
  <si>
    <t>M</t>
  </si>
  <si>
    <t>S</t>
  </si>
  <si>
    <t>M-COOH</t>
    <phoneticPr fontId="5" type="noConversion"/>
  </si>
  <si>
    <t>5ML</t>
    <phoneticPr fontId="5" type="noConversion"/>
  </si>
  <si>
    <t>M</t>
    <phoneticPr fontId="5" type="noConversion"/>
  </si>
  <si>
    <t>2ML</t>
  </si>
  <si>
    <t>5ml sludge</t>
  </si>
  <si>
    <t>133W</t>
  </si>
  <si>
    <t>0.0152g</t>
  </si>
  <si>
    <t>0.0147g</t>
  </si>
  <si>
    <t>3ml sludge</t>
  </si>
  <si>
    <t>0.0074g</t>
  </si>
  <si>
    <t>1.5ml sludge</t>
  </si>
  <si>
    <t>0.0047g</t>
  </si>
  <si>
    <t>0.3mlMWCNT</t>
  </si>
  <si>
    <t>0.3mlSWCNT</t>
  </si>
  <si>
    <t>0.3mlMWCNT-COOH</t>
  </si>
  <si>
    <t>0.5mlSWCNT</t>
  </si>
  <si>
    <t>0.1M</t>
  </si>
  <si>
    <t>0.3M</t>
  </si>
  <si>
    <t>0.5M</t>
  </si>
  <si>
    <t>0.1S</t>
  </si>
  <si>
    <t>0.3S</t>
  </si>
  <si>
    <t>3ml</t>
  </si>
  <si>
    <t>5ml</t>
  </si>
  <si>
    <t>0.5S</t>
  </si>
  <si>
    <t>0.8S</t>
  </si>
  <si>
    <t>0.1M-COOH</t>
  </si>
  <si>
    <t>0.3M-COOH</t>
  </si>
  <si>
    <t>0.5M-COOH</t>
  </si>
  <si>
    <t>0.8M-COOH</t>
  </si>
  <si>
    <t>1M-COOH</t>
  </si>
  <si>
    <t>M0.5ml</t>
  </si>
  <si>
    <t>S0.5</t>
  </si>
  <si>
    <t>COOH0.5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</si>
</sst>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bscript"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name val="Calibri"/>
      <family val="3"/>
      <charset val="134"/>
      <scheme val="minor"/>
    </font>
    <font>
      <sz val="11"/>
      <color theme="9" tint="-0.249977111117893"/>
      <name val="Calibri"/>
      <family val="2"/>
      <scheme val="minor"/>
    </font>
    <font>
      <sz val="12"/>
      <color theme="9" tint="-0.249977111117893"/>
      <name val="Times New Roman"/>
      <family val="1"/>
    </font>
    <font>
      <vertAlign val="subscript"/>
      <sz val="12"/>
      <color theme="9" tint="-0.249977111117893"/>
      <name val="宋体"/>
      <family val="3"/>
      <charset val="134"/>
    </font>
    <font>
      <sz val="12"/>
      <color theme="9" tint="-0.249977111117893"/>
      <name val="宋体"/>
      <family val="3"/>
      <charset val="134"/>
    </font>
    <font>
      <sz val="11"/>
      <color theme="9" tint="-0.249977111117893"/>
      <name val="Times New Roman"/>
      <family val="1"/>
    </font>
    <font>
      <sz val="11"/>
      <color rgb="FF7030A0"/>
      <name val="Calibri"/>
      <family val="2"/>
      <scheme val="minor"/>
    </font>
    <font>
      <sz val="12"/>
      <color rgb="FF7030A0"/>
      <name val="Times New Roman"/>
      <family val="1"/>
    </font>
    <font>
      <vertAlign val="subscript"/>
      <sz val="12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sz val="11"/>
      <color rgb="FF7030A0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00B050"/>
      <name val="Times New Roman"/>
      <family val="1"/>
    </font>
    <font>
      <vertAlign val="subscript"/>
      <sz val="12"/>
      <color rgb="FF00B050"/>
      <name val="宋体"/>
      <family val="3"/>
      <charset val="134"/>
    </font>
    <font>
      <sz val="12"/>
      <color rgb="FF00B050"/>
      <name val="宋体"/>
      <family val="3"/>
      <charset val="134"/>
    </font>
    <font>
      <sz val="11"/>
      <color rgb="FF00B050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0070C0"/>
      <name val="Times New Roman"/>
      <family val="1"/>
    </font>
    <font>
      <vertAlign val="subscript"/>
      <sz val="12"/>
      <color rgb="FF0070C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FF0000"/>
      <name val="Times New Roman"/>
      <family val="1"/>
    </font>
    <font>
      <vertAlign val="subscript"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Times New Roman"/>
      <family val="1"/>
    </font>
    <font>
      <vertAlign val="subscript"/>
      <sz val="12"/>
      <color theme="1"/>
      <name val="Times New Roman"/>
      <family val="1"/>
    </font>
    <font>
      <sz val="11"/>
      <color theme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" fontId="0" fillId="0" borderId="0" xfId="0" applyNumberFormat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7" xfId="0" applyBorder="1"/>
    <xf numFmtId="0" fontId="4" fillId="0" borderId="4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center"/>
    </xf>
    <xf numFmtId="0" fontId="0" fillId="0" borderId="0" xfId="0"/>
    <xf numFmtId="0" fontId="4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2" xfId="0" applyBorder="1"/>
    <xf numFmtId="0" fontId="4" fillId="0" borderId="1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/>
    <xf numFmtId="0" fontId="4" fillId="0" borderId="11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16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6" fillId="0" borderId="7" xfId="0" applyFont="1" applyBorder="1"/>
    <xf numFmtId="0" fontId="10" fillId="0" borderId="8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16" fontId="11" fillId="0" borderId="0" xfId="0" applyNumberFormat="1" applyFo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1" fillId="0" borderId="7" xfId="0" applyFont="1" applyBorder="1"/>
    <xf numFmtId="0" fontId="15" fillId="0" borderId="8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7" xfId="0" applyFont="1" applyBorder="1"/>
    <xf numFmtId="0" fontId="17" fillId="0" borderId="0" xfId="0" applyFont="1"/>
    <xf numFmtId="0" fontId="17" fillId="0" borderId="7" xfId="0" applyFont="1" applyBorder="1"/>
    <xf numFmtId="0" fontId="15" fillId="0" borderId="0" xfId="0" applyFont="1"/>
    <xf numFmtId="0" fontId="15" fillId="0" borderId="7" xfId="0" applyFont="1" applyBorder="1"/>
    <xf numFmtId="0" fontId="11" fillId="2" borderId="0" xfId="0" applyFont="1" applyFill="1"/>
    <xf numFmtId="0" fontId="0" fillId="0" borderId="0" xfId="0"/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/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/>
    <xf numFmtId="0" fontId="15" fillId="2" borderId="8" xfId="0" applyFont="1" applyFill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10" fillId="2" borderId="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7" xfId="0" applyFont="1" applyFill="1" applyBorder="1"/>
    <xf numFmtId="0" fontId="10" fillId="2" borderId="8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/>
    <xf numFmtId="0" fontId="18" fillId="0" borderId="0" xfId="0" applyFont="1" applyFill="1" applyBorder="1"/>
    <xf numFmtId="0" fontId="16" fillId="0" borderId="5" xfId="0" applyFont="1" applyFill="1" applyBorder="1" applyAlignment="1">
      <alignment horizontal="center"/>
    </xf>
    <xf numFmtId="0" fontId="19" fillId="0" borderId="0" xfId="0" applyFont="1"/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/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7" xfId="0" applyFont="1" applyBorder="1"/>
    <xf numFmtId="0" fontId="24" fillId="0" borderId="8" xfId="0" applyFont="1" applyBorder="1" applyAlignment="1">
      <alignment horizontal="center"/>
    </xf>
    <xf numFmtId="0" fontId="20" fillId="2" borderId="0" xfId="0" applyFont="1" applyFill="1"/>
    <xf numFmtId="0" fontId="0" fillId="0" borderId="0" xfId="0"/>
    <xf numFmtId="0" fontId="0" fillId="0" borderId="0" xfId="0"/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0" xfId="0" applyFont="1" applyFill="1"/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24" fillId="2" borderId="7" xfId="0" applyFont="1" applyFill="1" applyBorder="1"/>
    <xf numFmtId="0" fontId="24" fillId="2" borderId="8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7" fillId="0" borderId="8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0" borderId="10" xfId="0" applyFont="1" applyBorder="1"/>
    <xf numFmtId="0" fontId="15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4" fillId="0" borderId="10" xfId="0" applyFont="1" applyBorder="1"/>
    <xf numFmtId="0" fontId="24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7" xfId="0" applyFont="1" applyBorder="1"/>
    <xf numFmtId="0" fontId="16" fillId="0" borderId="8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6" fillId="0" borderId="10" xfId="0" applyFont="1" applyBorder="1"/>
    <xf numFmtId="0" fontId="0" fillId="0" borderId="0" xfId="0"/>
    <xf numFmtId="0" fontId="16" fillId="0" borderId="0" xfId="0" applyFont="1" applyBorder="1"/>
    <xf numFmtId="0" fontId="0" fillId="0" borderId="0" xfId="0"/>
    <xf numFmtId="0" fontId="0" fillId="0" borderId="0" xfId="0"/>
    <xf numFmtId="0" fontId="26" fillId="0" borderId="1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17" fillId="0" borderId="10" xfId="0" applyFont="1" applyBorder="1"/>
    <xf numFmtId="0" fontId="17" fillId="0" borderId="0" xfId="0" applyFont="1" applyBorder="1"/>
    <xf numFmtId="0" fontId="24" fillId="2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2" fillId="0" borderId="0" xfId="0" applyFont="1"/>
    <xf numFmtId="0" fontId="32" fillId="0" borderId="4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7" xfId="0" applyFont="1" applyBorder="1"/>
    <xf numFmtId="0" fontId="32" fillId="0" borderId="8" xfId="0" applyFont="1" applyBorder="1" applyAlignment="1">
      <alignment horizontal="center"/>
    </xf>
    <xf numFmtId="0" fontId="25" fillId="0" borderId="7" xfId="0" applyFont="1" applyBorder="1"/>
    <xf numFmtId="0" fontId="0" fillId="0" borderId="0" xfId="0"/>
    <xf numFmtId="0" fontId="0" fillId="0" borderId="0" xfId="0"/>
    <xf numFmtId="0" fontId="32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/>
    <xf numFmtId="0" fontId="0" fillId="0" borderId="0" xfId="0"/>
    <xf numFmtId="0" fontId="0" fillId="0" borderId="8" xfId="0" applyBorder="1"/>
    <xf numFmtId="0" fontId="0" fillId="0" borderId="0" xfId="0"/>
    <xf numFmtId="0" fontId="4" fillId="2" borderId="0" xfId="0" applyFont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0" xfId="0" applyFont="1" applyBorder="1"/>
    <xf numFmtId="0" fontId="34" fillId="0" borderId="7" xfId="0" applyFont="1" applyBorder="1" applyAlignment="1">
      <alignment horizontal="center"/>
    </xf>
    <xf numFmtId="0" fontId="34" fillId="0" borderId="7" xfId="0" applyFont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0" xfId="0" applyFont="1" applyFill="1" applyBorder="1"/>
    <xf numFmtId="0" fontId="4" fillId="0" borderId="10" xfId="0" applyFont="1" applyBorder="1"/>
    <xf numFmtId="0" fontId="4" fillId="0" borderId="6" xfId="0" applyFont="1" applyBorder="1"/>
    <xf numFmtId="0" fontId="0" fillId="0" borderId="13" xfId="0" applyBorder="1"/>
    <xf numFmtId="0" fontId="0" fillId="0" borderId="9" xfId="0" applyBorder="1"/>
    <xf numFmtId="0" fontId="15" fillId="0" borderId="10" xfId="0" applyFont="1" applyFill="1" applyBorder="1" applyAlignment="1">
      <alignment horizontal="center"/>
    </xf>
    <xf numFmtId="0" fontId="15" fillId="0" borderId="10" xfId="0" applyFont="1" applyFill="1" applyBorder="1"/>
    <xf numFmtId="0" fontId="15" fillId="0" borderId="11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4" fillId="0" borderId="4" xfId="0" applyFont="1" applyBorder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Fill="1" applyBorder="1" applyAlignment="1"/>
    <xf numFmtId="0" fontId="0" fillId="0" borderId="0" xfId="0"/>
    <xf numFmtId="0" fontId="0" fillId="0" borderId="0" xfId="0" applyAlignment="1"/>
    <xf numFmtId="0" fontId="0" fillId="0" borderId="0" xfId="0" applyFill="1" applyBorder="1" applyAlignment="1"/>
    <xf numFmtId="0" fontId="12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284667541557304"/>
                  <c:y val="0.303297973170020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MWCNT!$K$205:$K$207</c:f>
              <c:numCache>
                <c:formatCode>General</c:formatCode>
                <c:ptCount val="3"/>
                <c:pt idx="0">
                  <c:v>0</c:v>
                </c:pt>
                <c:pt idx="1">
                  <c:v>0.105</c:v>
                </c:pt>
                <c:pt idx="2">
                  <c:v>0.13500000000000001</c:v>
                </c:pt>
              </c:numCache>
            </c:numRef>
          </c:xVal>
          <c:yVal>
            <c:numRef>
              <c:f>MWCNT!$L$205:$L$207</c:f>
              <c:numCache>
                <c:formatCode>General</c:formatCode>
                <c:ptCount val="3"/>
                <c:pt idx="0">
                  <c:v>1.2</c:v>
                </c:pt>
                <c:pt idx="1">
                  <c:v>2.56</c:v>
                </c:pt>
                <c:pt idx="2">
                  <c:v>3.05</c:v>
                </c:pt>
              </c:numCache>
            </c:numRef>
          </c:yVal>
          <c:smooth val="0"/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8229111986001751"/>
                  <c:y val="-0.1610976232137649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MWCNT!$K$205:$K$207</c:f>
              <c:numCache>
                <c:formatCode>General</c:formatCode>
                <c:ptCount val="3"/>
                <c:pt idx="0">
                  <c:v>0</c:v>
                </c:pt>
                <c:pt idx="1">
                  <c:v>0.105</c:v>
                </c:pt>
                <c:pt idx="2">
                  <c:v>0.13500000000000001</c:v>
                </c:pt>
              </c:numCache>
            </c:numRef>
          </c:xVal>
          <c:yVal>
            <c:numRef>
              <c:f>MWCNT!$M$205:$M$207</c:f>
              <c:numCache>
                <c:formatCode>General</c:formatCode>
                <c:ptCount val="3"/>
                <c:pt idx="0">
                  <c:v>1.86</c:v>
                </c:pt>
                <c:pt idx="1">
                  <c:v>2.7</c:v>
                </c:pt>
                <c:pt idx="2">
                  <c:v>3.92</c:v>
                </c:pt>
              </c:numCache>
            </c:numRef>
          </c:yVal>
          <c:smooth val="0"/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MWCNT!$K$205:$K$207</c:f>
              <c:numCache>
                <c:formatCode>General</c:formatCode>
                <c:ptCount val="3"/>
                <c:pt idx="0">
                  <c:v>0</c:v>
                </c:pt>
                <c:pt idx="1">
                  <c:v>0.105</c:v>
                </c:pt>
                <c:pt idx="2">
                  <c:v>0.13500000000000001</c:v>
                </c:pt>
              </c:numCache>
            </c:numRef>
          </c:xVal>
          <c:yVal>
            <c:numRef>
              <c:f>MWCNT!$N$205:$N$207</c:f>
              <c:numCache>
                <c:formatCode>General</c:formatCode>
                <c:ptCount val="3"/>
                <c:pt idx="0">
                  <c:v>2.2000000000000002</c:v>
                </c:pt>
                <c:pt idx="1">
                  <c:v>3</c:v>
                </c:pt>
                <c:pt idx="2">
                  <c:v>4.58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26848"/>
        <c:axId val="172627240"/>
      </c:scatterChart>
      <c:valAx>
        <c:axId val="172626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27240"/>
        <c:crosses val="autoZero"/>
        <c:crossBetween val="midCat"/>
      </c:valAx>
      <c:valAx>
        <c:axId val="17262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2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MWCNT-Sludge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447137406793221E-2"/>
          <c:y val="2.859776902887139E-2"/>
          <c:w val="0.80545628328250873"/>
          <c:h val="0.8100613630192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MWCNT!$N$302</c:f>
              <c:strCache>
                <c:ptCount val="1"/>
                <c:pt idx="0">
                  <c:v>100w,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383631169815113"/>
                  <c:y val="0.1991407480314960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MWCNT!$M$303:$M$309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MWCNT!$N$303:$N$309</c:f>
              <c:numCache>
                <c:formatCode>General</c:formatCode>
                <c:ptCount val="7"/>
                <c:pt idx="0">
                  <c:v>1.6557260869565218</c:v>
                </c:pt>
                <c:pt idx="1">
                  <c:v>5.3852955844084889</c:v>
                </c:pt>
                <c:pt idx="2">
                  <c:v>4.5492308328885471</c:v>
                </c:pt>
                <c:pt idx="3">
                  <c:v>2.2430708700000017</c:v>
                </c:pt>
                <c:pt idx="4">
                  <c:v>8.0379638364293324</c:v>
                </c:pt>
                <c:pt idx="5">
                  <c:v>2.82</c:v>
                </c:pt>
                <c:pt idx="6">
                  <c:v>7.2818572499999981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MWCNT!$P$302</c:f>
              <c:strCache>
                <c:ptCount val="1"/>
                <c:pt idx="0">
                  <c:v>130w,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0649217816845059"/>
                  <c:y val="-4.5486220472440948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MWCNT!$M$303:$M$309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MWCNT!$O$303:$O$309</c:f>
              <c:numCache>
                <c:formatCode>General</c:formatCode>
                <c:ptCount val="7"/>
                <c:pt idx="0">
                  <c:v>1.9782633913043481</c:v>
                </c:pt>
                <c:pt idx="1">
                  <c:v>6.8852955844084898</c:v>
                </c:pt>
                <c:pt idx="2">
                  <c:v>5.4392078153614918</c:v>
                </c:pt>
                <c:pt idx="3">
                  <c:v>2.6624453513534991</c:v>
                </c:pt>
                <c:pt idx="4">
                  <c:v>9.42023408271276</c:v>
                </c:pt>
                <c:pt idx="5">
                  <c:v>3.8758885667257101</c:v>
                </c:pt>
                <c:pt idx="6">
                  <c:v>8.4097301600000041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28024"/>
        <c:axId val="172628416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MWCNT!$Q$302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16322303642680502"/>
                        <c:y val="5.8357607259876827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MWCNT!$M$303:$M$308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  <c:pt idx="5">
                        <c:v>7.4999999999999997E-2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MWCNT!$Q$303:$Q$308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1.2576990004861199</c:v>
                      </c:pt>
                      <c:pt idx="1">
                        <c:v>3.6571947902820838</c:v>
                      </c:pt>
                      <c:pt idx="2">
                        <c:v>2.8075146112082363</c:v>
                      </c:pt>
                      <c:pt idx="3">
                        <c:v>1.9210219407909139</c:v>
                      </c:pt>
                      <c:pt idx="4">
                        <c:v>4.9712870104308973</c:v>
                      </c:pt>
                      <c:pt idx="5">
                        <c:v>7.0589868850000004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6248391040161072"/>
                        <c:y val="0.1453579509457869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MWCNT!$R$303:$R$307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3.7295694974519673</c:v>
                      </c:pt>
                      <c:pt idx="2">
                        <c:v>2.8935047459320256</c:v>
                      </c:pt>
                      <c:pt idx="3">
                        <c:v>0.58734478304347992</c:v>
                      </c:pt>
                      <c:pt idx="4">
                        <c:v>6.3822377494728109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4"/>
                <c:order val="4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650217524179345"/>
                        <c:y val="9.9921440854375959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MWCNT!$T$303:$T$308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2.4436930571522648</c:v>
                      </c:pt>
                      <c:pt idx="2">
                        <c:v>1.4650048516921064</c:v>
                      </c:pt>
                      <c:pt idx="3">
                        <c:v>0.77720889938085969</c:v>
                      </c:pt>
                      <c:pt idx="4">
                        <c:v>3.1920090974533792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878528026462448"/>
                        <c:y val="3.31443569553805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  <c:pt idx="4">
                        <c:v>0.3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MWCNT!$U$303:$U$308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2.3994957897959637</c:v>
                      </c:pt>
                      <c:pt idx="2">
                        <c:v>1.9321526323052354</c:v>
                      </c:pt>
                      <c:pt idx="3">
                        <c:v>1.045659961887913</c:v>
                      </c:pt>
                      <c:pt idx="4">
                        <c:v>4.0959250315278961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72628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628416"/>
        <c:crosses val="autoZero"/>
        <c:crossBetween val="midCat"/>
      </c:valAx>
      <c:valAx>
        <c:axId val="172628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628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4720151310565952"/>
          <c:y val="0.53608151922186198"/>
          <c:w val="0.21370412513464718"/>
          <c:h val="0.2929065239394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21847057253443E-2"/>
          <c:y val="4.195804195804196E-2"/>
          <c:w val="0.87227656924240404"/>
          <c:h val="0.8405675164730283"/>
        </c:manualLayout>
      </c:layout>
      <c:scatterChart>
        <c:scatterStyle val="lineMarker"/>
        <c:varyColors val="0"/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Mass!$K$50:$K$56</c:f>
              <c:numCache>
                <c:formatCode>General</c:formatCode>
                <c:ptCount val="7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Mass!$N$50:$N$56</c:f>
              <c:numCache>
                <c:formatCode>General</c:formatCode>
                <c:ptCount val="7"/>
                <c:pt idx="0">
                  <c:v>1.1609999999999998</c:v>
                </c:pt>
                <c:pt idx="1">
                  <c:v>1.4612578000000003</c:v>
                </c:pt>
                <c:pt idx="2">
                  <c:v>2.0531293099999997</c:v>
                </c:pt>
                <c:pt idx="3">
                  <c:v>2.3499523999999998</c:v>
                </c:pt>
                <c:pt idx="4">
                  <c:v>3.7418029100000001</c:v>
                </c:pt>
                <c:pt idx="5">
                  <c:v>5.6626773849999994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629200"/>
        <c:axId val="1726295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52572484689413823"/>
                        <c:y val="-0.16708333333333333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Mass!$K$50:$K$55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0.03</c:v>
                      </c:pt>
                      <c:pt idx="2">
                        <c:v>0.09</c:v>
                      </c:pt>
                      <c:pt idx="3">
                        <c:v>0.15</c:v>
                      </c:pt>
                      <c:pt idx="4">
                        <c:v>0.24</c:v>
                      </c:pt>
                      <c:pt idx="5">
                        <c:v>0.39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Mass!$L$50:$L$56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1.1609999999999998</c:v>
                      </c:pt>
                      <c:pt idx="1">
                        <c:v>1.8818078599999977</c:v>
                      </c:pt>
                      <c:pt idx="2">
                        <c:v>4.4375309699999992</c:v>
                      </c:pt>
                      <c:pt idx="3">
                        <c:v>5.5845666250000008</c:v>
                      </c:pt>
                      <c:pt idx="4">
                        <c:v>9.4317052199999996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1"/>
                <c:order val="1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chemeClr val="tx1">
                                <a:lumMod val="65000"/>
                                <a:lumOff val="35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Mass!$K$50:$K$55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0.03</c:v>
                      </c:pt>
                      <c:pt idx="2">
                        <c:v>0.09</c:v>
                      </c:pt>
                      <c:pt idx="3">
                        <c:v>0.15</c:v>
                      </c:pt>
                      <c:pt idx="4">
                        <c:v>0.24</c:v>
                      </c:pt>
                      <c:pt idx="5">
                        <c:v>0.39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Mass!$M$50:$M$56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1.1609999999999998</c:v>
                      </c:pt>
                      <c:pt idx="1">
                        <c:v>1.6151656099999989</c:v>
                      </c:pt>
                      <c:pt idx="2">
                        <c:v>2.8269730600000003</c:v>
                      </c:pt>
                      <c:pt idx="3">
                        <c:v>3.8599646200000008</c:v>
                      </c:pt>
                      <c:pt idx="4">
                        <c:v>7.1279605699999999</c:v>
                      </c:pt>
                      <c:pt idx="5">
                        <c:v>10.330733359999996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172629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29592"/>
        <c:crosses val="autoZero"/>
        <c:crossBetween val="midCat"/>
      </c:valAx>
      <c:valAx>
        <c:axId val="172629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629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133W, 15sec</a:t>
            </a:r>
            <a:endParaRPr lang="zh-CN" altLang="en-US" sz="1000"/>
          </a:p>
        </c:rich>
      </c:tx>
      <c:layout>
        <c:manualLayout>
          <c:xMode val="edge"/>
          <c:yMode val="edge"/>
          <c:x val="0.4525381047051027"/>
          <c:y val="9.0702947845804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5mlSludge-MWCNT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445124654324375"/>
                  <c:y val="0.116254098130972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Mass!$D$49:$D$55</c:f>
              <c:numCache>
                <c:formatCode>General</c:formatCode>
                <c:ptCount val="7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1.4999999999999999E-2</c:v>
                </c:pt>
                <c:pt idx="4">
                  <c:v>0.3</c:v>
                </c:pt>
                <c:pt idx="5">
                  <c:v>7.4999999999999997E-2</c:v>
                </c:pt>
                <c:pt idx="6">
                  <c:v>0.24</c:v>
                </c:pt>
              </c:numCache>
            </c:numRef>
          </c:xVal>
          <c:yVal>
            <c:numRef>
              <c:f>Mass!$E$49:$E$55</c:f>
              <c:numCache>
                <c:formatCode>General</c:formatCode>
                <c:ptCount val="7"/>
                <c:pt idx="0">
                  <c:v>1.9782633913043481</c:v>
                </c:pt>
                <c:pt idx="1">
                  <c:v>6.8852955844084898</c:v>
                </c:pt>
                <c:pt idx="2">
                  <c:v>5.4392078153614918</c:v>
                </c:pt>
                <c:pt idx="3">
                  <c:v>2.6624453513534991</c:v>
                </c:pt>
                <c:pt idx="4">
                  <c:v>9.42023408271276</c:v>
                </c:pt>
                <c:pt idx="5">
                  <c:v>3.8758885667257101</c:v>
                </c:pt>
                <c:pt idx="6">
                  <c:v>8.4097301600000041</c:v>
                </c:pt>
              </c:numCache>
            </c:numRef>
          </c:yVal>
          <c:smooth val="0"/>
        </c:ser>
        <c:ser>
          <c:idx val="1"/>
          <c:order val="1"/>
          <c:tx>
            <c:v>3mlSludge-MWCNT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651862954128053"/>
                  <c:y val="0.1684486414287182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Mass!$K$50:$K$54</c:f>
              <c:numCache>
                <c:formatCode>General</c:formatCode>
                <c:ptCount val="5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</c:numCache>
            </c:numRef>
          </c:xVal>
          <c:yVal>
            <c:numRef>
              <c:f>Mass!$L$50:$L$54</c:f>
              <c:numCache>
                <c:formatCode>General</c:formatCode>
                <c:ptCount val="5"/>
                <c:pt idx="0">
                  <c:v>1.1609999999999998</c:v>
                </c:pt>
                <c:pt idx="1">
                  <c:v>1.8818078599999977</c:v>
                </c:pt>
                <c:pt idx="2">
                  <c:v>4.4375309699999992</c:v>
                </c:pt>
                <c:pt idx="3">
                  <c:v>5.5845666250000008</c:v>
                </c:pt>
                <c:pt idx="4">
                  <c:v>9.4317052199999996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93576"/>
        <c:axId val="216793968"/>
        <c:extLst/>
      </c:scatterChart>
      <c:valAx>
        <c:axId val="216793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3968"/>
        <c:crosses val="autoZero"/>
        <c:crossBetween val="midCat"/>
      </c:valAx>
      <c:valAx>
        <c:axId val="216793968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3576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4509918163714791"/>
          <c:y val="8.465963031216843E-2"/>
          <c:w val="0.34350552025500836"/>
          <c:h val="0.162698948345742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133W, 15sec</a:t>
            </a:r>
            <a:endParaRPr lang="zh-CN" altLang="en-US" sz="1000"/>
          </a:p>
        </c:rich>
      </c:tx>
      <c:layout>
        <c:manualLayout>
          <c:xMode val="edge"/>
          <c:yMode val="edge"/>
          <c:x val="0.4525381047051027"/>
          <c:y val="9.0702947845804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5mlSludge-SWCNT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3169430948790975"/>
                  <c:y val="0.31378026690325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Mass!$F$49:$F$55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Mass!$G$49:$G$55</c:f>
              <c:numCache>
                <c:formatCode>General</c:formatCode>
                <c:ptCount val="7"/>
                <c:pt idx="0">
                  <c:v>1.9782633913043481</c:v>
                </c:pt>
                <c:pt idx="1">
                  <c:v>2.8858536335148792</c:v>
                </c:pt>
                <c:pt idx="2">
                  <c:v>4.0436817155</c:v>
                </c:pt>
                <c:pt idx="3">
                  <c:v>4.7329427956575669</c:v>
                </c:pt>
                <c:pt idx="4">
                  <c:v>5.1344230499999997</c:v>
                </c:pt>
                <c:pt idx="5">
                  <c:v>7.1949516599999992</c:v>
                </c:pt>
                <c:pt idx="6">
                  <c:v>6.4971949295</c:v>
                </c:pt>
              </c:numCache>
            </c:numRef>
          </c:yVal>
          <c:smooth val="0"/>
        </c:ser>
        <c:ser>
          <c:idx val="1"/>
          <c:order val="1"/>
          <c:tx>
            <c:v>3mlSludge-SWCNT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786061316803487"/>
                  <c:y val="0.2506912868285830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Mass!$K$50:$K$55</c:f>
              <c:numCache>
                <c:formatCode>General</c:formatCode>
                <c:ptCount val="6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Mass!$M$50:$M$55</c:f>
              <c:numCache>
                <c:formatCode>General</c:formatCode>
                <c:ptCount val="6"/>
                <c:pt idx="0">
                  <c:v>1.1609999999999998</c:v>
                </c:pt>
                <c:pt idx="1">
                  <c:v>1.6151656099999989</c:v>
                </c:pt>
                <c:pt idx="2">
                  <c:v>2.8269730600000003</c:v>
                </c:pt>
                <c:pt idx="3">
                  <c:v>3.8599646200000008</c:v>
                </c:pt>
                <c:pt idx="4">
                  <c:v>7.1279605699999999</c:v>
                </c:pt>
                <c:pt idx="5">
                  <c:v>10.330733359999996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95144"/>
        <c:axId val="216795536"/>
        <c:extLst/>
      </c:scatterChart>
      <c:valAx>
        <c:axId val="21679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SWCNT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5536"/>
        <c:crosses val="autoZero"/>
        <c:crossBetween val="midCat"/>
      </c:valAx>
      <c:valAx>
        <c:axId val="21679553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5144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853588953554718"/>
          <c:y val="8.4659544945416845E-2"/>
          <c:w val="0.38547953244974814"/>
          <c:h val="0.115989768794824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000"/>
              <a:t>133W, 15sec</a:t>
            </a:r>
            <a:endParaRPr lang="zh-CN" altLang="en-US" sz="1000"/>
          </a:p>
        </c:rich>
      </c:tx>
      <c:layout>
        <c:manualLayout>
          <c:xMode val="edge"/>
          <c:yMode val="edge"/>
          <c:x val="0.4525381047051027"/>
          <c:y val="9.07029478458049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48052368205465"/>
          <c:y val="6.8799166061689093E-2"/>
          <c:w val="0.82213670166229225"/>
          <c:h val="0.79357160142216243"/>
        </c:manualLayout>
      </c:layout>
      <c:scatterChart>
        <c:scatterStyle val="lineMarker"/>
        <c:varyColors val="0"/>
        <c:ser>
          <c:idx val="0"/>
          <c:order val="0"/>
          <c:tx>
            <c:v>5mlSludge-MWCNT-COOH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7029094767409396E-2"/>
                  <c:y val="0.1377734649366012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Mass!$H$49:$H$55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Mass!$I$49:$I$55</c:f>
              <c:numCache>
                <c:formatCode>General</c:formatCode>
                <c:ptCount val="7"/>
                <c:pt idx="0">
                  <c:v>1.97</c:v>
                </c:pt>
                <c:pt idx="1">
                  <c:v>2.606716454999999</c:v>
                </c:pt>
                <c:pt idx="2">
                  <c:v>3.1403431433333338</c:v>
                </c:pt>
                <c:pt idx="3">
                  <c:v>3.3135434099999999</c:v>
                </c:pt>
                <c:pt idx="4">
                  <c:v>3.8958018002690151</c:v>
                </c:pt>
                <c:pt idx="5">
                  <c:v>4.2727498324999988</c:v>
                </c:pt>
                <c:pt idx="6">
                  <c:v>5.4009681500000006</c:v>
                </c:pt>
              </c:numCache>
            </c:numRef>
          </c:yVal>
          <c:smooth val="0"/>
        </c:ser>
        <c:ser>
          <c:idx val="1"/>
          <c:order val="1"/>
          <c:tx>
            <c:v>3mlSludge-MWCNT-COOH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2540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4247221756854861"/>
                  <c:y val="0.598051088684337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Mass!$K$50:$K$56</c:f>
              <c:numCache>
                <c:formatCode>General</c:formatCode>
                <c:ptCount val="7"/>
                <c:pt idx="0">
                  <c:v>0</c:v>
                </c:pt>
                <c:pt idx="1">
                  <c:v>0.03</c:v>
                </c:pt>
                <c:pt idx="2">
                  <c:v>0.09</c:v>
                </c:pt>
                <c:pt idx="3">
                  <c:v>0.15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Mass!$N$50:$N$56</c:f>
              <c:numCache>
                <c:formatCode>General</c:formatCode>
                <c:ptCount val="7"/>
                <c:pt idx="0">
                  <c:v>1.1609999999999998</c:v>
                </c:pt>
                <c:pt idx="1">
                  <c:v>1.4612578000000003</c:v>
                </c:pt>
                <c:pt idx="2">
                  <c:v>2.0531293099999997</c:v>
                </c:pt>
                <c:pt idx="3">
                  <c:v>2.3499523999999998</c:v>
                </c:pt>
                <c:pt idx="4">
                  <c:v>3.7418029100000001</c:v>
                </c:pt>
                <c:pt idx="5">
                  <c:v>5.6626773849999994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96320"/>
        <c:axId val="216796712"/>
        <c:extLst/>
      </c:scatterChart>
      <c:valAx>
        <c:axId val="2167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MWCNT-COOH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0333442694663163"/>
              <c:y val="0.930315853375470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6712"/>
        <c:crosses val="autoZero"/>
        <c:crossBetween val="midCat"/>
      </c:valAx>
      <c:valAx>
        <c:axId val="216796712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/>
                  <a:t>Δ</a:t>
                </a:r>
                <a:r>
                  <a:rPr lang="en-US"/>
                  <a:t>T (℃)</a:t>
                </a:r>
                <a:endParaRPr 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632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2853588953554718"/>
          <c:y val="8.4659544945416845E-2"/>
          <c:w val="0.44576310939855923"/>
          <c:h val="0.115989768794824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SWCNT-Sludge</a:t>
            </a:r>
            <a:endParaRPr lang="zh-CN" altLang="en-US"/>
          </a:p>
        </c:rich>
      </c:tx>
      <c:layout>
        <c:manualLayout>
          <c:xMode val="edge"/>
          <c:yMode val="edge"/>
          <c:x val="0.41067059844611059"/>
          <c:y val="4.15368639667705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57912703108648E-2"/>
          <c:y val="2.4431063764088313E-2"/>
          <c:w val="0.86454427300633663"/>
          <c:h val="0.8100613630192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SWCNT!$N$133</c:f>
              <c:strCache>
                <c:ptCount val="1"/>
                <c:pt idx="0">
                  <c:v>100w, 20s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4478194462980272"/>
                  <c:y val="0.31388114103291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SWCNT!$M$134:$M$140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SWCNT!$N$134:$N$140</c:f>
              <c:numCache>
                <c:formatCode>General</c:formatCode>
                <c:ptCount val="7"/>
                <c:pt idx="0">
                  <c:v>2.1643478260869564</c:v>
                </c:pt>
                <c:pt idx="1">
                  <c:v>2.3925815004831441</c:v>
                </c:pt>
                <c:pt idx="2">
                  <c:v>3.0521587775122199</c:v>
                </c:pt>
                <c:pt idx="3">
                  <c:v>3.9483930600000017</c:v>
                </c:pt>
                <c:pt idx="4">
                  <c:v>4.4891800000000002</c:v>
                </c:pt>
                <c:pt idx="5">
                  <c:v>6.0325202944999985</c:v>
                </c:pt>
                <c:pt idx="6">
                  <c:v>5.7348228000000008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MWCNT!$O$302</c:f>
              <c:strCache>
                <c:ptCount val="1"/>
                <c:pt idx="0">
                  <c:v>133w, 15s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07813832188173"/>
                  <c:y val="-8.904195757400013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SWCNT!$M$134:$M$140</c:f>
              <c:numCache>
                <c:formatCode>General</c:formatCode>
                <c:ptCount val="7"/>
                <c:pt idx="0">
                  <c:v>0</c:v>
                </c:pt>
                <c:pt idx="1">
                  <c:v>4.4999999999999998E-2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0.44999999999999996</c:v>
                </c:pt>
                <c:pt idx="6">
                  <c:v>0.375</c:v>
                </c:pt>
              </c:numCache>
            </c:numRef>
          </c:xVal>
          <c:yVal>
            <c:numRef>
              <c:f>SWCNT!$O$134:$O$140</c:f>
              <c:numCache>
                <c:formatCode>General</c:formatCode>
                <c:ptCount val="7"/>
                <c:pt idx="0">
                  <c:v>2.5859652173913048</c:v>
                </c:pt>
                <c:pt idx="1">
                  <c:v>2.8858536335148792</c:v>
                </c:pt>
                <c:pt idx="2">
                  <c:v>4.0436817155</c:v>
                </c:pt>
                <c:pt idx="3">
                  <c:v>4.6316409200000006</c:v>
                </c:pt>
                <c:pt idx="4">
                  <c:v>5.1344230499999997</c:v>
                </c:pt>
                <c:pt idx="5">
                  <c:v>7.1949516599999992</c:v>
                </c:pt>
                <c:pt idx="6">
                  <c:v>6.4971949295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61792"/>
        <c:axId val="217162184"/>
        <c:extLst>
          <c:ext xmlns:c15="http://schemas.microsoft.com/office/drawing/2012/chart" uri="{02D57815-91ED-43cb-92C2-25804820EDAC}">
            <c15:filteredScatte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SWCNT!$Q$133</c15:sqref>
                        </c15:formulaRef>
                      </c:ext>
                    </c:extLst>
                    <c:strCache>
                      <c:ptCount val="1"/>
                      <c:pt idx="0">
                        <c:v>130w, 30s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-0.44577950664533467"/>
                        <c:y val="0.25368721433185337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SWCNT!$M$134:$M$140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4.4999999999999998E-2</c:v>
                      </c:pt>
                      <c:pt idx="2">
                        <c:v>0.15</c:v>
                      </c:pt>
                      <c:pt idx="3">
                        <c:v>0.24</c:v>
                      </c:pt>
                      <c:pt idx="4">
                        <c:v>0.3</c:v>
                      </c:pt>
                      <c:pt idx="5">
                        <c:v>0.44999999999999996</c:v>
                      </c:pt>
                      <c:pt idx="6">
                        <c:v>0.375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SWCNT!$Q$134:$Q$140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1.2342068972420537</c:v>
                      </c:pt>
                      <c:pt idx="1">
                        <c:v>1.323241908743499</c:v>
                      </c:pt>
                      <c:pt idx="2">
                        <c:v>2.2041934550000009</c:v>
                      </c:pt>
                      <c:pt idx="3">
                        <c:v>2.6626787999999975</c:v>
                      </c:pt>
                      <c:pt idx="5">
                        <c:v>4.1701155299999977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3"/>
                <c:order val="3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4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6248391040161072"/>
                        <c:y val="0.14535795094578696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MWCNT!$R$303:$R$306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3.7295694974519673</c:v>
                      </c:pt>
                      <c:pt idx="2">
                        <c:v>2.8935047459320256</c:v>
                      </c:pt>
                      <c:pt idx="3">
                        <c:v>0.58734478304347992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4"/>
                <c:order val="4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5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650217524179345"/>
                        <c:y val="9.9921440854375959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MWCNT!$T$303:$T$306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2.4436930571522648</c:v>
                      </c:pt>
                      <c:pt idx="2">
                        <c:v>1.4650048516921064</c:v>
                      </c:pt>
                      <c:pt idx="3">
                        <c:v>0.77720889938085969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5"/>
                <c:order val="5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6"/>
                      </a:solidFill>
                      <a:prstDash val="sysDot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-0.54878528026462448"/>
                        <c:y val="3.314435695538058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9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MWCNT!$M$303:$M$306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1.4999999999999999E-2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MWCNT!$U$303:$U$306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2.3994957897959637</c:v>
                      </c:pt>
                      <c:pt idx="2">
                        <c:v>1.9321526323052354</c:v>
                      </c:pt>
                      <c:pt idx="3">
                        <c:v>1.045659961887913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21716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162184"/>
        <c:crosses val="autoZero"/>
        <c:crossBetween val="midCat"/>
      </c:valAx>
      <c:valAx>
        <c:axId val="21716218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161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4588326882868456"/>
          <c:y val="0.573698977283012"/>
          <c:w val="0.21370412513464718"/>
          <c:h val="0.29290652393940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/>
              <a:t>MWCNT-COOH</a:t>
            </a:r>
          </a:p>
          <a:p>
            <a:pPr>
              <a:defRPr/>
            </a:pPr>
            <a:r>
              <a:rPr lang="en-US" altLang="zh-CN"/>
              <a:t>-Sludge</a:t>
            </a:r>
            <a:endParaRPr lang="zh-CN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635764060960906E-2"/>
          <c:y val="2.3445899049852812E-2"/>
          <c:w val="0.86454427300633663"/>
          <c:h val="0.8100613630192778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6753286958011366"/>
                  <c:y val="0.4722412450737235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COOH!$I$125:$I$131</c:f>
              <c:numCache>
                <c:formatCode>General</c:formatCode>
                <c:ptCount val="7"/>
                <c:pt idx="0">
                  <c:v>0</c:v>
                </c:pt>
                <c:pt idx="1">
                  <c:v>7.4999999999999997E-2</c:v>
                </c:pt>
                <c:pt idx="2">
                  <c:v>0.15</c:v>
                </c:pt>
                <c:pt idx="3">
                  <c:v>0.24</c:v>
                </c:pt>
                <c:pt idx="4">
                  <c:v>0.3</c:v>
                </c:pt>
                <c:pt idx="5">
                  <c:v>0.39</c:v>
                </c:pt>
                <c:pt idx="6">
                  <c:v>0.54</c:v>
                </c:pt>
              </c:numCache>
            </c:numRef>
          </c:xVal>
          <c:yVal>
            <c:numRef>
              <c:f>COOH!$J$125:$J$131</c:f>
              <c:numCache>
                <c:formatCode>General</c:formatCode>
                <c:ptCount val="7"/>
                <c:pt idx="0">
                  <c:v>1.97</c:v>
                </c:pt>
                <c:pt idx="1">
                  <c:v>2.606716454999999</c:v>
                </c:pt>
                <c:pt idx="2">
                  <c:v>3.1403431433333338</c:v>
                </c:pt>
                <c:pt idx="3">
                  <c:v>3.3135434099999999</c:v>
                </c:pt>
                <c:pt idx="4">
                  <c:v>3.8958018002690151</c:v>
                </c:pt>
                <c:pt idx="5">
                  <c:v>4.2727498324999988</c:v>
                </c:pt>
                <c:pt idx="6">
                  <c:v>5.4009681500000006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62968"/>
        <c:axId val="217163360"/>
        <c:extLst/>
      </c:scatterChart>
      <c:valAx>
        <c:axId val="21716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462784502683433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163360"/>
        <c:crosses val="autoZero"/>
        <c:crossBetween val="midCat"/>
      </c:valAx>
      <c:valAx>
        <c:axId val="217163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4.9751243781094526E-3"/>
              <c:y val="0.34158240564756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10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162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MWCNT calibration curves (100W, 20s)</a:t>
            </a:r>
          </a:p>
        </c:rich>
      </c:tx>
      <c:layout>
        <c:manualLayout>
          <c:xMode val="edge"/>
          <c:yMode val="edge"/>
          <c:x val="0.201074974323861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4535356993419311E-2"/>
          <c:y val="2.9027777777777777E-2"/>
          <c:w val="0.8743567366579178"/>
          <c:h val="0.82646653543307091"/>
        </c:manualLayout>
      </c:layout>
      <c:scatterChart>
        <c:scatterStyle val="lineMarker"/>
        <c:varyColors val="0"/>
        <c:ser>
          <c:idx val="3"/>
          <c:order val="3"/>
          <c:tx>
            <c:strRef>
              <c:f>plot!$E$5</c:f>
              <c:strCache>
                <c:ptCount val="1"/>
                <c:pt idx="0">
                  <c:v>Sludge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olid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28575559956845886"/>
                  <c:y val="4.215324046032707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plot!$E$8:$E$13</c:f>
              <c:numCache>
                <c:formatCode>General</c:formatCode>
                <c:ptCount val="6"/>
                <c:pt idx="0">
                  <c:v>0</c:v>
                </c:pt>
                <c:pt idx="1">
                  <c:v>0.22499999999999998</c:v>
                </c:pt>
                <c:pt idx="2">
                  <c:v>0.15</c:v>
                </c:pt>
                <c:pt idx="3">
                  <c:v>7.4999999999999997E-2</c:v>
                </c:pt>
                <c:pt idx="4">
                  <c:v>0.24</c:v>
                </c:pt>
                <c:pt idx="5">
                  <c:v>0.39</c:v>
                </c:pt>
              </c:numCache>
            </c:numRef>
          </c:xVal>
          <c:yVal>
            <c:numRef>
              <c:f>plot!$I$8:$I$13</c:f>
              <c:numCache>
                <c:formatCode>General</c:formatCode>
                <c:ptCount val="6"/>
                <c:pt idx="0">
                  <c:v>0</c:v>
                </c:pt>
                <c:pt idx="1">
                  <c:v>1.9788383281907111</c:v>
                </c:pt>
                <c:pt idx="2">
                  <c:v>1.212819370229679</c:v>
                </c:pt>
                <c:pt idx="3">
                  <c:v>0.59125321059964286</c:v>
                </c:pt>
                <c:pt idx="4">
                  <c:v>6.3601438718816432</c:v>
                </c:pt>
                <c:pt idx="5">
                  <c:v>10.360143871881643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94752"/>
        <c:axId val="21716414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plot!$M$5</c15:sqref>
                        </c15:formulaRef>
                      </c:ext>
                    </c:extLst>
                    <c:strCache>
                      <c:ptCount val="1"/>
                      <c:pt idx="0">
                        <c:v>Soil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1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0.21486857621058236"/>
                        <c:y val="-6.6680883639545052E-2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>
                      <c:ext uri="{02D57815-91ED-43cb-92C2-25804820EDAC}">
                        <c15:formulaRef>
                          <c15:sqref>plot!$E$8:$E$13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0.22499999999999998</c:v>
                      </c:pt>
                      <c:pt idx="2">
                        <c:v>0.15</c:v>
                      </c:pt>
                      <c:pt idx="3">
                        <c:v>7.4999999999999997E-2</c:v>
                      </c:pt>
                      <c:pt idx="4">
                        <c:v>0.24</c:v>
                      </c:pt>
                      <c:pt idx="5">
                        <c:v>0.39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plot!$F$8:$F$13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0.63985612811835635</c:v>
                      </c:pt>
                      <c:pt idx="1">
                        <c:v>2.6186944563090675</c:v>
                      </c:pt>
                      <c:pt idx="2">
                        <c:v>1.8526754983480354</c:v>
                      </c:pt>
                      <c:pt idx="3">
                        <c:v>1.2311093387179992</c:v>
                      </c:pt>
                      <c:pt idx="4">
                        <c:v>7</c:v>
                      </c:pt>
                      <c:pt idx="5">
                        <c:v>11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plot!$A$6</c15:sqref>
                        </c15:formulaRef>
                      </c:ext>
                    </c:extLst>
                    <c:strCache>
                      <c:ptCount val="1"/>
                      <c:pt idx="0">
                        <c:v>Sand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square"/>
                  <c:size val="6"/>
                  <c:spPr>
                    <a:solidFill>
                      <a:srgbClr val="FF0000"/>
                    </a:solidFill>
                    <a:ln w="12700">
                      <a:solidFill>
                        <a:srgbClr val="FF0000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rgbClr val="FF0000"/>
                      </a:solidFill>
                      <a:prstDash val="solid"/>
                    </a:ln>
                    <a:effectLst/>
                  </c:spPr>
                  <c:trendlineType val="linear"/>
                  <c:intercept val="0"/>
                  <c:dispRSqr val="1"/>
                  <c:dispEq val="1"/>
                  <c:trendlineLbl>
                    <c:layout>
                      <c:manualLayout>
                        <c:x val="3.2627734033245842E-2"/>
                        <c:y val="0.17930555555555555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[1]Plot!$R$5:$R$10</c15:sqref>
                        </c15:formulaRef>
                      </c:ext>
                    </c:extLst>
                    <c:strCache>
                      <c:ptCount val="6"/>
                      <c:pt idx="3">
                        <c:v>130W, 30s</c:v>
                      </c:pt>
                      <c:pt idx="4">
                        <c:v>1.626305238</c:v>
                      </c:pt>
                      <c:pt idx="5">
                        <c:v>1.90996309</c:v>
                      </c:pt>
                    </c:strCache>
                  </c:str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[1]Plot!$S$5:$S$10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0.20530719716479151</c:v>
                      </c:pt>
                    </c:numCache>
                  </c:numRef>
                </c:yVal>
                <c:smooth val="0"/>
              </c15:ser>
            </c15:filteredScatterSeries>
            <c15:filteredScatterSeries>
              <c15:ser>
                <c:idx val="1"/>
                <c:order val="2"/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trendline>
                  <c:spPr>
                    <a:ln w="19050" cap="rnd">
                      <a:solidFill>
                        <a:schemeClr val="accent2"/>
                      </a:solidFill>
                      <a:prstDash val="sysDot"/>
                    </a:ln>
                    <a:effectLst/>
                  </c:spPr>
                  <c:trendlineType val="linear"/>
                  <c:dispRSqr val="1"/>
                  <c:dispEq val="1"/>
                  <c:trendlineLbl>
                    <c:layout>
                      <c:manualLayout>
                        <c:x val="6.6666666666666666E-2"/>
                        <c:y val="-0.18379593175853018"/>
                      </c:manualLayout>
                    </c:layout>
                    <c:numFmt formatCode="General" sourceLinked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100" b="0" i="0" u="none" strike="noStrike" kern="1200" baseline="0">
                            <a:solidFill>
                              <a:sysClr val="windowText" lastClr="000000"/>
                            </a:solidFill>
                            <a:latin typeface="Times New Roman" panose="02020603050405020304" pitchFamily="18" charset="0"/>
                            <a:ea typeface="+mn-ea"/>
                            <a:cs typeface="Times New Roman" panose="02020603050405020304" pitchFamily="18" charset="0"/>
                          </a:defRPr>
                        </a:pPr>
                        <a:endParaRPr lang="en-US"/>
                      </a:p>
                    </c:txPr>
                  </c:trendlineLbl>
                </c:trendline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[1]Plot!$D$9:$D$16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0</c:v>
                      </c:pt>
                      <c:pt idx="1">
                        <c:v>8.9999999999999993E-3</c:v>
                      </c:pt>
                      <c:pt idx="2">
                        <c:v>2.8700000000000003E-2</c:v>
                      </c:pt>
                      <c:pt idx="3">
                        <c:v>4.2350000000000006E-2</c:v>
                      </c:pt>
                      <c:pt idx="4">
                        <c:v>5.5024875621890554E-2</c:v>
                      </c:pt>
                      <c:pt idx="5">
                        <c:v>6.8950000000000011E-2</c:v>
                      </c:pt>
                      <c:pt idx="6">
                        <c:v>9.4500000000000001E-2</c:v>
                      </c:pt>
                      <c:pt idx="7">
                        <c:v>0.1575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[1]Plot!$E$9:$E$16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1.1736471028352085</c:v>
                      </c:pt>
                      <c:pt idx="1">
                        <c:v>1.3343413700000002</c:v>
                      </c:pt>
                      <c:pt idx="2">
                        <c:v>1.7249762758929506</c:v>
                      </c:pt>
                      <c:pt idx="3">
                        <c:v>2.1662460608207272</c:v>
                      </c:pt>
                      <c:pt idx="4">
                        <c:v>2.3988182980577211</c:v>
                      </c:pt>
                      <c:pt idx="5">
                        <c:v>2.9044557578362702</c:v>
                      </c:pt>
                      <c:pt idx="6">
                        <c:v>3.8242827061451239</c:v>
                      </c:pt>
                      <c:pt idx="7">
                        <c:v>5.3535144661451257</c:v>
                      </c:pt>
                    </c:numCache>
                  </c:numRef>
                </c:yVal>
                <c:smooth val="0"/>
              </c15:ser>
            </c15:filteredScatterSeries>
          </c:ext>
        </c:extLst>
      </c:scatterChart>
      <c:valAx>
        <c:axId val="216794752"/>
        <c:scaling>
          <c:orientation val="minMax"/>
          <c:max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CNT Mass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7164144"/>
        <c:crosses val="autoZero"/>
        <c:crossBetween val="midCat"/>
      </c:valAx>
      <c:valAx>
        <c:axId val="217164144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∆T(○C)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6287438028579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6794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540601903289682"/>
          <c:y val="0.58811057271687195"/>
          <c:w val="0.23474807980290813"/>
          <c:h val="0.25080708661417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314325</xdr:colOff>
      <xdr:row>188</xdr:row>
      <xdr:rowOff>76200</xdr:rowOff>
    </xdr:from>
    <xdr:to>
      <xdr:col>22</xdr:col>
      <xdr:colOff>133350</xdr:colOff>
      <xdr:row>202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313</xdr:row>
      <xdr:rowOff>0</xdr:rowOff>
    </xdr:from>
    <xdr:to>
      <xdr:col>21</xdr:col>
      <xdr:colOff>19050</xdr:colOff>
      <xdr:row>329</xdr:row>
      <xdr:rowOff>0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47</xdr:row>
      <xdr:rowOff>171450</xdr:rowOff>
    </xdr:from>
    <xdr:to>
      <xdr:col>22</xdr:col>
      <xdr:colOff>114300</xdr:colOff>
      <xdr:row>61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63</xdr:row>
      <xdr:rowOff>66675</xdr:rowOff>
    </xdr:from>
    <xdr:to>
      <xdr:col>8</xdr:col>
      <xdr:colOff>123825</xdr:colOff>
      <xdr:row>78</xdr:row>
      <xdr:rowOff>180975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85725</xdr:colOff>
      <xdr:row>62</xdr:row>
      <xdr:rowOff>161925</xdr:rowOff>
    </xdr:from>
    <xdr:to>
      <xdr:col>13</xdr:col>
      <xdr:colOff>238125</xdr:colOff>
      <xdr:row>78</xdr:row>
      <xdr:rowOff>123825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257175</xdr:colOff>
      <xdr:row>64</xdr:row>
      <xdr:rowOff>142875</xdr:rowOff>
    </xdr:from>
    <xdr:to>
      <xdr:col>18</xdr:col>
      <xdr:colOff>409575</xdr:colOff>
      <xdr:row>80</xdr:row>
      <xdr:rowOff>104775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143</xdr:row>
      <xdr:rowOff>0</xdr:rowOff>
    </xdr:from>
    <xdr:to>
      <xdr:col>21</xdr:col>
      <xdr:colOff>161925</xdr:colOff>
      <xdr:row>160</xdr:row>
      <xdr:rowOff>123825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115</xdr:row>
      <xdr:rowOff>28575</xdr:rowOff>
    </xdr:from>
    <xdr:to>
      <xdr:col>15</xdr:col>
      <xdr:colOff>514350</xdr:colOff>
      <xdr:row>132</xdr:row>
      <xdr:rowOff>95250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13</xdr:row>
      <xdr:rowOff>85725</xdr:rowOff>
    </xdr:from>
    <xdr:to>
      <xdr:col>11</xdr:col>
      <xdr:colOff>228600</xdr:colOff>
      <xdr:row>29</xdr:row>
      <xdr:rowOff>9525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il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mgMWCNT"/>
      <sheetName val="40mgMWCNT"/>
      <sheetName val="20mgMWCNTSolution"/>
      <sheetName val="20mgSWCNTSolution"/>
      <sheetName val="4mgCNTsolution"/>
      <sheetName val="40mgMWCNTCTAB Solution"/>
      <sheetName val="MWCNT"/>
      <sheetName val="SWCNT"/>
      <sheetName val="COOH"/>
      <sheetName val="Plot"/>
      <sheetName val="mixture"/>
      <sheetName val="IC"/>
      <sheetName val="Other carbon"/>
      <sheetName val="HA"/>
      <sheetName val="Controls"/>
      <sheetName val="M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S7" t="str">
            <v>∆T (℃)</v>
          </cell>
        </row>
        <row r="8">
          <cell r="R8" t="str">
            <v>130W, 30s</v>
          </cell>
          <cell r="S8" t="str">
            <v>100W, 20s</v>
          </cell>
        </row>
        <row r="9">
          <cell r="D9">
            <v>0</v>
          </cell>
          <cell r="E9">
            <v>1.1736471028352085</v>
          </cell>
          <cell r="R9">
            <v>1.6263052376714999</v>
          </cell>
          <cell r="S9">
            <v>0</v>
          </cell>
        </row>
        <row r="10">
          <cell r="D10">
            <v>8.9999999999999993E-3</v>
          </cell>
          <cell r="E10">
            <v>1.3343413700000002</v>
          </cell>
          <cell r="R10">
            <v>1.9099630896819999</v>
          </cell>
          <cell r="S10">
            <v>0.20530719716479151</v>
          </cell>
        </row>
        <row r="11">
          <cell r="D11">
            <v>2.8700000000000003E-2</v>
          </cell>
          <cell r="E11">
            <v>1.7249762758929506</v>
          </cell>
        </row>
        <row r="12">
          <cell r="D12">
            <v>4.2350000000000006E-2</v>
          </cell>
          <cell r="E12">
            <v>2.1662460608207272</v>
          </cell>
        </row>
        <row r="13">
          <cell r="D13">
            <v>5.5024875621890554E-2</v>
          </cell>
          <cell r="E13">
            <v>2.3988182980577211</v>
          </cell>
        </row>
        <row r="14">
          <cell r="D14">
            <v>6.8950000000000011E-2</v>
          </cell>
          <cell r="E14">
            <v>2.9044557578362702</v>
          </cell>
        </row>
        <row r="15">
          <cell r="D15">
            <v>9.4500000000000001E-2</v>
          </cell>
          <cell r="E15">
            <v>3.8242827061451239</v>
          </cell>
        </row>
        <row r="16">
          <cell r="D16">
            <v>0.1575</v>
          </cell>
          <cell r="E16">
            <v>5.3535144661451257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T72"/>
  <sheetViews>
    <sheetView topLeftCell="E13" workbookViewId="0">
      <selection activeCell="J16" sqref="J16"/>
    </sheetView>
  </sheetViews>
  <sheetFormatPr defaultRowHeight="15"/>
  <cols>
    <col min="4" max="4" width="13.28515625" customWidth="1"/>
    <col min="5" max="5" width="11.140625" customWidth="1"/>
    <col min="6" max="6" width="11.42578125" customWidth="1"/>
    <col min="7" max="7" width="13.85546875" customWidth="1"/>
    <col min="8" max="8" width="10.28515625" customWidth="1"/>
    <col min="9" max="9" width="9.7109375" customWidth="1"/>
    <col min="10" max="10" width="10.42578125" customWidth="1"/>
    <col min="17" max="17" width="11.28515625" customWidth="1"/>
    <col min="18" max="18" width="13" customWidth="1"/>
  </cols>
  <sheetData>
    <row r="3" spans="4:19">
      <c r="D3" s="4">
        <v>42242</v>
      </c>
      <c r="E3" t="s">
        <v>5</v>
      </c>
    </row>
    <row r="4" spans="4:19" ht="18.75">
      <c r="D4" t="s">
        <v>8</v>
      </c>
      <c r="F4" s="1" t="s">
        <v>0</v>
      </c>
      <c r="G4" s="2" t="s">
        <v>1</v>
      </c>
      <c r="H4" s="2" t="s">
        <v>2</v>
      </c>
      <c r="I4" s="2" t="s">
        <v>3</v>
      </c>
      <c r="J4" s="3" t="s">
        <v>4</v>
      </c>
    </row>
    <row r="5" spans="4:19">
      <c r="F5" s="6">
        <v>20</v>
      </c>
      <c r="G5" s="7">
        <v>100</v>
      </c>
      <c r="H5" s="5">
        <v>25.476870714239531</v>
      </c>
      <c r="I5" s="5">
        <v>26.28069527630181</v>
      </c>
      <c r="J5" s="8">
        <f t="shared" ref="J5:J12" si="0">I5-H5</f>
        <v>0.80382456206227815</v>
      </c>
    </row>
    <row r="6" spans="4:19">
      <c r="F6" s="6">
        <v>20</v>
      </c>
      <c r="G6" s="7">
        <v>70</v>
      </c>
      <c r="H6" s="5">
        <v>24.748855814269522</v>
      </c>
      <c r="I6" s="5">
        <v>25.092700129312295</v>
      </c>
      <c r="J6" s="8">
        <f t="shared" si="0"/>
        <v>0.34384431504277302</v>
      </c>
    </row>
    <row r="7" spans="4:19">
      <c r="F7" s="6">
        <v>20</v>
      </c>
      <c r="G7" s="7">
        <v>50</v>
      </c>
      <c r="H7" s="7"/>
      <c r="I7" s="7"/>
      <c r="J7" s="8">
        <f t="shared" si="0"/>
        <v>0</v>
      </c>
    </row>
    <row r="8" spans="4:19">
      <c r="F8" s="6">
        <v>20</v>
      </c>
      <c r="G8" s="7">
        <v>30</v>
      </c>
      <c r="H8" s="7"/>
      <c r="I8" s="7"/>
      <c r="J8" s="8">
        <f t="shared" si="0"/>
        <v>0</v>
      </c>
    </row>
    <row r="9" spans="4:19">
      <c r="F9" s="6">
        <v>10</v>
      </c>
      <c r="G9" s="7">
        <v>100</v>
      </c>
      <c r="H9" s="5">
        <v>25.084597622430174</v>
      </c>
      <c r="I9" s="5">
        <v>25.60241300478058</v>
      </c>
      <c r="J9" s="8">
        <f t="shared" si="0"/>
        <v>0.51781538235040614</v>
      </c>
    </row>
    <row r="10" spans="4:19">
      <c r="F10" s="6">
        <v>10</v>
      </c>
      <c r="G10" s="7">
        <v>70</v>
      </c>
      <c r="H10" s="5">
        <v>24.748576417480507</v>
      </c>
      <c r="I10" s="5">
        <v>25.260245070472067</v>
      </c>
      <c r="J10" s="8">
        <f t="shared" si="0"/>
        <v>0.51166865299155972</v>
      </c>
    </row>
    <row r="11" spans="4:19">
      <c r="F11" s="6">
        <v>10</v>
      </c>
      <c r="G11" s="7">
        <v>50</v>
      </c>
      <c r="H11" s="7"/>
      <c r="I11" s="7"/>
      <c r="J11" s="8">
        <f t="shared" si="0"/>
        <v>0</v>
      </c>
    </row>
    <row r="12" spans="4:19">
      <c r="F12" s="9">
        <v>10</v>
      </c>
      <c r="G12" s="10">
        <v>30</v>
      </c>
      <c r="H12" s="10"/>
      <c r="I12" s="10"/>
      <c r="J12" s="11">
        <f t="shared" si="0"/>
        <v>0</v>
      </c>
    </row>
    <row r="15" spans="4:19" ht="18.75">
      <c r="D15" s="4">
        <v>42286</v>
      </c>
      <c r="E15">
        <f>0.0188-0.0033</f>
        <v>1.55E-2</v>
      </c>
      <c r="F15" s="1" t="s">
        <v>0</v>
      </c>
      <c r="G15" s="2" t="s">
        <v>1</v>
      </c>
      <c r="H15" s="2" t="s">
        <v>2</v>
      </c>
      <c r="I15" s="2" t="s">
        <v>3</v>
      </c>
      <c r="J15" s="3" t="s">
        <v>4</v>
      </c>
      <c r="L15" s="4">
        <v>42290</v>
      </c>
      <c r="M15" s="45">
        <f>0.0183-0.0013</f>
        <v>1.7000000000000001E-2</v>
      </c>
      <c r="N15" s="1" t="s">
        <v>0</v>
      </c>
      <c r="O15" s="2" t="s">
        <v>1</v>
      </c>
      <c r="P15" s="2" t="s">
        <v>2</v>
      </c>
      <c r="Q15" s="2" t="s">
        <v>3</v>
      </c>
      <c r="R15" s="3" t="s">
        <v>4</v>
      </c>
      <c r="S15" s="45"/>
    </row>
    <row r="16" spans="4:19">
      <c r="D16" t="s">
        <v>6</v>
      </c>
      <c r="F16" s="6">
        <v>15</v>
      </c>
      <c r="G16" s="7">
        <v>133</v>
      </c>
      <c r="H16" s="37">
        <v>24.688040446522276</v>
      </c>
      <c r="I16" s="36">
        <v>26.983191936206332</v>
      </c>
      <c r="J16" s="8">
        <f t="shared" ref="J16:J25" si="1">I16-H16</f>
        <v>2.2951514896840557</v>
      </c>
      <c r="K16">
        <f>J16/$E$15</f>
        <v>148.07428965703585</v>
      </c>
      <c r="M16" s="101" t="s">
        <v>6</v>
      </c>
      <c r="N16" s="6">
        <v>15</v>
      </c>
      <c r="O16" s="7">
        <v>130</v>
      </c>
      <c r="P16" s="48">
        <v>24.330040027501582</v>
      </c>
      <c r="Q16" s="47">
        <v>27.303846317758936</v>
      </c>
      <c r="R16" s="8">
        <f t="shared" ref="R16:R18" si="2">Q16-P16</f>
        <v>2.9738062902573539</v>
      </c>
      <c r="S16" s="46">
        <f>R16/$M$15</f>
        <v>174.92978177984432</v>
      </c>
    </row>
    <row r="17" spans="4:19">
      <c r="D17" t="s">
        <v>7</v>
      </c>
      <c r="F17" s="6">
        <v>20</v>
      </c>
      <c r="G17" s="7">
        <v>130</v>
      </c>
      <c r="H17" s="35">
        <v>24.666154364714298</v>
      </c>
      <c r="I17" s="34">
        <v>27.333462377396966</v>
      </c>
      <c r="J17" s="8">
        <f t="shared" si="1"/>
        <v>2.6673080126826676</v>
      </c>
      <c r="K17" s="43">
        <f t="shared" ref="K17:K30" si="3">J17/$E$15</f>
        <v>172.08438791501081</v>
      </c>
      <c r="M17" s="101" t="s">
        <v>7</v>
      </c>
      <c r="N17" s="360">
        <v>20</v>
      </c>
      <c r="O17" s="361">
        <v>130</v>
      </c>
      <c r="P17" s="359">
        <v>24.078303520578348</v>
      </c>
      <c r="Q17" s="359">
        <v>27.493370472989703</v>
      </c>
      <c r="R17" s="362">
        <f t="shared" si="2"/>
        <v>3.4150669524113546</v>
      </c>
      <c r="S17" s="359">
        <f t="shared" ref="S17:S22" si="4">R17/$M$15</f>
        <v>200.88629131831496</v>
      </c>
    </row>
    <row r="18" spans="4:19">
      <c r="D18" t="s">
        <v>15</v>
      </c>
      <c r="F18" s="6">
        <v>30</v>
      </c>
      <c r="G18" s="7">
        <v>130</v>
      </c>
      <c r="H18" s="32">
        <v>24.777447419014432</v>
      </c>
      <c r="I18" s="31">
        <v>27.513114512748384</v>
      </c>
      <c r="J18" s="8">
        <f t="shared" si="1"/>
        <v>2.7356670937339516</v>
      </c>
      <c r="K18" s="43">
        <f t="shared" si="3"/>
        <v>176.49465120864204</v>
      </c>
      <c r="M18" s="101" t="s">
        <v>15</v>
      </c>
      <c r="N18" s="360">
        <v>30</v>
      </c>
      <c r="O18" s="361">
        <v>130</v>
      </c>
      <c r="P18" s="359">
        <v>24.416373635314315</v>
      </c>
      <c r="Q18" s="359">
        <v>27.833768894300988</v>
      </c>
      <c r="R18" s="362">
        <f t="shared" si="2"/>
        <v>3.417395258986673</v>
      </c>
      <c r="S18" s="359">
        <f t="shared" si="4"/>
        <v>201.02325052862781</v>
      </c>
    </row>
    <row r="19" spans="4:19">
      <c r="D19" t="s">
        <v>20</v>
      </c>
      <c r="F19" s="6">
        <v>15</v>
      </c>
      <c r="G19" s="7">
        <v>100</v>
      </c>
      <c r="H19" s="20">
        <v>24.430529739292261</v>
      </c>
      <c r="I19" s="19">
        <v>26.316271800772668</v>
      </c>
      <c r="J19" s="8">
        <f t="shared" si="1"/>
        <v>1.885742061480407</v>
      </c>
      <c r="K19" s="43">
        <f t="shared" si="3"/>
        <v>121.66077816002625</v>
      </c>
      <c r="M19" s="45"/>
      <c r="N19" s="18">
        <v>40</v>
      </c>
      <c r="O19" s="7">
        <v>130</v>
      </c>
      <c r="P19" s="50">
        <v>24.753791824209198</v>
      </c>
      <c r="Q19" s="49">
        <v>28.176775018976631</v>
      </c>
      <c r="R19" s="8">
        <f t="shared" ref="R19" si="5">Q19-P19</f>
        <v>3.4229831947674327</v>
      </c>
      <c r="S19" s="50">
        <f t="shared" si="4"/>
        <v>201.35195263337837</v>
      </c>
    </row>
    <row r="20" spans="4:19">
      <c r="F20" s="6">
        <v>20</v>
      </c>
      <c r="G20" s="7">
        <v>100</v>
      </c>
      <c r="H20" s="14">
        <v>24.771207557392561</v>
      </c>
      <c r="I20" s="14">
        <v>26.991294443088428</v>
      </c>
      <c r="J20" s="8">
        <f t="shared" si="1"/>
        <v>2.2200868856958671</v>
      </c>
      <c r="K20" s="43">
        <f t="shared" si="3"/>
        <v>143.23141198037851</v>
      </c>
      <c r="M20" s="45"/>
      <c r="N20" s="18">
        <v>50</v>
      </c>
      <c r="O20" s="7">
        <v>130</v>
      </c>
      <c r="P20" s="52">
        <v>24.75798277604477</v>
      </c>
      <c r="Q20" s="51">
        <v>28.510561049614005</v>
      </c>
      <c r="R20" s="8">
        <f t="shared" ref="R20" si="6">Q20-P20</f>
        <v>3.7525782735692346</v>
      </c>
      <c r="S20" s="52">
        <f t="shared" si="4"/>
        <v>220.73989844524908</v>
      </c>
    </row>
    <row r="21" spans="4:19">
      <c r="F21" s="6">
        <v>30</v>
      </c>
      <c r="G21" s="7">
        <v>100</v>
      </c>
      <c r="H21" s="16">
        <v>24.432671781341533</v>
      </c>
      <c r="I21" s="15">
        <v>26.65424878324561</v>
      </c>
      <c r="J21" s="8">
        <f t="shared" si="1"/>
        <v>2.2215770019040768</v>
      </c>
      <c r="K21" s="43">
        <f t="shared" si="3"/>
        <v>143.32754850994044</v>
      </c>
      <c r="M21" s="45"/>
      <c r="N21" s="18">
        <v>60</v>
      </c>
      <c r="O21" s="12">
        <v>130</v>
      </c>
      <c r="P21" s="54">
        <v>25.105179852555981</v>
      </c>
      <c r="Q21" s="53">
        <v>28.853660306552669</v>
      </c>
      <c r="R21" s="8">
        <f t="shared" ref="R21" si="7">Q21-P21</f>
        <v>3.7484804539966881</v>
      </c>
      <c r="S21" s="54">
        <f t="shared" si="4"/>
        <v>220.49885023509927</v>
      </c>
    </row>
    <row r="22" spans="4:19">
      <c r="F22" s="18">
        <v>40</v>
      </c>
      <c r="G22" s="12">
        <v>100</v>
      </c>
      <c r="H22" s="22">
        <v>24.429039623084048</v>
      </c>
      <c r="I22" s="21">
        <v>26.664493332177003</v>
      </c>
      <c r="J22" s="8">
        <f t="shared" si="1"/>
        <v>2.2354537090929547</v>
      </c>
      <c r="K22" s="43">
        <f t="shared" si="3"/>
        <v>144.22281994148096</v>
      </c>
      <c r="M22" s="45"/>
      <c r="N22" s="18">
        <v>80</v>
      </c>
      <c r="O22" s="12">
        <v>130</v>
      </c>
      <c r="P22" s="57">
        <v>25.109091407602509</v>
      </c>
      <c r="Q22" s="56">
        <v>28.992241113915519</v>
      </c>
      <c r="R22" s="8">
        <f t="shared" ref="R22" si="8">Q22-P22</f>
        <v>3.8831497063130094</v>
      </c>
      <c r="S22" s="55">
        <f t="shared" si="4"/>
        <v>228.42057095958876</v>
      </c>
    </row>
    <row r="23" spans="4:19">
      <c r="F23" s="18">
        <v>50</v>
      </c>
      <c r="G23" s="12">
        <v>100</v>
      </c>
      <c r="H23" s="24">
        <v>24.435745146020956</v>
      </c>
      <c r="I23" s="23">
        <v>26.979932307000901</v>
      </c>
      <c r="J23" s="8">
        <f t="shared" si="1"/>
        <v>2.5441871609799449</v>
      </c>
      <c r="K23" s="43">
        <f t="shared" si="3"/>
        <v>164.14110715999644</v>
      </c>
      <c r="M23" s="45"/>
      <c r="N23" s="6">
        <v>15</v>
      </c>
      <c r="O23" s="7">
        <v>100</v>
      </c>
      <c r="P23" s="67">
        <v>25.101268297509456</v>
      </c>
      <c r="Q23" s="66">
        <v>27.31977193473411</v>
      </c>
      <c r="R23" s="8">
        <f>Q23-P23</f>
        <v>2.2185036372246536</v>
      </c>
      <c r="S23" s="46">
        <f t="shared" ref="S23:S34" si="9">R23/$M$15</f>
        <v>130.50021395439137</v>
      </c>
    </row>
    <row r="24" spans="4:19">
      <c r="F24" s="18">
        <v>70</v>
      </c>
      <c r="G24" s="12">
        <v>100</v>
      </c>
      <c r="H24" s="26">
        <v>24.278817282844617</v>
      </c>
      <c r="I24" s="25">
        <v>26.991946368929536</v>
      </c>
      <c r="J24" s="8">
        <f t="shared" si="1"/>
        <v>2.7131290860849191</v>
      </c>
      <c r="K24" s="43">
        <f t="shared" si="3"/>
        <v>175.04058619902705</v>
      </c>
      <c r="M24" s="45"/>
      <c r="N24" s="360">
        <v>20</v>
      </c>
      <c r="O24" s="361">
        <v>100</v>
      </c>
      <c r="P24" s="359">
        <v>24.082308207887898</v>
      </c>
      <c r="Q24" s="359">
        <v>26.637298711377312</v>
      </c>
      <c r="R24" s="362">
        <f>Q24-P24</f>
        <v>2.5549905034894138</v>
      </c>
      <c r="S24" s="359">
        <f t="shared" si="9"/>
        <v>150.29355902878905</v>
      </c>
    </row>
    <row r="25" spans="4:19">
      <c r="F25" s="18">
        <v>90</v>
      </c>
      <c r="G25" s="12">
        <v>100</v>
      </c>
      <c r="H25" s="28">
        <v>24.439563568804484</v>
      </c>
      <c r="I25" s="27">
        <v>27.336908271128429</v>
      </c>
      <c r="J25" s="8">
        <f t="shared" si="1"/>
        <v>2.8973447023239451</v>
      </c>
      <c r="K25" s="43">
        <f t="shared" si="3"/>
        <v>186.92546466606098</v>
      </c>
      <c r="M25" s="45"/>
      <c r="N25" s="6">
        <v>30</v>
      </c>
      <c r="O25" s="7">
        <v>100</v>
      </c>
      <c r="P25" s="65">
        <v>25.100150710353308</v>
      </c>
      <c r="Q25" s="64">
        <v>27.488900124365092</v>
      </c>
      <c r="R25" s="8">
        <f t="shared" ref="R25:R28" si="10">Q25-P25</f>
        <v>2.3887494140117838</v>
      </c>
      <c r="S25" s="46">
        <f t="shared" si="9"/>
        <v>140.51467141245786</v>
      </c>
    </row>
    <row r="26" spans="4:19">
      <c r="F26" s="18">
        <v>100</v>
      </c>
      <c r="G26" s="12">
        <v>100</v>
      </c>
      <c r="H26" s="30">
        <v>24.782755958006149</v>
      </c>
      <c r="I26" s="29">
        <v>27.421472365943934</v>
      </c>
      <c r="J26" s="8">
        <f>I26-H26</f>
        <v>2.6387164079377854</v>
      </c>
      <c r="K26" s="43">
        <f t="shared" si="3"/>
        <v>170.23976825405066</v>
      </c>
      <c r="M26" s="45"/>
      <c r="N26" s="18">
        <v>40</v>
      </c>
      <c r="O26" s="12">
        <v>100</v>
      </c>
      <c r="P26" s="62">
        <v>25.435240592672848</v>
      </c>
      <c r="Q26" s="63">
        <v>27.832837571670861</v>
      </c>
      <c r="R26" s="8">
        <f t="shared" si="10"/>
        <v>2.3975969789980134</v>
      </c>
      <c r="S26" s="46">
        <f t="shared" si="9"/>
        <v>141.03511641164783</v>
      </c>
    </row>
    <row r="27" spans="4:19">
      <c r="F27" s="6">
        <v>15</v>
      </c>
      <c r="G27" s="7">
        <v>70</v>
      </c>
      <c r="H27" s="39">
        <v>24.598260944978051</v>
      </c>
      <c r="I27" s="38">
        <v>25.97158929536279</v>
      </c>
      <c r="J27" s="8">
        <f>I27-H27</f>
        <v>1.3733283503847389</v>
      </c>
      <c r="K27" s="43">
        <f t="shared" si="3"/>
        <v>88.601829057079925</v>
      </c>
      <c r="M27" s="45"/>
      <c r="N27" s="18">
        <v>50</v>
      </c>
      <c r="O27" s="12">
        <v>100</v>
      </c>
      <c r="P27" s="61">
        <v>25.100150710353308</v>
      </c>
      <c r="Q27" s="60">
        <v>27.835165878246176</v>
      </c>
      <c r="R27" s="8">
        <f t="shared" si="10"/>
        <v>2.7350151678928682</v>
      </c>
      <c r="S27" s="46">
        <f t="shared" si="9"/>
        <v>160.88324517016872</v>
      </c>
    </row>
    <row r="28" spans="4:19">
      <c r="F28" s="6">
        <v>20</v>
      </c>
      <c r="G28" s="7">
        <v>70</v>
      </c>
      <c r="H28" s="41">
        <v>24.440308626908593</v>
      </c>
      <c r="I28" s="40">
        <v>25.980436860348995</v>
      </c>
      <c r="J28" s="8">
        <f>I28-H28</f>
        <v>1.5401282334404023</v>
      </c>
      <c r="K28" s="43">
        <f t="shared" si="3"/>
        <v>99.363111834864668</v>
      </c>
      <c r="M28" s="45"/>
      <c r="N28" s="18">
        <v>60</v>
      </c>
      <c r="O28" s="12">
        <v>100</v>
      </c>
      <c r="P28" s="58">
        <v>25.433377947412595</v>
      </c>
      <c r="Q28" s="59">
        <v>28.17137334772189</v>
      </c>
      <c r="R28" s="8">
        <f t="shared" si="10"/>
        <v>2.7379954003092948</v>
      </c>
      <c r="S28" s="46">
        <f t="shared" si="9"/>
        <v>161.05855295937027</v>
      </c>
    </row>
    <row r="29" spans="4:19">
      <c r="F29" s="6">
        <v>30</v>
      </c>
      <c r="G29" s="12">
        <v>70</v>
      </c>
      <c r="H29" s="33">
        <v>24.427735771401881</v>
      </c>
      <c r="I29" s="33">
        <v>25.967118946738179</v>
      </c>
      <c r="J29" s="8">
        <f>I29-H29</f>
        <v>1.5393831753362974</v>
      </c>
      <c r="K29" s="43">
        <f t="shared" si="3"/>
        <v>99.315043570083702</v>
      </c>
      <c r="M29" s="45"/>
      <c r="N29" s="6">
        <v>15</v>
      </c>
      <c r="O29" s="7">
        <v>70</v>
      </c>
      <c r="P29" s="69">
        <v>25.103782868610793</v>
      </c>
      <c r="Q29" s="68">
        <v>26.488752751872113</v>
      </c>
      <c r="R29" s="8">
        <f t="shared" ref="R29:R34" si="11">Q29-P29</f>
        <v>1.38496988326132</v>
      </c>
      <c r="S29" s="46">
        <f t="shared" si="9"/>
        <v>81.468816662430584</v>
      </c>
    </row>
    <row r="30" spans="4:19">
      <c r="F30" s="42">
        <v>50</v>
      </c>
      <c r="G30" s="13">
        <v>70</v>
      </c>
      <c r="H30" s="17">
        <v>24.435372616968916</v>
      </c>
      <c r="I30" s="17">
        <v>26.307610500312485</v>
      </c>
      <c r="J30" s="11">
        <f>I30-H30</f>
        <v>1.8722378833435691</v>
      </c>
      <c r="K30" s="43">
        <f t="shared" si="3"/>
        <v>120.78954086087543</v>
      </c>
      <c r="M30" s="45"/>
      <c r="N30" s="6">
        <v>20</v>
      </c>
      <c r="O30" s="7">
        <v>70</v>
      </c>
      <c r="P30" s="71">
        <v>25.130418695832425</v>
      </c>
      <c r="Q30" s="70">
        <v>26.646611937678578</v>
      </c>
      <c r="R30" s="8">
        <f t="shared" si="11"/>
        <v>1.5161932418461532</v>
      </c>
      <c r="S30" s="46">
        <f t="shared" si="9"/>
        <v>89.187837755656062</v>
      </c>
    </row>
    <row r="31" spans="4:19">
      <c r="N31" s="6">
        <v>30</v>
      </c>
      <c r="O31" s="12">
        <v>70</v>
      </c>
      <c r="P31" s="73">
        <v>25.102851545980666</v>
      </c>
      <c r="Q31" s="72">
        <v>26.64586687957447</v>
      </c>
      <c r="R31" s="8">
        <f t="shared" si="11"/>
        <v>1.5430153335938037</v>
      </c>
      <c r="S31" s="46">
        <f t="shared" si="9"/>
        <v>90.765607858459035</v>
      </c>
    </row>
    <row r="32" spans="4:19">
      <c r="D32" t="s">
        <v>12</v>
      </c>
      <c r="N32" s="18">
        <v>40</v>
      </c>
      <c r="O32" s="12">
        <v>70</v>
      </c>
      <c r="P32" s="75">
        <v>25.102851545980666</v>
      </c>
      <c r="Q32" s="74">
        <v>26.684889297776767</v>
      </c>
      <c r="R32" s="8">
        <f t="shared" si="11"/>
        <v>1.5820377517961006</v>
      </c>
      <c r="S32" s="46">
        <f t="shared" si="9"/>
        <v>93.06104422330003</v>
      </c>
    </row>
    <row r="33" spans="4:20" ht="18.75">
      <c r="D33" s="4">
        <v>42291</v>
      </c>
      <c r="E33">
        <f>0.0242-0.0065</f>
        <v>1.77E-2</v>
      </c>
      <c r="F33" s="1" t="s">
        <v>0</v>
      </c>
      <c r="G33" s="2" t="s">
        <v>1</v>
      </c>
      <c r="H33" s="2" t="s">
        <v>2</v>
      </c>
      <c r="I33" s="2" t="s">
        <v>3</v>
      </c>
      <c r="J33" s="3" t="s">
        <v>4</v>
      </c>
      <c r="K33" s="81"/>
      <c r="N33" s="6">
        <v>50</v>
      </c>
      <c r="O33" s="12">
        <v>70</v>
      </c>
      <c r="P33" s="77">
        <v>25.102385884665601</v>
      </c>
      <c r="Q33" s="76">
        <v>26.908686125796201</v>
      </c>
      <c r="R33" s="8">
        <f t="shared" si="11"/>
        <v>1.8063002411306002</v>
      </c>
      <c r="S33" s="46">
        <f t="shared" si="9"/>
        <v>106.25295536062353</v>
      </c>
    </row>
    <row r="34" spans="4:20">
      <c r="F34" s="6">
        <v>20</v>
      </c>
      <c r="G34" s="7">
        <v>130</v>
      </c>
      <c r="H34" s="85">
        <v>23.758859858444914</v>
      </c>
      <c r="I34" s="84">
        <v>26.652758667037396</v>
      </c>
      <c r="J34" s="8">
        <f t="shared" ref="J34:J36" si="12">I34-H34</f>
        <v>2.8938988085924819</v>
      </c>
      <c r="K34" s="81">
        <f>J34/$E$33</f>
        <v>163.49710783008373</v>
      </c>
      <c r="N34" s="42">
        <v>60</v>
      </c>
      <c r="O34" s="13">
        <v>70</v>
      </c>
      <c r="P34" s="17">
        <v>25.111326581914827</v>
      </c>
      <c r="Q34" s="17">
        <v>26.977510868162575</v>
      </c>
      <c r="R34" s="11">
        <f t="shared" si="11"/>
        <v>1.8661842862477478</v>
      </c>
      <c r="S34" s="46">
        <f t="shared" si="9"/>
        <v>109.7755462498675</v>
      </c>
    </row>
    <row r="35" spans="4:20">
      <c r="F35" s="6">
        <v>20</v>
      </c>
      <c r="G35" s="7">
        <v>100</v>
      </c>
      <c r="H35" s="83">
        <v>23.587030833186553</v>
      </c>
      <c r="I35" s="82">
        <v>25.962089804535506</v>
      </c>
      <c r="J35" s="8">
        <f t="shared" si="12"/>
        <v>2.3750589713489525</v>
      </c>
      <c r="K35" s="81">
        <f>J35/$E$33</f>
        <v>134.18412267508205</v>
      </c>
    </row>
    <row r="36" spans="4:20">
      <c r="F36" s="9">
        <v>20</v>
      </c>
      <c r="G36" s="10">
        <v>70</v>
      </c>
      <c r="H36" s="17">
        <v>23.761374429546251</v>
      </c>
      <c r="I36" s="17">
        <v>25.485159485647646</v>
      </c>
      <c r="J36" s="11">
        <f t="shared" si="12"/>
        <v>1.723785056101395</v>
      </c>
      <c r="K36" s="81">
        <f>J36/$E$33</f>
        <v>97.388986220417792</v>
      </c>
    </row>
    <row r="37" spans="4:20" ht="18.75">
      <c r="N37" s="155"/>
      <c r="O37" s="1" t="s">
        <v>0</v>
      </c>
      <c r="P37" s="2" t="s">
        <v>1</v>
      </c>
      <c r="Q37" s="2" t="s">
        <v>2</v>
      </c>
      <c r="R37" s="2" t="s">
        <v>3</v>
      </c>
      <c r="S37" s="3" t="s">
        <v>4</v>
      </c>
      <c r="T37" s="155"/>
    </row>
    <row r="38" spans="4:20">
      <c r="D38" s="91" t="s">
        <v>13</v>
      </c>
      <c r="M38" t="s">
        <v>21</v>
      </c>
      <c r="N38" s="155">
        <f>0.0213-0.0015</f>
        <v>1.9799999999999998E-2</v>
      </c>
      <c r="O38" s="6">
        <v>10</v>
      </c>
      <c r="P38" s="7">
        <v>100</v>
      </c>
      <c r="Q38" s="171">
        <v>21.331926216597942</v>
      </c>
      <c r="R38" s="170">
        <v>22.765604273414866</v>
      </c>
      <c r="S38" s="8">
        <f t="shared" ref="S38:S47" si="13">R38-Q38</f>
        <v>1.4336780568169232</v>
      </c>
      <c r="T38" s="155">
        <f>S38/$N$38</f>
        <v>72.407982667521381</v>
      </c>
    </row>
    <row r="39" spans="4:20" ht="18.75">
      <c r="D39" s="4">
        <v>42292</v>
      </c>
      <c r="E39" s="87">
        <f>0.0199-0.0032</f>
        <v>1.67E-2</v>
      </c>
      <c r="F39" s="1" t="s">
        <v>0</v>
      </c>
      <c r="G39" s="2" t="s">
        <v>1</v>
      </c>
      <c r="H39" s="2" t="s">
        <v>2</v>
      </c>
      <c r="I39" s="2" t="s">
        <v>3</v>
      </c>
      <c r="J39" s="3" t="s">
        <v>4</v>
      </c>
      <c r="K39" s="87"/>
      <c r="M39" s="4">
        <v>42296</v>
      </c>
      <c r="N39" s="155"/>
      <c r="O39" s="6">
        <v>20</v>
      </c>
      <c r="P39" s="7">
        <v>100</v>
      </c>
      <c r="Q39" s="173">
        <v>21.341146310636184</v>
      </c>
      <c r="R39" s="172">
        <v>23.217016352237238</v>
      </c>
      <c r="S39" s="8">
        <f t="shared" si="13"/>
        <v>1.8758700416010541</v>
      </c>
      <c r="T39" s="167">
        <f>S39/$N$38</f>
        <v>94.740911191972444</v>
      </c>
    </row>
    <row r="40" spans="4:20">
      <c r="E40" s="87"/>
      <c r="F40" s="6">
        <v>20</v>
      </c>
      <c r="G40" s="7">
        <v>130</v>
      </c>
      <c r="H40" s="91">
        <v>23.743120505995787</v>
      </c>
      <c r="I40" s="90">
        <v>25.96479064016286</v>
      </c>
      <c r="J40" s="8">
        <f t="shared" ref="J40:J42" si="14">I40-H40</f>
        <v>2.2216701341670735</v>
      </c>
      <c r="K40" s="87">
        <f>J40/$E$39</f>
        <v>133.03413977048345</v>
      </c>
      <c r="N40" s="155"/>
      <c r="O40" s="6">
        <v>3</v>
      </c>
      <c r="P40" s="7">
        <v>100</v>
      </c>
      <c r="Q40" s="169">
        <v>21.344964733419715</v>
      </c>
      <c r="R40" s="168">
        <v>22.092537408622356</v>
      </c>
      <c r="S40" s="8">
        <f t="shared" si="13"/>
        <v>0.74757267520264037</v>
      </c>
      <c r="T40" s="167">
        <f t="shared" ref="T40:T47" si="15">S40/$N$38</f>
        <v>37.756195717305076</v>
      </c>
    </row>
    <row r="41" spans="4:20">
      <c r="E41" s="87"/>
      <c r="F41" s="6">
        <v>20</v>
      </c>
      <c r="G41" s="7">
        <v>100</v>
      </c>
      <c r="H41" s="89">
        <v>23.656600633657007</v>
      </c>
      <c r="I41" s="88">
        <v>25.449769225702834</v>
      </c>
      <c r="J41" s="8">
        <f t="shared" si="14"/>
        <v>1.7931685920458271</v>
      </c>
      <c r="K41" s="91">
        <f t="shared" ref="K41:K42" si="16">J41/$E$39</f>
        <v>107.3753647931633</v>
      </c>
      <c r="N41" s="155"/>
      <c r="O41" s="18">
        <v>10</v>
      </c>
      <c r="P41" s="12">
        <v>70</v>
      </c>
      <c r="Q41" s="165">
        <v>21.340028723480039</v>
      </c>
      <c r="R41" s="164">
        <v>22.273679660181983</v>
      </c>
      <c r="S41" s="8">
        <f t="shared" si="13"/>
        <v>0.93365093670194454</v>
      </c>
      <c r="T41" s="167">
        <f t="shared" si="15"/>
        <v>47.154087712219429</v>
      </c>
    </row>
    <row r="42" spans="4:20">
      <c r="E42" s="87"/>
      <c r="F42" s="9">
        <v>20</v>
      </c>
      <c r="G42" s="10">
        <v>70</v>
      </c>
      <c r="H42" s="17">
        <v>24.091435169663146</v>
      </c>
      <c r="I42" s="17">
        <v>25.45749920353289</v>
      </c>
      <c r="J42" s="11">
        <f t="shared" si="14"/>
        <v>1.3660640338697441</v>
      </c>
      <c r="K42" s="91">
        <f t="shared" si="16"/>
        <v>81.800241549086479</v>
      </c>
      <c r="N42" s="155"/>
      <c r="O42" s="18">
        <v>5</v>
      </c>
      <c r="P42" s="12">
        <v>70</v>
      </c>
      <c r="Q42" s="167">
        <v>21.343754014000545</v>
      </c>
      <c r="R42" s="166">
        <v>21.869019977391964</v>
      </c>
      <c r="S42" s="8">
        <f t="shared" si="13"/>
        <v>0.52526596339141918</v>
      </c>
      <c r="T42" s="167">
        <f t="shared" si="15"/>
        <v>26.528584009667636</v>
      </c>
    </row>
    <row r="43" spans="4:20">
      <c r="N43" s="155"/>
      <c r="O43" s="18">
        <v>10</v>
      </c>
      <c r="P43" s="12">
        <v>50</v>
      </c>
      <c r="Q43" s="163">
        <v>21.341425707425227</v>
      </c>
      <c r="R43" s="162">
        <v>21.86212818992901</v>
      </c>
      <c r="S43" s="8">
        <f t="shared" si="13"/>
        <v>0.5207024825037827</v>
      </c>
      <c r="T43" s="167">
        <f t="shared" si="15"/>
        <v>26.298105176958725</v>
      </c>
    </row>
    <row r="44" spans="4:20">
      <c r="D44" s="91" t="s">
        <v>14</v>
      </c>
      <c r="E44" s="91"/>
      <c r="F44" s="91"/>
      <c r="G44" s="91"/>
      <c r="H44" s="91"/>
      <c r="I44" s="91"/>
      <c r="J44" s="91"/>
      <c r="K44" s="91"/>
      <c r="N44" s="155"/>
      <c r="O44" s="18">
        <v>5</v>
      </c>
      <c r="P44" s="12">
        <v>50</v>
      </c>
      <c r="Q44" s="161">
        <v>21.344592204367647</v>
      </c>
      <c r="R44" s="160">
        <v>21.692906868035006</v>
      </c>
      <c r="S44" s="8">
        <f t="shared" si="13"/>
        <v>0.34831466366735953</v>
      </c>
      <c r="T44" s="167">
        <f t="shared" si="15"/>
        <v>17.591649680169674</v>
      </c>
    </row>
    <row r="45" spans="4:20" ht="18.75">
      <c r="D45" s="4">
        <v>42292</v>
      </c>
      <c r="E45" s="91">
        <f>0.0278-0.0085</f>
        <v>1.9299999999999998E-2</v>
      </c>
      <c r="F45" s="1" t="s">
        <v>0</v>
      </c>
      <c r="G45" s="2" t="s">
        <v>1</v>
      </c>
      <c r="H45" s="2" t="s">
        <v>2</v>
      </c>
      <c r="I45" s="2" t="s">
        <v>3</v>
      </c>
      <c r="J45" s="3" t="s">
        <v>4</v>
      </c>
      <c r="K45" s="91"/>
      <c r="N45" s="155"/>
      <c r="O45" s="18">
        <v>10</v>
      </c>
      <c r="P45" s="12">
        <v>30</v>
      </c>
      <c r="Q45" s="159">
        <v>21.335837771644467</v>
      </c>
      <c r="R45" s="158">
        <v>21.688902180725457</v>
      </c>
      <c r="S45" s="8">
        <f t="shared" si="13"/>
        <v>0.35306440908098935</v>
      </c>
      <c r="T45" s="167">
        <f t="shared" si="15"/>
        <v>17.831535812171182</v>
      </c>
    </row>
    <row r="46" spans="4:20">
      <c r="D46" s="91"/>
      <c r="E46" s="91"/>
      <c r="F46" s="6">
        <v>20</v>
      </c>
      <c r="G46" s="7">
        <v>130</v>
      </c>
      <c r="H46" s="95">
        <v>20.326470305113222</v>
      </c>
      <c r="I46" s="94">
        <v>22.547302248913194</v>
      </c>
      <c r="J46" s="8">
        <f t="shared" ref="J46:J48" si="17">I46-H46</f>
        <v>2.220831943799972</v>
      </c>
      <c r="K46" s="91">
        <f>J46/$E$45</f>
        <v>115.06901263212291</v>
      </c>
      <c r="N46" s="155"/>
      <c r="O46" s="18">
        <v>20</v>
      </c>
      <c r="P46" s="12">
        <v>30</v>
      </c>
      <c r="Q46" s="157">
        <v>21.314324218888533</v>
      </c>
      <c r="R46" s="156">
        <v>21.690578561459692</v>
      </c>
      <c r="S46" s="8">
        <f t="shared" si="13"/>
        <v>0.37625434257115842</v>
      </c>
      <c r="T46" s="167">
        <f t="shared" si="15"/>
        <v>19.00274457430093</v>
      </c>
    </row>
    <row r="47" spans="4:20">
      <c r="D47" s="91"/>
      <c r="E47" s="91"/>
      <c r="F47" s="6">
        <v>20</v>
      </c>
      <c r="G47" s="7">
        <v>100</v>
      </c>
      <c r="H47" s="93">
        <v>19.977410583341754</v>
      </c>
      <c r="I47" s="92">
        <v>21.779613004899808</v>
      </c>
      <c r="J47" s="8">
        <f t="shared" si="17"/>
        <v>1.8022024215580537</v>
      </c>
      <c r="K47" s="101">
        <f t="shared" ref="K47:K54" si="18">J47/$E$45</f>
        <v>93.378363811298129</v>
      </c>
      <c r="N47" s="155"/>
      <c r="O47" s="42">
        <v>3</v>
      </c>
      <c r="P47" s="13">
        <v>30</v>
      </c>
      <c r="Q47" s="17">
        <v>21.339842458954017</v>
      </c>
      <c r="R47" s="17">
        <v>21.34328835268548</v>
      </c>
      <c r="S47" s="11">
        <f t="shared" si="13"/>
        <v>3.445893731463201E-3</v>
      </c>
      <c r="T47" s="167">
        <f t="shared" si="15"/>
        <v>0.17403503694258593</v>
      </c>
    </row>
    <row r="48" spans="4:20">
      <c r="D48" s="91"/>
      <c r="E48" s="91"/>
      <c r="F48" s="6">
        <v>20</v>
      </c>
      <c r="G48" s="7">
        <v>70</v>
      </c>
      <c r="H48" s="33">
        <v>20.66416789079712</v>
      </c>
      <c r="I48" s="33">
        <v>21.773559407803983</v>
      </c>
      <c r="J48" s="8">
        <f t="shared" si="17"/>
        <v>1.1093915170068627</v>
      </c>
      <c r="K48" s="101">
        <f t="shared" si="18"/>
        <v>57.481425751650924</v>
      </c>
    </row>
    <row r="49" spans="4:15">
      <c r="F49" s="96">
        <v>30</v>
      </c>
      <c r="G49" s="98">
        <v>130</v>
      </c>
      <c r="H49" s="99">
        <v>21.002424270059134</v>
      </c>
      <c r="I49" s="99">
        <v>23.228657885113819</v>
      </c>
      <c r="J49" s="100">
        <f t="shared" ref="J49:J51" si="19">I49-H49</f>
        <v>2.2262336150546851</v>
      </c>
      <c r="K49" s="101">
        <f>J49/$E$45</f>
        <v>115.34889197174536</v>
      </c>
      <c r="L49" s="269">
        <f>K49*0.0153</f>
        <v>1.7648380471677039</v>
      </c>
      <c r="M49" s="269">
        <f>K49*0.0131</f>
        <v>1.5110704848298642</v>
      </c>
      <c r="N49" s="269">
        <f>L49-M49</f>
        <v>0.2537675623378397</v>
      </c>
    </row>
    <row r="50" spans="4:15">
      <c r="F50" s="18">
        <v>30</v>
      </c>
      <c r="G50" s="7">
        <v>100</v>
      </c>
      <c r="H50" s="33">
        <v>21.001958608744072</v>
      </c>
      <c r="I50" s="33">
        <v>22.717268628911302</v>
      </c>
      <c r="J50" s="8">
        <f t="shared" si="19"/>
        <v>1.7153100201672302</v>
      </c>
      <c r="K50" s="101">
        <f t="shared" si="18"/>
        <v>88.876166848043027</v>
      </c>
    </row>
    <row r="51" spans="4:15">
      <c r="F51" s="42">
        <v>30</v>
      </c>
      <c r="G51" s="10">
        <v>70</v>
      </c>
      <c r="H51" s="17">
        <v>20.667706916791609</v>
      </c>
      <c r="I51" s="17">
        <v>21.852628699101725</v>
      </c>
      <c r="J51" s="11">
        <f t="shared" si="19"/>
        <v>1.1849217823101164</v>
      </c>
      <c r="K51" s="101">
        <f t="shared" si="18"/>
        <v>61.394911000524168</v>
      </c>
    </row>
    <row r="52" spans="4:15">
      <c r="F52" s="18">
        <v>40</v>
      </c>
      <c r="G52" s="7">
        <v>130</v>
      </c>
      <c r="H52" s="33">
        <v>21.342170765529335</v>
      </c>
      <c r="I52" s="33">
        <v>23.573060993734654</v>
      </c>
      <c r="J52" s="8">
        <f t="shared" ref="J52:J54" si="20">I52-H52</f>
        <v>2.2308902282053182</v>
      </c>
      <c r="K52" s="101">
        <f t="shared" si="18"/>
        <v>115.59016726452427</v>
      </c>
    </row>
    <row r="53" spans="4:15">
      <c r="F53" s="18">
        <v>40</v>
      </c>
      <c r="G53" s="7">
        <v>100</v>
      </c>
      <c r="H53" s="33">
        <v>21.634792335915115</v>
      </c>
      <c r="I53" s="33">
        <v>23.227447165694677</v>
      </c>
      <c r="J53" s="8">
        <f t="shared" si="20"/>
        <v>1.592654829779562</v>
      </c>
      <c r="K53" s="101">
        <f t="shared" si="18"/>
        <v>82.520975636246746</v>
      </c>
    </row>
    <row r="54" spans="4:15">
      <c r="F54" s="42">
        <v>40</v>
      </c>
      <c r="G54" s="10">
        <v>70</v>
      </c>
      <c r="H54" s="17">
        <v>21.346920510942965</v>
      </c>
      <c r="I54" s="17">
        <v>22.546650323072083</v>
      </c>
      <c r="J54" s="11">
        <f t="shared" si="20"/>
        <v>1.1997298121291173</v>
      </c>
      <c r="K54" s="101">
        <f t="shared" si="18"/>
        <v>62.162166431560493</v>
      </c>
    </row>
    <row r="57" spans="4:15" ht="18.75">
      <c r="D57" s="4">
        <v>42299</v>
      </c>
      <c r="E57" s="193">
        <f>0.0256-0.0076</f>
        <v>1.8000000000000002E-2</v>
      </c>
      <c r="F57" s="1" t="s">
        <v>0</v>
      </c>
      <c r="G57" s="2" t="s">
        <v>1</v>
      </c>
      <c r="H57" s="2" t="s">
        <v>2</v>
      </c>
      <c r="I57" s="2" t="s">
        <v>3</v>
      </c>
      <c r="J57" s="3" t="s">
        <v>4</v>
      </c>
      <c r="K57" s="193"/>
    </row>
    <row r="58" spans="4:15">
      <c r="D58" t="s">
        <v>18</v>
      </c>
      <c r="E58" s="193"/>
      <c r="F58" s="6">
        <v>20</v>
      </c>
      <c r="G58" s="7">
        <v>130</v>
      </c>
      <c r="H58" s="197">
        <v>23.585447584715343</v>
      </c>
      <c r="I58" s="196">
        <v>25.451818135489109</v>
      </c>
      <c r="J58" s="8">
        <f t="shared" ref="J58:J60" si="21">I58-H58</f>
        <v>1.866370550773766</v>
      </c>
      <c r="K58" s="193">
        <f>J58/$E$57</f>
        <v>103.68725282076477</v>
      </c>
      <c r="L58" s="267">
        <f>K58*0.0153</f>
        <v>1.5864149681577009</v>
      </c>
      <c r="M58" s="267">
        <f>K58*0.0131</f>
        <v>1.3583030119520185</v>
      </c>
      <c r="N58" s="267">
        <f>L58-M58</f>
        <v>0.22811195620568236</v>
      </c>
    </row>
    <row r="59" spans="4:15">
      <c r="D59" t="s">
        <v>19</v>
      </c>
      <c r="E59" s="193"/>
      <c r="F59" s="6">
        <v>20</v>
      </c>
      <c r="G59" s="7">
        <v>100</v>
      </c>
      <c r="H59" s="195">
        <v>23.661909172648748</v>
      </c>
      <c r="I59" s="194">
        <v>25.283993797540294</v>
      </c>
      <c r="J59" s="8">
        <f t="shared" si="21"/>
        <v>1.6220846248915457</v>
      </c>
      <c r="K59" s="202">
        <f t="shared" ref="K59:K64" si="22">J59/$E$57</f>
        <v>90.115812493974744</v>
      </c>
      <c r="L59">
        <f>K59*0.0153</f>
        <v>1.3787719311578135</v>
      </c>
      <c r="M59">
        <f>K59*0.0131</f>
        <v>1.1805171436710693</v>
      </c>
      <c r="N59">
        <f>L59-M59</f>
        <v>0.19825478748674419</v>
      </c>
      <c r="O59">
        <f>1.17/0.47</f>
        <v>2.4893617021276597</v>
      </c>
    </row>
    <row r="60" spans="4:15">
      <c r="D60" t="s">
        <v>15</v>
      </c>
      <c r="E60" s="193"/>
      <c r="F60" s="6">
        <v>3</v>
      </c>
      <c r="G60" s="7">
        <v>100</v>
      </c>
      <c r="H60" s="199">
        <v>23.236108466154832</v>
      </c>
      <c r="I60" s="198">
        <v>23.758301064866856</v>
      </c>
      <c r="J60" s="8">
        <f t="shared" si="21"/>
        <v>0.52219259871202439</v>
      </c>
      <c r="K60" s="202">
        <f t="shared" si="22"/>
        <v>29.010699928445796</v>
      </c>
    </row>
    <row r="61" spans="4:15" s="193" customFormat="1">
      <c r="F61" s="42">
        <v>10</v>
      </c>
      <c r="G61" s="12">
        <v>100</v>
      </c>
      <c r="H61" s="204">
        <v>23.126026131273871</v>
      </c>
      <c r="I61" s="203">
        <v>24.399051034393977</v>
      </c>
      <c r="J61" s="8">
        <f t="shared" ref="J61" si="23">I61-H61</f>
        <v>1.2730249031201062</v>
      </c>
      <c r="K61" s="202">
        <f t="shared" si="22"/>
        <v>70.723605728894782</v>
      </c>
    </row>
    <row r="62" spans="4:15" s="193" customFormat="1">
      <c r="F62" s="6">
        <v>20</v>
      </c>
      <c r="G62" s="7">
        <v>30</v>
      </c>
      <c r="H62" s="201">
        <v>23.233128233738434</v>
      </c>
      <c r="I62" s="200">
        <v>23.717136604615238</v>
      </c>
      <c r="J62" s="8">
        <f t="shared" ref="J62" si="24">I62-H62</f>
        <v>0.48400837087680415</v>
      </c>
      <c r="K62" s="202">
        <f t="shared" si="22"/>
        <v>26.889353937600227</v>
      </c>
    </row>
    <row r="63" spans="4:15">
      <c r="E63" s="193"/>
      <c r="F63" s="6">
        <v>10</v>
      </c>
      <c r="G63" s="7">
        <v>70</v>
      </c>
      <c r="H63" s="33">
        <v>23.14921606476404</v>
      </c>
      <c r="I63" s="33">
        <v>23.919326747615738</v>
      </c>
      <c r="J63" s="8">
        <f t="shared" ref="J63" si="25">I63-H63</f>
        <v>0.7701106828516977</v>
      </c>
      <c r="K63" s="202">
        <f t="shared" si="22"/>
        <v>42.783926825094312</v>
      </c>
    </row>
    <row r="64" spans="4:15">
      <c r="E64" s="193"/>
      <c r="F64" s="42">
        <v>10</v>
      </c>
      <c r="G64" s="10">
        <v>50</v>
      </c>
      <c r="H64" s="17">
        <v>23.247284337716351</v>
      </c>
      <c r="I64" s="17">
        <v>23.764075265173634</v>
      </c>
      <c r="J64" s="11">
        <f>I64-H64</f>
        <v>0.51679092745728283</v>
      </c>
      <c r="K64" s="202">
        <f t="shared" si="22"/>
        <v>28.710607080960155</v>
      </c>
    </row>
    <row r="65" spans="5:11">
      <c r="E65" s="193"/>
      <c r="F65" s="202"/>
      <c r="G65" s="202"/>
      <c r="H65" s="207"/>
      <c r="I65" s="206"/>
      <c r="J65" s="11"/>
      <c r="K65" s="207"/>
    </row>
    <row r="66" spans="5:11" s="193" customFormat="1">
      <c r="F66" s="202"/>
      <c r="G66" s="202"/>
      <c r="H66" s="202"/>
      <c r="I66" s="202"/>
      <c r="J66" s="202"/>
      <c r="K66" s="197"/>
    </row>
    <row r="67" spans="5:11" s="193" customFormat="1">
      <c r="F67" s="202"/>
      <c r="G67" s="202"/>
      <c r="H67" s="202"/>
      <c r="I67" s="202"/>
      <c r="J67" s="202"/>
      <c r="K67" s="197"/>
    </row>
    <row r="68" spans="5:11">
      <c r="E68" s="193"/>
      <c r="F68" s="202"/>
      <c r="G68" s="202"/>
      <c r="H68" s="202"/>
      <c r="I68" s="202"/>
      <c r="J68" s="202"/>
      <c r="K68" s="197"/>
    </row>
    <row r="69" spans="5:11">
      <c r="E69" s="193"/>
      <c r="F69" s="202"/>
      <c r="G69" s="202"/>
      <c r="H69" s="202"/>
      <c r="I69" s="202"/>
      <c r="J69" s="202"/>
      <c r="K69" s="197"/>
    </row>
    <row r="70" spans="5:11">
      <c r="E70" s="193"/>
      <c r="F70" s="202"/>
      <c r="G70" s="202"/>
      <c r="H70" s="202"/>
      <c r="I70" s="202"/>
      <c r="J70" s="202"/>
      <c r="K70" s="197"/>
    </row>
    <row r="71" spans="5:11">
      <c r="F71" s="202"/>
      <c r="G71" s="202"/>
      <c r="H71" s="202"/>
      <c r="I71" s="202"/>
      <c r="J71" s="202"/>
    </row>
    <row r="72" spans="5:11">
      <c r="F72" s="202"/>
      <c r="G72" s="202"/>
      <c r="H72" s="202"/>
      <c r="I72" s="202"/>
      <c r="J72" s="202"/>
    </row>
  </sheetData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20"/>
  <sheetViews>
    <sheetView workbookViewId="0">
      <selection activeCell="M16" sqref="M16"/>
    </sheetView>
  </sheetViews>
  <sheetFormatPr defaultRowHeight="15"/>
  <cols>
    <col min="6" max="6" width="13.5703125" customWidth="1"/>
    <col min="7" max="7" width="11.140625" customWidth="1"/>
  </cols>
  <sheetData>
    <row r="2" spans="3:11">
      <c r="D2" t="s">
        <v>9</v>
      </c>
      <c r="E2" t="s">
        <v>10</v>
      </c>
    </row>
    <row r="3" spans="3:11">
      <c r="C3" t="s">
        <v>11</v>
      </c>
    </row>
    <row r="4" spans="3:11" ht="18.75">
      <c r="D4" s="4">
        <v>42290</v>
      </c>
      <c r="E4" s="41">
        <f>0.0633-0.0456</f>
        <v>1.7699999999999994E-2</v>
      </c>
      <c r="F4" s="1" t="s">
        <v>0</v>
      </c>
      <c r="G4" s="2" t="s">
        <v>1</v>
      </c>
      <c r="H4" s="2" t="s">
        <v>2</v>
      </c>
      <c r="I4" s="2" t="s">
        <v>3</v>
      </c>
      <c r="J4" s="3" t="s">
        <v>4</v>
      </c>
    </row>
    <row r="5" spans="3:11">
      <c r="F5" s="6">
        <v>20</v>
      </c>
      <c r="G5" s="7">
        <v>130</v>
      </c>
      <c r="H5" s="45">
        <v>24.7647814312447</v>
      </c>
      <c r="I5" s="44">
        <v>26.460533676179271</v>
      </c>
      <c r="J5" s="8">
        <f t="shared" ref="J5" si="0">I5-H5</f>
        <v>1.695752244934571</v>
      </c>
      <c r="K5" s="80">
        <f>J5/$E$4</f>
        <v>95.805211578224387</v>
      </c>
    </row>
    <row r="6" spans="3:11">
      <c r="F6" s="9">
        <v>20</v>
      </c>
      <c r="G6" s="10">
        <v>100</v>
      </c>
      <c r="H6" s="17">
        <v>24.767668531398101</v>
      </c>
      <c r="I6" s="17">
        <v>25.966653285423114</v>
      </c>
      <c r="J6" s="11">
        <f>I6-H6</f>
        <v>1.1989847540250125</v>
      </c>
      <c r="K6" s="80">
        <f>J6/$E$4</f>
        <v>67.739251639831238</v>
      </c>
    </row>
    <row r="7" spans="3:11">
      <c r="F7" s="75"/>
      <c r="G7" s="75"/>
      <c r="H7" s="75"/>
      <c r="I7" s="75"/>
      <c r="J7" s="75"/>
    </row>
    <row r="8" spans="3:11" ht="18.75">
      <c r="F8" s="1" t="s">
        <v>0</v>
      </c>
      <c r="G8" s="2" t="s">
        <v>1</v>
      </c>
      <c r="H8" s="2" t="s">
        <v>2</v>
      </c>
      <c r="I8" s="2" t="s">
        <v>3</v>
      </c>
      <c r="J8" s="3" t="s">
        <v>4</v>
      </c>
    </row>
    <row r="9" spans="3:11">
      <c r="E9">
        <f>0.0264-0.0069</f>
        <v>1.95E-2</v>
      </c>
      <c r="F9" s="6">
        <v>20</v>
      </c>
      <c r="G9" s="7">
        <v>130</v>
      </c>
      <c r="H9" s="81">
        <v>25.090651219525995</v>
      </c>
      <c r="I9" s="79">
        <v>26.642793514895047</v>
      </c>
      <c r="J9" s="8">
        <f>I9-H9</f>
        <v>1.5521422953690518</v>
      </c>
      <c r="K9">
        <f>J9/$E$9</f>
        <v>79.597040788156505</v>
      </c>
    </row>
    <row r="10" spans="3:11">
      <c r="F10" s="9">
        <v>20</v>
      </c>
      <c r="G10" s="10">
        <v>100</v>
      </c>
      <c r="H10" s="17">
        <v>25.103969133136811</v>
      </c>
      <c r="I10" s="17">
        <v>26.294758248016731</v>
      </c>
      <c r="J10" s="11">
        <f>I10-H10</f>
        <v>1.1907891148799195</v>
      </c>
      <c r="K10" s="78">
        <f>J10/$E$9</f>
        <v>61.066108455380487</v>
      </c>
    </row>
    <row r="11" spans="3:11">
      <c r="F11" s="75"/>
      <c r="G11" s="75"/>
      <c r="H11" s="75"/>
      <c r="I11" s="75"/>
      <c r="J11" s="75"/>
    </row>
    <row r="12" spans="3:11" ht="18.75">
      <c r="D12" s="4">
        <v>42291</v>
      </c>
      <c r="E12" s="86"/>
      <c r="F12" s="1" t="s">
        <v>0</v>
      </c>
      <c r="G12" s="2" t="s">
        <v>1</v>
      </c>
      <c r="H12" s="2" t="s">
        <v>2</v>
      </c>
      <c r="I12" s="2" t="s">
        <v>3</v>
      </c>
      <c r="J12" s="3" t="s">
        <v>4</v>
      </c>
      <c r="K12" s="86"/>
    </row>
    <row r="13" spans="3:11">
      <c r="E13" s="86">
        <f>0.0233-0.005</f>
        <v>1.83E-2</v>
      </c>
      <c r="F13" s="6">
        <v>20</v>
      </c>
      <c r="G13" s="12">
        <v>130</v>
      </c>
      <c r="H13" s="33">
        <v>24.425873126141628</v>
      </c>
      <c r="I13" s="33">
        <v>25.97401073420113</v>
      </c>
      <c r="J13" s="8">
        <f>I13-H13</f>
        <v>1.548137608059502</v>
      </c>
      <c r="K13" s="101">
        <f>J13/$E$13</f>
        <v>84.597683500519224</v>
      </c>
    </row>
    <row r="14" spans="3:11">
      <c r="E14" s="86"/>
      <c r="F14" s="6">
        <v>20</v>
      </c>
      <c r="G14" s="7">
        <v>100</v>
      </c>
      <c r="H14" s="33">
        <v>24.423358555040267</v>
      </c>
      <c r="I14" s="33">
        <v>25.633984841941889</v>
      </c>
      <c r="J14" s="8">
        <f>I14-H14</f>
        <v>1.210626286901622</v>
      </c>
      <c r="K14" s="87">
        <f>J14/$E$13</f>
        <v>66.154441907192464</v>
      </c>
    </row>
    <row r="15" spans="3:11">
      <c r="F15" s="42">
        <v>20</v>
      </c>
      <c r="G15" s="10">
        <v>70</v>
      </c>
      <c r="H15" s="17">
        <v>24.760311082620085</v>
      </c>
      <c r="I15" s="17">
        <v>25.452563193593214</v>
      </c>
      <c r="J15" s="11">
        <f>I15-H15</f>
        <v>0.69225211097312922</v>
      </c>
      <c r="K15" s="87">
        <f t="shared" ref="K15" si="1">J15/$E$13</f>
        <v>37.827984206181924</v>
      </c>
    </row>
    <row r="16" spans="3:11">
      <c r="F16" s="75"/>
      <c r="G16" s="75"/>
      <c r="H16" s="75"/>
      <c r="I16" s="75"/>
      <c r="J16" s="75"/>
    </row>
    <row r="17" spans="4:11" ht="18.75">
      <c r="D17" s="4">
        <v>42294</v>
      </c>
      <c r="E17" s="97"/>
      <c r="F17" s="1" t="s">
        <v>0</v>
      </c>
      <c r="G17" s="2" t="s">
        <v>1</v>
      </c>
      <c r="H17" s="2" t="s">
        <v>2</v>
      </c>
      <c r="I17" s="2" t="s">
        <v>3</v>
      </c>
      <c r="J17" s="3" t="s">
        <v>4</v>
      </c>
      <c r="K17" s="97"/>
    </row>
    <row r="18" spans="4:11">
      <c r="D18" s="97"/>
      <c r="E18" s="97">
        <f>0.0182-0.0007</f>
        <v>1.7500000000000002E-2</v>
      </c>
      <c r="F18" s="6">
        <v>20</v>
      </c>
      <c r="G18" s="7">
        <v>130</v>
      </c>
      <c r="H18" s="105">
        <v>21.009595454311103</v>
      </c>
      <c r="I18" s="104">
        <v>21.835026701392341</v>
      </c>
      <c r="J18" s="8">
        <f>I18-H18</f>
        <v>0.82543124708123727</v>
      </c>
      <c r="K18" s="97">
        <f>J18/$E$13</f>
        <v>45.105532627390012</v>
      </c>
    </row>
    <row r="19" spans="4:11">
      <c r="D19" s="97"/>
      <c r="E19" s="97"/>
      <c r="F19" s="6">
        <v>20</v>
      </c>
      <c r="G19" s="7">
        <v>100</v>
      </c>
      <c r="H19" s="103">
        <v>20.67217726541622</v>
      </c>
      <c r="I19" s="102">
        <v>21.356792530822318</v>
      </c>
      <c r="J19" s="8">
        <f>I19-H19</f>
        <v>0.68461526540609796</v>
      </c>
      <c r="K19" s="97">
        <f>J19/$E$13</f>
        <v>37.410670240770379</v>
      </c>
    </row>
    <row r="20" spans="4:11">
      <c r="D20" s="97"/>
      <c r="E20" s="97"/>
      <c r="F20" s="42">
        <v>20</v>
      </c>
      <c r="G20" s="13">
        <v>70</v>
      </c>
      <c r="H20" s="17">
        <v>21.34449907210465</v>
      </c>
      <c r="I20" s="17">
        <v>21.694210719717201</v>
      </c>
      <c r="J20" s="11">
        <f>I20-H20</f>
        <v>0.34971164761255125</v>
      </c>
      <c r="K20" s="97">
        <f t="shared" ref="K20" si="2">J20/$E$13</f>
        <v>19.109926099046515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T49"/>
  <sheetViews>
    <sheetView topLeftCell="C22" workbookViewId="0">
      <selection activeCell="F16" sqref="F16"/>
    </sheetView>
  </sheetViews>
  <sheetFormatPr defaultRowHeight="15"/>
  <cols>
    <col min="5" max="5" width="15.42578125" customWidth="1"/>
    <col min="6" max="6" width="10.7109375" customWidth="1"/>
    <col min="7" max="7" width="11.28515625" customWidth="1"/>
    <col min="8" max="8" width="11.7109375" customWidth="1"/>
    <col min="9" max="9" width="9.85546875" customWidth="1"/>
    <col min="15" max="15" width="10.140625" customWidth="1"/>
    <col min="16" max="16" width="11.42578125" customWidth="1"/>
  </cols>
  <sheetData>
    <row r="2" spans="5:20">
      <c r="F2" t="s">
        <v>16</v>
      </c>
      <c r="H2" t="s">
        <v>29</v>
      </c>
      <c r="I2" t="s">
        <v>34</v>
      </c>
      <c r="N2" t="s">
        <v>22</v>
      </c>
    </row>
    <row r="3" spans="5:20" ht="18.75">
      <c r="E3" s="4">
        <v>42296</v>
      </c>
      <c r="F3" s="105"/>
      <c r="G3" s="1" t="s">
        <v>0</v>
      </c>
      <c r="H3" s="2" t="s">
        <v>1</v>
      </c>
      <c r="I3" s="2" t="s">
        <v>2</v>
      </c>
      <c r="J3" s="2" t="s">
        <v>3</v>
      </c>
      <c r="K3" s="3" t="s">
        <v>4</v>
      </c>
      <c r="L3" s="105"/>
      <c r="N3" s="205">
        <f>0.03*0.02</f>
        <v>5.9999999999999995E-4</v>
      </c>
      <c r="O3" s="1" t="s">
        <v>0</v>
      </c>
      <c r="P3" s="2" t="s">
        <v>1</v>
      </c>
      <c r="Q3" s="2" t="s">
        <v>2</v>
      </c>
      <c r="R3" s="2" t="s">
        <v>3</v>
      </c>
      <c r="S3" s="3" t="s">
        <v>4</v>
      </c>
      <c r="T3" s="207"/>
    </row>
    <row r="4" spans="5:20">
      <c r="E4" s="105"/>
      <c r="F4" s="105">
        <f>0.0267-0.0053</f>
        <v>2.1400000000000002E-2</v>
      </c>
      <c r="G4" s="6">
        <v>10</v>
      </c>
      <c r="H4" s="7">
        <v>100</v>
      </c>
      <c r="I4" s="108">
        <v>21.678471367268045</v>
      </c>
      <c r="J4" s="107">
        <v>29.695575964187142</v>
      </c>
      <c r="K4" s="8">
        <f t="shared" ref="K4:K13" si="0">J4-I4</f>
        <v>8.017104596919097</v>
      </c>
      <c r="L4" s="105">
        <f>K4/$F$4</f>
        <v>374.63105593079888</v>
      </c>
      <c r="M4" s="207"/>
      <c r="N4" s="207">
        <f>0.0198</f>
        <v>1.9800000000000002E-2</v>
      </c>
      <c r="O4" s="6">
        <v>20</v>
      </c>
      <c r="P4" s="7">
        <v>100</v>
      </c>
      <c r="Q4" s="207">
        <v>23.563654635170391</v>
      </c>
      <c r="R4" s="207">
        <v>25.44026973487555</v>
      </c>
      <c r="S4" s="8">
        <f t="shared" ref="S4" si="1">R4-Q4</f>
        <v>1.8766150997051589</v>
      </c>
      <c r="T4" s="207">
        <f>(S4)/$N$4</f>
        <v>94.778540389149427</v>
      </c>
    </row>
    <row r="5" spans="5:20">
      <c r="E5" s="105"/>
      <c r="F5" s="105">
        <f>(F4/1)*20</f>
        <v>0.42800000000000005</v>
      </c>
      <c r="G5" s="6">
        <v>20</v>
      </c>
      <c r="H5" s="7">
        <v>100</v>
      </c>
      <c r="I5" s="106">
        <v>21.341984501003289</v>
      </c>
      <c r="J5" s="106">
        <v>31.2345866104714</v>
      </c>
      <c r="K5" s="8">
        <f t="shared" si="0"/>
        <v>9.8926021094681111</v>
      </c>
      <c r="L5" s="106">
        <f>(K5-1.62)/$F$4</f>
        <v>386.57019203122007</v>
      </c>
      <c r="O5">
        <v>20</v>
      </c>
      <c r="P5">
        <v>130</v>
      </c>
      <c r="Q5" s="209">
        <v>23.575854961625033</v>
      </c>
      <c r="R5" s="209">
        <v>25.439990338086506</v>
      </c>
      <c r="S5" s="8">
        <f t="shared" ref="S5:S6" si="2">R5-Q5</f>
        <v>1.8641353764614728</v>
      </c>
      <c r="T5" s="240">
        <f>(S5)/$N$4</f>
        <v>94.148251336438008</v>
      </c>
    </row>
    <row r="6" spans="5:20" s="116" customFormat="1">
      <c r="F6" s="116">
        <f>F5/F4</f>
        <v>20</v>
      </c>
      <c r="G6" s="6">
        <v>3</v>
      </c>
      <c r="H6" s="7">
        <v>100</v>
      </c>
      <c r="I6" s="118">
        <v>21.34524413020873</v>
      </c>
      <c r="J6" s="117">
        <v>24.419074470941698</v>
      </c>
      <c r="K6" s="8">
        <f t="shared" si="0"/>
        <v>3.0738303407329681</v>
      </c>
      <c r="L6" s="118">
        <f t="shared" ref="L6:L13" si="3">K6/$F$4</f>
        <v>143.63693180995176</v>
      </c>
      <c r="Q6" s="209"/>
      <c r="R6" s="208"/>
      <c r="S6" s="8">
        <f t="shared" si="2"/>
        <v>0</v>
      </c>
    </row>
    <row r="7" spans="5:20">
      <c r="E7" s="105"/>
      <c r="F7" s="105"/>
      <c r="G7" s="18">
        <v>10</v>
      </c>
      <c r="H7" s="12">
        <v>70</v>
      </c>
      <c r="I7" s="33">
        <v>22.208673340599141</v>
      </c>
      <c r="J7" s="33">
        <v>27.813000399649159</v>
      </c>
      <c r="K7" s="8">
        <f t="shared" si="0"/>
        <v>5.6043270590500178</v>
      </c>
      <c r="L7" s="106">
        <f t="shared" si="3"/>
        <v>261.88444201168306</v>
      </c>
      <c r="N7" t="s">
        <v>22</v>
      </c>
    </row>
    <row r="8" spans="5:20" s="109" customFormat="1" ht="18.75">
      <c r="G8" s="18">
        <v>5</v>
      </c>
      <c r="H8" s="12">
        <v>70</v>
      </c>
      <c r="I8" s="111">
        <v>21.33891113632389</v>
      </c>
      <c r="J8" s="110">
        <v>24.766457811978931</v>
      </c>
      <c r="K8" s="8">
        <f t="shared" si="0"/>
        <v>3.4275466756550408</v>
      </c>
      <c r="L8" s="111">
        <f t="shared" si="3"/>
        <v>160.16573250724488</v>
      </c>
      <c r="N8" s="205">
        <f>0.03*0.06</f>
        <v>1.8E-3</v>
      </c>
      <c r="O8" s="1" t="s">
        <v>0</v>
      </c>
      <c r="P8" s="2" t="s">
        <v>1</v>
      </c>
      <c r="Q8" s="2" t="s">
        <v>2</v>
      </c>
      <c r="R8" s="2" t="s">
        <v>3</v>
      </c>
      <c r="S8" s="3" t="s">
        <v>4</v>
      </c>
    </row>
    <row r="9" spans="5:20">
      <c r="G9" s="18">
        <v>10</v>
      </c>
      <c r="H9" s="12">
        <v>50</v>
      </c>
      <c r="I9" s="33">
        <v>21.682103525525555</v>
      </c>
      <c r="J9" s="33">
        <v>25.541877033822349</v>
      </c>
      <c r="K9" s="8">
        <f t="shared" si="0"/>
        <v>3.8597735082967937</v>
      </c>
      <c r="L9" s="109">
        <f t="shared" si="3"/>
        <v>180.36324805125201</v>
      </c>
      <c r="O9" s="6">
        <v>20</v>
      </c>
      <c r="P9" s="7">
        <v>100</v>
      </c>
      <c r="Q9" s="209">
        <v>23.563654635170391</v>
      </c>
      <c r="R9" s="209">
        <v>25.44026973487555</v>
      </c>
      <c r="S9" s="8">
        <f t="shared" ref="S9:S10" si="4">R9-Q9</f>
        <v>1.8766150997051589</v>
      </c>
    </row>
    <row r="10" spans="5:20" s="114" customFormat="1">
      <c r="G10" s="18">
        <v>5</v>
      </c>
      <c r="H10" s="12">
        <v>50</v>
      </c>
      <c r="I10" s="116">
        <v>21.359400234186676</v>
      </c>
      <c r="J10" s="115">
        <v>23.696181845437387</v>
      </c>
      <c r="K10" s="8">
        <f t="shared" si="0"/>
        <v>2.3367816112507107</v>
      </c>
      <c r="L10" s="116">
        <f t="shared" si="3"/>
        <v>109.19540239489301</v>
      </c>
      <c r="O10" s="209">
        <v>20</v>
      </c>
      <c r="P10" s="209">
        <v>130</v>
      </c>
      <c r="Q10" s="209">
        <v>23.575854961625033</v>
      </c>
      <c r="R10" s="209">
        <v>25.439990338086506</v>
      </c>
      <c r="S10" s="8">
        <f t="shared" si="4"/>
        <v>1.8641353764614728</v>
      </c>
    </row>
    <row r="11" spans="5:20">
      <c r="G11" s="18">
        <v>10</v>
      </c>
      <c r="H11" s="12">
        <v>30</v>
      </c>
      <c r="I11" s="33">
        <v>21.341798236477267</v>
      </c>
      <c r="J11" s="112">
        <v>23.568870041899082</v>
      </c>
      <c r="K11" s="8">
        <f t="shared" si="0"/>
        <v>2.227071805421815</v>
      </c>
      <c r="L11" s="111">
        <f t="shared" si="3"/>
        <v>104.06877595429042</v>
      </c>
      <c r="N11" t="s">
        <v>22</v>
      </c>
    </row>
    <row r="12" spans="5:20" ht="15.75">
      <c r="G12" s="18">
        <v>20</v>
      </c>
      <c r="H12" s="12">
        <v>30</v>
      </c>
      <c r="I12" s="33">
        <v>21.684245567574823</v>
      </c>
      <c r="J12" s="33">
        <v>24.095346724709671</v>
      </c>
      <c r="K12" s="8">
        <f t="shared" si="0"/>
        <v>2.4111011571348477</v>
      </c>
      <c r="L12" s="113">
        <f t="shared" si="3"/>
        <v>112.66827837078726</v>
      </c>
      <c r="N12" s="205">
        <f>0.03*0.1</f>
        <v>3.0000000000000001E-3</v>
      </c>
    </row>
    <row r="13" spans="5:20">
      <c r="G13" s="42">
        <v>3</v>
      </c>
      <c r="H13" s="13">
        <v>30</v>
      </c>
      <c r="I13" s="17">
        <v>21.341425707425227</v>
      </c>
      <c r="J13" s="17">
        <v>21.855050137940065</v>
      </c>
      <c r="K13" s="11">
        <f t="shared" si="0"/>
        <v>0.51362443051483808</v>
      </c>
      <c r="L13" s="119">
        <f t="shared" si="3"/>
        <v>24.001141612842897</v>
      </c>
    </row>
    <row r="14" spans="5:20">
      <c r="I14" s="207"/>
      <c r="J14" s="207"/>
      <c r="K14" s="11"/>
      <c r="L14" s="207"/>
    </row>
    <row r="15" spans="5:20" ht="18.75">
      <c r="F15" s="119"/>
      <c r="G15" s="1" t="s">
        <v>0</v>
      </c>
      <c r="H15" s="2" t="s">
        <v>1</v>
      </c>
      <c r="I15" s="2" t="s">
        <v>2</v>
      </c>
      <c r="J15" s="2" t="s">
        <v>3</v>
      </c>
      <c r="K15" s="3" t="s">
        <v>4</v>
      </c>
      <c r="L15" s="119"/>
    </row>
    <row r="16" spans="5:20">
      <c r="F16" s="119">
        <f>0.0283-0.0055</f>
        <v>2.2800000000000001E-2</v>
      </c>
      <c r="G16" s="6">
        <v>10</v>
      </c>
      <c r="H16" s="7">
        <v>100</v>
      </c>
      <c r="I16" s="135">
        <v>21.556468102721457</v>
      </c>
      <c r="J16" s="134">
        <v>29.546750607892903</v>
      </c>
      <c r="K16" s="8">
        <f t="shared" ref="K16:K25" si="5">J16-I16</f>
        <v>7.9902825051714466</v>
      </c>
      <c r="L16" s="119">
        <f>K16/$F$16</f>
        <v>350.4509870689231</v>
      </c>
    </row>
    <row r="17" spans="6:12">
      <c r="F17" s="119"/>
      <c r="G17" s="6">
        <v>20</v>
      </c>
      <c r="H17" s="7">
        <v>100</v>
      </c>
      <c r="I17" s="137">
        <v>21.716469330577215</v>
      </c>
      <c r="J17" s="136">
        <v>31.584670787136016</v>
      </c>
      <c r="K17" s="8">
        <f t="shared" si="5"/>
        <v>9.8682014565588005</v>
      </c>
      <c r="L17" s="128">
        <f t="shared" ref="L17:L25" si="6">K17/$F$16</f>
        <v>432.81585335784212</v>
      </c>
    </row>
    <row r="18" spans="6:12">
      <c r="F18" s="119"/>
      <c r="G18" s="6">
        <v>3</v>
      </c>
      <c r="H18" s="7">
        <v>100</v>
      </c>
      <c r="I18" s="127">
        <v>21.686853270939185</v>
      </c>
      <c r="J18" s="128">
        <v>25.159010300577307</v>
      </c>
      <c r="K18" s="8">
        <f t="shared" si="5"/>
        <v>3.4721570296381223</v>
      </c>
      <c r="L18" s="128">
        <f t="shared" si="6"/>
        <v>152.28758901921589</v>
      </c>
    </row>
    <row r="19" spans="6:12">
      <c r="F19" s="119"/>
      <c r="G19" s="18">
        <v>10</v>
      </c>
      <c r="H19" s="12">
        <v>70</v>
      </c>
      <c r="I19" s="125">
        <v>21.698587936078791</v>
      </c>
      <c r="J19" s="124">
        <v>27.328246970668246</v>
      </c>
      <c r="K19" s="8">
        <f t="shared" si="5"/>
        <v>5.629659034589455</v>
      </c>
      <c r="L19" s="128">
        <f t="shared" si="6"/>
        <v>246.91486993813399</v>
      </c>
    </row>
    <row r="20" spans="6:12">
      <c r="F20" s="119"/>
      <c r="G20" s="18">
        <v>5</v>
      </c>
      <c r="H20" s="12">
        <v>70</v>
      </c>
      <c r="I20" s="126">
        <v>21.713582230423814</v>
      </c>
      <c r="J20" s="129">
        <v>25.405438268508796</v>
      </c>
      <c r="K20" s="8">
        <f t="shared" si="5"/>
        <v>3.6918560380849819</v>
      </c>
      <c r="L20" s="128">
        <f t="shared" si="6"/>
        <v>161.92351044232376</v>
      </c>
    </row>
    <row r="21" spans="6:12">
      <c r="F21" s="119"/>
      <c r="G21" s="18">
        <v>10</v>
      </c>
      <c r="H21" s="12">
        <v>50</v>
      </c>
      <c r="I21" s="133">
        <v>21.341798236477267</v>
      </c>
      <c r="J21" s="132">
        <v>25.441294189768673</v>
      </c>
      <c r="K21" s="8">
        <f t="shared" si="5"/>
        <v>4.0994959532914059</v>
      </c>
      <c r="L21" s="128">
        <f t="shared" si="6"/>
        <v>179.80245409172832</v>
      </c>
    </row>
    <row r="22" spans="6:12">
      <c r="F22" s="119"/>
      <c r="G22" s="18">
        <v>5</v>
      </c>
      <c r="H22" s="12">
        <v>50</v>
      </c>
      <c r="I22" s="131">
        <v>21.34245016231835</v>
      </c>
      <c r="J22" s="130">
        <v>23.7565315518696</v>
      </c>
      <c r="K22" s="8">
        <f t="shared" si="5"/>
        <v>2.4140813895512494</v>
      </c>
      <c r="L22" s="128">
        <f t="shared" si="6"/>
        <v>105.8807626996162</v>
      </c>
    </row>
    <row r="23" spans="6:12">
      <c r="F23" s="119"/>
      <c r="G23" s="18">
        <v>10</v>
      </c>
      <c r="H23" s="12">
        <v>30</v>
      </c>
      <c r="I23" s="121">
        <v>21.404848778536834</v>
      </c>
      <c r="J23" s="120">
        <v>23.684354048034784</v>
      </c>
      <c r="K23" s="8">
        <f t="shared" si="5"/>
        <v>2.2795052694979496</v>
      </c>
      <c r="L23" s="128">
        <f t="shared" si="6"/>
        <v>99.978301293769718</v>
      </c>
    </row>
    <row r="24" spans="6:12">
      <c r="F24" s="119"/>
      <c r="G24" s="18">
        <v>20</v>
      </c>
      <c r="H24" s="12">
        <v>30</v>
      </c>
      <c r="I24" s="123">
        <v>21.547434273209234</v>
      </c>
      <c r="J24" s="122">
        <v>24.089758788928911</v>
      </c>
      <c r="K24" s="8">
        <f t="shared" si="5"/>
        <v>2.5423245157196774</v>
      </c>
      <c r="L24" s="128">
        <f t="shared" si="6"/>
        <v>111.50546121577533</v>
      </c>
    </row>
    <row r="25" spans="6:12">
      <c r="F25" s="119"/>
      <c r="G25" s="42">
        <v>3</v>
      </c>
      <c r="H25" s="13">
        <v>30</v>
      </c>
      <c r="I25" s="17">
        <v>21.689367842040522</v>
      </c>
      <c r="J25" s="17">
        <v>22.213888747327861</v>
      </c>
      <c r="K25" s="11">
        <f t="shared" si="5"/>
        <v>0.52452090528733919</v>
      </c>
      <c r="L25" s="128">
        <f t="shared" si="6"/>
        <v>23.005302863479788</v>
      </c>
    </row>
    <row r="27" spans="6:12" ht="18.75">
      <c r="F27" s="135"/>
      <c r="G27" s="1" t="s">
        <v>0</v>
      </c>
      <c r="H27" s="2" t="s">
        <v>1</v>
      </c>
      <c r="I27" s="2" t="s">
        <v>2</v>
      </c>
      <c r="J27" s="2" t="s">
        <v>3</v>
      </c>
      <c r="K27" s="3" t="s">
        <v>4</v>
      </c>
      <c r="L27" s="135"/>
    </row>
    <row r="28" spans="6:12">
      <c r="F28" s="135">
        <f>0.0244-0.0025</f>
        <v>2.1900000000000003E-2</v>
      </c>
      <c r="G28" s="6">
        <v>10</v>
      </c>
      <c r="H28" s="7">
        <v>100</v>
      </c>
      <c r="I28" s="153">
        <v>21.711347056111521</v>
      </c>
      <c r="J28" s="152">
        <v>28.501527220101782</v>
      </c>
      <c r="K28" s="8">
        <f t="shared" ref="K28:K37" si="7">J28-I28</f>
        <v>6.7901801639902608</v>
      </c>
      <c r="L28" s="135">
        <f>K28/$F$28</f>
        <v>310.05388876667854</v>
      </c>
    </row>
    <row r="29" spans="6:12">
      <c r="F29" s="135"/>
      <c r="G29" s="6">
        <v>20</v>
      </c>
      <c r="H29" s="7">
        <v>100</v>
      </c>
      <c r="I29" s="155">
        <v>21.855329534729108</v>
      </c>
      <c r="J29" s="154">
        <v>29.609149224111388</v>
      </c>
      <c r="K29" s="8">
        <f t="shared" si="7"/>
        <v>7.7538196893822793</v>
      </c>
      <c r="L29" s="141">
        <f t="shared" ref="L29:L37" si="8">K29/$F$28</f>
        <v>354.05569357909945</v>
      </c>
    </row>
    <row r="30" spans="6:12">
      <c r="F30" s="135"/>
      <c r="G30" s="6">
        <v>3</v>
      </c>
      <c r="H30" s="7">
        <v>100</v>
      </c>
      <c r="I30" s="151">
        <v>21.815934587474747</v>
      </c>
      <c r="J30" s="150">
        <v>25.189557682845464</v>
      </c>
      <c r="K30" s="8">
        <f t="shared" si="7"/>
        <v>3.3736230953707178</v>
      </c>
      <c r="L30" s="141">
        <f t="shared" si="8"/>
        <v>154.04671668359441</v>
      </c>
    </row>
    <row r="31" spans="6:12">
      <c r="F31" s="135"/>
      <c r="G31" s="18">
        <v>10</v>
      </c>
      <c r="H31" s="12">
        <v>70</v>
      </c>
      <c r="I31" s="147">
        <v>21.67325596053935</v>
      </c>
      <c r="J31" s="146">
        <v>26.274921075995028</v>
      </c>
      <c r="K31" s="8">
        <f t="shared" si="7"/>
        <v>4.6016651154556776</v>
      </c>
      <c r="L31" s="141">
        <f t="shared" si="8"/>
        <v>210.12169476966562</v>
      </c>
    </row>
    <row r="32" spans="6:12">
      <c r="F32" s="135"/>
      <c r="G32" s="18">
        <v>5</v>
      </c>
      <c r="H32" s="12">
        <v>70</v>
      </c>
      <c r="I32" s="149">
        <v>21.856912783200318</v>
      </c>
      <c r="J32" s="148">
        <v>24.973397700393065</v>
      </c>
      <c r="K32" s="8">
        <f t="shared" si="7"/>
        <v>3.1164849171927465</v>
      </c>
      <c r="L32" s="141">
        <f t="shared" si="8"/>
        <v>142.30524736039936</v>
      </c>
    </row>
    <row r="33" spans="5:12">
      <c r="F33" s="135"/>
      <c r="G33" s="18">
        <v>10</v>
      </c>
      <c r="H33" s="12">
        <v>50</v>
      </c>
      <c r="I33" s="145">
        <v>21.684711228889888</v>
      </c>
      <c r="J33" s="144">
        <v>24.75956602451598</v>
      </c>
      <c r="K33" s="8">
        <f t="shared" si="7"/>
        <v>3.0748547956260914</v>
      </c>
      <c r="L33" s="141">
        <f t="shared" si="8"/>
        <v>140.40432856740142</v>
      </c>
    </row>
    <row r="34" spans="5:12">
      <c r="F34" s="135"/>
      <c r="G34" s="18">
        <v>5</v>
      </c>
      <c r="H34" s="12">
        <v>50</v>
      </c>
      <c r="I34" s="143">
        <v>21.68638760962412</v>
      </c>
      <c r="J34" s="142">
        <v>23.748429044987503</v>
      </c>
      <c r="K34" s="8">
        <f t="shared" si="7"/>
        <v>2.0620414353633834</v>
      </c>
      <c r="L34" s="141">
        <f t="shared" si="8"/>
        <v>94.157143167277766</v>
      </c>
    </row>
    <row r="35" spans="5:12">
      <c r="F35" s="135"/>
      <c r="G35" s="18">
        <v>10</v>
      </c>
      <c r="H35" s="12">
        <v>30</v>
      </c>
      <c r="I35" s="141">
        <v>21.780823724318978</v>
      </c>
      <c r="J35" s="140">
        <v>23.583398674929068</v>
      </c>
      <c r="K35" s="8">
        <f t="shared" si="7"/>
        <v>1.8025749506100901</v>
      </c>
      <c r="L35" s="141">
        <f t="shared" si="8"/>
        <v>82.309358475346571</v>
      </c>
    </row>
    <row r="36" spans="5:12">
      <c r="F36" s="135"/>
      <c r="G36" s="18">
        <v>20</v>
      </c>
      <c r="H36" s="12">
        <v>30</v>
      </c>
      <c r="I36" s="139">
        <v>21.687877725832333</v>
      </c>
      <c r="J36" s="138">
        <v>23.753271922664155</v>
      </c>
      <c r="K36" s="8">
        <f t="shared" si="7"/>
        <v>2.0653941968318215</v>
      </c>
      <c r="L36" s="141">
        <f t="shared" si="8"/>
        <v>94.310237298256681</v>
      </c>
    </row>
    <row r="37" spans="5:12">
      <c r="F37" s="135"/>
      <c r="G37" s="42">
        <v>3</v>
      </c>
      <c r="H37" s="13">
        <v>30</v>
      </c>
      <c r="I37" s="17">
        <v>21.681079070632403</v>
      </c>
      <c r="J37" s="17">
        <v>22.539851667872181</v>
      </c>
      <c r="K37" s="11">
        <f t="shared" si="7"/>
        <v>0.85877259723977772</v>
      </c>
      <c r="L37" s="141">
        <f t="shared" si="8"/>
        <v>39.213360604556058</v>
      </c>
    </row>
    <row r="39" spans="5:12" ht="18.75">
      <c r="F39" s="173"/>
      <c r="G39" s="1" t="s">
        <v>0</v>
      </c>
      <c r="H39" s="2" t="s">
        <v>1</v>
      </c>
      <c r="I39" s="2" t="s">
        <v>2</v>
      </c>
      <c r="J39" s="2" t="s">
        <v>3</v>
      </c>
      <c r="K39" s="3" t="s">
        <v>4</v>
      </c>
      <c r="L39" s="173"/>
    </row>
    <row r="40" spans="5:12">
      <c r="E40" s="4">
        <v>42297</v>
      </c>
      <c r="F40" s="173">
        <f>0.0226-0.0034</f>
        <v>1.9199999999999998E-2</v>
      </c>
      <c r="G40" s="96">
        <v>20</v>
      </c>
      <c r="H40" s="12">
        <v>100</v>
      </c>
      <c r="I40" s="192">
        <v>25.106111175186108</v>
      </c>
      <c r="J40" s="191">
        <v>33.125730343206541</v>
      </c>
      <c r="K40" s="8">
        <f t="shared" ref="K40:K49" si="9">J40-I40</f>
        <v>8.0196191680204336</v>
      </c>
      <c r="L40" s="193">
        <f t="shared" ref="L40:L49" si="10">K40/$F$40</f>
        <v>417.68849833439759</v>
      </c>
    </row>
    <row r="41" spans="5:12">
      <c r="E41" t="s">
        <v>17</v>
      </c>
      <c r="F41" s="173">
        <f>F40*20</f>
        <v>0.38399999999999995</v>
      </c>
      <c r="G41" s="6">
        <v>10</v>
      </c>
      <c r="H41" s="7">
        <v>100</v>
      </c>
      <c r="I41" s="176">
        <v>24.438259717122293</v>
      </c>
      <c r="J41" s="174">
        <v>31.3530508490235</v>
      </c>
      <c r="K41" s="8">
        <f t="shared" si="9"/>
        <v>6.9147911319012074</v>
      </c>
      <c r="L41" s="173">
        <f>K41/$F$40</f>
        <v>360.14537145318792</v>
      </c>
    </row>
    <row r="42" spans="5:12">
      <c r="F42" s="173"/>
      <c r="G42" s="6">
        <v>5</v>
      </c>
      <c r="H42" s="7">
        <v>100</v>
      </c>
      <c r="I42" s="178">
        <v>24.761335537513236</v>
      </c>
      <c r="J42" s="177">
        <v>29.533712091071131</v>
      </c>
      <c r="K42" s="8">
        <f t="shared" si="9"/>
        <v>4.7723765535578941</v>
      </c>
      <c r="L42" s="175">
        <f t="shared" si="10"/>
        <v>248.56127883114033</v>
      </c>
    </row>
    <row r="43" spans="5:12">
      <c r="F43" s="173"/>
      <c r="G43" s="18">
        <v>10</v>
      </c>
      <c r="H43" s="12">
        <v>70</v>
      </c>
      <c r="I43" s="182">
        <v>24.772604541337753</v>
      </c>
      <c r="J43" s="181">
        <v>29.380136989363258</v>
      </c>
      <c r="K43" s="8">
        <f t="shared" si="9"/>
        <v>4.6075324480255055</v>
      </c>
      <c r="L43" s="175">
        <f t="shared" si="10"/>
        <v>239.97564833466177</v>
      </c>
    </row>
    <row r="44" spans="5:12">
      <c r="F44" s="173"/>
      <c r="G44" s="18">
        <v>5</v>
      </c>
      <c r="H44" s="12">
        <v>70</v>
      </c>
      <c r="I44" s="179">
        <v>24.778192477118512</v>
      </c>
      <c r="J44" s="180">
        <v>27.928856934836926</v>
      </c>
      <c r="K44" s="8">
        <f t="shared" si="9"/>
        <v>3.1506644577184133</v>
      </c>
      <c r="L44" s="175">
        <f t="shared" si="10"/>
        <v>164.09710717283403</v>
      </c>
    </row>
    <row r="45" spans="5:12">
      <c r="F45" s="173"/>
      <c r="G45" s="18">
        <v>10</v>
      </c>
      <c r="H45" s="12">
        <v>50</v>
      </c>
      <c r="I45" s="184">
        <v>25.448837903072707</v>
      </c>
      <c r="J45" s="183">
        <v>28.522016317964567</v>
      </c>
      <c r="K45" s="8">
        <f t="shared" si="9"/>
        <v>3.0731784148918599</v>
      </c>
      <c r="L45" s="175">
        <f t="shared" si="10"/>
        <v>160.06137577561773</v>
      </c>
    </row>
    <row r="46" spans="5:12">
      <c r="F46" s="173"/>
      <c r="G46" s="18">
        <v>5</v>
      </c>
      <c r="H46" s="12">
        <v>50</v>
      </c>
      <c r="I46" s="185">
        <v>25.450141754754874</v>
      </c>
      <c r="J46" s="186">
        <v>27.47474402038717</v>
      </c>
      <c r="K46" s="8">
        <f t="shared" si="9"/>
        <v>2.0246022656322964</v>
      </c>
      <c r="L46" s="175">
        <f t="shared" si="10"/>
        <v>105.44803466834878</v>
      </c>
    </row>
    <row r="47" spans="5:12">
      <c r="F47" s="173"/>
      <c r="G47" s="18">
        <v>10</v>
      </c>
      <c r="H47" s="12">
        <v>30</v>
      </c>
      <c r="I47" s="188">
        <v>24.860521397621721</v>
      </c>
      <c r="J47" s="187">
        <v>26.65387625419357</v>
      </c>
      <c r="K47" s="8">
        <f t="shared" si="9"/>
        <v>1.7933548565718489</v>
      </c>
      <c r="L47" s="175">
        <f t="shared" si="10"/>
        <v>93.403898779783802</v>
      </c>
    </row>
    <row r="48" spans="5:12">
      <c r="F48" s="173"/>
      <c r="G48" s="18">
        <v>20</v>
      </c>
      <c r="H48" s="12">
        <v>30</v>
      </c>
      <c r="I48" s="190">
        <v>25.085808341849344</v>
      </c>
      <c r="J48" s="189">
        <v>27.323310960728598</v>
      </c>
      <c r="K48" s="8">
        <f t="shared" si="9"/>
        <v>2.2375026188792546</v>
      </c>
      <c r="L48" s="175">
        <f t="shared" si="10"/>
        <v>116.53659473329452</v>
      </c>
    </row>
    <row r="49" spans="6:12">
      <c r="F49" s="173"/>
      <c r="G49" s="42">
        <v>5</v>
      </c>
      <c r="H49" s="13">
        <v>30</v>
      </c>
      <c r="I49" s="17">
        <v>25.112257904544954</v>
      </c>
      <c r="J49" s="17">
        <v>26.29876293532628</v>
      </c>
      <c r="K49" s="11">
        <f t="shared" si="9"/>
        <v>1.1865050307813263</v>
      </c>
      <c r="L49" s="175">
        <f t="shared" si="10"/>
        <v>61.797137019860749</v>
      </c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5"/>
  <sheetViews>
    <sheetView topLeftCell="A115" workbookViewId="0">
      <selection activeCell="J93" sqref="J93"/>
    </sheetView>
  </sheetViews>
  <sheetFormatPr defaultRowHeight="15"/>
  <cols>
    <col min="4" max="4" width="12" customWidth="1"/>
    <col min="5" max="5" width="11.7109375" customWidth="1"/>
    <col min="11" max="11" width="9.140625" style="454"/>
    <col min="12" max="12" width="13.42578125" customWidth="1"/>
    <col min="13" max="13" width="16.5703125" customWidth="1"/>
    <col min="14" max="14" width="13.140625" customWidth="1"/>
    <col min="15" max="15" width="13.140625" style="540" customWidth="1"/>
    <col min="16" max="16" width="10.5703125" customWidth="1"/>
    <col min="17" max="17" width="11" customWidth="1"/>
    <col min="19" max="19" width="9" style="540"/>
  </cols>
  <sheetData>
    <row r="3" spans="2:21" ht="18.75">
      <c r="C3" s="209"/>
      <c r="D3" s="1" t="s">
        <v>0</v>
      </c>
      <c r="E3" s="2" t="s">
        <v>1</v>
      </c>
      <c r="F3" s="2" t="s">
        <v>2</v>
      </c>
      <c r="G3" s="2" t="s">
        <v>3</v>
      </c>
      <c r="H3" s="3" t="s">
        <v>4</v>
      </c>
      <c r="I3" s="209"/>
    </row>
    <row r="4" spans="2:21">
      <c r="C4" s="209">
        <f>0.02</f>
        <v>0.02</v>
      </c>
      <c r="D4" s="6">
        <v>20</v>
      </c>
      <c r="E4" s="7">
        <v>130</v>
      </c>
      <c r="F4" s="212">
        <v>23.745914473886167</v>
      </c>
      <c r="G4" s="211">
        <v>24.426618184245708</v>
      </c>
      <c r="H4" s="8">
        <f t="shared" ref="H4:H5" si="0">G4-F4</f>
        <v>0.68070371035954125</v>
      </c>
      <c r="I4" s="209">
        <f>H4/$C$4</f>
        <v>34.035185517977062</v>
      </c>
    </row>
    <row r="5" spans="2:21">
      <c r="B5" t="s">
        <v>22</v>
      </c>
      <c r="C5" s="209">
        <f>0.3*0.03</f>
        <v>8.9999999999999993E-3</v>
      </c>
      <c r="D5" s="6">
        <v>20</v>
      </c>
      <c r="E5" s="7">
        <v>100</v>
      </c>
      <c r="F5" s="210">
        <v>23.642910190994151</v>
      </c>
      <c r="G5" s="213">
        <v>24.434068765286721</v>
      </c>
      <c r="H5" s="8">
        <f t="shared" si="0"/>
        <v>0.79115857429257019</v>
      </c>
      <c r="I5" s="209">
        <f>(H5)/$C$4</f>
        <v>39.55792871462851</v>
      </c>
    </row>
    <row r="6" spans="2:21">
      <c r="C6" s="209">
        <f>C5/C4</f>
        <v>0.44999999999999996</v>
      </c>
      <c r="D6" s="9">
        <v>20</v>
      </c>
      <c r="E6" s="10">
        <v>100</v>
      </c>
      <c r="F6" s="17">
        <v>24.101772850857536</v>
      </c>
      <c r="G6" s="17">
        <v>25.111140317388781</v>
      </c>
      <c r="H6" s="11">
        <f t="shared" ref="H6" si="1">G6-F6</f>
        <v>1.0093674665312449</v>
      </c>
      <c r="I6" s="214">
        <f>(H6)/$C$4</f>
        <v>50.468373326562244</v>
      </c>
    </row>
    <row r="7" spans="2:21">
      <c r="C7" s="209"/>
      <c r="D7" s="214"/>
      <c r="E7" s="214"/>
      <c r="F7" s="214"/>
      <c r="G7" s="214"/>
      <c r="H7" s="214"/>
      <c r="I7" s="209"/>
      <c r="Q7" t="s">
        <v>22</v>
      </c>
      <c r="R7" s="240" t="s">
        <v>22</v>
      </c>
    </row>
    <row r="8" spans="2:21">
      <c r="B8" s="4">
        <v>42305</v>
      </c>
      <c r="C8" s="209"/>
      <c r="D8" s="214" t="s">
        <v>24</v>
      </c>
      <c r="E8" s="214"/>
      <c r="F8" s="214"/>
      <c r="G8" s="214"/>
      <c r="H8" s="214"/>
      <c r="I8" s="209"/>
      <c r="P8">
        <f>0.08</f>
        <v>0.08</v>
      </c>
      <c r="Q8">
        <f>0.3*P8</f>
        <v>2.4E-2</v>
      </c>
      <c r="R8">
        <f>0.02/0.1*Q8</f>
        <v>4.7999999999999996E-3</v>
      </c>
      <c r="T8">
        <f>R8*1000</f>
        <v>4.8</v>
      </c>
      <c r="U8">
        <f>T8/0.02</f>
        <v>240</v>
      </c>
    </row>
    <row r="9" spans="2:21" ht="18.75">
      <c r="C9" s="214"/>
      <c r="D9" s="1" t="s">
        <v>0</v>
      </c>
      <c r="E9" s="2" t="s">
        <v>1</v>
      </c>
      <c r="F9" s="2" t="s">
        <v>2</v>
      </c>
      <c r="G9" s="2" t="s">
        <v>3</v>
      </c>
      <c r="H9" s="3" t="s">
        <v>4</v>
      </c>
      <c r="I9" s="214"/>
      <c r="P9">
        <v>0.1</v>
      </c>
      <c r="Q9" s="240">
        <f t="shared" ref="Q9:Q11" si="2">0.3*P9</f>
        <v>0.03</v>
      </c>
      <c r="R9" s="240">
        <f t="shared" ref="R9:R11" si="3">0.02/0.1*Q9</f>
        <v>5.9999999999999993E-3</v>
      </c>
      <c r="T9" s="240">
        <f t="shared" ref="T9:T11" si="4">R9*1000</f>
        <v>5.9999999999999991</v>
      </c>
      <c r="U9" s="240">
        <f t="shared" ref="U9:U11" si="5">T9/0.02</f>
        <v>299.99999999999994</v>
      </c>
    </row>
    <row r="10" spans="2:21">
      <c r="C10" s="214">
        <f>0.0219-0.0044</f>
        <v>1.7499999999999998E-2</v>
      </c>
      <c r="D10" s="6">
        <v>20</v>
      </c>
      <c r="E10" s="7">
        <v>130</v>
      </c>
      <c r="F10" s="217">
        <v>24.087151085564553</v>
      </c>
      <c r="G10" s="216">
        <v>26.29997365474545</v>
      </c>
      <c r="H10" s="8">
        <f t="shared" ref="H10:H13" si="6">G10-F10</f>
        <v>2.2128225691808971</v>
      </c>
      <c r="I10" s="214">
        <f>H10/$C$10</f>
        <v>126.44700395319414</v>
      </c>
      <c r="L10" t="s">
        <v>22</v>
      </c>
      <c r="P10">
        <v>0.2</v>
      </c>
      <c r="Q10" s="240">
        <f t="shared" si="2"/>
        <v>0.06</v>
      </c>
      <c r="R10" s="240">
        <f t="shared" si="3"/>
        <v>1.1999999999999999E-2</v>
      </c>
      <c r="T10" s="240">
        <f t="shared" si="4"/>
        <v>11.999999999999998</v>
      </c>
      <c r="U10" s="240">
        <f t="shared" si="5"/>
        <v>599.99999999999989</v>
      </c>
    </row>
    <row r="11" spans="2:21">
      <c r="C11" s="214">
        <f>0.3*0.1</f>
        <v>0.03</v>
      </c>
      <c r="D11" s="6">
        <v>20</v>
      </c>
      <c r="E11" s="7">
        <v>100</v>
      </c>
      <c r="F11" s="218">
        <v>23.589266007498871</v>
      </c>
      <c r="G11" s="218">
        <v>25.626161731848807</v>
      </c>
      <c r="H11" s="8">
        <f t="shared" si="6"/>
        <v>2.0368957243499359</v>
      </c>
      <c r="I11" s="232">
        <f t="shared" ref="I11:I13" si="7">H11/$C$10</f>
        <v>116.39404139142492</v>
      </c>
      <c r="L11">
        <v>0</v>
      </c>
      <c r="M11">
        <v>1.6220846248915457</v>
      </c>
      <c r="P11">
        <v>0.25</v>
      </c>
      <c r="Q11" s="240">
        <f t="shared" si="2"/>
        <v>7.4999999999999997E-2</v>
      </c>
      <c r="R11" s="240">
        <f t="shared" si="3"/>
        <v>1.4999999999999998E-2</v>
      </c>
      <c r="T11" s="240">
        <f t="shared" si="4"/>
        <v>14.999999999999998</v>
      </c>
      <c r="U11" s="240">
        <f t="shared" si="5"/>
        <v>749.99999999999989</v>
      </c>
    </row>
    <row r="12" spans="2:21">
      <c r="B12" t="s">
        <v>22</v>
      </c>
      <c r="D12" s="9">
        <v>20</v>
      </c>
      <c r="E12" s="10">
        <v>70</v>
      </c>
      <c r="F12" s="17">
        <v>23.7425617124177</v>
      </c>
      <c r="G12" s="17">
        <v>25.444833215763158</v>
      </c>
      <c r="H12" s="11">
        <f t="shared" si="6"/>
        <v>1.7022715033454574</v>
      </c>
      <c r="I12" s="232">
        <f t="shared" si="7"/>
        <v>97.27265733402615</v>
      </c>
      <c r="J12">
        <f>L12*1000</f>
        <v>4.9528301886792452</v>
      </c>
      <c r="L12">
        <v>4.9528301886792451E-3</v>
      </c>
      <c r="M12">
        <v>2.0368957243499359</v>
      </c>
    </row>
    <row r="13" spans="2:21">
      <c r="C13" s="209">
        <f>N39/C10</f>
        <v>0.29828571428571438</v>
      </c>
      <c r="D13" s="221">
        <v>10</v>
      </c>
      <c r="E13" s="215">
        <v>70</v>
      </c>
      <c r="F13" s="220">
        <v>23.228844149639865</v>
      </c>
      <c r="G13" s="220">
        <v>24.429039623084048</v>
      </c>
      <c r="H13" s="11">
        <f t="shared" si="6"/>
        <v>1.2001954734441824</v>
      </c>
      <c r="I13" s="232">
        <f t="shared" si="7"/>
        <v>68.582598482524716</v>
      </c>
      <c r="J13" s="218">
        <f>L13*1000</f>
        <v>9.14</v>
      </c>
      <c r="L13">
        <v>9.1400000000000006E-3</v>
      </c>
      <c r="M13">
        <v>4</v>
      </c>
    </row>
    <row r="15" spans="2:21" ht="18.75">
      <c r="C15" s="219"/>
      <c r="D15" s="1" t="s">
        <v>0</v>
      </c>
      <c r="E15" s="2" t="s">
        <v>1</v>
      </c>
      <c r="F15" s="2" t="s">
        <v>2</v>
      </c>
      <c r="G15" s="2" t="s">
        <v>3</v>
      </c>
      <c r="H15" s="3" t="s">
        <v>4</v>
      </c>
      <c r="I15" s="219"/>
    </row>
    <row r="16" spans="2:21">
      <c r="C16" s="219">
        <f>0.0202-0.0035</f>
        <v>1.67E-2</v>
      </c>
      <c r="D16" s="6">
        <v>10</v>
      </c>
      <c r="E16" s="7">
        <v>130</v>
      </c>
      <c r="F16" s="229">
        <v>23.752247467771031</v>
      </c>
      <c r="G16" s="228">
        <v>25.964883772425885</v>
      </c>
      <c r="H16" s="8">
        <f t="shared" ref="H16:H19" si="8">G16-F16</f>
        <v>2.2126363046548541</v>
      </c>
      <c r="I16" s="219">
        <f>H16/$C$16</f>
        <v>132.49319189550025</v>
      </c>
    </row>
    <row r="17" spans="2:9">
      <c r="C17" s="219">
        <f>0.3*0.2</f>
        <v>0.06</v>
      </c>
      <c r="D17" s="6">
        <v>20</v>
      </c>
      <c r="E17" s="7">
        <v>100</v>
      </c>
      <c r="F17" s="223">
        <v>23.579487119882543</v>
      </c>
      <c r="G17" s="222">
        <v>25.624112822062536</v>
      </c>
      <c r="H17" s="8">
        <f t="shared" si="8"/>
        <v>2.0446257021799923</v>
      </c>
      <c r="I17" s="232">
        <f t="shared" ref="I17:I19" si="9">H17/$C$16</f>
        <v>122.43267677724505</v>
      </c>
    </row>
    <row r="18" spans="2:9">
      <c r="C18" s="219">
        <f>C16/0.106*C17</f>
        <v>9.4528301886792447E-3</v>
      </c>
      <c r="D18" s="9">
        <v>20</v>
      </c>
      <c r="E18" s="10">
        <v>70</v>
      </c>
      <c r="F18" s="225">
        <v>23.747125193305337</v>
      </c>
      <c r="G18" s="224">
        <v>25.415310288388149</v>
      </c>
      <c r="H18" s="11">
        <f t="shared" si="8"/>
        <v>1.6681850950828121</v>
      </c>
      <c r="I18" s="232">
        <f t="shared" si="9"/>
        <v>99.891323058851029</v>
      </c>
    </row>
    <row r="19" spans="2:9">
      <c r="C19" s="219">
        <f>C18/C16</f>
        <v>0.56603773584905659</v>
      </c>
      <c r="D19" s="221">
        <v>10</v>
      </c>
      <c r="E19" s="215">
        <v>70</v>
      </c>
      <c r="F19" s="227">
        <v>23.744703754466997</v>
      </c>
      <c r="G19" s="226">
        <v>25.102479016928626</v>
      </c>
      <c r="H19" s="11">
        <f t="shared" si="8"/>
        <v>1.3577752624616295</v>
      </c>
      <c r="I19" s="232">
        <f t="shared" si="9"/>
        <v>81.303907931834104</v>
      </c>
    </row>
    <row r="22" spans="2:9" ht="18.75">
      <c r="B22" s="4">
        <v>42286</v>
      </c>
      <c r="C22" s="230"/>
      <c r="D22" s="1" t="s">
        <v>0</v>
      </c>
      <c r="E22" s="2" t="s">
        <v>1</v>
      </c>
      <c r="F22" s="2" t="s">
        <v>2</v>
      </c>
      <c r="G22" s="2" t="s">
        <v>3</v>
      </c>
      <c r="H22" s="3" t="s">
        <v>4</v>
      </c>
      <c r="I22" s="230"/>
    </row>
    <row r="23" spans="2:9">
      <c r="B23" t="s">
        <v>23</v>
      </c>
      <c r="C23" s="230">
        <f>0.0186-0.0045</f>
        <v>1.4099999999999998E-2</v>
      </c>
      <c r="D23" s="6">
        <v>20</v>
      </c>
      <c r="E23" s="7">
        <v>130</v>
      </c>
      <c r="F23" s="234">
        <v>25.059172514627736</v>
      </c>
      <c r="G23" s="233">
        <v>26.991480707614475</v>
      </c>
      <c r="H23" s="8">
        <f t="shared" ref="H23" si="10">G23-F23</f>
        <v>1.9323081929867385</v>
      </c>
      <c r="I23" s="230">
        <f>H23/$C$23</f>
        <v>137.04313425437863</v>
      </c>
    </row>
    <row r="24" spans="2:9">
      <c r="C24" s="230">
        <f>0.3*0.1</f>
        <v>0.03</v>
      </c>
      <c r="D24" s="6">
        <v>20</v>
      </c>
      <c r="E24" s="7">
        <v>100</v>
      </c>
      <c r="F24" s="232">
        <v>24.777354286751407</v>
      </c>
      <c r="G24" s="231">
        <v>26.314129758723372</v>
      </c>
      <c r="H24" s="8">
        <f>G24-F24</f>
        <v>1.5367754719719642</v>
      </c>
      <c r="I24" s="230">
        <f>(H24)/$C$23</f>
        <v>108.99116822496201</v>
      </c>
    </row>
    <row r="25" spans="2:9">
      <c r="C25" s="230">
        <f>C23/0.106*C24</f>
        <v>3.9905660377358492E-3</v>
      </c>
      <c r="D25" s="9">
        <v>20</v>
      </c>
      <c r="E25" s="10">
        <v>70</v>
      </c>
      <c r="F25" s="17">
        <v>25.117845840325714</v>
      </c>
      <c r="G25" s="17">
        <v>26.31832071055894</v>
      </c>
      <c r="H25" s="11">
        <f>G25-F25</f>
        <v>1.2004748702332257</v>
      </c>
      <c r="I25" s="230">
        <f>(H25)/C23</f>
        <v>85.140061718668505</v>
      </c>
    </row>
    <row r="26" spans="2:9">
      <c r="C26" s="230">
        <f>C25/C23</f>
        <v>0.28301886792452835</v>
      </c>
      <c r="D26" s="240"/>
      <c r="E26" s="240"/>
      <c r="F26" s="240"/>
      <c r="G26" s="240"/>
      <c r="H26" s="240"/>
      <c r="I26" s="230">
        <f>(H26)/C23</f>
        <v>0</v>
      </c>
    </row>
    <row r="29" spans="2:9" ht="18.75">
      <c r="C29" s="235"/>
      <c r="D29" s="1" t="s">
        <v>0</v>
      </c>
      <c r="E29" s="2" t="s">
        <v>1</v>
      </c>
      <c r="F29" s="2" t="s">
        <v>2</v>
      </c>
      <c r="G29" s="2" t="s">
        <v>3</v>
      </c>
      <c r="H29" s="3" t="s">
        <v>4</v>
      </c>
      <c r="I29" s="235"/>
    </row>
    <row r="30" spans="2:9">
      <c r="C30" s="235">
        <f>0.0196-0.0045</f>
        <v>1.5099999999999999E-2</v>
      </c>
      <c r="D30" s="6">
        <v>20</v>
      </c>
      <c r="E30" s="7">
        <v>130</v>
      </c>
      <c r="F30" s="240">
        <v>25.120639808216094</v>
      </c>
      <c r="G30" s="238">
        <v>26.999955743548611</v>
      </c>
      <c r="H30" s="8">
        <f t="shared" ref="H30" si="11">G30-F30</f>
        <v>1.8793159353325173</v>
      </c>
      <c r="I30" s="235">
        <f>H30/$C$30</f>
        <v>124.45800896241838</v>
      </c>
    </row>
    <row r="31" spans="2:9">
      <c r="C31" s="235">
        <f>0.3*0.1</f>
        <v>0.03</v>
      </c>
      <c r="D31" s="6">
        <v>20</v>
      </c>
      <c r="E31" s="7">
        <v>100</v>
      </c>
      <c r="F31" s="237">
        <v>24.444685843270182</v>
      </c>
      <c r="G31" s="236">
        <v>25.995338022431021</v>
      </c>
      <c r="H31" s="8">
        <f>G31-F31</f>
        <v>1.5506521791608385</v>
      </c>
      <c r="I31" s="239">
        <f>H31/$C$30</f>
        <v>102.69219729541977</v>
      </c>
    </row>
    <row r="32" spans="2:9">
      <c r="C32" s="235">
        <f>C30/0.106*C31</f>
        <v>4.273584905660377E-3</v>
      </c>
      <c r="D32" s="9">
        <v>20</v>
      </c>
      <c r="E32" s="10">
        <v>70</v>
      </c>
      <c r="F32" s="17">
        <v>25.226065529946425</v>
      </c>
      <c r="G32" s="17">
        <v>26.322418530131486</v>
      </c>
      <c r="H32" s="11">
        <f>G32-F32</f>
        <v>1.0963530001850614</v>
      </c>
      <c r="I32" s="235">
        <f>(H32)/C30</f>
        <v>72.606158952653075</v>
      </c>
    </row>
    <row r="33" spans="2:18">
      <c r="C33">
        <f>C32/C30</f>
        <v>0.28301886792452829</v>
      </c>
    </row>
    <row r="34" spans="2:18">
      <c r="I34">
        <f>1/0.3</f>
        <v>3.3333333333333335</v>
      </c>
    </row>
    <row r="35" spans="2:18">
      <c r="G35">
        <f>0.3*1</f>
        <v>0.3</v>
      </c>
      <c r="I35">
        <f>0.02/0.5</f>
        <v>0.04</v>
      </c>
    </row>
    <row r="36" spans="2:18">
      <c r="F36">
        <f>0.02/0.5*G35</f>
        <v>1.2E-2</v>
      </c>
      <c r="G36">
        <f>G35/0.5</f>
        <v>0.6</v>
      </c>
      <c r="I36">
        <f>0.13/20</f>
        <v>6.5000000000000006E-3</v>
      </c>
    </row>
    <row r="37" spans="2:18">
      <c r="I37">
        <f>0.07/20</f>
        <v>3.5000000000000005E-3</v>
      </c>
      <c r="P37">
        <v>100</v>
      </c>
      <c r="Q37">
        <v>130</v>
      </c>
      <c r="R37" t="s">
        <v>27</v>
      </c>
    </row>
    <row r="38" spans="2:18">
      <c r="N38">
        <v>0</v>
      </c>
      <c r="P38">
        <v>0.42208462489155002</v>
      </c>
      <c r="Q38">
        <v>0.8</v>
      </c>
      <c r="R38">
        <v>1</v>
      </c>
    </row>
    <row r="39" spans="2:18">
      <c r="C39" s="4">
        <v>42311</v>
      </c>
      <c r="N39" s="214">
        <v>5.2200000000000007E-3</v>
      </c>
      <c r="P39" s="8">
        <v>1.0196120154626414</v>
      </c>
      <c r="Q39">
        <v>1.3570302043575211</v>
      </c>
      <c r="R39">
        <v>1.5</v>
      </c>
    </row>
    <row r="40" spans="2:18" ht="18.75">
      <c r="B40" t="s">
        <v>25</v>
      </c>
      <c r="C40" s="240"/>
      <c r="D40" s="1" t="s">
        <v>0</v>
      </c>
      <c r="E40" s="2" t="s">
        <v>1</v>
      </c>
      <c r="F40" s="2" t="s">
        <v>2</v>
      </c>
      <c r="G40" s="2" t="s">
        <v>3</v>
      </c>
      <c r="H40" s="3" t="s">
        <v>4</v>
      </c>
      <c r="I40" s="240"/>
      <c r="N40">
        <v>1.0259999999999998E-2</v>
      </c>
      <c r="P40">
        <v>1.9281172411511669</v>
      </c>
      <c r="Q40">
        <v>2.4247915997977039</v>
      </c>
      <c r="R40">
        <v>2.6</v>
      </c>
    </row>
    <row r="41" spans="2:18">
      <c r="C41" s="240">
        <f>0.0199-0.0005</f>
        <v>1.9400000000000001E-2</v>
      </c>
      <c r="D41" s="6">
        <v>20</v>
      </c>
      <c r="E41" s="7">
        <v>130</v>
      </c>
      <c r="F41" s="244">
        <v>23.574737374468885</v>
      </c>
      <c r="G41" s="243">
        <v>26.305189061474145</v>
      </c>
      <c r="H41" s="8">
        <f t="shared" ref="H41" si="12">G41-F41</f>
        <v>2.7304516870052602</v>
      </c>
      <c r="I41" s="240">
        <f>H41/$C$41</f>
        <v>140.74493231985878</v>
      </c>
      <c r="N41">
        <v>1.455E-2</v>
      </c>
      <c r="P41">
        <v>2.213474495021984</v>
      </c>
      <c r="Q41" s="245">
        <v>2.9304516870052599</v>
      </c>
      <c r="R41">
        <v>3.4</v>
      </c>
    </row>
    <row r="42" spans="2:18">
      <c r="C42" s="240">
        <f>0.3*0.25</f>
        <v>7.4999999999999997E-2</v>
      </c>
      <c r="D42" s="6">
        <v>20</v>
      </c>
      <c r="E42" s="7">
        <v>100</v>
      </c>
      <c r="F42" s="242">
        <v>23.749267235354605</v>
      </c>
      <c r="G42" s="241">
        <v>25.962741730376589</v>
      </c>
      <c r="H42" s="8">
        <f>G42-F42</f>
        <v>2.213474495021984</v>
      </c>
      <c r="I42" s="245">
        <f t="shared" ref="I42:I43" si="13">H42/$C$41</f>
        <v>114.09662345474145</v>
      </c>
      <c r="N42">
        <v>2.2199999999999998E-2</v>
      </c>
      <c r="P42">
        <v>2.213474495021984</v>
      </c>
      <c r="Q42">
        <v>2.7304516870052602</v>
      </c>
    </row>
    <row r="43" spans="2:18">
      <c r="B43">
        <f>C43/C41</f>
        <v>0.75</v>
      </c>
      <c r="C43" s="240">
        <f>C41/0.1*C42</f>
        <v>1.455E-2</v>
      </c>
      <c r="D43" s="9">
        <v>30</v>
      </c>
      <c r="E43" s="10">
        <v>130</v>
      </c>
      <c r="F43" s="17">
        <v>23.234432085420625</v>
      </c>
      <c r="G43" s="17">
        <v>26.650057831410042</v>
      </c>
      <c r="H43" s="11">
        <f>G43-F43</f>
        <v>3.4156257459894164</v>
      </c>
      <c r="I43" s="245">
        <f t="shared" si="13"/>
        <v>176.06318278295961</v>
      </c>
    </row>
    <row r="45" spans="2:18" ht="18.75">
      <c r="B45" t="s">
        <v>26</v>
      </c>
      <c r="C45" s="245"/>
      <c r="D45" s="1" t="s">
        <v>0</v>
      </c>
      <c r="E45" s="2" t="s">
        <v>1</v>
      </c>
      <c r="F45" s="2" t="s">
        <v>2</v>
      </c>
      <c r="G45" s="2" t="s">
        <v>3</v>
      </c>
      <c r="H45" s="3" t="s">
        <v>4</v>
      </c>
      <c r="I45" s="245"/>
    </row>
    <row r="46" spans="2:18">
      <c r="C46" s="245">
        <f>0.0176-0.0005</f>
        <v>1.7100000000000001E-2</v>
      </c>
      <c r="D46" s="6">
        <v>20</v>
      </c>
      <c r="E46" s="7">
        <v>130</v>
      </c>
      <c r="F46" s="249">
        <v>23.883191429566821</v>
      </c>
      <c r="G46" s="248">
        <v>26.307983029364525</v>
      </c>
      <c r="H46" s="8">
        <f t="shared" ref="H46" si="14">G46-F46</f>
        <v>2.4247915997977039</v>
      </c>
      <c r="I46" s="245">
        <f>H46/$C$41</f>
        <v>124.98925772153112</v>
      </c>
      <c r="P46">
        <f>0.3*0.5</f>
        <v>0.15</v>
      </c>
    </row>
    <row r="47" spans="2:18">
      <c r="C47" s="245">
        <f>0.3*0.2</f>
        <v>0.06</v>
      </c>
      <c r="D47" s="6">
        <v>20</v>
      </c>
      <c r="E47" s="7">
        <v>100</v>
      </c>
      <c r="F47" s="247">
        <v>23.9278949158129</v>
      </c>
      <c r="G47" s="246">
        <v>25.856012156964066</v>
      </c>
      <c r="H47" s="8">
        <f>G47-F47</f>
        <v>1.9281172411511669</v>
      </c>
      <c r="I47" s="245">
        <f t="shared" ref="I47:I48" si="15">H47/$C$41</f>
        <v>99.387486657276639</v>
      </c>
      <c r="P47">
        <f>0.02/0.5*P46</f>
        <v>6.0000000000000001E-3</v>
      </c>
    </row>
    <row r="48" spans="2:18">
      <c r="C48" s="245">
        <f>C46/0.1*C47</f>
        <v>1.0259999999999998E-2</v>
      </c>
      <c r="D48" s="9">
        <v>30</v>
      </c>
      <c r="E48" s="10">
        <v>130</v>
      </c>
      <c r="F48" s="17">
        <v>24.056417438770374</v>
      </c>
      <c r="G48" s="17">
        <v>26.663096348231814</v>
      </c>
      <c r="H48" s="11">
        <f>G48-F48</f>
        <v>2.60667890946144</v>
      </c>
      <c r="I48" s="245">
        <f t="shared" si="15"/>
        <v>134.3648922402804</v>
      </c>
    </row>
    <row r="50" spans="1:13" ht="18.75">
      <c r="B50" t="s">
        <v>28</v>
      </c>
      <c r="C50" s="250"/>
      <c r="D50" s="1" t="s">
        <v>0</v>
      </c>
      <c r="E50" s="2" t="s">
        <v>1</v>
      </c>
      <c r="F50" s="2" t="s">
        <v>2</v>
      </c>
      <c r="G50" s="2" t="s">
        <v>3</v>
      </c>
      <c r="H50" s="3" t="s">
        <v>4</v>
      </c>
      <c r="I50" s="250"/>
    </row>
    <row r="51" spans="1:13">
      <c r="C51" s="250">
        <f>0.0176-0.0002</f>
        <v>1.7400000000000002E-2</v>
      </c>
      <c r="D51" s="6">
        <v>20</v>
      </c>
      <c r="E51" s="7">
        <v>130</v>
      </c>
      <c r="F51" s="254">
        <v>23.759884313338066</v>
      </c>
      <c r="G51" s="253">
        <v>25.116914517695587</v>
      </c>
      <c r="H51" s="8">
        <f t="shared" ref="H51" si="16">G51-F51</f>
        <v>1.3570302043575211</v>
      </c>
      <c r="I51" s="250">
        <f>H51/$C$41</f>
        <v>69.950010533892836</v>
      </c>
    </row>
    <row r="52" spans="1:13">
      <c r="C52" s="250">
        <f>0.3*0.1</f>
        <v>0.03</v>
      </c>
      <c r="D52" s="6">
        <v>20</v>
      </c>
      <c r="E52" s="7">
        <v>100</v>
      </c>
      <c r="F52" s="252">
        <v>23.758766726181918</v>
      </c>
      <c r="G52" s="251">
        <v>24.778378741644559</v>
      </c>
      <c r="H52" s="8">
        <f>G52-F52</f>
        <v>1.0196120154626414</v>
      </c>
      <c r="I52" s="250">
        <f t="shared" ref="I52:I53" si="17">H52/$C$41</f>
        <v>52.557320384672231</v>
      </c>
    </row>
    <row r="53" spans="1:13">
      <c r="B53" s="266">
        <f>C53/C51</f>
        <v>0.3</v>
      </c>
      <c r="C53" s="250">
        <f>C51/0.1*C52</f>
        <v>5.2200000000000007E-3</v>
      </c>
      <c r="D53" s="9">
        <v>30</v>
      </c>
      <c r="E53" s="10">
        <v>130</v>
      </c>
      <c r="F53" s="17"/>
      <c r="G53" s="17"/>
      <c r="H53" s="11">
        <f>G53-F53</f>
        <v>0</v>
      </c>
      <c r="I53" s="250">
        <f t="shared" si="17"/>
        <v>0</v>
      </c>
    </row>
    <row r="57" spans="1:13">
      <c r="B57" t="s">
        <v>30</v>
      </c>
    </row>
    <row r="58" spans="1:13" ht="18.75">
      <c r="A58" s="4">
        <v>42321</v>
      </c>
      <c r="B58" s="254" t="s">
        <v>31</v>
      </c>
      <c r="C58" s="254"/>
      <c r="D58" s="1" t="s">
        <v>0</v>
      </c>
      <c r="E58" s="2" t="s">
        <v>1</v>
      </c>
      <c r="F58" s="2" t="s">
        <v>2</v>
      </c>
      <c r="G58" s="2" t="s">
        <v>3</v>
      </c>
      <c r="H58" s="3" t="s">
        <v>4</v>
      </c>
      <c r="I58" s="254"/>
    </row>
    <row r="59" spans="1:13">
      <c r="B59" s="254"/>
      <c r="C59" s="254">
        <f>0.0207-0.0022</f>
        <v>1.8499999999999999E-2</v>
      </c>
      <c r="D59" s="6">
        <v>20</v>
      </c>
      <c r="E59" s="7">
        <v>130</v>
      </c>
      <c r="F59" s="258">
        <v>24.07653400758112</v>
      </c>
      <c r="G59" s="257">
        <v>25.622250176802282</v>
      </c>
      <c r="H59" s="8">
        <f t="shared" ref="H59" si="18">G59-F59</f>
        <v>1.5457161692211621</v>
      </c>
      <c r="I59" s="254">
        <f>H59/$C$59</f>
        <v>83.552225363306064</v>
      </c>
    </row>
    <row r="60" spans="1:13">
      <c r="B60" s="254"/>
      <c r="C60" s="254">
        <f>0.3*1</f>
        <v>0.3</v>
      </c>
      <c r="D60" s="6">
        <v>20</v>
      </c>
      <c r="E60" s="7">
        <v>100</v>
      </c>
      <c r="F60" s="256">
        <v>24.080818091679685</v>
      </c>
      <c r="G60" s="255">
        <v>25.450700548332961</v>
      </c>
      <c r="H60" s="8">
        <f>G60-F60</f>
        <v>1.3698824566532757</v>
      </c>
      <c r="I60" s="260">
        <f t="shared" ref="I60:I61" si="19">H60/$C$59</f>
        <v>74.047700359636522</v>
      </c>
    </row>
    <row r="61" spans="1:13">
      <c r="B61" s="254">
        <f>C61/C59</f>
        <v>1.2</v>
      </c>
      <c r="C61" s="254">
        <f>C59/0.25*C60</f>
        <v>2.2199999999999998E-2</v>
      </c>
      <c r="D61" s="9">
        <v>30</v>
      </c>
      <c r="E61" s="10">
        <v>130</v>
      </c>
      <c r="F61" s="17">
        <v>24.070201013696252</v>
      </c>
      <c r="G61" s="17">
        <v>25.703182113360302</v>
      </c>
      <c r="H61" s="11">
        <f>G61-F61</f>
        <v>1.6329810996640504</v>
      </c>
      <c r="I61" s="260">
        <f t="shared" si="19"/>
        <v>88.269248630489216</v>
      </c>
    </row>
    <row r="63" spans="1:13" ht="18.75">
      <c r="A63" s="4">
        <v>42327</v>
      </c>
      <c r="C63" s="258"/>
      <c r="D63" s="1" t="s">
        <v>0</v>
      </c>
      <c r="E63" s="2" t="s">
        <v>1</v>
      </c>
      <c r="F63" s="2" t="s">
        <v>2</v>
      </c>
      <c r="G63" s="2" t="s">
        <v>3</v>
      </c>
      <c r="H63" s="3" t="s">
        <v>4</v>
      </c>
      <c r="I63" s="258"/>
    </row>
    <row r="64" spans="1:13">
      <c r="B64" t="s">
        <v>32</v>
      </c>
      <c r="C64" s="258">
        <v>4.0000000000000001E-3</v>
      </c>
      <c r="D64" s="6">
        <v>20</v>
      </c>
      <c r="E64" s="7">
        <v>130</v>
      </c>
      <c r="F64" s="262">
        <v>24.434161897549746</v>
      </c>
      <c r="G64" s="261">
        <v>25.631377138577527</v>
      </c>
      <c r="H64" s="8">
        <f t="shared" ref="H64" si="20">G64-F64</f>
        <v>1.1972152410277808</v>
      </c>
      <c r="I64" s="262">
        <f>H64/$C64</f>
        <v>299.30381025694521</v>
      </c>
      <c r="J64">
        <f>C64*90</f>
        <v>0.36</v>
      </c>
      <c r="M64">
        <f>H64-J64</f>
        <v>0.83721524102778078</v>
      </c>
    </row>
    <row r="65" spans="2:11">
      <c r="B65" t="s">
        <v>33</v>
      </c>
      <c r="C65" s="258">
        <f>0.3*1</f>
        <v>0.3</v>
      </c>
      <c r="D65" s="6">
        <v>20</v>
      </c>
      <c r="E65" s="7">
        <v>100</v>
      </c>
      <c r="F65" s="259">
        <v>24.093204682660375</v>
      </c>
      <c r="G65" s="260">
        <v>25.351328423698455</v>
      </c>
      <c r="H65" s="8">
        <f>G65-F65</f>
        <v>1.2581237410380801</v>
      </c>
      <c r="I65" s="258">
        <f>H65/$C64</f>
        <v>314.53093525952005</v>
      </c>
    </row>
    <row r="66" spans="2:11">
      <c r="B66" t="s">
        <v>34</v>
      </c>
      <c r="C66" s="258">
        <f>C64/0.045*C65</f>
        <v>2.6666666666666668E-2</v>
      </c>
      <c r="D66" s="9">
        <v>30</v>
      </c>
      <c r="E66" s="10">
        <v>130</v>
      </c>
      <c r="F66" s="17"/>
      <c r="G66" s="17"/>
      <c r="H66" s="11">
        <f>G66-F66</f>
        <v>0</v>
      </c>
      <c r="I66" s="258">
        <f t="shared" ref="I66" si="21">H66/$C$41</f>
        <v>0</v>
      </c>
    </row>
    <row r="68" spans="2:11" ht="18.75">
      <c r="C68" s="262"/>
      <c r="D68" s="1" t="s">
        <v>0</v>
      </c>
      <c r="E68" s="2" t="s">
        <v>1</v>
      </c>
      <c r="F68" s="2" t="s">
        <v>2</v>
      </c>
      <c r="G68" s="2" t="s">
        <v>3</v>
      </c>
      <c r="H68" s="3" t="s">
        <v>4</v>
      </c>
      <c r="I68" s="262"/>
    </row>
    <row r="69" spans="2:11">
      <c r="C69" s="262">
        <v>4.0000000000000001E-3</v>
      </c>
      <c r="D69" s="6">
        <v>20</v>
      </c>
      <c r="E69" s="7">
        <v>100</v>
      </c>
      <c r="F69" s="264">
        <v>24.775864170543194</v>
      </c>
      <c r="G69" s="263">
        <v>25.287439691271757</v>
      </c>
      <c r="H69" s="8">
        <f t="shared" ref="H69" si="22">G69-F69</f>
        <v>0.51157552072856305</v>
      </c>
      <c r="I69" s="262">
        <f>H69/$C69</f>
        <v>127.89388018214076</v>
      </c>
    </row>
    <row r="70" spans="2:11">
      <c r="C70" s="262">
        <f>0.3*0.5</f>
        <v>0.15</v>
      </c>
      <c r="D70" s="6">
        <v>20</v>
      </c>
      <c r="E70" s="7">
        <v>130</v>
      </c>
      <c r="F70" s="266">
        <v>24.781358974060957</v>
      </c>
      <c r="G70" s="265">
        <v>25.464763520047885</v>
      </c>
      <c r="H70" s="8">
        <f>G70-F70</f>
        <v>0.68340454598692801</v>
      </c>
      <c r="I70" s="262">
        <f>H70/$C69</f>
        <v>170.85113649673201</v>
      </c>
    </row>
    <row r="71" spans="2:11">
      <c r="C71" s="264">
        <f>C69/0.045*C70</f>
        <v>1.3333333333333334E-2</v>
      </c>
    </row>
    <row r="73" spans="2:11">
      <c r="B73" s="288"/>
      <c r="C73" s="288"/>
      <c r="D73" s="288" t="s">
        <v>39</v>
      </c>
      <c r="E73" s="288"/>
      <c r="F73" s="288"/>
      <c r="G73" s="288"/>
      <c r="H73" s="288"/>
      <c r="I73" s="288"/>
      <c r="J73" s="288"/>
      <c r="K73" s="288"/>
    </row>
    <row r="74" spans="2:11" ht="18.75">
      <c r="B74" s="289">
        <v>42330</v>
      </c>
      <c r="C74" s="288"/>
      <c r="D74" s="290" t="s">
        <v>0</v>
      </c>
      <c r="E74" s="291" t="s">
        <v>1</v>
      </c>
      <c r="F74" s="291" t="s">
        <v>55</v>
      </c>
      <c r="G74" s="291" t="s">
        <v>56</v>
      </c>
      <c r="H74" s="292" t="s">
        <v>57</v>
      </c>
      <c r="I74" s="288"/>
      <c r="J74" s="288"/>
      <c r="K74" s="288"/>
    </row>
    <row r="75" spans="2:11">
      <c r="B75" s="288" t="s">
        <v>35</v>
      </c>
      <c r="C75" s="288">
        <v>1.5299999999999999E-2</v>
      </c>
      <c r="D75" s="293">
        <v>20</v>
      </c>
      <c r="E75" s="294">
        <v>130</v>
      </c>
      <c r="F75" s="288">
        <v>21.648855307630011</v>
      </c>
      <c r="G75" s="288">
        <v>26.360455385473699</v>
      </c>
      <c r="H75" s="295">
        <f t="shared" ref="H75" si="23">G75-F75</f>
        <v>4.7116000778436877</v>
      </c>
      <c r="I75" s="288">
        <f>H75/$C75</f>
        <v>307.94771750612341</v>
      </c>
      <c r="J75" s="540">
        <f>H75-0.0153*53+0.0153*129</f>
        <v>5.8744000778436876</v>
      </c>
      <c r="K75" s="288"/>
    </row>
    <row r="76" spans="2:11">
      <c r="B76" s="288" t="s">
        <v>22</v>
      </c>
      <c r="C76" s="288">
        <f>0.3*0.75</f>
        <v>0.22499999999999998</v>
      </c>
      <c r="D76" s="293">
        <v>20</v>
      </c>
      <c r="E76" s="294">
        <v>100</v>
      </c>
      <c r="F76" s="288">
        <v>21.348783156203218</v>
      </c>
      <c r="G76" s="288">
        <v>24.080724959416688</v>
      </c>
      <c r="H76" s="295">
        <f>G76-F76</f>
        <v>2.7319418032134699</v>
      </c>
      <c r="I76" s="288">
        <f>H76/$C75</f>
        <v>178.55828779173007</v>
      </c>
      <c r="J76" s="540">
        <f>H76-0.0153*46+0.02*107</f>
        <v>4.1681418032134694</v>
      </c>
      <c r="K76" s="288"/>
    </row>
    <row r="77" spans="2:11">
      <c r="B77" s="288" t="s">
        <v>36</v>
      </c>
      <c r="C77" s="288">
        <f>C76/C75</f>
        <v>14.705882352941176</v>
      </c>
      <c r="D77" s="296">
        <v>30</v>
      </c>
      <c r="E77" s="297">
        <v>130</v>
      </c>
      <c r="F77" s="298">
        <v>21.861848793139995</v>
      </c>
      <c r="G77" s="298">
        <v>25.963673050000001</v>
      </c>
      <c r="H77" s="299">
        <f>G77-F77</f>
        <v>4.1018242568600058</v>
      </c>
      <c r="I77" s="288">
        <f>H77/$C75</f>
        <v>268.09308868366054</v>
      </c>
      <c r="J77" s="288"/>
      <c r="K77" s="288"/>
    </row>
    <row r="78" spans="2:11">
      <c r="B78" s="288"/>
      <c r="C78" s="288"/>
      <c r="D78" s="288"/>
      <c r="E78" s="288"/>
      <c r="F78" s="288"/>
      <c r="G78" s="288"/>
      <c r="H78" s="288"/>
      <c r="I78" s="288"/>
      <c r="J78" s="288"/>
      <c r="K78" s="288"/>
    </row>
    <row r="79" spans="2:11">
      <c r="B79" s="288"/>
      <c r="C79" s="288"/>
      <c r="D79" s="288"/>
      <c r="E79" s="288"/>
      <c r="F79" s="288"/>
      <c r="G79" s="288"/>
      <c r="H79" s="288"/>
      <c r="I79" s="288"/>
      <c r="J79" s="288"/>
      <c r="K79" s="288"/>
    </row>
    <row r="80" spans="2:11" ht="18.75">
      <c r="B80" s="288"/>
      <c r="C80" s="288"/>
      <c r="D80" s="290" t="s">
        <v>0</v>
      </c>
      <c r="E80" s="291" t="s">
        <v>1</v>
      </c>
      <c r="F80" s="291" t="s">
        <v>55</v>
      </c>
      <c r="G80" s="291" t="s">
        <v>56</v>
      </c>
      <c r="H80" s="292" t="s">
        <v>57</v>
      </c>
      <c r="I80" s="288"/>
      <c r="J80" s="288"/>
      <c r="K80" s="288"/>
    </row>
    <row r="81" spans="2:12">
      <c r="B81" s="288" t="s">
        <v>37</v>
      </c>
      <c r="C81" s="288">
        <v>1.3100000000000001E-2</v>
      </c>
      <c r="D81" s="293">
        <v>20</v>
      </c>
      <c r="E81" s="294">
        <v>130</v>
      </c>
      <c r="F81" s="288">
        <v>21.859241089775633</v>
      </c>
      <c r="G81" s="288">
        <v>23.9490809708286</v>
      </c>
      <c r="H81" s="295">
        <f t="shared" ref="H81" si="24">G81-F81</f>
        <v>2.089839881052967</v>
      </c>
      <c r="I81" s="288">
        <f>H81/$C81</f>
        <v>159.52976191244022</v>
      </c>
      <c r="J81" s="288">
        <f>H81-L93+J93</f>
        <v>2.2157089237710457</v>
      </c>
      <c r="K81" s="288"/>
    </row>
    <row r="82" spans="2:12">
      <c r="B82" s="288"/>
      <c r="C82" s="288">
        <f>0.3*0.5</f>
        <v>0.15</v>
      </c>
      <c r="D82" s="293">
        <v>20</v>
      </c>
      <c r="E82" s="294">
        <v>100</v>
      </c>
      <c r="F82" s="288">
        <v>21.687412064517272</v>
      </c>
      <c r="G82" s="288">
        <v>25.229775472269999</v>
      </c>
      <c r="H82" s="295">
        <f>G82-F82</f>
        <v>3.5423634077527275</v>
      </c>
      <c r="I82" s="288">
        <f>H82/$C81</f>
        <v>270.40942043913947</v>
      </c>
      <c r="J82" s="288">
        <f>H82-0.0131*46+0.02*129</f>
        <v>5.5197634077527278</v>
      </c>
      <c r="K82" s="288"/>
    </row>
    <row r="83" spans="2:12">
      <c r="B83" s="288"/>
      <c r="C83" s="288">
        <f>C82/C81</f>
        <v>11.450381679389313</v>
      </c>
      <c r="D83" s="296">
        <v>30</v>
      </c>
      <c r="E83" s="297">
        <v>130</v>
      </c>
      <c r="F83" s="298">
        <v>22.203271669344399</v>
      </c>
      <c r="G83" s="298">
        <v>24.6865922919865</v>
      </c>
      <c r="H83" s="299">
        <f>G83-F83</f>
        <v>2.4833206226421005</v>
      </c>
      <c r="I83" s="288">
        <f>H83/$C81</f>
        <v>189.5664597436718</v>
      </c>
      <c r="J83" s="288">
        <f>H83-L95+J95</f>
        <v>2.6656041390518688</v>
      </c>
      <c r="K83" s="288"/>
    </row>
    <row r="84" spans="2:12">
      <c r="B84" s="288"/>
      <c r="C84" s="288"/>
      <c r="D84" s="288"/>
      <c r="E84" s="288"/>
      <c r="F84" s="288"/>
      <c r="G84" s="288"/>
      <c r="H84" s="288"/>
      <c r="I84" s="288"/>
      <c r="J84" s="288"/>
      <c r="K84" s="288"/>
    </row>
    <row r="85" spans="2:12">
      <c r="B85" s="288"/>
      <c r="C85" s="288"/>
      <c r="D85" s="288"/>
      <c r="E85" s="288"/>
      <c r="F85" s="288"/>
      <c r="G85" s="288"/>
      <c r="H85" s="288"/>
      <c r="I85" s="288"/>
      <c r="J85" s="288"/>
      <c r="K85" s="288"/>
    </row>
    <row r="86" spans="2:12" ht="18.75">
      <c r="B86" s="288"/>
      <c r="C86" s="288"/>
      <c r="D86" s="290" t="s">
        <v>0</v>
      </c>
      <c r="E86" s="291" t="s">
        <v>1</v>
      </c>
      <c r="F86" s="291" t="s">
        <v>55</v>
      </c>
      <c r="G86" s="291" t="s">
        <v>56</v>
      </c>
      <c r="H86" s="292" t="s">
        <v>57</v>
      </c>
      <c r="I86" s="288"/>
      <c r="J86" s="288"/>
      <c r="K86" s="288"/>
    </row>
    <row r="87" spans="2:12">
      <c r="B87" s="288" t="s">
        <v>38</v>
      </c>
      <c r="C87" s="288">
        <v>0.01</v>
      </c>
      <c r="D87" s="293">
        <v>20</v>
      </c>
      <c r="E87" s="294">
        <v>130</v>
      </c>
      <c r="F87" s="288">
        <v>22.333749969825199</v>
      </c>
      <c r="G87" s="288">
        <v>23.989638536550899</v>
      </c>
      <c r="H87" s="295">
        <f t="shared" ref="H87" si="25">G87-F87</f>
        <v>1.6558885667257002</v>
      </c>
      <c r="I87" s="288">
        <f>H87/$C87</f>
        <v>165.58885667257002</v>
      </c>
      <c r="J87" s="288">
        <f>H87-L96+J93</f>
        <v>1.9591185332737984</v>
      </c>
      <c r="K87" s="540">
        <f>H87-0.01*56+0.02*129</f>
        <v>3.6758885667257002</v>
      </c>
    </row>
    <row r="88" spans="2:12">
      <c r="B88" s="288"/>
      <c r="C88" s="288">
        <f>0.3*0.25</f>
        <v>7.4999999999999997E-2</v>
      </c>
      <c r="D88" s="293">
        <v>20</v>
      </c>
      <c r="E88" s="294">
        <v>100</v>
      </c>
      <c r="F88" s="288">
        <v>22.174586932336496</v>
      </c>
      <c r="G88" s="288">
        <v>23.223256213859106</v>
      </c>
      <c r="H88" s="295">
        <f>G88-F88</f>
        <v>1.04866928152261</v>
      </c>
      <c r="I88" s="288">
        <f>H88/$C87</f>
        <v>104.866928152261</v>
      </c>
      <c r="J88" s="288">
        <f>H88-L97+J94</f>
        <v>1.2703187899557662</v>
      </c>
      <c r="K88" s="540">
        <f>H88-0.01*46+0.02*107</f>
        <v>2.7286692815226101</v>
      </c>
    </row>
    <row r="89" spans="2:12">
      <c r="B89" s="288"/>
      <c r="C89" s="288">
        <f>C88/C87</f>
        <v>7.5</v>
      </c>
      <c r="D89" s="296">
        <v>30</v>
      </c>
      <c r="E89" s="297">
        <v>130</v>
      </c>
      <c r="F89" s="298">
        <v>22.511539459916314</v>
      </c>
      <c r="G89" s="298">
        <v>23.951688674192901</v>
      </c>
      <c r="H89" s="299">
        <f>G89-F89</f>
        <v>1.4401492142765875</v>
      </c>
      <c r="I89" s="288">
        <f>H89/$C87</f>
        <v>144.01492142765875</v>
      </c>
      <c r="J89" s="288">
        <f>H89-L98+J95</f>
        <v>1.879286776536484</v>
      </c>
      <c r="K89" s="288"/>
    </row>
    <row r="90" spans="2:12">
      <c r="B90" s="288"/>
      <c r="C90" s="288"/>
      <c r="D90" s="288"/>
      <c r="E90" s="288"/>
      <c r="F90" s="288"/>
      <c r="G90" s="288"/>
      <c r="H90" s="288"/>
      <c r="I90" s="288"/>
      <c r="J90" s="288"/>
      <c r="K90" s="288"/>
    </row>
    <row r="91" spans="2:12">
      <c r="B91" s="288"/>
      <c r="C91" s="288"/>
      <c r="D91" s="288"/>
      <c r="E91" s="288"/>
      <c r="F91" s="288"/>
      <c r="G91" s="288"/>
      <c r="H91" s="288"/>
      <c r="I91" s="288"/>
      <c r="J91" s="288"/>
      <c r="K91" s="288"/>
    </row>
    <row r="92" spans="2:12" ht="18.75">
      <c r="B92" s="288"/>
      <c r="C92" s="288"/>
      <c r="D92" s="290" t="s">
        <v>0</v>
      </c>
      <c r="E92" s="291" t="s">
        <v>1</v>
      </c>
      <c r="F92" s="291" t="s">
        <v>55</v>
      </c>
      <c r="G92" s="291" t="s">
        <v>56</v>
      </c>
      <c r="H92" s="292" t="s">
        <v>57</v>
      </c>
      <c r="I92" s="288"/>
      <c r="J92" s="288"/>
      <c r="K92" s="288"/>
    </row>
    <row r="93" spans="2:12">
      <c r="B93" s="344" t="s">
        <v>40</v>
      </c>
      <c r="C93" s="344">
        <f>0.0133-0.0015</f>
        <v>1.18E-2</v>
      </c>
      <c r="D93" s="345">
        <v>20</v>
      </c>
      <c r="E93" s="346">
        <v>130</v>
      </c>
      <c r="F93" s="344">
        <v>22.217800302374386</v>
      </c>
      <c r="G93" s="344">
        <v>22.892916076953171</v>
      </c>
      <c r="H93" s="347">
        <f t="shared" ref="H93" si="26">G93-F93</f>
        <v>0.67511577457878502</v>
      </c>
      <c r="I93" s="344">
        <f>H93/$C93</f>
        <v>57.21320123549026</v>
      </c>
      <c r="J93" s="288">
        <f>I93*0.0153</f>
        <v>0.87536197890300094</v>
      </c>
      <c r="K93" s="288"/>
      <c r="L93" s="270">
        <f>I93*0.0131</f>
        <v>0.74949293618492241</v>
      </c>
    </row>
    <row r="94" spans="2:12">
      <c r="B94" s="344" t="s">
        <v>41</v>
      </c>
      <c r="C94" s="344"/>
      <c r="D94" s="345">
        <v>20</v>
      </c>
      <c r="E94" s="346">
        <v>100</v>
      </c>
      <c r="F94" s="344">
        <v>22.063038531722899</v>
      </c>
      <c r="G94" s="344">
        <v>22.556522342951435</v>
      </c>
      <c r="H94" s="347">
        <f>G94-F94</f>
        <v>0.49348381122853624</v>
      </c>
      <c r="I94" s="344">
        <f>H94/$C93</f>
        <v>41.820661968520021</v>
      </c>
      <c r="J94" s="288">
        <f>I94*0.0153</f>
        <v>0.63985612811835635</v>
      </c>
      <c r="K94" s="288"/>
      <c r="L94">
        <f>I94*0.0131</f>
        <v>0.54785067178761226</v>
      </c>
    </row>
    <row r="95" spans="2:12">
      <c r="B95" s="344"/>
      <c r="C95" s="344"/>
      <c r="D95" s="348">
        <v>30</v>
      </c>
      <c r="E95" s="349">
        <v>130</v>
      </c>
      <c r="F95" s="350">
        <v>22.207462621179971</v>
      </c>
      <c r="G95" s="350">
        <v>23.185165118286911</v>
      </c>
      <c r="H95" s="351">
        <f>G95-F95</f>
        <v>0.97770249710693946</v>
      </c>
      <c r="I95" s="344">
        <f>H95/$C93</f>
        <v>82.856143822621988</v>
      </c>
      <c r="J95" s="288">
        <f>I95*0.0153</f>
        <v>1.2676990004861164</v>
      </c>
      <c r="K95" s="288"/>
      <c r="L95" s="270">
        <f>I95*0.0131</f>
        <v>1.0854154840763481</v>
      </c>
    </row>
    <row r="96" spans="2:12">
      <c r="L96">
        <f>I93*0.01</f>
        <v>0.57213201235490263</v>
      </c>
    </row>
    <row r="97" spans="2:21">
      <c r="L97" s="271">
        <f t="shared" ref="L97:L98" si="27">I94*0.01</f>
        <v>0.41820661968520023</v>
      </c>
    </row>
    <row r="98" spans="2:21">
      <c r="L98" s="271">
        <f t="shared" si="27"/>
        <v>0.82856143822621986</v>
      </c>
    </row>
    <row r="101" spans="2:21">
      <c r="B101" s="303">
        <v>42331</v>
      </c>
      <c r="C101" s="304"/>
      <c r="D101" s="304" t="s">
        <v>39</v>
      </c>
      <c r="E101" s="304"/>
      <c r="F101" s="304"/>
      <c r="G101" s="304"/>
      <c r="H101" s="304"/>
      <c r="I101" s="272"/>
      <c r="J101" s="272"/>
    </row>
    <row r="102" spans="2:21" ht="18.75">
      <c r="B102" s="304"/>
      <c r="C102" s="304"/>
      <c r="D102" s="305" t="s">
        <v>0</v>
      </c>
      <c r="E102" s="306" t="s">
        <v>1</v>
      </c>
      <c r="F102" s="306" t="s">
        <v>58</v>
      </c>
      <c r="G102" s="306" t="s">
        <v>59</v>
      </c>
      <c r="H102" s="307" t="s">
        <v>60</v>
      </c>
      <c r="I102" s="272"/>
      <c r="J102" s="272">
        <v>2</v>
      </c>
      <c r="K102" s="454">
        <v>3</v>
      </c>
      <c r="L102">
        <v>1</v>
      </c>
      <c r="M102" t="s">
        <v>61</v>
      </c>
      <c r="N102" t="s">
        <v>62</v>
      </c>
    </row>
    <row r="103" spans="2:21">
      <c r="B103" s="304" t="s">
        <v>35</v>
      </c>
      <c r="C103" s="304">
        <v>1.5900000000000001E-2</v>
      </c>
      <c r="D103" s="308">
        <v>20</v>
      </c>
      <c r="E103" s="309">
        <v>130</v>
      </c>
      <c r="F103" s="304">
        <v>21.131460555282899</v>
      </c>
      <c r="G103" s="304">
        <v>26.289921002979</v>
      </c>
      <c r="H103" s="310">
        <f t="shared" ref="H103" si="28">G103-F103</f>
        <v>5.1584604476961005</v>
      </c>
      <c r="I103" s="272">
        <f>H103/$C103</f>
        <v>324.43147469786794</v>
      </c>
      <c r="J103" s="540">
        <f>H103-0.0159*56+0.0153*129</f>
        <v>6.2417604476961008</v>
      </c>
      <c r="K103" s="454">
        <v>6.3762158099999997</v>
      </c>
      <c r="L103">
        <v>6.434800077843688</v>
      </c>
      <c r="M103">
        <f>AVERAGE(J103:L103)</f>
        <v>6.3509254451799295</v>
      </c>
      <c r="N103">
        <f>_xlfn.STDEV.S(J103:L103)</f>
        <v>9.8973615759092554E-2</v>
      </c>
      <c r="P103">
        <f>N103/M103</f>
        <v>1.5584124961537556E-2</v>
      </c>
    </row>
    <row r="104" spans="2:21">
      <c r="B104" s="304" t="s">
        <v>22</v>
      </c>
      <c r="C104" s="304">
        <f>0.3*0.75</f>
        <v>0.22499999999999998</v>
      </c>
      <c r="D104" s="308">
        <v>20</v>
      </c>
      <c r="E104" s="309">
        <v>100</v>
      </c>
      <c r="F104" s="304">
        <v>21.2187248717978</v>
      </c>
      <c r="G104" s="304">
        <v>23.491114171809802</v>
      </c>
      <c r="H104" s="310">
        <f>G104-F104</f>
        <v>2.2723893000120015</v>
      </c>
      <c r="I104" s="272">
        <f>H104/$C103</f>
        <v>142.91756603849066</v>
      </c>
      <c r="J104" s="540">
        <v>5.4348000778436916</v>
      </c>
      <c r="K104" s="454">
        <v>5.5757418032134698</v>
      </c>
      <c r="L104">
        <v>5.4363556499999977</v>
      </c>
      <c r="M104" s="320">
        <f>AVERAGE(J104:L104)</f>
        <v>5.4822991770190539</v>
      </c>
      <c r="N104" s="320">
        <f t="shared" ref="N104:N105" si="29">_xlfn.STDEV.S(J104:L104)</f>
        <v>8.0927425782397755E-2</v>
      </c>
      <c r="P104" s="320">
        <f t="shared" ref="P104:P105" si="30">N104/M104</f>
        <v>1.4761585088539668E-2</v>
      </c>
      <c r="Q104" s="302"/>
      <c r="R104" s="302"/>
      <c r="T104" s="302"/>
      <c r="U104" s="302"/>
    </row>
    <row r="105" spans="2:21">
      <c r="B105" s="304" t="s">
        <v>36</v>
      </c>
      <c r="C105" s="304">
        <f>C104/C103</f>
        <v>14.150943396226413</v>
      </c>
      <c r="D105" s="311">
        <v>30</v>
      </c>
      <c r="E105" s="312">
        <v>130</v>
      </c>
      <c r="F105" s="313">
        <v>21.252535566838699</v>
      </c>
      <c r="G105" s="313">
        <v>24.759845421305023</v>
      </c>
      <c r="H105" s="314">
        <f>G105-F105</f>
        <v>3.5073098544663246</v>
      </c>
      <c r="I105" s="272">
        <f>H105/$C103</f>
        <v>220.5855254381336</v>
      </c>
      <c r="J105" s="320">
        <f t="shared" ref="J105" si="31">H105-N123+J123</f>
        <v>3.4589095839862436</v>
      </c>
      <c r="K105" s="454">
        <v>3.410850530000002</v>
      </c>
      <c r="L105">
        <v>4.1018242568600058</v>
      </c>
      <c r="M105" s="320">
        <f t="shared" ref="M105" si="32">AVERAGE(J105:L105)</f>
        <v>3.6571947902820838</v>
      </c>
      <c r="N105" s="320">
        <f t="shared" si="29"/>
        <v>0.38580946084762974</v>
      </c>
      <c r="P105" s="320">
        <f t="shared" si="30"/>
        <v>0.10549327639665368</v>
      </c>
      <c r="Q105" s="302"/>
      <c r="R105" s="302"/>
      <c r="T105" s="302"/>
      <c r="U105" s="302"/>
    </row>
    <row r="106" spans="2:21">
      <c r="B106" s="304"/>
      <c r="C106" s="304"/>
      <c r="D106" s="315"/>
      <c r="E106" s="315"/>
      <c r="F106" s="304"/>
      <c r="G106" s="304"/>
      <c r="H106" s="319"/>
      <c r="I106" s="272"/>
      <c r="J106" s="301"/>
      <c r="M106" s="317"/>
      <c r="N106" s="317"/>
      <c r="P106" s="317"/>
      <c r="Q106" s="302"/>
      <c r="R106" s="302"/>
      <c r="T106" s="302"/>
      <c r="U106" s="302"/>
    </row>
    <row r="107" spans="2:21">
      <c r="B107" s="304"/>
      <c r="C107" s="304"/>
      <c r="D107" s="315"/>
      <c r="E107" s="315"/>
      <c r="F107" s="304"/>
      <c r="G107" s="304"/>
      <c r="H107" s="316"/>
      <c r="I107" s="300"/>
      <c r="J107" s="272"/>
      <c r="M107" s="317"/>
      <c r="N107" s="317"/>
      <c r="P107" s="317"/>
      <c r="Q107" s="302"/>
      <c r="R107" s="302"/>
      <c r="T107" s="302"/>
      <c r="U107" s="302"/>
    </row>
    <row r="108" spans="2:21" ht="18.75">
      <c r="B108" s="304"/>
      <c r="C108" s="304"/>
      <c r="D108" s="305" t="s">
        <v>0</v>
      </c>
      <c r="E108" s="306" t="s">
        <v>1</v>
      </c>
      <c r="F108" s="306" t="s">
        <v>58</v>
      </c>
      <c r="G108" s="306" t="s">
        <v>59</v>
      </c>
      <c r="H108" s="307" t="s">
        <v>60</v>
      </c>
      <c r="I108" s="272"/>
      <c r="J108" s="317"/>
      <c r="M108" s="317"/>
      <c r="N108" s="317"/>
      <c r="P108" s="317"/>
      <c r="Q108" s="302"/>
      <c r="R108" s="302"/>
      <c r="T108" s="302"/>
      <c r="U108" s="302"/>
    </row>
    <row r="109" spans="2:21">
      <c r="B109" s="304" t="s">
        <v>37</v>
      </c>
      <c r="C109" s="304">
        <f>0.0125-0.0013</f>
        <v>1.1200000000000002E-2</v>
      </c>
      <c r="D109" s="308">
        <v>15</v>
      </c>
      <c r="E109" s="309">
        <v>133</v>
      </c>
      <c r="F109" s="331">
        <v>21.844433059956604</v>
      </c>
      <c r="G109" s="331">
        <v>25.276440875318102</v>
      </c>
      <c r="H109" s="310">
        <f t="shared" ref="H109" si="33">G109-F109</f>
        <v>3.4320078153614979</v>
      </c>
      <c r="I109" s="272">
        <f>H109/$C109</f>
        <v>306.42926922870515</v>
      </c>
      <c r="J109" s="320">
        <f>H109-0.0112*56+0.02*129</f>
        <v>5.3848078153614978</v>
      </c>
      <c r="K109" s="454">
        <v>5.5197634077527278</v>
      </c>
      <c r="L109">
        <v>5.9141171899999998</v>
      </c>
      <c r="M109" s="320">
        <f>AVERAGE(J109:L109)</f>
        <v>5.6062294710380742</v>
      </c>
      <c r="N109" s="320">
        <f>_xlfn.STDEV.S(J109:L109)</f>
        <v>0.27504433932567995</v>
      </c>
      <c r="P109" s="320">
        <f>N109/M109</f>
        <v>4.9060485437951849E-2</v>
      </c>
      <c r="Q109" s="302"/>
      <c r="R109" s="302"/>
      <c r="T109" s="302"/>
      <c r="U109" s="302"/>
    </row>
    <row r="110" spans="2:21">
      <c r="B110" s="304"/>
      <c r="C110" s="304">
        <f>0.3*0.5</f>
        <v>0.15</v>
      </c>
      <c r="D110" s="308">
        <v>20</v>
      </c>
      <c r="E110" s="309">
        <v>100</v>
      </c>
      <c r="F110" s="331">
        <v>21.679402689898172</v>
      </c>
      <c r="G110" s="331">
        <v>23.573433522786718</v>
      </c>
      <c r="H110" s="310">
        <f>G110-F110</f>
        <v>1.8940308328885465</v>
      </c>
      <c r="I110" s="272">
        <f>H110/$C109</f>
        <v>169.10989579362018</v>
      </c>
      <c r="J110" s="540">
        <f>H110-0.0112*46+0.02*107</f>
        <v>3.5188308328885465</v>
      </c>
      <c r="L110">
        <v>1.6343688640834646</v>
      </c>
      <c r="M110" s="320">
        <f t="shared" ref="M110:M111" si="34">AVERAGE(J110:L110)</f>
        <v>2.5765998484860058</v>
      </c>
      <c r="N110" s="320">
        <f t="shared" ref="N110:N111" si="35">_xlfn.STDEV.S(J110:L110)</f>
        <v>1.332515837030225</v>
      </c>
      <c r="P110" s="320">
        <f t="shared" ref="P110:P111" si="36">N110/M110</f>
        <v>0.51716056640040675</v>
      </c>
    </row>
    <row r="111" spans="2:21">
      <c r="B111" s="304"/>
      <c r="C111" s="304">
        <f>C110/C109</f>
        <v>13.392857142857141</v>
      </c>
      <c r="D111" s="311">
        <v>30</v>
      </c>
      <c r="E111" s="312">
        <v>130</v>
      </c>
      <c r="F111" s="332">
        <v>22.197218072248578</v>
      </c>
      <c r="G111" s="332">
        <v>24.815907973999298</v>
      </c>
      <c r="H111" s="314">
        <f>G111-F111</f>
        <v>2.6186899017507201</v>
      </c>
      <c r="I111" s="272">
        <f>H111/$C109</f>
        <v>233.81159837059997</v>
      </c>
      <c r="J111" s="540">
        <f t="shared" ref="J111" si="37">H111--0.0112*56+0.02*129</f>
        <v>5.8258899017507204</v>
      </c>
      <c r="L111">
        <v>2.6656041390518688</v>
      </c>
      <c r="M111" s="320">
        <f t="shared" si="34"/>
        <v>4.2457470204012946</v>
      </c>
      <c r="N111" s="320">
        <f t="shared" si="35"/>
        <v>2.2346594932916566</v>
      </c>
      <c r="P111" s="320">
        <f t="shared" si="36"/>
        <v>0.52632893164709649</v>
      </c>
    </row>
    <row r="112" spans="2:21">
      <c r="B112" s="304"/>
      <c r="C112" s="304"/>
      <c r="D112" s="304"/>
      <c r="E112" s="304"/>
      <c r="F112" s="304"/>
      <c r="G112" s="304"/>
      <c r="H112" s="304"/>
      <c r="I112" s="272"/>
      <c r="J112" s="272"/>
    </row>
    <row r="113" spans="1:17">
      <c r="B113" s="304"/>
      <c r="C113" s="304"/>
      <c r="D113" s="304"/>
      <c r="E113" s="304"/>
      <c r="F113" s="304"/>
      <c r="G113" s="304"/>
      <c r="H113" s="304"/>
      <c r="I113" s="272"/>
      <c r="J113" s="272"/>
    </row>
    <row r="114" spans="1:17" ht="18.75">
      <c r="B114" s="304"/>
      <c r="C114" s="304"/>
      <c r="D114" s="305" t="s">
        <v>0</v>
      </c>
      <c r="E114" s="306" t="s">
        <v>1</v>
      </c>
      <c r="F114" s="306" t="s">
        <v>58</v>
      </c>
      <c r="G114" s="306" t="s">
        <v>59</v>
      </c>
      <c r="H114" s="307" t="s">
        <v>60</v>
      </c>
      <c r="I114" s="272"/>
      <c r="J114" s="272"/>
    </row>
    <row r="115" spans="1:17">
      <c r="B115" s="304" t="s">
        <v>38</v>
      </c>
      <c r="C115" s="304">
        <f>0.0085-0.0005</f>
        <v>8.0000000000000002E-3</v>
      </c>
      <c r="D115" s="308">
        <v>20</v>
      </c>
      <c r="E115" s="309">
        <v>130</v>
      </c>
      <c r="F115" s="331">
        <v>21.847040763320965</v>
      </c>
      <c r="G115" s="331">
        <v>23.678180198561002</v>
      </c>
      <c r="H115" s="310">
        <f t="shared" ref="H115" si="38">G115-F115</f>
        <v>1.8311394352400363</v>
      </c>
      <c r="I115" s="272">
        <f>H115/$C115</f>
        <v>228.89242940500452</v>
      </c>
      <c r="J115" s="540">
        <f>H115-0.008*56+0.02*129</f>
        <v>3.9631394352400364</v>
      </c>
      <c r="L115">
        <v>3.6758885667257002</v>
      </c>
      <c r="M115" s="320">
        <f>AVERAGE(J115:L115)</f>
        <v>3.8195140009828683</v>
      </c>
      <c r="N115" s="320">
        <f>_xlfn.STDEV.S(J115:L115)</f>
        <v>0.20311703702821249</v>
      </c>
      <c r="P115" s="320">
        <f>N115/M115</f>
        <v>5.3178764883685399E-2</v>
      </c>
    </row>
    <row r="116" spans="1:17">
      <c r="B116" s="304"/>
      <c r="C116" s="304">
        <f>0.3*0.25</f>
        <v>7.4999999999999997E-2</v>
      </c>
      <c r="D116" s="308">
        <v>20</v>
      </c>
      <c r="E116" s="309">
        <v>100</v>
      </c>
      <c r="F116" s="331">
        <v>21.672697166961264</v>
      </c>
      <c r="G116" s="331">
        <v>22.549537423225487</v>
      </c>
      <c r="H116" s="310">
        <f>G116-F116</f>
        <v>0.87684025626422368</v>
      </c>
      <c r="I116" s="272">
        <f>H116/$C115</f>
        <v>109.60503203302795</v>
      </c>
      <c r="J116" s="320">
        <f>H116-0.008*46+0.02*107</f>
        <v>2.6488402562642239</v>
      </c>
      <c r="L116">
        <v>1.2703187899557662</v>
      </c>
      <c r="M116" s="320">
        <f t="shared" ref="M116:M117" si="39">AVERAGE(J116:L116)</f>
        <v>1.9595795231099951</v>
      </c>
      <c r="N116" s="320">
        <f t="shared" ref="N116:N117" si="40">_xlfn.STDEV.S(J116:L116)</f>
        <v>0.97476187683793269</v>
      </c>
      <c r="P116" s="320">
        <f t="shared" ref="P116:P117" si="41">N116/M116</f>
        <v>0.49743420225728568</v>
      </c>
    </row>
    <row r="117" spans="1:17">
      <c r="B117" s="304"/>
      <c r="C117" s="304">
        <f>C116/C115</f>
        <v>9.375</v>
      </c>
      <c r="D117" s="311">
        <v>30</v>
      </c>
      <c r="E117" s="312">
        <v>130</v>
      </c>
      <c r="F117" s="332">
        <v>22.195169162462303</v>
      </c>
      <c r="G117" s="332">
        <v>23.569056310000001</v>
      </c>
      <c r="H117" s="314">
        <f>G117-F117</f>
        <v>1.3738871475376975</v>
      </c>
      <c r="I117" s="272">
        <f>H117/$C115</f>
        <v>171.73589344221219</v>
      </c>
      <c r="J117" s="320">
        <f t="shared" ref="J117" si="42">H117-L123+J123</f>
        <v>1.9627571050453438</v>
      </c>
      <c r="L117">
        <v>1.879286776536484</v>
      </c>
      <c r="M117" s="320">
        <f t="shared" si="39"/>
        <v>1.9210219407909139</v>
      </c>
      <c r="N117" s="320">
        <f t="shared" si="40"/>
        <v>5.9022435316483587E-2</v>
      </c>
      <c r="P117" s="320">
        <f t="shared" si="41"/>
        <v>3.0724498280422115E-2</v>
      </c>
    </row>
    <row r="118" spans="1:17">
      <c r="B118" s="304"/>
      <c r="C118" s="304"/>
      <c r="D118" s="304"/>
      <c r="E118" s="304"/>
      <c r="F118" s="304"/>
      <c r="G118" s="304"/>
      <c r="H118" s="304"/>
      <c r="I118" s="272"/>
      <c r="J118" s="272"/>
    </row>
    <row r="119" spans="1:17">
      <c r="B119" s="304"/>
      <c r="C119" s="304"/>
      <c r="D119" s="304"/>
      <c r="E119" s="304"/>
      <c r="F119" s="304"/>
      <c r="G119" s="304"/>
      <c r="H119" s="304"/>
      <c r="I119" s="272"/>
      <c r="J119" s="272"/>
    </row>
    <row r="120" spans="1:17" ht="18.75">
      <c r="B120" s="304"/>
      <c r="C120" s="304"/>
      <c r="D120" s="305" t="s">
        <v>0</v>
      </c>
      <c r="E120" s="306" t="s">
        <v>1</v>
      </c>
      <c r="F120" s="306" t="s">
        <v>58</v>
      </c>
      <c r="G120" s="306" t="s">
        <v>59</v>
      </c>
      <c r="H120" s="307" t="s">
        <v>60</v>
      </c>
      <c r="I120" s="272"/>
      <c r="J120" s="272"/>
      <c r="L120">
        <v>0.25</v>
      </c>
      <c r="M120">
        <v>0.5</v>
      </c>
      <c r="N120">
        <v>0.75</v>
      </c>
    </row>
    <row r="121" spans="1:17">
      <c r="B121" s="333" t="s">
        <v>79</v>
      </c>
      <c r="C121" s="333">
        <f>0.0091-0.0009</f>
        <v>8.2000000000000007E-3</v>
      </c>
      <c r="D121" s="335">
        <v>20</v>
      </c>
      <c r="E121" s="336">
        <v>130</v>
      </c>
      <c r="F121" s="337">
        <v>21.748413696790564</v>
      </c>
      <c r="G121" s="337">
        <v>22.214447540905919</v>
      </c>
      <c r="H121" s="338">
        <f t="shared" ref="H121" si="43">G121-F121</f>
        <v>0.46603384411535487</v>
      </c>
      <c r="I121" s="343">
        <f>H121/$C121</f>
        <v>56.833395623823762</v>
      </c>
      <c r="J121" s="272">
        <f>I121*0.0153</f>
        <v>0.86955095304450347</v>
      </c>
      <c r="L121">
        <f>I121*0.008</f>
        <v>0.45466716499059012</v>
      </c>
      <c r="M121">
        <f>I121*0.0112</f>
        <v>0.63653403098682615</v>
      </c>
      <c r="N121" s="398">
        <f>I121*0.0159</f>
        <v>0.90365099041879782</v>
      </c>
    </row>
    <row r="122" spans="1:17">
      <c r="B122" s="333" t="s">
        <v>41</v>
      </c>
      <c r="C122" s="333"/>
      <c r="D122" s="335">
        <v>20</v>
      </c>
      <c r="E122" s="336">
        <v>100</v>
      </c>
      <c r="F122" s="337">
        <v>21.85216303778666</v>
      </c>
      <c r="G122" s="337">
        <v>22.206065637234779</v>
      </c>
      <c r="H122" s="338">
        <f>G122-F122</f>
        <v>0.3539025994481193</v>
      </c>
      <c r="I122" s="343">
        <f>H122/$C121</f>
        <v>43.158853591234056</v>
      </c>
      <c r="J122" s="272">
        <f>I122*0.0153</f>
        <v>0.66033045994588102</v>
      </c>
      <c r="L122" s="318">
        <f t="shared" ref="L122:L123" si="44">I122*0.008</f>
        <v>0.34527082872987247</v>
      </c>
      <c r="M122" s="318">
        <f t="shared" ref="M122:M123" si="45">I122*0.0112</f>
        <v>0.48337916022182142</v>
      </c>
      <c r="N122" s="398">
        <f>I122*0.0159</f>
        <v>0.68622577210062152</v>
      </c>
    </row>
    <row r="123" spans="1:17">
      <c r="B123" s="333"/>
      <c r="C123" s="333"/>
      <c r="D123" s="339">
        <v>30</v>
      </c>
      <c r="E123" s="340">
        <v>130</v>
      </c>
      <c r="F123" s="341">
        <v>21.746737316056333</v>
      </c>
      <c r="G123" s="341">
        <v>22.4082076792841</v>
      </c>
      <c r="H123" s="342">
        <f>G123-F123</f>
        <v>0.66147036322776742</v>
      </c>
      <c r="I123" s="343">
        <f>H123/$C121</f>
        <v>80.667117466800903</v>
      </c>
      <c r="J123" s="272">
        <f>I123*0.0153</f>
        <v>1.2342068972420537</v>
      </c>
      <c r="L123" s="318">
        <f t="shared" si="44"/>
        <v>0.6453369397344072</v>
      </c>
      <c r="M123" s="318">
        <f t="shared" si="45"/>
        <v>0.90347171562817008</v>
      </c>
      <c r="N123" s="318">
        <f>I123*0.0159</f>
        <v>1.2826071677221345</v>
      </c>
    </row>
    <row r="124" spans="1:17">
      <c r="C124" s="272"/>
      <c r="D124" s="272"/>
      <c r="E124" s="272"/>
      <c r="F124" s="272"/>
      <c r="G124" s="272"/>
      <c r="H124" s="272"/>
      <c r="I124" s="272"/>
      <c r="J124" s="272"/>
    </row>
    <row r="125" spans="1:17">
      <c r="C125" s="272"/>
      <c r="D125" s="272"/>
      <c r="E125" s="272"/>
      <c r="F125" s="272"/>
      <c r="G125" s="272"/>
      <c r="H125" s="272"/>
      <c r="I125" s="272"/>
      <c r="J125" s="272"/>
    </row>
    <row r="126" spans="1:17" ht="18.75">
      <c r="B126" t="s">
        <v>63</v>
      </c>
      <c r="C126" s="365"/>
      <c r="D126" s="366" t="s">
        <v>0</v>
      </c>
      <c r="E126" s="367" t="s">
        <v>1</v>
      </c>
      <c r="F126" s="367" t="s">
        <v>65</v>
      </c>
      <c r="G126" s="367" t="s">
        <v>66</v>
      </c>
      <c r="H126" s="368" t="s">
        <v>67</v>
      </c>
      <c r="I126" s="365"/>
    </row>
    <row r="127" spans="1:17">
      <c r="A127" s="4">
        <v>42333</v>
      </c>
      <c r="B127">
        <v>3.0700000000000002E-2</v>
      </c>
      <c r="C127" s="356">
        <f>0.0307-0.0177</f>
        <v>1.3000000000000001E-2</v>
      </c>
      <c r="D127" s="434">
        <v>20</v>
      </c>
      <c r="E127" s="435">
        <v>130</v>
      </c>
      <c r="F127" s="433">
        <v>22.892822944690174</v>
      </c>
      <c r="G127" s="433">
        <v>27.530343474766202</v>
      </c>
      <c r="H127" s="436">
        <f t="shared" ref="H127" si="46">G127-F127</f>
        <v>4.6375205300760278</v>
      </c>
      <c r="I127" s="356">
        <f>H127/$C$127</f>
        <v>356.73234846738671</v>
      </c>
      <c r="J127" s="324">
        <f>H127+H130</f>
        <v>9.7785140739985295</v>
      </c>
      <c r="L127" s="324">
        <f>J127-0.0187*80+0.0153*56</f>
        <v>9.1393140739985288</v>
      </c>
      <c r="N127" s="399"/>
      <c r="P127" s="400"/>
    </row>
    <row r="128" spans="1:17">
      <c r="C128" s="356">
        <f>0.3*1.25</f>
        <v>0.375</v>
      </c>
      <c r="D128" s="434">
        <v>20</v>
      </c>
      <c r="E128" s="435">
        <v>100</v>
      </c>
      <c r="F128" s="433">
        <v>22.553635242798034</v>
      </c>
      <c r="G128" s="433">
        <v>25.056810948658601</v>
      </c>
      <c r="H128" s="436">
        <f>G128-F128</f>
        <v>2.503175705860567</v>
      </c>
      <c r="I128" s="356">
        <f>H128/$C$127</f>
        <v>192.55197737388974</v>
      </c>
      <c r="J128" s="397">
        <f t="shared" ref="J128:J129" si="47">H128+H131</f>
        <v>8.0387404584134039</v>
      </c>
      <c r="L128" s="397">
        <f>J128-0.0187*56+0.0153*43</f>
        <v>7.6494404584134035</v>
      </c>
      <c r="N128" s="401"/>
      <c r="P128" s="402"/>
      <c r="Q128" s="402"/>
    </row>
    <row r="129" spans="2:17">
      <c r="C129" s="356">
        <f>0.013/B127*C128</f>
        <v>0.15879478827361562</v>
      </c>
      <c r="D129" s="437">
        <v>30</v>
      </c>
      <c r="E129" s="438">
        <v>130</v>
      </c>
      <c r="F129" s="439">
        <v>22.896455102947655</v>
      </c>
      <c r="G129" s="439">
        <v>25.224848671248498</v>
      </c>
      <c r="H129" s="440">
        <f>G129-F129</f>
        <v>2.328393568300843</v>
      </c>
      <c r="I129" s="356">
        <f>H129/$C$127</f>
        <v>179.1071975616033</v>
      </c>
      <c r="J129" s="397">
        <f t="shared" si="47"/>
        <v>4.7818458546308413</v>
      </c>
      <c r="L129" s="397">
        <f>J129-0.0187*120+0.0153*80</f>
        <v>3.7618458546308409</v>
      </c>
    </row>
    <row r="130" spans="2:17">
      <c r="C130" s="356">
        <f>0.0177</f>
        <v>1.77E-2</v>
      </c>
      <c r="D130" s="434">
        <v>20</v>
      </c>
      <c r="E130" s="435">
        <v>130</v>
      </c>
      <c r="F130" s="433">
        <v>22.210638327040598</v>
      </c>
      <c r="G130" s="433">
        <v>27.3516318709631</v>
      </c>
      <c r="H130" s="436">
        <f t="shared" ref="H130" si="48">G130-F130</f>
        <v>5.1409935439225016</v>
      </c>
      <c r="I130" s="356">
        <f>H130/$C$130</f>
        <v>290.45161265098881</v>
      </c>
      <c r="J130" s="334"/>
      <c r="L130" s="326"/>
      <c r="M130" s="326"/>
      <c r="N130" s="326"/>
    </row>
    <row r="131" spans="2:17">
      <c r="C131" s="356">
        <f>0.3*1.25</f>
        <v>0.375</v>
      </c>
      <c r="D131" s="434">
        <v>20</v>
      </c>
      <c r="E131" s="435">
        <v>100</v>
      </c>
      <c r="F131" s="433">
        <v>23.231917514319264</v>
      </c>
      <c r="G131" s="433">
        <v>28.767482266872101</v>
      </c>
      <c r="H131" s="436">
        <f>G131-F131</f>
        <v>5.5355647525528369</v>
      </c>
      <c r="I131" s="356">
        <f t="shared" ref="I131:I132" si="49">H131/$C$130</f>
        <v>312.74377133066872</v>
      </c>
      <c r="J131" s="334"/>
      <c r="L131" s="325"/>
      <c r="P131" s="327"/>
      <c r="Q131" s="327"/>
    </row>
    <row r="132" spans="2:17">
      <c r="C132" s="356">
        <f>C130/B127*C131</f>
        <v>0.21620521172638438</v>
      </c>
      <c r="D132" s="437">
        <v>30</v>
      </c>
      <c r="E132" s="438">
        <v>130</v>
      </c>
      <c r="F132" s="439">
        <v>22.097993320107101</v>
      </c>
      <c r="G132" s="439">
        <v>24.551445606437099</v>
      </c>
      <c r="H132" s="440">
        <f>G132-F132</f>
        <v>2.4534522863299983</v>
      </c>
      <c r="I132" s="356">
        <f t="shared" si="49"/>
        <v>138.61312352146882</v>
      </c>
      <c r="J132" s="334"/>
      <c r="L132" s="327"/>
      <c r="M132" s="327"/>
      <c r="N132" s="327"/>
      <c r="P132" s="327"/>
      <c r="Q132" s="327"/>
    </row>
    <row r="133" spans="2:17">
      <c r="C133" s="356"/>
      <c r="D133" s="356"/>
      <c r="E133" s="356"/>
      <c r="F133" s="357"/>
      <c r="G133" s="357"/>
      <c r="H133" s="358"/>
      <c r="I133" s="356"/>
    </row>
    <row r="134" spans="2:17">
      <c r="C134" s="365"/>
      <c r="D134" s="365"/>
      <c r="E134" s="365"/>
      <c r="F134" s="365"/>
      <c r="G134" s="365"/>
      <c r="H134" s="365"/>
      <c r="I134" s="365"/>
      <c r="K134" s="454">
        <f>K136-0.0186*56+0.02*129</f>
        <v>9.42023408271276</v>
      </c>
    </row>
    <row r="135" spans="2:17" ht="18.75">
      <c r="C135" s="365"/>
      <c r="D135" s="366" t="s">
        <v>0</v>
      </c>
      <c r="E135" s="367" t="s">
        <v>1</v>
      </c>
      <c r="F135" s="367" t="s">
        <v>65</v>
      </c>
      <c r="G135" s="367" t="s">
        <v>66</v>
      </c>
      <c r="H135" s="368" t="s">
        <v>67</v>
      </c>
      <c r="I135" s="365"/>
      <c r="K135" s="540">
        <f>K137-0.0186*46+0.02*107</f>
        <v>8.0379638364293324</v>
      </c>
      <c r="L135">
        <v>1</v>
      </c>
      <c r="M135">
        <v>2</v>
      </c>
      <c r="N135" t="s">
        <v>61</v>
      </c>
      <c r="P135" t="s">
        <v>62</v>
      </c>
      <c r="Q135" t="s">
        <v>69</v>
      </c>
    </row>
    <row r="136" spans="2:17">
      <c r="B136" t="s">
        <v>31</v>
      </c>
      <c r="C136" s="365">
        <f>0.0265-0.0079</f>
        <v>1.8599999999999998E-2</v>
      </c>
      <c r="D136" s="369">
        <v>20</v>
      </c>
      <c r="E136" s="370">
        <v>130</v>
      </c>
      <c r="F136" s="371">
        <v>22.751541301699969</v>
      </c>
      <c r="G136" s="371">
        <v>27.8954823252846</v>
      </c>
      <c r="H136" s="372">
        <f t="shared" ref="H136" si="50">G136-F136</f>
        <v>5.143941023584631</v>
      </c>
      <c r="I136" s="365">
        <f>H136/$C136</f>
        <v>276.5559690099264</v>
      </c>
      <c r="J136">
        <f>H136-(0.0186*70)+(0.0153*56)</f>
        <v>4.6987410235846312</v>
      </c>
      <c r="K136" s="454">
        <f>H136+H139</f>
        <v>7.8818340827127606</v>
      </c>
      <c r="L136" s="377">
        <v>9.42023408271276</v>
      </c>
      <c r="M136">
        <v>9.4593080700000005</v>
      </c>
      <c r="N136" s="379">
        <f>AVERAGE(L136:M136)</f>
        <v>9.4397710763563794</v>
      </c>
      <c r="P136">
        <f>_xlfn.STDEV.S(L136:M136)</f>
        <v>2.7629481378804735E-2</v>
      </c>
      <c r="Q136">
        <f>P136/N136</f>
        <v>2.9269228199831866E-3</v>
      </c>
    </row>
    <row r="137" spans="2:17">
      <c r="C137" s="365">
        <f>0.3*1</f>
        <v>0.3</v>
      </c>
      <c r="D137" s="369">
        <v>20</v>
      </c>
      <c r="E137" s="370">
        <v>100</v>
      </c>
      <c r="F137" s="371">
        <v>22.203737330659465</v>
      </c>
      <c r="G137" s="371">
        <v>26.5497692257028</v>
      </c>
      <c r="H137" s="372">
        <f>G137-F137</f>
        <v>4.3460318950433354</v>
      </c>
      <c r="I137" s="365">
        <f>H137/$C136</f>
        <v>233.65762876577074</v>
      </c>
      <c r="J137" s="378">
        <f>H137-(0.0186*53)+(0.0153*43)</f>
        <v>4.0181318950433358</v>
      </c>
      <c r="K137" s="540">
        <f>H137+H140</f>
        <v>6.7535638364293327</v>
      </c>
      <c r="L137" s="377">
        <f t="shared" ref="L137:L138" si="51">J137+J140</f>
        <v>5.9890638364293327</v>
      </c>
      <c r="M137" s="379">
        <v>3.2592233278658069</v>
      </c>
      <c r="N137" s="489">
        <f t="shared" ref="N137:N138" si="52">AVERAGE(L137:M137)</f>
        <v>4.6241435821475694</v>
      </c>
      <c r="P137" s="489">
        <f t="shared" ref="P137:P138" si="53">_xlfn.STDEV.S(L137:M137)</f>
        <v>1.930288735163006</v>
      </c>
      <c r="Q137" s="489">
        <f t="shared" ref="Q137:Q138" si="54">P137/N137</f>
        <v>0.41743702393136572</v>
      </c>
    </row>
    <row r="138" spans="2:17">
      <c r="C138" s="365">
        <f>C136/0.026*C137</f>
        <v>0.21461538461538462</v>
      </c>
      <c r="D138" s="373">
        <v>30</v>
      </c>
      <c r="E138" s="374">
        <v>130</v>
      </c>
      <c r="F138" s="375">
        <v>23.273899184101801</v>
      </c>
      <c r="G138" s="375">
        <v>27.6179092894739</v>
      </c>
      <c r="H138" s="376">
        <f>G138-F138</f>
        <v>4.3440101053720994</v>
      </c>
      <c r="I138" s="365">
        <f>H138/$C136</f>
        <v>233.54893039634945</v>
      </c>
      <c r="J138" s="378">
        <f>H138-(0.0186*110)+(0.0153*80)</f>
        <v>3.5220101053720994</v>
      </c>
      <c r="L138" s="377">
        <f t="shared" si="51"/>
        <v>4.9502803808617974</v>
      </c>
      <c r="M138" s="379">
        <v>4.992293639999998</v>
      </c>
      <c r="N138" s="489">
        <f t="shared" si="52"/>
        <v>4.9712870104308973</v>
      </c>
      <c r="P138" s="489">
        <f t="shared" si="53"/>
        <v>2.9707860436369284E-2</v>
      </c>
      <c r="Q138" s="489">
        <f t="shared" si="54"/>
        <v>5.9758892162201449E-3</v>
      </c>
    </row>
    <row r="139" spans="2:17">
      <c r="C139" s="365">
        <f>0.0079-0.0005</f>
        <v>7.4000000000000003E-3</v>
      </c>
      <c r="D139" s="369">
        <v>20</v>
      </c>
      <c r="E139" s="370">
        <v>130</v>
      </c>
      <c r="F139" s="371">
        <v>23.226702107590569</v>
      </c>
      <c r="G139" s="371">
        <v>25.964595166718698</v>
      </c>
      <c r="H139" s="372">
        <f t="shared" ref="H139" si="55">G139-F139</f>
        <v>2.7378930591281296</v>
      </c>
      <c r="I139" s="365">
        <f>H139/$C139</f>
        <v>369.98554853082834</v>
      </c>
      <c r="J139" s="378">
        <f>H139-(0.0074*70)</f>
        <v>2.2198930591281298</v>
      </c>
      <c r="L139" s="353"/>
    </row>
    <row r="140" spans="2:17">
      <c r="C140" s="365">
        <f>0.3*1</f>
        <v>0.3</v>
      </c>
      <c r="D140" s="369">
        <v>20</v>
      </c>
      <c r="E140" s="370">
        <v>100</v>
      </c>
      <c r="F140" s="371">
        <v>22.161269018725704</v>
      </c>
      <c r="G140" s="371">
        <v>24.568800960111702</v>
      </c>
      <c r="H140" s="372">
        <f>G140-F140</f>
        <v>2.4075319413859972</v>
      </c>
      <c r="I140" s="365">
        <f>H140/$C139</f>
        <v>325.34215424135095</v>
      </c>
      <c r="J140" s="378">
        <f>H140-(0.0074*59)</f>
        <v>1.9709319413859971</v>
      </c>
      <c r="M140" s="352"/>
      <c r="N140" s="352"/>
    </row>
    <row r="141" spans="2:17">
      <c r="C141" s="365">
        <f>C139/0.026*C140</f>
        <v>8.5384615384615392E-2</v>
      </c>
      <c r="D141" s="373">
        <v>30</v>
      </c>
      <c r="E141" s="374">
        <v>130</v>
      </c>
      <c r="F141" s="375">
        <v>23.261698857647101</v>
      </c>
      <c r="G141" s="375">
        <v>25.503969133136799</v>
      </c>
      <c r="H141" s="376">
        <f>G141-F141</f>
        <v>2.2422702754896982</v>
      </c>
      <c r="I141" s="365">
        <f>H141/$C139</f>
        <v>303.00949668779703</v>
      </c>
      <c r="J141" s="378">
        <f>H141-(0.0074*110)</f>
        <v>1.4282702754896981</v>
      </c>
      <c r="L141" s="355"/>
      <c r="M141" s="355"/>
    </row>
    <row r="142" spans="2:17">
      <c r="C142" s="365"/>
      <c r="D142" s="365"/>
      <c r="E142" s="377"/>
      <c r="F142" s="365"/>
      <c r="G142" s="365"/>
      <c r="H142" s="365"/>
      <c r="I142" s="365"/>
    </row>
    <row r="143" spans="2:17">
      <c r="C143" s="365"/>
      <c r="D143" s="365"/>
      <c r="E143" s="377"/>
      <c r="F143" s="365"/>
      <c r="G143" s="365"/>
      <c r="H143" s="365"/>
      <c r="I143" s="365"/>
    </row>
    <row r="144" spans="2:17">
      <c r="C144" s="365"/>
      <c r="D144" s="365"/>
      <c r="E144" s="377"/>
      <c r="F144" s="365"/>
      <c r="G144" s="365"/>
      <c r="H144" s="365"/>
      <c r="I144" s="365"/>
    </row>
    <row r="145" spans="2:17">
      <c r="C145" s="365"/>
      <c r="D145" s="365"/>
      <c r="E145" s="365"/>
      <c r="F145" s="365"/>
      <c r="G145" s="365"/>
      <c r="H145" s="365"/>
      <c r="I145" s="365"/>
    </row>
    <row r="146" spans="2:17" ht="18.75">
      <c r="B146" t="s">
        <v>64</v>
      </c>
      <c r="C146" s="377"/>
      <c r="D146" s="380" t="s">
        <v>0</v>
      </c>
      <c r="E146" s="381" t="s">
        <v>1</v>
      </c>
      <c r="F146" s="381" t="s">
        <v>65</v>
      </c>
      <c r="G146" s="381" t="s">
        <v>66</v>
      </c>
      <c r="H146" s="382" t="s">
        <v>67</v>
      </c>
      <c r="I146" s="377"/>
    </row>
    <row r="147" spans="2:17">
      <c r="C147" s="377">
        <f>0.0116</f>
        <v>1.1599999999999999E-2</v>
      </c>
      <c r="D147" s="383">
        <v>20</v>
      </c>
      <c r="E147" s="384">
        <v>130</v>
      </c>
      <c r="F147" s="385">
        <v>23.011242151930499</v>
      </c>
      <c r="G147" s="385">
        <v>23.941513207048999</v>
      </c>
      <c r="H147" s="386">
        <f t="shared" ref="H147" si="56">G147-F147</f>
        <v>0.93027105511849939</v>
      </c>
      <c r="I147" s="377">
        <f>H147/$C147</f>
        <v>80.195780613663743</v>
      </c>
      <c r="J147" s="268"/>
      <c r="K147" s="268"/>
    </row>
    <row r="148" spans="2:17">
      <c r="B148" t="s">
        <v>68</v>
      </c>
      <c r="C148" s="377"/>
      <c r="D148" s="383">
        <v>20</v>
      </c>
      <c r="E148" s="384">
        <v>100</v>
      </c>
      <c r="F148" s="385">
        <v>23.045445742931701</v>
      </c>
      <c r="G148" s="385">
        <v>23.7314441252616</v>
      </c>
      <c r="H148" s="386">
        <f>G148-F148</f>
        <v>0.68599838232989896</v>
      </c>
      <c r="I148" s="377">
        <f>H148/$C147</f>
        <v>59.137791580163707</v>
      </c>
      <c r="J148" s="268"/>
      <c r="K148" s="268"/>
      <c r="L148" s="354"/>
    </row>
    <row r="149" spans="2:17">
      <c r="C149" s="377"/>
      <c r="D149" s="387">
        <v>30</v>
      </c>
      <c r="E149" s="388">
        <v>130</v>
      </c>
      <c r="F149" s="389">
        <v>22.880343221446459</v>
      </c>
      <c r="G149" s="389">
        <v>24.274364845416802</v>
      </c>
      <c r="H149" s="390">
        <f>G149-F149</f>
        <v>1.3940216239703425</v>
      </c>
      <c r="I149" s="377">
        <f>H149/$C147</f>
        <v>120.17427792847781</v>
      </c>
      <c r="J149" s="268"/>
      <c r="K149" s="268"/>
      <c r="L149" s="354"/>
    </row>
    <row r="152" spans="2:17" ht="18.75">
      <c r="B152" t="s">
        <v>105</v>
      </c>
      <c r="C152" s="365"/>
      <c r="D152" s="366" t="s">
        <v>0</v>
      </c>
      <c r="E152" s="367" t="s">
        <v>1</v>
      </c>
      <c r="F152" s="367" t="s">
        <v>65</v>
      </c>
      <c r="G152" s="367" t="s">
        <v>66</v>
      </c>
      <c r="H152" s="368" t="s">
        <v>67</v>
      </c>
      <c r="I152" s="365"/>
      <c r="J152">
        <v>1</v>
      </c>
      <c r="L152">
        <v>2</v>
      </c>
      <c r="M152">
        <v>3</v>
      </c>
      <c r="N152" t="s">
        <v>61</v>
      </c>
      <c r="P152" t="s">
        <v>62</v>
      </c>
      <c r="Q152" t="s">
        <v>69</v>
      </c>
    </row>
    <row r="153" spans="2:17">
      <c r="C153" s="371">
        <f>0.0123-0.0008</f>
        <v>1.15E-2</v>
      </c>
      <c r="D153" s="369">
        <v>20</v>
      </c>
      <c r="E153" s="370">
        <v>130</v>
      </c>
      <c r="F153" s="371">
        <v>22.497548639628199</v>
      </c>
      <c r="G153" s="371">
        <v>23.57948712</v>
      </c>
      <c r="H153" s="372">
        <f t="shared" ref="H153" si="57">G153-F153</f>
        <v>1.0819384803718002</v>
      </c>
      <c r="I153" s="371">
        <f>H153/$C153</f>
        <v>94.081606988852187</v>
      </c>
      <c r="J153" s="378">
        <f>H153-0.0115*80+0.0153*56</f>
        <v>1.0187384803718003</v>
      </c>
      <c r="L153" s="391">
        <v>0.95785280286389884</v>
      </c>
      <c r="M153" s="391">
        <v>0.96038958265720198</v>
      </c>
      <c r="N153" s="393">
        <f>AVERAGE(J153:M153)</f>
        <v>0.9789936219643004</v>
      </c>
      <c r="P153" s="391">
        <f>_xlfn.STDEV.S(J153:M153)</f>
        <v>3.4443419404932625E-2</v>
      </c>
      <c r="Q153">
        <f>P153/N153</f>
        <v>3.5182475791643741E-2</v>
      </c>
    </row>
    <row r="154" spans="2:17">
      <c r="C154" s="371">
        <f>0.3*0.05</f>
        <v>1.4999999999999999E-2</v>
      </c>
      <c r="D154" s="369">
        <v>20</v>
      </c>
      <c r="E154" s="370">
        <v>100</v>
      </c>
      <c r="F154" s="371">
        <v>22.4057862404457</v>
      </c>
      <c r="G154" s="371">
        <v>23.226236446275507</v>
      </c>
      <c r="H154" s="372">
        <f>G154-F154</f>
        <v>0.82045020582980754</v>
      </c>
      <c r="I154" s="371">
        <f>H154/$C153</f>
        <v>71.343496159113698</v>
      </c>
      <c r="J154">
        <f>H154-0.0115*59+0.0153*41</f>
        <v>0.76925020582980752</v>
      </c>
      <c r="L154" s="391">
        <v>0.77541379147253042</v>
      </c>
      <c r="M154">
        <v>0.77198370888730239</v>
      </c>
      <c r="N154">
        <f>AVERAGE(J154:M154)</f>
        <v>0.77221590206321344</v>
      </c>
      <c r="P154" s="393">
        <f t="shared" ref="P154:P155" si="58">_xlfn.STDEV.S(J154:M154)</f>
        <v>3.0883461993435448E-3</v>
      </c>
      <c r="Q154" s="393">
        <f t="shared" ref="Q154:Q155" si="59">P154/N154</f>
        <v>3.999329968590485E-3</v>
      </c>
    </row>
    <row r="155" spans="2:17">
      <c r="C155" s="371">
        <f>C153/0.026*C154</f>
        <v>6.6346153846153846E-3</v>
      </c>
      <c r="D155" s="373">
        <v>30</v>
      </c>
      <c r="E155" s="374">
        <v>130</v>
      </c>
      <c r="F155" s="375">
        <v>23.566076074008699</v>
      </c>
      <c r="G155" s="375">
        <v>25.1669654349664</v>
      </c>
      <c r="H155" s="376">
        <f>G155-F155</f>
        <v>1.6008893609577015</v>
      </c>
      <c r="I155" s="371">
        <f>H155/$C153</f>
        <v>139.20777051806101</v>
      </c>
      <c r="J155" s="379">
        <f>H155-0.0115*120+0.0153*80</f>
        <v>1.4448893609577016</v>
      </c>
      <c r="L155">
        <v>1.4368121300000003</v>
      </c>
      <c r="M155" s="392">
        <v>1.6368121299999996</v>
      </c>
      <c r="N155" s="393">
        <f>AVERAGE(J155:M155)</f>
        <v>1.5061712069859006</v>
      </c>
      <c r="P155" s="393">
        <f t="shared" si="58"/>
        <v>0.11321041687701638</v>
      </c>
      <c r="Q155" s="393">
        <f t="shared" si="59"/>
        <v>7.5164374642089513E-2</v>
      </c>
    </row>
    <row r="156" spans="2:17">
      <c r="C156" s="331">
        <f>0.0095</f>
        <v>9.4999999999999998E-3</v>
      </c>
      <c r="D156" s="308">
        <v>20</v>
      </c>
      <c r="E156" s="309">
        <v>130</v>
      </c>
      <c r="F156" s="331">
        <v>22.792498516589301</v>
      </c>
      <c r="G156" s="331">
        <v>23.6535513194532</v>
      </c>
      <c r="H156" s="310">
        <f t="shared" ref="H156" si="60">G156-F156</f>
        <v>0.86105280286389885</v>
      </c>
      <c r="I156" s="331">
        <f>H156/$C156</f>
        <v>90.637137143568296</v>
      </c>
      <c r="J156" s="304">
        <f>H156-0.0095*80+0.0153*56</f>
        <v>0.95785280286389884</v>
      </c>
      <c r="K156" s="304"/>
      <c r="L156" s="343">
        <v>1.2382956416178494</v>
      </c>
      <c r="M156" s="392"/>
    </row>
    <row r="157" spans="2:17">
      <c r="C157" s="331">
        <f>0.3*1</f>
        <v>0.3</v>
      </c>
      <c r="D157" s="308">
        <v>20</v>
      </c>
      <c r="E157" s="309">
        <v>100</v>
      </c>
      <c r="F157" s="331">
        <v>22.544228884233771</v>
      </c>
      <c r="G157" s="331">
        <v>23.258742675706301</v>
      </c>
      <c r="H157" s="310">
        <f>G157-F157</f>
        <v>0.71451379147253036</v>
      </c>
      <c r="I157" s="331">
        <f>H157/$C156</f>
        <v>75.21197804974004</v>
      </c>
      <c r="J157" s="304">
        <f>H157-0.0096*59+0.0153*41</f>
        <v>0.77541379147253042</v>
      </c>
      <c r="K157" s="304"/>
      <c r="L157" s="343">
        <v>1.0388825687298755</v>
      </c>
    </row>
    <row r="158" spans="2:17">
      <c r="C158" s="331">
        <f>C156/0.026*C157</f>
        <v>0.10961538461538463</v>
      </c>
      <c r="D158" s="311">
        <v>30</v>
      </c>
      <c r="E158" s="312">
        <v>130</v>
      </c>
      <c r="F158" s="332">
        <v>23.56998763</v>
      </c>
      <c r="G158" s="332">
        <v>24.92279976</v>
      </c>
      <c r="H158" s="314">
        <f>G158-F158</f>
        <v>1.3528121300000002</v>
      </c>
      <c r="I158" s="331">
        <f>H158/$C156</f>
        <v>142.40127684210529</v>
      </c>
      <c r="J158" s="304">
        <f>H158-0.0095*120+0.0153*80</f>
        <v>1.4368121300000003</v>
      </c>
      <c r="K158" s="304"/>
      <c r="L158" s="343">
        <v>1.4408507454788508</v>
      </c>
    </row>
    <row r="159" spans="2:17">
      <c r="C159" s="329">
        <f>0.0132-0.0018</f>
        <v>1.14E-2</v>
      </c>
      <c r="D159" s="360">
        <v>20</v>
      </c>
      <c r="E159" s="361">
        <v>130</v>
      </c>
      <c r="F159" s="329">
        <v>22.217202616763299</v>
      </c>
      <c r="G159" s="329">
        <v>23.2407921994205</v>
      </c>
      <c r="H159" s="362">
        <f t="shared" ref="H159" si="61">G159-F159</f>
        <v>1.0235895826572019</v>
      </c>
      <c r="I159" s="329">
        <f>H159/$C159</f>
        <v>89.788559882210691</v>
      </c>
      <c r="J159" s="359">
        <f>H159-0.0115*80+0.0153*56</f>
        <v>0.96038958265720198</v>
      </c>
      <c r="K159" s="359"/>
    </row>
    <row r="160" spans="2:17">
      <c r="C160" s="329">
        <f>0.3*1</f>
        <v>0.3</v>
      </c>
      <c r="D160" s="360">
        <v>20</v>
      </c>
      <c r="E160" s="361">
        <v>100</v>
      </c>
      <c r="F160" s="329">
        <v>22.208393943810098</v>
      </c>
      <c r="G160" s="329">
        <v>23.0256776526974</v>
      </c>
      <c r="H160" s="362">
        <f>G160-F160</f>
        <v>0.8172837088873024</v>
      </c>
      <c r="I160" s="329">
        <f>H160/$C159</f>
        <v>71.691553411166879</v>
      </c>
      <c r="J160" s="359">
        <f>H160-0.0114*59+0.0153*41</f>
        <v>0.77198370888730239</v>
      </c>
      <c r="K160" s="359"/>
    </row>
    <row r="161" spans="2:16">
      <c r="C161" s="329">
        <f>C159/0.026*C160</f>
        <v>0.13153846153846155</v>
      </c>
      <c r="D161" s="363">
        <v>30</v>
      </c>
      <c r="E161" s="364">
        <v>130</v>
      </c>
      <c r="F161" s="330">
        <v>22.568218116057999</v>
      </c>
      <c r="G161" s="330">
        <v>24.1866854242495</v>
      </c>
      <c r="H161" s="395">
        <f>G161-F161</f>
        <v>1.6184673081915015</v>
      </c>
      <c r="I161" s="329">
        <f>H161/$C159</f>
        <v>141.97081650802645</v>
      </c>
      <c r="J161" s="359">
        <f>H161-0.0115*120+0.0153*80</f>
        <v>1.4624673081915016</v>
      </c>
      <c r="K161" s="359"/>
    </row>
    <row r="164" spans="2:16" ht="18.75">
      <c r="B164" s="4">
        <v>42337</v>
      </c>
      <c r="C164" s="365"/>
      <c r="D164" s="380" t="s">
        <v>0</v>
      </c>
      <c r="E164" s="381" t="s">
        <v>1</v>
      </c>
      <c r="F164" s="381" t="s">
        <v>65</v>
      </c>
      <c r="G164" s="381" t="s">
        <v>66</v>
      </c>
      <c r="H164" s="382" t="s">
        <v>67</v>
      </c>
      <c r="I164" s="377"/>
    </row>
    <row r="165" spans="2:16">
      <c r="B165" t="s">
        <v>41</v>
      </c>
      <c r="C165" s="371">
        <f>0.0198-0.0063</f>
        <v>1.3500000000000002E-2</v>
      </c>
      <c r="D165" s="383">
        <v>20</v>
      </c>
      <c r="E165" s="384">
        <v>130</v>
      </c>
      <c r="F165" s="385">
        <v>22.55102754</v>
      </c>
      <c r="G165" s="385">
        <v>23.755227699999999</v>
      </c>
      <c r="H165" s="386">
        <f t="shared" ref="H165" si="62">G165-F165</f>
        <v>1.2042001599999992</v>
      </c>
      <c r="I165" s="385">
        <f>H165/$C165</f>
        <v>89.200011851851784</v>
      </c>
      <c r="J165">
        <f>I165*0.0153</f>
        <v>1.3647601813333323</v>
      </c>
    </row>
    <row r="166" spans="2:16">
      <c r="B166" t="s">
        <v>73</v>
      </c>
      <c r="C166" s="371"/>
      <c r="D166" s="383">
        <v>20</v>
      </c>
      <c r="E166" s="384">
        <v>100</v>
      </c>
      <c r="F166" s="385">
        <v>22.540596725976261</v>
      </c>
      <c r="G166" s="385">
        <v>23.577810739148308</v>
      </c>
      <c r="H166" s="386">
        <f>G166-F166</f>
        <v>1.0372140131720471</v>
      </c>
      <c r="I166" s="385">
        <f>H166/$C165</f>
        <v>76.830667642373854</v>
      </c>
      <c r="J166" s="409">
        <f t="shared" ref="J166:J167" si="63">I166*0.0153</f>
        <v>1.1755092149283199</v>
      </c>
    </row>
    <row r="167" spans="2:16">
      <c r="C167" s="371"/>
      <c r="D167" s="387">
        <v>30</v>
      </c>
      <c r="E167" s="388">
        <v>130</v>
      </c>
      <c r="F167" s="389">
        <v>22.547488510000001</v>
      </c>
      <c r="G167" s="389">
        <v>23.87425073</v>
      </c>
      <c r="H167" s="390">
        <f>G167-F167</f>
        <v>1.3267622199999991</v>
      </c>
      <c r="I167" s="385">
        <f>H167/$C165</f>
        <v>98.27868296296289</v>
      </c>
      <c r="J167" s="409">
        <f t="shared" si="63"/>
        <v>1.5036638493333321</v>
      </c>
    </row>
    <row r="170" spans="2:16" ht="18.75">
      <c r="C170" s="365"/>
      <c r="D170" s="366" t="s">
        <v>0</v>
      </c>
      <c r="E170" s="367" t="s">
        <v>1</v>
      </c>
      <c r="F170" s="367" t="s">
        <v>65</v>
      </c>
      <c r="G170" s="367" t="s">
        <v>66</v>
      </c>
      <c r="H170" s="368" t="s">
        <v>67</v>
      </c>
      <c r="I170" s="365"/>
      <c r="J170">
        <v>1</v>
      </c>
      <c r="L170">
        <v>2</v>
      </c>
      <c r="M170" t="s">
        <v>61</v>
      </c>
      <c r="N170" t="s">
        <v>62</v>
      </c>
      <c r="P170" t="s">
        <v>69</v>
      </c>
    </row>
    <row r="171" spans="2:16">
      <c r="B171" t="s">
        <v>74</v>
      </c>
      <c r="C171" s="433">
        <f>0.0159-0.0008</f>
        <v>1.5100000000000001E-2</v>
      </c>
      <c r="D171" s="434">
        <v>20</v>
      </c>
      <c r="E171" s="435">
        <v>130</v>
      </c>
      <c r="F171" s="433">
        <v>23.217295749026281</v>
      </c>
      <c r="G171" s="433">
        <v>26.844238599791442</v>
      </c>
      <c r="H171" s="436">
        <f t="shared" ref="H171" si="64">G171-F171</f>
        <v>3.6269428507651611</v>
      </c>
      <c r="I171" s="433">
        <f>H171/$C171</f>
        <v>240.19489077914974</v>
      </c>
      <c r="J171">
        <f>H171-0.0151*I165+0.0153*56</f>
        <v>3.1368226718021992</v>
      </c>
      <c r="L171">
        <v>3.1393140739985297</v>
      </c>
      <c r="M171">
        <f>AVERAGE(J171:L171)</f>
        <v>3.1380683729003644</v>
      </c>
      <c r="N171">
        <f>_xlfn.STDEV.S(J171:L171)</f>
        <v>1.7616873876883431E-3</v>
      </c>
      <c r="P171">
        <f>N171/M171</f>
        <v>5.6139228925088742E-4</v>
      </c>
    </row>
    <row r="172" spans="2:16">
      <c r="C172" s="433">
        <f>0.3*1.25</f>
        <v>0.375</v>
      </c>
      <c r="D172" s="434">
        <v>20</v>
      </c>
      <c r="E172" s="435">
        <v>100</v>
      </c>
      <c r="F172" s="433">
        <v>23.215526236029049</v>
      </c>
      <c r="G172" s="433">
        <v>25.96320739169165</v>
      </c>
      <c r="H172" s="436">
        <f>G172-F172</f>
        <v>2.7476811556626011</v>
      </c>
      <c r="I172" s="433">
        <f>H172/$C171</f>
        <v>181.96563944785436</v>
      </c>
      <c r="J172" s="409">
        <f>H172-0.0151*I166+0.0153*43</f>
        <v>2.245438074262756</v>
      </c>
      <c r="L172">
        <v>2.3494404584133992</v>
      </c>
      <c r="M172" s="417">
        <f t="shared" ref="M172:M173" si="65">AVERAGE(J172:L172)</f>
        <v>2.2974392663380776</v>
      </c>
      <c r="N172" s="417">
        <f t="shared" ref="N172:N173" si="66">_xlfn.STDEV.S(J172:L172)</f>
        <v>7.3540791092488136E-2</v>
      </c>
      <c r="P172" s="417">
        <f t="shared" ref="P172:P173" si="67">N172/M172</f>
        <v>3.2009895612912495E-2</v>
      </c>
    </row>
    <row r="173" spans="2:16">
      <c r="C173" s="433">
        <f>C171/0.026*C172</f>
        <v>0.21778846153846154</v>
      </c>
      <c r="D173" s="437">
        <v>30</v>
      </c>
      <c r="E173" s="438">
        <v>130</v>
      </c>
      <c r="F173" s="439">
        <v>23.216178159999998</v>
      </c>
      <c r="G173" s="439">
        <v>27.113670240000001</v>
      </c>
      <c r="H173" s="440">
        <f>G173-F173</f>
        <v>3.8974920800000028</v>
      </c>
      <c r="I173" s="433">
        <f>H173/$C171</f>
        <v>258.11205827814587</v>
      </c>
      <c r="J173" s="409">
        <f>H173-0.0151*I167+0.0153*80</f>
        <v>3.6374839672592634</v>
      </c>
      <c r="L173">
        <v>3.7618458546308409</v>
      </c>
      <c r="M173" s="417">
        <f t="shared" si="65"/>
        <v>3.6996649109450521</v>
      </c>
      <c r="N173" s="417">
        <f t="shared" si="66"/>
        <v>8.7937133881600113E-2</v>
      </c>
      <c r="P173" s="417">
        <f t="shared" si="67"/>
        <v>2.3768945566245137E-2</v>
      </c>
    </row>
    <row r="174" spans="2:16">
      <c r="B174" s="4">
        <v>42339</v>
      </c>
      <c r="C174" s="329">
        <f>0.0261-0.0095</f>
        <v>1.6600000000000004E-2</v>
      </c>
      <c r="D174" s="360">
        <v>20</v>
      </c>
      <c r="E174" s="361">
        <v>130</v>
      </c>
      <c r="F174" s="329">
        <v>22.535940109999999</v>
      </c>
      <c r="G174" s="329">
        <v>28.36969083</v>
      </c>
      <c r="H174" s="362">
        <f t="shared" ref="H174" si="68">G174-F174</f>
        <v>5.8337507200000012</v>
      </c>
      <c r="I174" s="329">
        <f>H174/$C174</f>
        <v>351.43076626506024</v>
      </c>
      <c r="J174">
        <f>H174+H177</f>
        <v>9.3947948200000013</v>
      </c>
      <c r="L174">
        <f>J174-0.0261*127+0.0153*56</f>
        <v>6.9368948200000009</v>
      </c>
    </row>
    <row r="175" spans="2:16">
      <c r="C175" s="329">
        <f>0.3*1.25</f>
        <v>0.375</v>
      </c>
      <c r="D175" s="360">
        <v>20</v>
      </c>
      <c r="E175" s="361">
        <v>100</v>
      </c>
      <c r="F175" s="329">
        <v>21.343008959999999</v>
      </c>
      <c r="G175" s="329">
        <v>25.935706249999999</v>
      </c>
      <c r="H175" s="362">
        <f>G175-F175</f>
        <v>4.5926972900000003</v>
      </c>
      <c r="I175" s="329">
        <f>H175/$C174</f>
        <v>276.66851144578311</v>
      </c>
      <c r="J175" s="443">
        <f t="shared" ref="J175:J176" si="69">H175+H178</f>
        <v>7.3242394500000003</v>
      </c>
      <c r="L175" s="443">
        <f>J175-0.0261*99+0.0153*43</f>
        <v>5.3982394500000002</v>
      </c>
    </row>
    <row r="176" spans="2:16">
      <c r="C176" s="329">
        <f>C174/0.026*C175</f>
        <v>0.23942307692307699</v>
      </c>
      <c r="D176" s="363">
        <v>30</v>
      </c>
      <c r="E176" s="364">
        <v>130</v>
      </c>
      <c r="F176" s="330">
        <v>22.87997069</v>
      </c>
      <c r="G176" s="330">
        <v>28.175843700000001</v>
      </c>
      <c r="H176" s="441">
        <f>G176-F176</f>
        <v>5.2958730100000011</v>
      </c>
      <c r="I176" s="329">
        <f>H176/$C174</f>
        <v>319.02849457831326</v>
      </c>
      <c r="J176" s="443">
        <f t="shared" si="69"/>
        <v>8.0417846500000003</v>
      </c>
      <c r="L176" s="443">
        <f>J176-0.0261*145+0.0153*80</f>
        <v>5.4812846500000001</v>
      </c>
    </row>
    <row r="177" spans="1:11">
      <c r="C177" s="329">
        <f>0.0095</f>
        <v>9.4999999999999998E-3</v>
      </c>
      <c r="D177" s="360">
        <v>20</v>
      </c>
      <c r="E177" s="361">
        <v>130</v>
      </c>
      <c r="F177" s="329">
        <v>22.876059139999999</v>
      </c>
      <c r="G177" s="329">
        <v>26.437103239999999</v>
      </c>
      <c r="H177" s="362">
        <f t="shared" ref="H177" si="70">G177-F177</f>
        <v>3.5610441000000002</v>
      </c>
      <c r="I177" s="329">
        <f>H177/$C177</f>
        <v>374.84674736842106</v>
      </c>
    </row>
    <row r="178" spans="1:11">
      <c r="C178" s="329">
        <f>0.3*1.25</f>
        <v>0.375</v>
      </c>
      <c r="D178" s="360">
        <v>20</v>
      </c>
      <c r="E178" s="361">
        <v>100</v>
      </c>
      <c r="F178" s="329">
        <v>21.856074589999999</v>
      </c>
      <c r="G178" s="329">
        <v>24.587616749999999</v>
      </c>
      <c r="H178" s="362">
        <f>G178-F178</f>
        <v>2.7315421600000001</v>
      </c>
      <c r="I178" s="329">
        <f>H178/$C177</f>
        <v>287.53075368421054</v>
      </c>
    </row>
    <row r="179" spans="1:11">
      <c r="C179" s="329">
        <f>C177/0.026*C178</f>
        <v>0.13701923076923078</v>
      </c>
      <c r="D179" s="363">
        <v>30</v>
      </c>
      <c r="E179" s="364">
        <v>130</v>
      </c>
      <c r="F179" s="330">
        <v>23.211428420000001</v>
      </c>
      <c r="G179" s="330">
        <v>25.95734006</v>
      </c>
      <c r="H179" s="441">
        <f>G179-F179</f>
        <v>2.7459116399999992</v>
      </c>
      <c r="I179" s="329">
        <f>H179/$C177</f>
        <v>289.04333052631569</v>
      </c>
    </row>
    <row r="182" spans="1:11" ht="18.75">
      <c r="B182" t="s">
        <v>64</v>
      </c>
      <c r="C182" s="365"/>
      <c r="D182" s="380" t="s">
        <v>0</v>
      </c>
      <c r="E182" s="381" t="s">
        <v>1</v>
      </c>
      <c r="F182" s="381" t="s">
        <v>65</v>
      </c>
      <c r="G182" s="381" t="s">
        <v>66</v>
      </c>
      <c r="H182" s="382" t="s">
        <v>67</v>
      </c>
      <c r="I182" s="377"/>
    </row>
    <row r="183" spans="1:11">
      <c r="B183" t="s">
        <v>78</v>
      </c>
      <c r="C183" s="371">
        <f>0.0109</f>
        <v>1.09E-2</v>
      </c>
      <c r="D183" s="383">
        <v>20</v>
      </c>
      <c r="E183" s="384">
        <v>130</v>
      </c>
      <c r="F183" s="385">
        <v>23.659580869999999</v>
      </c>
      <c r="G183" s="385">
        <v>24.41544231</v>
      </c>
      <c r="H183" s="386">
        <f t="shared" ref="H183" si="71">G183-F183</f>
        <v>0.75586144000000033</v>
      </c>
      <c r="I183" s="385">
        <f>H183/$C183</f>
        <v>69.345086238532147</v>
      </c>
    </row>
    <row r="184" spans="1:11">
      <c r="C184" s="371"/>
      <c r="D184" s="383">
        <v>20</v>
      </c>
      <c r="E184" s="384">
        <v>100</v>
      </c>
      <c r="F184" s="385">
        <v>23.510476109999999</v>
      </c>
      <c r="G184" s="385">
        <v>24.087709879999998</v>
      </c>
      <c r="H184" s="386">
        <f>G184-F184</f>
        <v>0.57723376999999942</v>
      </c>
      <c r="I184" s="385">
        <f>H184/$C183</f>
        <v>52.957226605504538</v>
      </c>
    </row>
    <row r="185" spans="1:11">
      <c r="C185" s="371"/>
      <c r="D185" s="387">
        <v>30</v>
      </c>
      <c r="E185" s="388">
        <v>130</v>
      </c>
      <c r="F185" s="389">
        <v>23.73427294</v>
      </c>
      <c r="G185" s="389">
        <v>24.818236280000001</v>
      </c>
      <c r="H185" s="390">
        <f>G185-F185</f>
        <v>1.0839633400000004</v>
      </c>
      <c r="I185" s="385">
        <f>H185/$C183</f>
        <v>99.446177981651417</v>
      </c>
    </row>
    <row r="188" spans="1:11" ht="18.75">
      <c r="C188" s="365"/>
      <c r="D188" s="380" t="s">
        <v>0</v>
      </c>
      <c r="E188" s="381" t="s">
        <v>1</v>
      </c>
      <c r="F188" s="381" t="s">
        <v>65</v>
      </c>
      <c r="G188" s="381" t="s">
        <v>66</v>
      </c>
      <c r="H188" s="382" t="s">
        <v>67</v>
      </c>
      <c r="I188" s="377"/>
    </row>
    <row r="189" spans="1:11">
      <c r="A189" s="4">
        <v>42339</v>
      </c>
      <c r="B189" t="s">
        <v>64</v>
      </c>
      <c r="C189" s="371">
        <f>0.0155</f>
        <v>1.55E-2</v>
      </c>
      <c r="D189" s="383">
        <v>20</v>
      </c>
      <c r="E189" s="384">
        <v>130</v>
      </c>
      <c r="F189" s="385">
        <v>23.016502590000002</v>
      </c>
      <c r="G189" s="385">
        <v>24.999327359999999</v>
      </c>
      <c r="H189" s="386">
        <f t="shared" ref="H189" si="72">G189-F189</f>
        <v>1.982824769999997</v>
      </c>
      <c r="I189" s="385">
        <f>H189/$C189</f>
        <v>127.92417870967722</v>
      </c>
      <c r="J189" s="452"/>
    </row>
    <row r="190" spans="1:11">
      <c r="B190" t="s">
        <v>78</v>
      </c>
      <c r="C190" s="371">
        <f>0.3*1.25</f>
        <v>0.375</v>
      </c>
      <c r="D190" s="383">
        <v>20</v>
      </c>
      <c r="E190" s="384">
        <v>100</v>
      </c>
      <c r="F190" s="385">
        <v>23.116169209999999</v>
      </c>
      <c r="G190" s="385">
        <v>24.656033499999999</v>
      </c>
      <c r="H190" s="386">
        <f>G190-F190</f>
        <v>1.5398642900000006</v>
      </c>
      <c r="I190" s="385">
        <f>H190/$C189</f>
        <v>99.346083225806495</v>
      </c>
      <c r="J190" s="452"/>
      <c r="K190" s="452"/>
    </row>
    <row r="191" spans="1:11">
      <c r="C191" s="371">
        <f>C189/0.026*C190</f>
        <v>0.22355769230769229</v>
      </c>
      <c r="D191" s="387">
        <v>30</v>
      </c>
      <c r="E191" s="388">
        <v>130</v>
      </c>
      <c r="F191" s="389">
        <v>23.2131048</v>
      </c>
      <c r="G191" s="389">
        <v>25.594042869999999</v>
      </c>
      <c r="H191" s="390">
        <f>G191-F191</f>
        <v>2.3809380699999991</v>
      </c>
      <c r="I191" s="385">
        <f>H191/$C189</f>
        <v>153.60890774193544</v>
      </c>
    </row>
    <row r="194" spans="2:14" ht="18.75">
      <c r="B194" s="460"/>
      <c r="C194" s="460"/>
      <c r="D194" s="461" t="s">
        <v>0</v>
      </c>
      <c r="E194" s="462" t="s">
        <v>1</v>
      </c>
      <c r="F194" s="462" t="s">
        <v>85</v>
      </c>
      <c r="G194" s="462" t="s">
        <v>86</v>
      </c>
      <c r="H194" s="463" t="s">
        <v>87</v>
      </c>
      <c r="I194" s="460"/>
      <c r="J194" s="460"/>
    </row>
    <row r="195" spans="2:14">
      <c r="B195" s="460" t="s">
        <v>83</v>
      </c>
      <c r="C195" s="464">
        <f>0.035*0.35</f>
        <v>1.225E-2</v>
      </c>
      <c r="D195" s="465">
        <v>15</v>
      </c>
      <c r="E195" s="466">
        <v>133</v>
      </c>
      <c r="F195" s="464">
        <v>23.2228627</v>
      </c>
      <c r="G195" s="464">
        <v>26.088518390000001</v>
      </c>
      <c r="H195" s="467">
        <f t="shared" ref="H195" si="73">G195-F195</f>
        <v>2.8656556900000005</v>
      </c>
      <c r="I195" s="464">
        <f>H195/$C195</f>
        <v>233.9310767346939</v>
      </c>
      <c r="J195" s="460">
        <f>H195-0.0116*56+0.02*129</f>
        <v>4.7960556900000011</v>
      </c>
      <c r="L195">
        <f>(J195-2.2948)/23.1</f>
        <v>0.10827946709956714</v>
      </c>
      <c r="M195">
        <f>100*(L195-$C$196)/$C$196</f>
        <v>3.1233019995877531</v>
      </c>
    </row>
    <row r="196" spans="2:14">
      <c r="B196" s="460"/>
      <c r="C196" s="464">
        <f>0.3*0.35</f>
        <v>0.105</v>
      </c>
      <c r="D196" s="465">
        <v>20</v>
      </c>
      <c r="E196" s="466">
        <v>100</v>
      </c>
      <c r="F196" s="460">
        <v>23.2122989989697</v>
      </c>
      <c r="G196" s="460">
        <v>25.544460686711101</v>
      </c>
      <c r="H196" s="467">
        <f>G196-F196</f>
        <v>2.3321616877414009</v>
      </c>
      <c r="I196" s="464">
        <f>H196/$C195</f>
        <v>190.38054593807354</v>
      </c>
      <c r="J196" s="460">
        <f>H196-0.0116*46+0.02*107</f>
        <v>3.9385616877414011</v>
      </c>
      <c r="L196">
        <f>(J196-1.7879)/19.867</f>
        <v>0.1082529666150602</v>
      </c>
      <c r="M196" s="540">
        <f>100*(L196-$C$196)/$C$196</f>
        <v>3.0980634429144831</v>
      </c>
    </row>
    <row r="197" spans="2:14">
      <c r="B197" s="460"/>
      <c r="C197" s="464">
        <f>C195/0.026*C196</f>
        <v>4.9471153846153852E-2</v>
      </c>
      <c r="D197" s="468">
        <v>30</v>
      </c>
      <c r="E197" s="469">
        <v>130</v>
      </c>
      <c r="F197" s="470">
        <v>23.566728000000001</v>
      </c>
      <c r="G197" s="470">
        <v>26.632828360000001</v>
      </c>
      <c r="H197" s="471">
        <f>G197-F197</f>
        <v>3.0661003600000001</v>
      </c>
      <c r="I197" s="464">
        <f>H197/$C195</f>
        <v>250.29390693877551</v>
      </c>
      <c r="J197" s="460">
        <f>H197-0.0116*153+0.0153*80</f>
        <v>2.5153003600000003</v>
      </c>
      <c r="L197" s="453">
        <f>(J197-1.2)/11.4</f>
        <v>0.11537722456140354</v>
      </c>
      <c r="M197" s="453">
        <f>(L197-C196)/C196</f>
        <v>9.8830710108605141E-2</v>
      </c>
    </row>
    <row r="198" spans="2:14" ht="18.75">
      <c r="B198" s="460"/>
      <c r="C198" s="460"/>
      <c r="D198" s="461" t="s">
        <v>0</v>
      </c>
      <c r="E198" s="462" t="s">
        <v>1</v>
      </c>
      <c r="F198" s="462" t="s">
        <v>85</v>
      </c>
      <c r="G198" s="462" t="s">
        <v>86</v>
      </c>
      <c r="H198" s="463" t="s">
        <v>87</v>
      </c>
      <c r="I198" s="460"/>
      <c r="J198" s="460"/>
      <c r="L198" s="453"/>
      <c r="M198" s="453"/>
    </row>
    <row r="199" spans="2:14">
      <c r="B199" s="460" t="s">
        <v>84</v>
      </c>
      <c r="C199" s="464">
        <f>0.0127</f>
        <v>1.2699999999999999E-2</v>
      </c>
      <c r="D199" s="465">
        <v>20</v>
      </c>
      <c r="E199" s="466">
        <v>130</v>
      </c>
      <c r="F199" s="460">
        <v>23.56980136</v>
      </c>
      <c r="G199" s="460">
        <v>27.492718549999999</v>
      </c>
      <c r="H199" s="467">
        <f t="shared" ref="H199" si="74">G199-F199</f>
        <v>3.9229171899999997</v>
      </c>
      <c r="I199" s="464">
        <f>H199/$C199</f>
        <v>308.89111732283465</v>
      </c>
      <c r="J199" s="460">
        <f>H199-0.0128*46+0.02*129</f>
        <v>5.9141171899999998</v>
      </c>
      <c r="L199" s="453">
        <f>(J199-0.88)/10.4</f>
        <v>0.48404972980769229</v>
      </c>
      <c r="M199" s="453">
        <f>(L199-C200)/C200</f>
        <v>1.4823063067061142</v>
      </c>
    </row>
    <row r="200" spans="2:14">
      <c r="B200" s="460"/>
      <c r="C200" s="464">
        <f>0.3*0.65</f>
        <v>0.19500000000000001</v>
      </c>
      <c r="D200" s="465">
        <v>20</v>
      </c>
      <c r="E200" s="466">
        <v>100</v>
      </c>
      <c r="F200" s="460">
        <v>22.8993422</v>
      </c>
      <c r="G200" s="460">
        <v>25.959016439856082</v>
      </c>
      <c r="H200" s="467">
        <f>G200-F200</f>
        <v>3.0596742398560828</v>
      </c>
      <c r="I200" s="464">
        <f>H200/$C199</f>
        <v>240.91923148473094</v>
      </c>
      <c r="J200" s="460">
        <f>H200-0.0127*99+0.0153*43</f>
        <v>2.4602742398560826</v>
      </c>
      <c r="L200" s="453">
        <f>(J200-0.66)/8.8</f>
        <v>0.20457661816546391</v>
      </c>
      <c r="M200" s="453">
        <f>(L200-C200)/C200</f>
        <v>4.9110862386994365E-2</v>
      </c>
    </row>
    <row r="201" spans="2:14">
      <c r="B201" s="460"/>
      <c r="C201" s="464">
        <f>C199/0.026*C200</f>
        <v>9.5250000000000001E-2</v>
      </c>
      <c r="D201" s="468">
        <v>30</v>
      </c>
      <c r="E201" s="469">
        <v>130</v>
      </c>
      <c r="F201" s="470">
        <v>23.886751440000001</v>
      </c>
      <c r="G201" s="472">
        <v>28.167554924938386</v>
      </c>
      <c r="H201" s="471">
        <f>G201-F201</f>
        <v>4.2808034849383851</v>
      </c>
      <c r="I201" s="464">
        <f>H201/$C199</f>
        <v>337.07114054632956</v>
      </c>
      <c r="J201" s="460">
        <f>H201-0.0127*153+0.0153*80</f>
        <v>3.5617034849383851</v>
      </c>
      <c r="L201" s="453">
        <f>(J201-1.2)/11.4</f>
        <v>0.20716697236301621</v>
      </c>
      <c r="M201" s="453">
        <f>(L201-C200)/C200</f>
        <v>6.2394730066749733E-2</v>
      </c>
    </row>
    <row r="205" spans="2:14">
      <c r="K205" s="454">
        <v>0</v>
      </c>
      <c r="L205">
        <v>1.2</v>
      </c>
      <c r="M205">
        <v>1.86</v>
      </c>
      <c r="N205">
        <v>2.2000000000000002</v>
      </c>
    </row>
    <row r="206" spans="2:14">
      <c r="K206" s="454">
        <v>0.105</v>
      </c>
      <c r="L206">
        <v>2.56</v>
      </c>
      <c r="M206">
        <v>2.7</v>
      </c>
      <c r="N206">
        <v>3</v>
      </c>
    </row>
    <row r="207" spans="2:14">
      <c r="K207" s="454">
        <v>0.13500000000000001</v>
      </c>
      <c r="L207">
        <v>3.05</v>
      </c>
      <c r="M207">
        <v>3.92</v>
      </c>
      <c r="N207">
        <v>4.58</v>
      </c>
    </row>
    <row r="210" spans="2:12" ht="18.75">
      <c r="B210" s="4">
        <v>42340</v>
      </c>
      <c r="C210" s="495"/>
      <c r="D210" s="496" t="s">
        <v>0</v>
      </c>
      <c r="E210" s="497" t="s">
        <v>1</v>
      </c>
      <c r="F210" s="497" t="s">
        <v>2</v>
      </c>
      <c r="G210" s="497" t="s">
        <v>3</v>
      </c>
      <c r="H210" s="498" t="s">
        <v>4</v>
      </c>
      <c r="I210" s="508"/>
    </row>
    <row r="211" spans="2:12">
      <c r="B211" t="s">
        <v>64</v>
      </c>
      <c r="C211" s="5">
        <f>0.0192-0.0064</f>
        <v>1.2799999999999999E-2</v>
      </c>
      <c r="D211" s="499">
        <v>20</v>
      </c>
      <c r="E211" s="500">
        <v>130</v>
      </c>
      <c r="F211" s="494">
        <v>21.847320159999999</v>
      </c>
      <c r="G211" s="494">
        <v>22.879411900000001</v>
      </c>
      <c r="H211" s="502">
        <f t="shared" ref="H211" si="75">G211-F211</f>
        <v>1.032091740000002</v>
      </c>
      <c r="I211" s="494">
        <f>H211/$C211</f>
        <v>80.632167187500173</v>
      </c>
    </row>
    <row r="212" spans="2:12">
      <c r="B212" t="s">
        <v>89</v>
      </c>
      <c r="C212" s="5">
        <f>0.3*1</f>
        <v>0.3</v>
      </c>
      <c r="D212" s="499">
        <v>20</v>
      </c>
      <c r="E212" s="500">
        <v>100</v>
      </c>
      <c r="F212" s="494">
        <v>21.33108803</v>
      </c>
      <c r="G212" s="494">
        <v>22.200012040000001</v>
      </c>
      <c r="H212" s="502">
        <f>G212-F212</f>
        <v>0.86892401000000064</v>
      </c>
      <c r="I212" s="494">
        <f>H212/$C211</f>
        <v>67.88468828125005</v>
      </c>
    </row>
    <row r="213" spans="2:12">
      <c r="C213" s="5">
        <f>C211/0.026*C212</f>
        <v>0.14769230769230768</v>
      </c>
      <c r="D213" s="504">
        <v>30</v>
      </c>
      <c r="E213" s="505">
        <v>130</v>
      </c>
      <c r="F213" s="506">
        <v>21.345523530000001</v>
      </c>
      <c r="G213" s="506">
        <v>22.544880809999999</v>
      </c>
      <c r="H213" s="507">
        <f>G213-F213</f>
        <v>1.1993572799999974</v>
      </c>
      <c r="I213" s="494">
        <f>H213/$C211</f>
        <v>93.6997874999998</v>
      </c>
    </row>
    <row r="214" spans="2:12" ht="18.75">
      <c r="C214" s="495"/>
      <c r="D214" s="496" t="s">
        <v>0</v>
      </c>
      <c r="E214" s="497" t="s">
        <v>1</v>
      </c>
      <c r="F214" s="497" t="s">
        <v>2</v>
      </c>
      <c r="G214" s="497" t="s">
        <v>3</v>
      </c>
      <c r="H214" s="498" t="s">
        <v>4</v>
      </c>
      <c r="I214" s="508"/>
    </row>
    <row r="215" spans="2:12">
      <c r="B215" t="s">
        <v>64</v>
      </c>
      <c r="C215" s="5">
        <f>0.0243-0.0114</f>
        <v>1.2899999999999998E-2</v>
      </c>
      <c r="D215" s="499">
        <v>20</v>
      </c>
      <c r="E215" s="500">
        <v>130</v>
      </c>
      <c r="F215" s="494">
        <v>23.63909177</v>
      </c>
      <c r="G215" s="494">
        <v>24.682773869999998</v>
      </c>
      <c r="H215" s="502">
        <f t="shared" ref="H215" si="76">G215-F215</f>
        <v>1.0436820999999981</v>
      </c>
      <c r="I215" s="494">
        <f>H215/$C215</f>
        <v>80.905589147286676</v>
      </c>
    </row>
    <row r="216" spans="2:12">
      <c r="B216" t="s">
        <v>90</v>
      </c>
      <c r="C216" s="5">
        <f>0.3*1.25</f>
        <v>0.375</v>
      </c>
      <c r="D216" s="499">
        <v>20</v>
      </c>
      <c r="E216" s="500">
        <v>100</v>
      </c>
      <c r="F216" s="494">
        <v>23.73539053</v>
      </c>
      <c r="G216" s="494">
        <v>24.523265420000001</v>
      </c>
      <c r="H216" s="502">
        <f>G216-F216</f>
        <v>0.78787489000000122</v>
      </c>
      <c r="I216" s="494">
        <f>H216/$C215</f>
        <v>61.075572868217158</v>
      </c>
    </row>
    <row r="217" spans="2:12">
      <c r="C217" s="5">
        <f>C215/0.026*C216</f>
        <v>0.18605769230769229</v>
      </c>
      <c r="D217" s="504">
        <v>30</v>
      </c>
      <c r="E217" s="505">
        <v>130</v>
      </c>
      <c r="F217" s="506">
        <v>21.681172199999999</v>
      </c>
      <c r="G217" s="506">
        <v>22.842904050000001</v>
      </c>
      <c r="H217" s="507">
        <f>G217-F217</f>
        <v>1.1617318500000025</v>
      </c>
      <c r="I217" s="494">
        <f>H217/$C215</f>
        <v>90.056732558139743</v>
      </c>
    </row>
    <row r="218" spans="2:12" ht="18.75">
      <c r="C218" s="495"/>
      <c r="D218" s="496" t="s">
        <v>0</v>
      </c>
      <c r="E218" s="497" t="s">
        <v>1</v>
      </c>
      <c r="F218" s="497" t="s">
        <v>2</v>
      </c>
      <c r="G218" s="497" t="s">
        <v>3</v>
      </c>
      <c r="H218" s="498" t="s">
        <v>4</v>
      </c>
      <c r="I218" s="508"/>
    </row>
    <row r="219" spans="2:12">
      <c r="B219" t="s">
        <v>64</v>
      </c>
      <c r="C219" s="5">
        <f>0.0236-0.0138</f>
        <v>9.7999999999999997E-3</v>
      </c>
      <c r="D219" s="499">
        <v>20</v>
      </c>
      <c r="E219" s="500">
        <v>130</v>
      </c>
      <c r="F219" s="494">
        <v>22.876059139999999</v>
      </c>
      <c r="G219" s="494">
        <v>23.678742060000001</v>
      </c>
      <c r="H219" s="502">
        <f t="shared" ref="H219" si="77">G219-F219</f>
        <v>0.8026829200000023</v>
      </c>
      <c r="I219" s="494">
        <f>H219/$C219</f>
        <v>81.906420408163498</v>
      </c>
    </row>
    <row r="220" spans="2:12">
      <c r="B220" t="s">
        <v>91</v>
      </c>
      <c r="C220" s="5">
        <f>0.3*1.25</f>
        <v>0.375</v>
      </c>
      <c r="D220" s="499">
        <v>20</v>
      </c>
      <c r="E220" s="500">
        <v>100</v>
      </c>
      <c r="F220" s="494">
        <v>22.429379999999998</v>
      </c>
      <c r="G220" s="494">
        <v>23.057387649999999</v>
      </c>
      <c r="H220" s="502">
        <f>G220-F220</f>
        <v>0.62800765000000069</v>
      </c>
      <c r="I220" s="494">
        <f>H220/$C219</f>
        <v>64.082413265306201</v>
      </c>
    </row>
    <row r="221" spans="2:12">
      <c r="C221" s="5">
        <f>C219/0.026*C220</f>
        <v>0.14134615384615384</v>
      </c>
      <c r="D221" s="504">
        <v>30</v>
      </c>
      <c r="E221" s="505">
        <v>130</v>
      </c>
      <c r="F221" s="506">
        <v>21.672604029999999</v>
      </c>
      <c r="G221" s="506">
        <v>22.54087612</v>
      </c>
      <c r="H221" s="507">
        <f>G221-F221</f>
        <v>0.86827209000000138</v>
      </c>
      <c r="I221" s="494">
        <f>H221/$C219</f>
        <v>88.599192857142995</v>
      </c>
    </row>
    <row r="223" spans="2:12">
      <c r="L223">
        <f>0.68/20</f>
        <v>3.4000000000000002E-2</v>
      </c>
    </row>
    <row r="225" spans="2:12" ht="18.75">
      <c r="B225" t="s">
        <v>36</v>
      </c>
      <c r="C225" s="359"/>
      <c r="D225" s="447" t="s">
        <v>0</v>
      </c>
      <c r="E225" s="448" t="s">
        <v>1</v>
      </c>
      <c r="F225" s="448" t="s">
        <v>80</v>
      </c>
      <c r="G225" s="448" t="s">
        <v>81</v>
      </c>
      <c r="H225" s="449" t="s">
        <v>82</v>
      </c>
      <c r="I225" s="359"/>
    </row>
    <row r="226" spans="2:12">
      <c r="C226" s="329">
        <f>0.0152-0.0014</f>
        <v>1.38E-2</v>
      </c>
      <c r="D226" s="360">
        <v>15</v>
      </c>
      <c r="E226" s="361">
        <v>133</v>
      </c>
      <c r="F226" s="329">
        <v>23.213384189999999</v>
      </c>
      <c r="G226" s="329">
        <v>27.9</v>
      </c>
      <c r="H226" s="362">
        <f t="shared" ref="H226" si="78">G226-F226</f>
        <v>4.6866158099999993</v>
      </c>
      <c r="I226" s="329">
        <f>H226/$C226</f>
        <v>339.60984130434775</v>
      </c>
      <c r="J226" s="540">
        <f>H226-0.0138*56+0.0153*129</f>
        <v>5.8875158099999991</v>
      </c>
    </row>
    <row r="227" spans="2:12">
      <c r="C227" s="329">
        <f>0.3*0.75</f>
        <v>0.22499999999999998</v>
      </c>
      <c r="D227" s="360">
        <v>20</v>
      </c>
      <c r="E227" s="361">
        <v>100</v>
      </c>
      <c r="F227" s="329">
        <v>22.888725130000001</v>
      </c>
      <c r="G227" s="329">
        <v>25.453680779999999</v>
      </c>
      <c r="H227" s="362">
        <f>G227-F227</f>
        <v>2.5649556499999981</v>
      </c>
      <c r="I227" s="329">
        <f>H227/$C226</f>
        <v>185.86635144927524</v>
      </c>
      <c r="J227" s="540">
        <f>H227-0.0138*46+0.0153*107</f>
        <v>3.5672556499999981</v>
      </c>
    </row>
    <row r="228" spans="2:12">
      <c r="C228" s="329">
        <f>C226/0.026*C227</f>
        <v>0.11942307692307691</v>
      </c>
      <c r="D228" s="363">
        <v>30</v>
      </c>
      <c r="E228" s="364">
        <v>130</v>
      </c>
      <c r="F228" s="330">
        <v>21.665060319999998</v>
      </c>
      <c r="G228" s="330">
        <v>25.09391085</v>
      </c>
      <c r="H228" s="441">
        <f>G228-F228</f>
        <v>3.4288505300000018</v>
      </c>
      <c r="I228" s="329">
        <f>H228/$C226</f>
        <v>248.46742971014507</v>
      </c>
      <c r="J228" s="488">
        <f>H228-0.0138*90+0.0153*80</f>
        <v>3.410850530000002</v>
      </c>
    </row>
    <row r="230" spans="2:12" ht="18.75">
      <c r="B230" t="s">
        <v>31</v>
      </c>
      <c r="C230" s="304"/>
      <c r="D230" s="305" t="s">
        <v>0</v>
      </c>
      <c r="E230" s="306" t="s">
        <v>1</v>
      </c>
      <c r="F230" s="306" t="s">
        <v>58</v>
      </c>
      <c r="G230" s="306" t="s">
        <v>59</v>
      </c>
      <c r="H230" s="307" t="s">
        <v>60</v>
      </c>
      <c r="I230" s="304"/>
      <c r="J230" s="486"/>
    </row>
    <row r="231" spans="2:12">
      <c r="C231" s="331">
        <f>0.0202-0.0087</f>
        <v>1.15E-2</v>
      </c>
      <c r="D231" s="308">
        <v>20</v>
      </c>
      <c r="E231" s="309">
        <v>130</v>
      </c>
      <c r="F231" s="331">
        <v>21.80187162</v>
      </c>
      <c r="G231" s="331">
        <v>26.41562858</v>
      </c>
      <c r="H231" s="310">
        <f t="shared" ref="H231" si="79">G231-F231</f>
        <v>4.6137569599999999</v>
      </c>
      <c r="I231" s="331">
        <f>H231/$C231</f>
        <v>401.19625739130436</v>
      </c>
      <c r="J231" s="487">
        <f>H231+H234</f>
        <v>8.4953080700000001</v>
      </c>
      <c r="K231" s="486">
        <f>J231-0.0202*80+0.02*129</f>
        <v>9.4593080700000005</v>
      </c>
    </row>
    <row r="232" spans="2:12">
      <c r="C232" s="331">
        <f>0.3*1</f>
        <v>0.3</v>
      </c>
      <c r="D232" s="308">
        <v>20</v>
      </c>
      <c r="E232" s="309">
        <v>100</v>
      </c>
      <c r="F232" s="331">
        <v>22.197776865826665</v>
      </c>
      <c r="G232" s="331">
        <v>25.4101337736925</v>
      </c>
      <c r="H232" s="310">
        <f>G232-F232</f>
        <v>3.2123569078658356</v>
      </c>
      <c r="I232" s="331">
        <f>H232/$C231</f>
        <v>279.33538329268134</v>
      </c>
      <c r="J232" s="486">
        <f>H232+H235</f>
        <v>5.7533233278658358</v>
      </c>
      <c r="K232" s="540">
        <f>J232-0.0202*46+0.02*107</f>
        <v>6.9641233278658365</v>
      </c>
    </row>
    <row r="233" spans="2:12">
      <c r="C233" s="331">
        <f>C231/0.026*C232</f>
        <v>0.13269230769230769</v>
      </c>
      <c r="D233" s="311">
        <v>30</v>
      </c>
      <c r="E233" s="312">
        <v>130</v>
      </c>
      <c r="F233" s="332">
        <v>21.771603630000001</v>
      </c>
      <c r="G233" s="332">
        <v>24.75518881</v>
      </c>
      <c r="H233" s="314">
        <f>G233-F233</f>
        <v>2.9835851799999986</v>
      </c>
      <c r="I233" s="331">
        <f>H233/$C231</f>
        <v>259.44218956521729</v>
      </c>
      <c r="J233" s="487">
        <f>H233+H236</f>
        <v>5.4962936399999975</v>
      </c>
      <c r="K233" s="540">
        <f>J233-0.0192*60+0.02*107</f>
        <v>6.4842936399999971</v>
      </c>
    </row>
    <row r="234" spans="2:12">
      <c r="C234" s="331">
        <f>0.0087</f>
        <v>8.6999999999999994E-3</v>
      </c>
      <c r="D234" s="308">
        <v>20</v>
      </c>
      <c r="E234" s="309">
        <v>130</v>
      </c>
      <c r="F234" s="331">
        <v>22.875593479999999</v>
      </c>
      <c r="G234" s="331">
        <v>26.757144589999999</v>
      </c>
      <c r="H234" s="310">
        <f t="shared" ref="H234" si="80">G234-F234</f>
        <v>3.8815511100000002</v>
      </c>
      <c r="I234" s="331">
        <f>H234/$C234</f>
        <v>446.15530000000007</v>
      </c>
    </row>
    <row r="235" spans="2:12">
      <c r="C235" s="331">
        <f>0.3*1</f>
        <v>0.3</v>
      </c>
      <c r="D235" s="308">
        <v>20</v>
      </c>
      <c r="E235" s="309">
        <v>100</v>
      </c>
      <c r="F235" s="331">
        <v>22.196286749999999</v>
      </c>
      <c r="G235" s="331">
        <v>24.737253169999999</v>
      </c>
      <c r="H235" s="310">
        <f>G235-F235</f>
        <v>2.5409664200000002</v>
      </c>
      <c r="I235" s="331">
        <f>H235/$C234</f>
        <v>292.06510574712649</v>
      </c>
    </row>
    <row r="236" spans="2:12">
      <c r="C236" s="331">
        <f>C234/0.026*C235</f>
        <v>0.10038461538461538</v>
      </c>
      <c r="D236" s="311">
        <v>30</v>
      </c>
      <c r="E236" s="312">
        <v>130</v>
      </c>
      <c r="F236" s="332">
        <v>21.885597520000001</v>
      </c>
      <c r="G236" s="332">
        <v>24.39830598</v>
      </c>
      <c r="H236" s="314">
        <f>G236-F236</f>
        <v>2.5127084599999989</v>
      </c>
      <c r="I236" s="331">
        <f>H236/$C234</f>
        <v>288.81706436781599</v>
      </c>
    </row>
    <row r="238" spans="2:12" ht="18.75">
      <c r="B238" t="s">
        <v>92</v>
      </c>
      <c r="C238" s="304"/>
      <c r="D238" s="305" t="s">
        <v>0</v>
      </c>
      <c r="E238" s="306" t="s">
        <v>1</v>
      </c>
      <c r="F238" s="306" t="s">
        <v>58</v>
      </c>
      <c r="G238" s="306" t="s">
        <v>59</v>
      </c>
      <c r="H238" s="307" t="s">
        <v>60</v>
      </c>
      <c r="I238" s="304"/>
      <c r="J238" s="491"/>
      <c r="K238" s="491"/>
      <c r="L238" s="493"/>
    </row>
    <row r="239" spans="2:12">
      <c r="C239" s="331">
        <f>0.0265-0.0157</f>
        <v>1.0800000000000001E-2</v>
      </c>
      <c r="D239" s="308">
        <v>20</v>
      </c>
      <c r="E239" s="309">
        <v>130</v>
      </c>
      <c r="F239" s="331">
        <v>22.87401023</v>
      </c>
      <c r="G239" s="331">
        <v>25.945139730000001</v>
      </c>
      <c r="H239" s="310">
        <f t="shared" ref="H239" si="81">G239-F239</f>
        <v>3.0711295000000014</v>
      </c>
      <c r="I239" s="331">
        <f>H239/$C239</f>
        <v>284.36384259259273</v>
      </c>
      <c r="J239" s="491">
        <f>H239+H242</f>
        <v>6.8278987300000011</v>
      </c>
      <c r="K239" s="491">
        <f>J239-0.0255*80+0.0153*56</f>
        <v>5.6446987300000009</v>
      </c>
      <c r="L239" s="493"/>
    </row>
    <row r="240" spans="2:12">
      <c r="C240" s="331">
        <f>0.3*1.5</f>
        <v>0.44999999999999996</v>
      </c>
      <c r="D240" s="308">
        <v>20</v>
      </c>
      <c r="E240" s="309">
        <v>100</v>
      </c>
      <c r="F240" s="331">
        <v>22.198987590000002</v>
      </c>
      <c r="G240" s="331">
        <v>24.75360556</v>
      </c>
      <c r="H240" s="310">
        <f>G240-F240</f>
        <v>2.5546179699999989</v>
      </c>
      <c r="I240" s="331">
        <f>H240/$C239</f>
        <v>236.53870092592581</v>
      </c>
      <c r="J240" s="491">
        <f>H240+H243</f>
        <v>5.5681917399999996</v>
      </c>
      <c r="K240" s="491">
        <f>J240-0.0255*60+0.0153*43</f>
        <v>4.69609174</v>
      </c>
      <c r="L240" s="493"/>
    </row>
    <row r="241" spans="2:11">
      <c r="C241" s="331">
        <f>C239/0.026*C240</f>
        <v>0.18692307692307691</v>
      </c>
      <c r="D241" s="311">
        <v>30</v>
      </c>
      <c r="E241" s="312">
        <v>130</v>
      </c>
      <c r="F241" s="332">
        <v>22.19330652</v>
      </c>
      <c r="G241" s="332">
        <v>25.606138300000001</v>
      </c>
      <c r="H241" s="314">
        <f>G241-F241</f>
        <v>3.4128317800000012</v>
      </c>
      <c r="I241" s="331">
        <f>H241/$C239</f>
        <v>316.00294259259266</v>
      </c>
      <c r="J241" s="491">
        <f>H241+H244</f>
        <v>7.5249005900000014</v>
      </c>
      <c r="K241" s="491">
        <f>J241-0.0255*90+0.0153*80</f>
        <v>6.4539005900000017</v>
      </c>
    </row>
    <row r="242" spans="2:11">
      <c r="C242" s="331">
        <f>0.0157</f>
        <v>1.5699999999999999E-2</v>
      </c>
      <c r="D242" s="308">
        <v>20</v>
      </c>
      <c r="E242" s="309">
        <v>130</v>
      </c>
      <c r="F242" s="331">
        <v>22.886583080000001</v>
      </c>
      <c r="G242" s="331">
        <v>26.643352310000001</v>
      </c>
      <c r="H242" s="310">
        <f t="shared" ref="H242" si="82">G242-F242</f>
        <v>3.7567692299999997</v>
      </c>
      <c r="I242" s="331">
        <f>H242/$C242</f>
        <v>239.28466433121019</v>
      </c>
      <c r="J242" s="491"/>
      <c r="K242" s="491"/>
    </row>
    <row r="243" spans="2:11">
      <c r="C243" s="331">
        <f>0.3*1</f>
        <v>0.3</v>
      </c>
      <c r="D243" s="308">
        <v>20</v>
      </c>
      <c r="E243" s="309">
        <v>100</v>
      </c>
      <c r="F243" s="331">
        <v>22.081920329999999</v>
      </c>
      <c r="G243" s="331">
        <v>25.0954941</v>
      </c>
      <c r="H243" s="310">
        <f>G243-F243</f>
        <v>3.0135737700000007</v>
      </c>
      <c r="I243" s="331">
        <f>H243/$C242</f>
        <v>191.94737388535037</v>
      </c>
      <c r="J243" s="491"/>
      <c r="K243" s="491"/>
    </row>
    <row r="244" spans="2:11">
      <c r="C244" s="331">
        <f>C242/0.026*C243</f>
        <v>0.18115384615384614</v>
      </c>
      <c r="D244" s="311">
        <v>30</v>
      </c>
      <c r="E244" s="312">
        <v>130</v>
      </c>
      <c r="F244" s="332">
        <v>22.965745510000001</v>
      </c>
      <c r="G244" s="332">
        <v>27.077814320000002</v>
      </c>
      <c r="H244" s="314">
        <f>G244-F244</f>
        <v>4.1120688100000002</v>
      </c>
      <c r="I244" s="331">
        <f>H244/$C242</f>
        <v>261.91521082802552</v>
      </c>
      <c r="J244" s="491"/>
      <c r="K244" s="491"/>
    </row>
    <row r="247" spans="2:11" ht="18.75">
      <c r="B247" s="4">
        <v>42341</v>
      </c>
      <c r="C247" s="495"/>
      <c r="D247" s="496" t="s">
        <v>0</v>
      </c>
      <c r="E247" s="497" t="s">
        <v>1</v>
      </c>
      <c r="F247" s="497" t="s">
        <v>2</v>
      </c>
      <c r="G247" s="497" t="s">
        <v>3</v>
      </c>
      <c r="H247" s="498" t="s">
        <v>4</v>
      </c>
      <c r="I247" s="508"/>
    </row>
    <row r="248" spans="2:11">
      <c r="B248" s="493" t="s">
        <v>64</v>
      </c>
      <c r="C248" s="5">
        <f>0.021-0.0064</f>
        <v>1.4600000000000002E-2</v>
      </c>
      <c r="D248" s="499">
        <v>20</v>
      </c>
      <c r="E248" s="500">
        <v>130</v>
      </c>
      <c r="F248" s="494">
        <v>21.588250250000002</v>
      </c>
      <c r="G248" s="494">
        <v>22.203085399999999</v>
      </c>
      <c r="H248" s="502">
        <f t="shared" ref="H248" si="83">G248-F248</f>
        <v>0.61483514999999755</v>
      </c>
      <c r="I248" s="494">
        <f>H248/$C248</f>
        <v>42.111996575342296</v>
      </c>
    </row>
    <row r="249" spans="2:11">
      <c r="B249" s="493" t="s">
        <v>95</v>
      </c>
      <c r="C249" s="5">
        <f>0.3*1.25</f>
        <v>0.375</v>
      </c>
      <c r="D249" s="499">
        <v>20</v>
      </c>
      <c r="E249" s="500">
        <v>100</v>
      </c>
      <c r="F249" s="494">
        <v>21.34133258</v>
      </c>
      <c r="G249" s="494">
        <v>21.856633389999999</v>
      </c>
      <c r="H249" s="502">
        <f>G249-F249</f>
        <v>0.51530080999999939</v>
      </c>
      <c r="I249" s="494">
        <f>H249/$C248</f>
        <v>35.294576027397213</v>
      </c>
    </row>
    <row r="250" spans="2:11">
      <c r="B250" s="493"/>
      <c r="C250" s="5">
        <f>C248/0.026*C249</f>
        <v>0.21057692307692311</v>
      </c>
      <c r="D250" s="504">
        <v>30</v>
      </c>
      <c r="E250" s="505">
        <v>130</v>
      </c>
      <c r="F250" s="506">
        <v>21.3301567</v>
      </c>
      <c r="G250" s="506">
        <v>22.197404339999999</v>
      </c>
      <c r="H250" s="507">
        <f>G250-F250</f>
        <v>0.86724763999999865</v>
      </c>
      <c r="I250" s="494">
        <f>H250/$C$248</f>
        <v>59.400523287671135</v>
      </c>
    </row>
    <row r="251" spans="2:11" ht="18.75">
      <c r="B251" s="493"/>
      <c r="C251" s="495"/>
      <c r="D251" s="496" t="s">
        <v>0</v>
      </c>
      <c r="E251" s="497" t="s">
        <v>1</v>
      </c>
      <c r="F251" s="497" t="s">
        <v>2</v>
      </c>
      <c r="G251" s="497" t="s">
        <v>3</v>
      </c>
      <c r="H251" s="498" t="s">
        <v>4</v>
      </c>
      <c r="I251" s="508"/>
    </row>
    <row r="252" spans="2:11">
      <c r="B252" s="493" t="s">
        <v>64</v>
      </c>
      <c r="C252" s="5">
        <f>0.0254-0.0126</f>
        <v>1.2799999999999999E-2</v>
      </c>
      <c r="D252" s="499">
        <v>20</v>
      </c>
      <c r="E252" s="500">
        <v>130</v>
      </c>
      <c r="F252" s="494">
        <v>21.333136939999999</v>
      </c>
      <c r="G252" s="494">
        <v>22.193537809999999</v>
      </c>
      <c r="H252" s="502">
        <f t="shared" ref="H252" si="84">G252-F252</f>
        <v>0.86040086999999943</v>
      </c>
      <c r="I252" s="494">
        <f>H252/$C$252</f>
        <v>67.21881796874996</v>
      </c>
    </row>
    <row r="253" spans="2:11">
      <c r="B253" s="493" t="s">
        <v>96</v>
      </c>
      <c r="C253" s="5">
        <f>0.3*1.25</f>
        <v>0.375</v>
      </c>
      <c r="D253" s="499">
        <v>20</v>
      </c>
      <c r="E253" s="500">
        <v>100</v>
      </c>
      <c r="F253" s="494">
        <v>21.685456290000001</v>
      </c>
      <c r="G253" s="494">
        <v>22.373144920000001</v>
      </c>
      <c r="H253" s="502">
        <f>G253-F253</f>
        <v>0.68768863000000024</v>
      </c>
      <c r="I253" s="494">
        <f>H253/$C$252</f>
        <v>53.725674218750022</v>
      </c>
    </row>
    <row r="254" spans="2:11">
      <c r="B254" s="493"/>
      <c r="C254" s="5">
        <f>C252/0.026*C253</f>
        <v>0.1846153846153846</v>
      </c>
      <c r="D254" s="504">
        <v>30</v>
      </c>
      <c r="E254" s="505">
        <v>130</v>
      </c>
      <c r="F254" s="506">
        <v>21.344312810000002</v>
      </c>
      <c r="G254" s="506">
        <v>22.377263719999998</v>
      </c>
      <c r="H254" s="507">
        <f>G254-F254</f>
        <v>1.0329509099999967</v>
      </c>
      <c r="I254" s="494">
        <f>H254/$C$252</f>
        <v>80.699289843749753</v>
      </c>
    </row>
    <row r="255" spans="2:11" ht="18.75">
      <c r="B255" s="493"/>
      <c r="C255" s="495"/>
      <c r="D255" s="496" t="s">
        <v>0</v>
      </c>
      <c r="E255" s="497" t="s">
        <v>1</v>
      </c>
      <c r="F255" s="497" t="s">
        <v>2</v>
      </c>
      <c r="G255" s="497" t="s">
        <v>3</v>
      </c>
      <c r="H255" s="498" t="s">
        <v>4</v>
      </c>
      <c r="I255" s="508"/>
    </row>
    <row r="256" spans="2:11">
      <c r="B256" s="493" t="s">
        <v>64</v>
      </c>
      <c r="C256" s="5">
        <f>0.0171-0.0078</f>
        <v>9.300000000000001E-3</v>
      </c>
      <c r="D256" s="499">
        <v>20</v>
      </c>
      <c r="E256" s="500">
        <v>130</v>
      </c>
      <c r="F256" s="494">
        <v>21.684431830000001</v>
      </c>
      <c r="G256" s="494">
        <v>22.19386531</v>
      </c>
      <c r="H256" s="502">
        <f t="shared" ref="H256" si="85">G256-F256</f>
        <v>0.50943347999999844</v>
      </c>
      <c r="I256" s="494">
        <f>H256/$C$256</f>
        <v>54.777793548386924</v>
      </c>
    </row>
    <row r="257" spans="2:16">
      <c r="B257" s="493" t="s">
        <v>91</v>
      </c>
      <c r="C257" s="5">
        <f>0.3*1.25</f>
        <v>0.375</v>
      </c>
      <c r="D257" s="499">
        <v>20</v>
      </c>
      <c r="E257" s="500">
        <v>100</v>
      </c>
      <c r="F257" s="494">
        <v>21.85411882</v>
      </c>
      <c r="G257" s="494">
        <v>22.547581650000001</v>
      </c>
      <c r="H257" s="502">
        <f>G257-F257</f>
        <v>0.69346283000000142</v>
      </c>
      <c r="I257" s="494">
        <f>H257/$C$256</f>
        <v>74.565895698924876</v>
      </c>
    </row>
    <row r="258" spans="2:16">
      <c r="B258" s="493"/>
      <c r="C258" s="5">
        <f>C256/0.026*C257</f>
        <v>0.13413461538461541</v>
      </c>
      <c r="D258" s="504">
        <v>30</v>
      </c>
      <c r="E258" s="505">
        <v>130</v>
      </c>
      <c r="F258" s="506">
        <v>21.847692689999999</v>
      </c>
      <c r="G258" s="506">
        <v>22.380595499999998</v>
      </c>
      <c r="H258" s="507">
        <f>G258-F258</f>
        <v>0.5329028099999995</v>
      </c>
      <c r="I258" s="494">
        <f>H258/$C$256</f>
        <v>57.301377419354779</v>
      </c>
    </row>
    <row r="261" spans="2:16" ht="18.75">
      <c r="B261" t="s">
        <v>97</v>
      </c>
      <c r="C261" s="304"/>
      <c r="D261" s="305" t="s">
        <v>0</v>
      </c>
      <c r="E261" s="306" t="s">
        <v>1</v>
      </c>
      <c r="F261" s="306" t="s">
        <v>58</v>
      </c>
      <c r="G261" s="306" t="s">
        <v>59</v>
      </c>
      <c r="H261" s="307" t="s">
        <v>60</v>
      </c>
      <c r="I261" s="304"/>
      <c r="J261" s="509"/>
      <c r="K261" s="509">
        <v>1</v>
      </c>
      <c r="L261">
        <v>2</v>
      </c>
      <c r="M261" s="515" t="s">
        <v>61</v>
      </c>
      <c r="N261" s="515" t="s">
        <v>62</v>
      </c>
      <c r="P261" s="515" t="s">
        <v>69</v>
      </c>
    </row>
    <row r="262" spans="2:16">
      <c r="C262" s="331">
        <f>0.0315-0.0157</f>
        <v>1.5800000000000002E-2</v>
      </c>
      <c r="D262" s="308">
        <v>20</v>
      </c>
      <c r="E262" s="309">
        <v>130</v>
      </c>
      <c r="F262" s="331">
        <v>22.346464059999999</v>
      </c>
      <c r="G262" s="331">
        <v>25.888701579999999</v>
      </c>
      <c r="H262" s="310">
        <f t="shared" ref="H262" si="86">G262-F262</f>
        <v>3.5422375200000005</v>
      </c>
      <c r="I262" s="331">
        <f>H262/$C262</f>
        <v>224.19224810126582</v>
      </c>
      <c r="J262" s="509">
        <f>H262+H265</f>
        <v>6.9779767700000015</v>
      </c>
      <c r="K262" s="509">
        <f>J262-0.0286*42+0.0153*56</f>
        <v>6.6335767700000012</v>
      </c>
      <c r="L262">
        <v>7.0175553699999984</v>
      </c>
      <c r="M262">
        <f>AVERAGE(J262:L262)</f>
        <v>6.8763696366666665</v>
      </c>
      <c r="N262">
        <f>_xlfn.STDEV.S(J262:L262)</f>
        <v>0.21119398304083609</v>
      </c>
      <c r="P262">
        <f>N262/M262</f>
        <v>3.0713006164574477E-2</v>
      </c>
    </row>
    <row r="263" spans="2:16">
      <c r="C263" s="331">
        <f>0.3*2</f>
        <v>0.6</v>
      </c>
      <c r="D263" s="308">
        <v>20</v>
      </c>
      <c r="E263" s="309">
        <v>100</v>
      </c>
      <c r="F263" s="331">
        <v>21.85318749</v>
      </c>
      <c r="G263" s="331">
        <v>24.756772059999999</v>
      </c>
      <c r="H263" s="310">
        <f>G263-F263</f>
        <v>2.9035845699999996</v>
      </c>
      <c r="I263" s="331">
        <f>H263/$C262</f>
        <v>183.77117531645564</v>
      </c>
      <c r="J263" s="509">
        <f>H263+H266</f>
        <v>5.9524943499999985</v>
      </c>
      <c r="K263" s="509">
        <f>J263-0.0286*35+0.0153*43</f>
        <v>5.6093943499999979</v>
      </c>
      <c r="L263" s="515">
        <v>5.7523346500000008</v>
      </c>
      <c r="M263" s="540">
        <f t="shared" ref="M263:M264" si="87">AVERAGE(J263:L263)</f>
        <v>5.7714077833333333</v>
      </c>
      <c r="N263" s="540">
        <f t="shared" ref="N263:N264" si="88">_xlfn.STDEV.S(J263:L263)</f>
        <v>0.17234338052667816</v>
      </c>
      <c r="P263" s="515">
        <f t="shared" ref="P263:P264" si="89">N263/M263</f>
        <v>2.9861584382301184E-2</v>
      </c>
    </row>
    <row r="264" spans="2:16">
      <c r="B264">
        <v>1</v>
      </c>
      <c r="C264" s="536">
        <f>C262/0.026*C263</f>
        <v>0.36461538461538462</v>
      </c>
      <c r="D264" s="311">
        <v>30</v>
      </c>
      <c r="E264" s="312">
        <v>130</v>
      </c>
      <c r="F264" s="332">
        <v>21.858961690000001</v>
      </c>
      <c r="G264" s="332">
        <v>25.930328630000002</v>
      </c>
      <c r="H264" s="314">
        <f>G264-F264</f>
        <v>4.0713669400000008</v>
      </c>
      <c r="I264" s="331">
        <f>H264/$C262</f>
        <v>257.68145189873422</v>
      </c>
      <c r="J264" s="509">
        <f>H264+H267</f>
        <v>8.3664073800000018</v>
      </c>
      <c r="K264" s="509">
        <f>J264-0.0286*59+0.0153*80</f>
        <v>7.9030073800000018</v>
      </c>
      <c r="L264">
        <v>7.587339359999997</v>
      </c>
      <c r="M264" s="540">
        <f t="shared" si="87"/>
        <v>7.9522513733333335</v>
      </c>
      <c r="N264" s="540">
        <f t="shared" si="88"/>
        <v>0.39186154838953247</v>
      </c>
      <c r="P264" s="515">
        <f t="shared" si="89"/>
        <v>4.9276806025471055E-2</v>
      </c>
    </row>
    <row r="265" spans="2:16">
      <c r="C265" s="331">
        <f>0.0157</f>
        <v>1.5699999999999999E-2</v>
      </c>
      <c r="D265" s="308">
        <v>20</v>
      </c>
      <c r="E265" s="309">
        <v>130</v>
      </c>
      <c r="F265" s="331">
        <v>21.563432039999999</v>
      </c>
      <c r="G265" s="331">
        <v>24.99917129</v>
      </c>
      <c r="H265" s="310">
        <f t="shared" ref="H265" si="90">G265-F265</f>
        <v>3.435739250000001</v>
      </c>
      <c r="I265" s="331">
        <f>H265/$C265</f>
        <v>218.83689490445869</v>
      </c>
      <c r="J265" s="509"/>
      <c r="K265" s="509"/>
    </row>
    <row r="266" spans="2:16">
      <c r="B266">
        <v>1</v>
      </c>
      <c r="C266" s="331">
        <f>0.3*1</f>
        <v>0.3</v>
      </c>
      <c r="D266" s="308">
        <v>20</v>
      </c>
      <c r="E266" s="309">
        <v>100</v>
      </c>
      <c r="F266" s="331">
        <v>23.57818327</v>
      </c>
      <c r="G266" s="331">
        <v>26.627093049999999</v>
      </c>
      <c r="H266" s="310">
        <f>G266-F266</f>
        <v>3.0489097799999989</v>
      </c>
      <c r="I266" s="331">
        <f>H266/$C265</f>
        <v>194.19807515923563</v>
      </c>
      <c r="J266" s="509"/>
      <c r="K266" s="509"/>
    </row>
    <row r="267" spans="2:16">
      <c r="B267">
        <v>1</v>
      </c>
      <c r="C267" s="331">
        <f>C265/0.026*C266</f>
        <v>0.18115384615384614</v>
      </c>
      <c r="D267" s="311">
        <v>30</v>
      </c>
      <c r="E267" s="312">
        <v>130</v>
      </c>
      <c r="F267" s="332">
        <v>22.15426312</v>
      </c>
      <c r="G267" s="332">
        <v>26.449303560000001</v>
      </c>
      <c r="H267" s="314">
        <f>G267-F267</f>
        <v>4.2950404400000011</v>
      </c>
      <c r="I267" s="331">
        <f>H267/$C265</f>
        <v>273.56945477707018</v>
      </c>
      <c r="J267" s="509"/>
      <c r="K267" s="509"/>
    </row>
    <row r="268" spans="2:16" ht="18.75">
      <c r="C268" s="365"/>
      <c r="D268" s="366" t="s">
        <v>0</v>
      </c>
      <c r="E268" s="367" t="s">
        <v>1</v>
      </c>
      <c r="F268" s="367" t="s">
        <v>65</v>
      </c>
      <c r="G268" s="367" t="s">
        <v>66</v>
      </c>
      <c r="H268" s="368" t="s">
        <v>67</v>
      </c>
      <c r="I268" s="365"/>
      <c r="J268" s="513"/>
      <c r="K268" s="513"/>
      <c r="L268">
        <v>2</v>
      </c>
    </row>
    <row r="269" spans="2:16">
      <c r="C269" s="371">
        <f>0.0296-0.0169</f>
        <v>1.2700000000000003E-2</v>
      </c>
      <c r="D269" s="369">
        <v>20</v>
      </c>
      <c r="E269" s="370">
        <v>130</v>
      </c>
      <c r="F269" s="371">
        <v>22.87317204</v>
      </c>
      <c r="G269" s="371">
        <v>25.436451309999999</v>
      </c>
      <c r="H269" s="372">
        <f t="shared" ref="H269" si="91">G269-F269</f>
        <v>2.5632792699999989</v>
      </c>
      <c r="I269" s="371">
        <f>H269/$C269</f>
        <v>201.83301338582663</v>
      </c>
      <c r="J269" s="513">
        <f>H269+H272</f>
        <v>6.3199553699999989</v>
      </c>
      <c r="K269" s="513">
        <f>J269-0.0276*42+0.0153*56</f>
        <v>6.0175553699999984</v>
      </c>
      <c r="L269" s="515">
        <f>K269+1</f>
        <v>7.0175553699999984</v>
      </c>
    </row>
    <row r="270" spans="2:16">
      <c r="C270" s="371">
        <f>0.3*1</f>
        <v>0.3</v>
      </c>
      <c r="D270" s="369">
        <v>20</v>
      </c>
      <c r="E270" s="370">
        <v>100</v>
      </c>
      <c r="F270" s="371">
        <v>22.23670615</v>
      </c>
      <c r="G270" s="371">
        <v>24.412368950000001</v>
      </c>
      <c r="H270" s="372">
        <f>G270-F270</f>
        <v>2.1756628000000013</v>
      </c>
      <c r="I270" s="371">
        <f>H270/$C269</f>
        <v>171.31203149606307</v>
      </c>
      <c r="J270" s="513">
        <f>H270+H273</f>
        <v>5.0604346500000013</v>
      </c>
      <c r="K270" s="513">
        <f>J270-0.0276*35+0.0153*43</f>
        <v>4.7523346500000008</v>
      </c>
      <c r="L270" s="515">
        <f>K270+1</f>
        <v>5.7523346500000008</v>
      </c>
    </row>
    <row r="271" spans="2:16">
      <c r="C271" s="371">
        <f>C269/0.026*C270</f>
        <v>0.14653846153846159</v>
      </c>
      <c r="D271" s="373">
        <v>30</v>
      </c>
      <c r="E271" s="374">
        <v>130</v>
      </c>
      <c r="F271" s="375">
        <v>21.862852270000001</v>
      </c>
      <c r="G271" s="375">
        <v>24.756399529999999</v>
      </c>
      <c r="H271" s="376">
        <f>G271-F271</f>
        <v>2.8935472599999983</v>
      </c>
      <c r="I271" s="371">
        <f>H271/$C269</f>
        <v>227.83836692913368</v>
      </c>
      <c r="J271" s="513">
        <f>H271+H274</f>
        <v>6.9917393599999969</v>
      </c>
      <c r="K271" s="513">
        <f>J271-0.0276*59+0.0153*80</f>
        <v>6.587339359999997</v>
      </c>
      <c r="L271">
        <f>K271+1</f>
        <v>7.587339359999997</v>
      </c>
    </row>
    <row r="272" spans="2:16">
      <c r="C272" s="371">
        <f>0.0157</f>
        <v>1.5699999999999999E-2</v>
      </c>
      <c r="D272" s="369">
        <v>20</v>
      </c>
      <c r="E272" s="370">
        <v>130</v>
      </c>
      <c r="F272" s="371">
        <v>21.849927860000001</v>
      </c>
      <c r="G272" s="371">
        <v>25.606603960000001</v>
      </c>
      <c r="H272" s="372">
        <f t="shared" ref="H272" si="92">G272-F272</f>
        <v>3.7566761</v>
      </c>
      <c r="I272" s="371">
        <f>H272/$C272</f>
        <v>239.27873248407644</v>
      </c>
      <c r="J272" s="513"/>
      <c r="K272" s="513"/>
    </row>
    <row r="273" spans="2:16">
      <c r="C273" s="371">
        <f>0.3*1</f>
        <v>0.3</v>
      </c>
      <c r="D273" s="369">
        <v>20</v>
      </c>
      <c r="E273" s="370">
        <v>100</v>
      </c>
      <c r="F273" s="371">
        <v>22.28699757</v>
      </c>
      <c r="G273" s="371">
        <v>25.17176942</v>
      </c>
      <c r="H273" s="372">
        <f>G273-F273</f>
        <v>2.8847718499999999</v>
      </c>
      <c r="I273" s="371">
        <f>H273/$C272</f>
        <v>183.74342993630574</v>
      </c>
      <c r="J273" s="513"/>
      <c r="K273" s="513"/>
    </row>
    <row r="274" spans="2:16">
      <c r="C274" s="371">
        <f>C272/0.026*C273</f>
        <v>0.18115384615384614</v>
      </c>
      <c r="D274" s="373">
        <v>30</v>
      </c>
      <c r="E274" s="374">
        <v>130</v>
      </c>
      <c r="F274" s="375">
        <v>21.8526287</v>
      </c>
      <c r="G274" s="375">
        <v>25.950820799999999</v>
      </c>
      <c r="H274" s="376">
        <f>G274-F274</f>
        <v>4.0981920999999986</v>
      </c>
      <c r="I274" s="371">
        <f>H274/$C272</f>
        <v>261.03134394904453</v>
      </c>
      <c r="J274" s="513"/>
      <c r="K274" s="513"/>
    </row>
    <row r="276" spans="2:16" ht="18.75">
      <c r="B276" t="s">
        <v>99</v>
      </c>
      <c r="C276" s="304"/>
      <c r="D276" s="305" t="s">
        <v>0</v>
      </c>
      <c r="E276" s="306" t="s">
        <v>1</v>
      </c>
      <c r="F276" s="306" t="s">
        <v>58</v>
      </c>
      <c r="G276" s="306" t="s">
        <v>59</v>
      </c>
      <c r="H276" s="307" t="s">
        <v>60</v>
      </c>
      <c r="I276" s="304"/>
      <c r="J276" s="514"/>
      <c r="K276" s="514">
        <v>1</v>
      </c>
      <c r="L276">
        <v>2</v>
      </c>
      <c r="M276" s="516" t="s">
        <v>61</v>
      </c>
      <c r="N276" s="516" t="s">
        <v>62</v>
      </c>
      <c r="P276" s="516" t="s">
        <v>69</v>
      </c>
    </row>
    <row r="277" spans="2:16">
      <c r="B277" t="s">
        <v>98</v>
      </c>
      <c r="C277" s="331">
        <f>0.0296-0.0106</f>
        <v>1.9000000000000003E-2</v>
      </c>
      <c r="D277" s="308">
        <v>20</v>
      </c>
      <c r="E277" s="309">
        <v>130</v>
      </c>
      <c r="F277" s="331">
        <v>22.017938470000001</v>
      </c>
      <c r="G277" s="331">
        <v>26.912318280000001</v>
      </c>
      <c r="H277" s="310">
        <f t="shared" ref="H277" si="93">G277-F277</f>
        <v>4.8943798100000002</v>
      </c>
      <c r="I277" s="331">
        <f>H277/$C277</f>
        <v>257.59893736842105</v>
      </c>
      <c r="J277" s="514">
        <f>H277+H280</f>
        <v>7.453095600000001</v>
      </c>
      <c r="K277" s="514">
        <f>J277-0.0276*60+0.0153*56</f>
        <v>6.6538956000000011</v>
      </c>
      <c r="L277">
        <v>6.2735697300000002</v>
      </c>
      <c r="M277" s="516">
        <f>AVERAGE(K277:L277)</f>
        <v>6.4637326650000002</v>
      </c>
      <c r="N277" s="516">
        <f>_xlfn.STDEV.S(K277:L277)</f>
        <v>0.26893100173767398</v>
      </c>
      <c r="P277" s="516">
        <f>N277/M277</f>
        <v>4.1606145500708756E-2</v>
      </c>
    </row>
    <row r="278" spans="2:16">
      <c r="C278" s="331">
        <f>0.3*1</f>
        <v>0.3</v>
      </c>
      <c r="D278" s="308">
        <v>20</v>
      </c>
      <c r="E278" s="309">
        <v>100</v>
      </c>
      <c r="F278" s="331">
        <v>21.857937239999998</v>
      </c>
      <c r="G278" s="331">
        <v>25.618059219999999</v>
      </c>
      <c r="H278" s="310">
        <f>G278-F278</f>
        <v>3.760121980000001</v>
      </c>
      <c r="I278" s="331">
        <f>H278/$C277</f>
        <v>197.90115684210528</v>
      </c>
      <c r="J278" s="514">
        <f>H278+H281</f>
        <v>5.6612308599999999</v>
      </c>
      <c r="K278" s="514">
        <f>J278-0.0276*40+0.0153*43</f>
        <v>5.2151308599999995</v>
      </c>
      <c r="L278" s="519">
        <v>4.9971257700000029</v>
      </c>
      <c r="M278" s="516">
        <f t="shared" ref="M278:M279" si="94">AVERAGE(K278:L278)</f>
        <v>5.1061283150000012</v>
      </c>
      <c r="N278" s="516">
        <f t="shared" ref="N278:N279" si="95">_xlfn.STDEV.S(K278:L278)</f>
        <v>0.15415287747218118</v>
      </c>
      <c r="P278" s="516">
        <f t="shared" ref="P278:P279" si="96">N278/M278</f>
        <v>3.0189777452191022E-2</v>
      </c>
    </row>
    <row r="279" spans="2:16">
      <c r="C279" s="331">
        <f>C277/0.026*C278</f>
        <v>0.21923076923076928</v>
      </c>
      <c r="D279" s="311">
        <v>30</v>
      </c>
      <c r="E279" s="312">
        <v>130</v>
      </c>
      <c r="F279" s="332">
        <v>22.194703499999999</v>
      </c>
      <c r="G279" s="332">
        <v>27.3086892</v>
      </c>
      <c r="H279" s="314">
        <f>G279-F279</f>
        <v>5.1139857000000006</v>
      </c>
      <c r="I279" s="331">
        <f>H279/$C277</f>
        <v>269.15714210526318</v>
      </c>
      <c r="J279" s="514">
        <f>H279+H282</f>
        <v>7.8708388500000019</v>
      </c>
      <c r="K279" s="514">
        <f>J279-0.0276*70+0.0153*80</f>
        <v>7.1628388500000018</v>
      </c>
      <c r="L279">
        <v>6.955134919999999</v>
      </c>
      <c r="M279" s="516">
        <f t="shared" si="94"/>
        <v>7.0589868850000004</v>
      </c>
      <c r="N279" s="516">
        <f t="shared" si="95"/>
        <v>0.14686885738209793</v>
      </c>
      <c r="P279" s="516">
        <f t="shared" si="96"/>
        <v>2.0805939970534159E-2</v>
      </c>
    </row>
    <row r="280" spans="2:16">
      <c r="C280" s="331">
        <f>0.0105</f>
        <v>1.0500000000000001E-2</v>
      </c>
      <c r="D280" s="308">
        <v>20</v>
      </c>
      <c r="E280" s="309">
        <v>130</v>
      </c>
      <c r="F280" s="331">
        <v>22.195727959999999</v>
      </c>
      <c r="G280" s="331">
        <v>24.75444375</v>
      </c>
      <c r="H280" s="310">
        <f t="shared" ref="H280" si="97">G280-F280</f>
        <v>2.5587157900000008</v>
      </c>
      <c r="I280" s="331">
        <f>H280/$C280</f>
        <v>243.68721809523817</v>
      </c>
      <c r="J280" s="514"/>
      <c r="K280" s="514"/>
    </row>
    <row r="281" spans="2:16">
      <c r="C281" s="331">
        <f>0.3*1</f>
        <v>0.3</v>
      </c>
      <c r="D281" s="308">
        <v>20</v>
      </c>
      <c r="E281" s="309">
        <v>100</v>
      </c>
      <c r="F281" s="331">
        <v>21.85495701</v>
      </c>
      <c r="G281" s="331">
        <v>23.756065889999999</v>
      </c>
      <c r="H281" s="310">
        <f>G281-F281</f>
        <v>1.9011088799999989</v>
      </c>
      <c r="I281" s="331">
        <f>H281/$C280</f>
        <v>181.05798857142847</v>
      </c>
      <c r="J281" s="514"/>
      <c r="K281" s="514"/>
    </row>
    <row r="282" spans="2:16">
      <c r="C282" s="331">
        <f>C280/0.026*C281</f>
        <v>0.12115384615384617</v>
      </c>
      <c r="D282" s="311">
        <v>30</v>
      </c>
      <c r="E282" s="312">
        <v>130</v>
      </c>
      <c r="F282" s="332">
        <v>22.19256146</v>
      </c>
      <c r="G282" s="332">
        <v>24.949414610000002</v>
      </c>
      <c r="H282" s="314">
        <f>G282-F282</f>
        <v>2.7568531500000013</v>
      </c>
      <c r="I282" s="331">
        <f>H282/$C280</f>
        <v>262.55744285714297</v>
      </c>
      <c r="J282" s="514"/>
      <c r="K282" s="514"/>
    </row>
    <row r="283" spans="2:16" ht="18.75">
      <c r="C283" s="365"/>
      <c r="D283" s="366" t="s">
        <v>0</v>
      </c>
      <c r="E283" s="367" t="s">
        <v>1</v>
      </c>
      <c r="F283" s="367" t="s">
        <v>65</v>
      </c>
      <c r="G283" s="367" t="s">
        <v>66</v>
      </c>
      <c r="H283" s="368" t="s">
        <v>67</v>
      </c>
      <c r="I283" s="365"/>
      <c r="J283" s="517"/>
      <c r="K283" s="517">
        <v>2</v>
      </c>
    </row>
    <row r="284" spans="2:16">
      <c r="B284" t="s">
        <v>98</v>
      </c>
      <c r="C284" s="371">
        <f>0.0261-0.0088</f>
        <v>1.7300000000000003E-2</v>
      </c>
      <c r="D284" s="369">
        <v>20</v>
      </c>
      <c r="E284" s="370">
        <v>130</v>
      </c>
      <c r="F284" s="371">
        <v>22.231490749999999</v>
      </c>
      <c r="G284" s="371">
        <v>27.311296899999999</v>
      </c>
      <c r="H284" s="372">
        <f t="shared" ref="H284" si="98">G284-F284</f>
        <v>5.0798061499999996</v>
      </c>
      <c r="I284" s="371">
        <f>H284/$C284</f>
        <v>293.63041329479762</v>
      </c>
      <c r="J284" s="517">
        <f>H284+H287</f>
        <v>6.8567697299999999</v>
      </c>
      <c r="K284" s="518">
        <f>J284-0.024*60+0.0153*107</f>
        <v>7.0538697300000006</v>
      </c>
    </row>
    <row r="285" spans="2:16">
      <c r="C285" s="371">
        <f>0.3*1.75</f>
        <v>0.52500000000000002</v>
      </c>
      <c r="D285" s="369">
        <v>20</v>
      </c>
      <c r="E285" s="370">
        <v>100</v>
      </c>
      <c r="F285" s="371">
        <v>22.20196782</v>
      </c>
      <c r="G285" s="371">
        <v>25.953521640000002</v>
      </c>
      <c r="H285" s="372">
        <f>G285-F285</f>
        <v>3.7515538200000016</v>
      </c>
      <c r="I285" s="371">
        <f>H285/$C284</f>
        <v>216.85282196531799</v>
      </c>
      <c r="J285" s="517">
        <f>H285+H288</f>
        <v>5.2992257700000032</v>
      </c>
      <c r="K285" s="518">
        <f>J285-0.024*40+0.0153*120</f>
        <v>6.1752257700000026</v>
      </c>
    </row>
    <row r="286" spans="2:16">
      <c r="C286" s="371">
        <f>C284/0.026*C285</f>
        <v>0.3493269230769232</v>
      </c>
      <c r="D286" s="373">
        <v>30</v>
      </c>
      <c r="E286" s="374">
        <v>130</v>
      </c>
      <c r="F286" s="375">
        <v>22.532028560000001</v>
      </c>
      <c r="G286" s="375">
        <v>27.476886059999998</v>
      </c>
      <c r="H286" s="376">
        <f>G286-F286</f>
        <v>4.9448574999999977</v>
      </c>
      <c r="I286" s="371">
        <f>H286/$C284</f>
        <v>285.82991329479751</v>
      </c>
      <c r="J286" s="517">
        <f>H286+H289</f>
        <v>7.4111349199999985</v>
      </c>
      <c r="K286" s="518">
        <f>J286-0.024*70+0.0153*80</f>
        <v>6.955134919999999</v>
      </c>
    </row>
    <row r="287" spans="2:16">
      <c r="C287" s="371">
        <f>0.0105</f>
        <v>1.0500000000000001E-2</v>
      </c>
      <c r="D287" s="369">
        <v>20</v>
      </c>
      <c r="E287" s="370">
        <v>130</v>
      </c>
      <c r="F287" s="371">
        <v>22.532028560000001</v>
      </c>
      <c r="G287" s="371">
        <v>24.308992140000001</v>
      </c>
      <c r="H287" s="372">
        <f t="shared" ref="H287" si="99">G287-F287</f>
        <v>1.7769635800000003</v>
      </c>
      <c r="I287" s="371">
        <f>H287/$C287</f>
        <v>169.23462666666668</v>
      </c>
      <c r="J287" s="517"/>
      <c r="K287" s="517"/>
    </row>
    <row r="288" spans="2:16">
      <c r="C288" s="371">
        <f>0.3*1</f>
        <v>0.3</v>
      </c>
      <c r="D288" s="369">
        <v>20</v>
      </c>
      <c r="E288" s="370">
        <v>100</v>
      </c>
      <c r="F288" s="371">
        <v>22.19312025</v>
      </c>
      <c r="G288" s="371">
        <v>23.740792200000001</v>
      </c>
      <c r="H288" s="372">
        <f>G288-F288</f>
        <v>1.5476719500000016</v>
      </c>
      <c r="I288" s="371">
        <f>H288/$C287</f>
        <v>147.39732857142872</v>
      </c>
      <c r="J288" s="517"/>
      <c r="K288" s="517"/>
    </row>
    <row r="289" spans="2:21">
      <c r="C289" s="371">
        <f>C287/0.026*C288</f>
        <v>0.12115384615384617</v>
      </c>
      <c r="D289" s="373">
        <v>30</v>
      </c>
      <c r="E289" s="374">
        <v>130</v>
      </c>
      <c r="F289" s="375">
        <v>22.285186100000001</v>
      </c>
      <c r="G289" s="375">
        <v>24.751463520000001</v>
      </c>
      <c r="H289" s="376">
        <f>G289-F289</f>
        <v>2.4662774200000008</v>
      </c>
      <c r="I289" s="371">
        <f>H289/$C287</f>
        <v>234.88356380952388</v>
      </c>
      <c r="J289" s="517"/>
      <c r="K289" s="343">
        <f>K291-K290</f>
        <v>2.5426970447717459</v>
      </c>
      <c r="L289" s="343">
        <f>K289/0.0237</f>
        <v>107.28679513804835</v>
      </c>
      <c r="M289" s="343">
        <f>M291-M290</f>
        <v>2.45673596601101</v>
      </c>
      <c r="N289" s="343">
        <f>M289/0.0237</f>
        <v>103.65974540130844</v>
      </c>
    </row>
    <row r="290" spans="2:21">
      <c r="K290" s="343">
        <v>23.770687655847517</v>
      </c>
      <c r="L290" s="343"/>
      <c r="M290" s="343">
        <v>25.054329636951099</v>
      </c>
      <c r="N290" s="343"/>
    </row>
    <row r="291" spans="2:21" ht="18.75">
      <c r="B291" s="4">
        <v>42378</v>
      </c>
      <c r="C291" s="304"/>
      <c r="D291" s="305" t="s">
        <v>0</v>
      </c>
      <c r="E291" s="306" t="s">
        <v>1</v>
      </c>
      <c r="F291" s="306" t="s">
        <v>58</v>
      </c>
      <c r="G291" s="306" t="s">
        <v>59</v>
      </c>
      <c r="H291" s="307" t="s">
        <v>60</v>
      </c>
      <c r="I291" s="304"/>
      <c r="K291" s="343">
        <v>26.313384700619263</v>
      </c>
      <c r="L291" s="343"/>
      <c r="M291" s="343">
        <v>27.511065602962109</v>
      </c>
      <c r="N291" s="343"/>
    </row>
    <row r="292" spans="2:21">
      <c r="B292" t="s">
        <v>100</v>
      </c>
      <c r="C292" s="331">
        <f>0.0247</f>
        <v>2.47E-2</v>
      </c>
      <c r="D292" s="308">
        <v>20</v>
      </c>
      <c r="E292" s="309">
        <v>100</v>
      </c>
      <c r="F292" s="331">
        <v>23.762678281228446</v>
      </c>
      <c r="G292" s="331">
        <v>42.808132935055077</v>
      </c>
      <c r="H292" s="310">
        <f t="shared" ref="H292" si="100">G292-F292</f>
        <v>19.045454653826631</v>
      </c>
      <c r="I292" s="331">
        <f>H292/$C292</f>
        <v>771.07103861646283</v>
      </c>
      <c r="J292">
        <f>H292-0.0247*107+0.02*107</f>
        <v>18.542554653826631</v>
      </c>
      <c r="L292">
        <v>0.6</v>
      </c>
      <c r="M292">
        <v>26</v>
      </c>
    </row>
    <row r="293" spans="2:21">
      <c r="C293" s="331">
        <f>0.3*1.3</f>
        <v>0.39</v>
      </c>
      <c r="D293" s="308">
        <v>15</v>
      </c>
      <c r="E293" s="309">
        <v>133</v>
      </c>
      <c r="F293" s="404">
        <v>25.983882754080458</v>
      </c>
      <c r="G293" s="404">
        <v>48.642589819999998</v>
      </c>
      <c r="H293" s="310">
        <f>G293-F293</f>
        <v>22.65870706591954</v>
      </c>
      <c r="I293" s="331">
        <f>H293/$C292</f>
        <v>917.35656137326077</v>
      </c>
      <c r="J293" s="540">
        <f>H293-0.0247*129+0.02*129</f>
        <v>22.052407065919539</v>
      </c>
    </row>
    <row r="294" spans="2:21">
      <c r="C294" s="536">
        <f>C292/0.026*C293</f>
        <v>0.37050000000000005</v>
      </c>
      <c r="D294" s="308">
        <v>26</v>
      </c>
      <c r="E294" s="309">
        <v>100</v>
      </c>
      <c r="F294" s="404">
        <v>24.86825138</v>
      </c>
      <c r="G294" s="404">
        <v>45.462774959999997</v>
      </c>
      <c r="H294" s="310">
        <f>G294-F294</f>
        <v>20.594523579999997</v>
      </c>
      <c r="I294" s="331">
        <f>H294/$C292</f>
        <v>833.78637975708489</v>
      </c>
    </row>
    <row r="295" spans="2:21">
      <c r="C295" s="331"/>
      <c r="D295" s="311">
        <v>20</v>
      </c>
      <c r="E295" s="312">
        <v>130</v>
      </c>
      <c r="F295" s="332">
        <v>26.312919040000001</v>
      </c>
      <c r="G295" s="332">
        <v>51.035623309999998</v>
      </c>
      <c r="H295" s="314">
        <f t="shared" ref="H295" si="101">G295-F295</f>
        <v>24.722704269999998</v>
      </c>
      <c r="I295" s="331">
        <f>H295/$C292</f>
        <v>1000.9192012145749</v>
      </c>
    </row>
    <row r="297" spans="2:21">
      <c r="B297" s="4"/>
    </row>
    <row r="298" spans="2:21" ht="18.75">
      <c r="B298" t="s">
        <v>101</v>
      </c>
      <c r="C298" s="304"/>
      <c r="D298" s="305" t="s">
        <v>0</v>
      </c>
      <c r="E298" s="306" t="s">
        <v>1</v>
      </c>
      <c r="F298" s="306" t="s">
        <v>58</v>
      </c>
      <c r="G298" s="306" t="s">
        <v>59</v>
      </c>
      <c r="H298" s="307" t="s">
        <v>60</v>
      </c>
      <c r="I298" s="304"/>
    </row>
    <row r="299" spans="2:21">
      <c r="C299" s="331">
        <f>0.0195</f>
        <v>1.95E-2</v>
      </c>
      <c r="D299" s="308">
        <v>20</v>
      </c>
      <c r="E299" s="309">
        <v>100</v>
      </c>
      <c r="F299" s="331">
        <v>23.756252159999999</v>
      </c>
      <c r="G299" s="331">
        <v>25.93482303</v>
      </c>
      <c r="H299" s="310">
        <f t="shared" ref="H299" si="102">G299-F299</f>
        <v>2.1785708700000015</v>
      </c>
      <c r="I299" s="331">
        <f>H299/$C$299</f>
        <v>111.72158307692315</v>
      </c>
      <c r="J299" s="540">
        <f>H299-0.0195*129+0.0153*129</f>
        <v>1.6367708700000017</v>
      </c>
    </row>
    <row r="300" spans="2:21">
      <c r="C300" s="331">
        <f>0.3*0.05</f>
        <v>1.4999999999999999E-2</v>
      </c>
      <c r="D300" s="308">
        <v>15</v>
      </c>
      <c r="E300" s="309">
        <v>133</v>
      </c>
      <c r="F300" s="404">
        <v>24.106615730000001</v>
      </c>
      <c r="G300" s="404">
        <v>26.7150610813535</v>
      </c>
      <c r="H300" s="310">
        <f>G300-F300</f>
        <v>2.6084453513534989</v>
      </c>
      <c r="I300" s="331">
        <f t="shared" ref="I300:I302" si="103">H300/$C$299</f>
        <v>133.76642827453841</v>
      </c>
      <c r="J300" s="540">
        <f>H300-0.0195*108+0.0153*108</f>
        <v>2.1548453513534991</v>
      </c>
    </row>
    <row r="301" spans="2:21" ht="15.75">
      <c r="C301" s="536">
        <f>C299/0.026*C300</f>
        <v>1.125E-2</v>
      </c>
      <c r="D301" s="308">
        <v>26</v>
      </c>
      <c r="E301" s="309">
        <v>100</v>
      </c>
      <c r="F301" s="404">
        <v>23.76062937</v>
      </c>
      <c r="G301" s="404">
        <v>25.975873379461383</v>
      </c>
      <c r="H301" s="310">
        <f>G301-F301</f>
        <v>2.215244009461383</v>
      </c>
      <c r="I301" s="331">
        <f t="shared" si="103"/>
        <v>113.60225689545554</v>
      </c>
      <c r="M301" s="278" t="s">
        <v>72</v>
      </c>
      <c r="N301" s="723" t="s">
        <v>4</v>
      </c>
      <c r="O301" s="724"/>
      <c r="P301" s="725"/>
      <c r="Q301" s="726"/>
      <c r="R301" s="723" t="s">
        <v>48</v>
      </c>
      <c r="S301" s="724"/>
      <c r="T301" s="725"/>
      <c r="U301" s="726"/>
    </row>
    <row r="302" spans="2:21">
      <c r="C302" s="331"/>
      <c r="D302" s="311">
        <v>20</v>
      </c>
      <c r="E302" s="312">
        <v>130</v>
      </c>
      <c r="F302" s="332">
        <v>24.104753079999998</v>
      </c>
      <c r="G302" s="332">
        <v>26.667380430000001</v>
      </c>
      <c r="H302" s="314">
        <f t="shared" ref="H302" si="104">G302-F302</f>
        <v>2.5626273500000032</v>
      </c>
      <c r="I302" s="331">
        <f t="shared" si="103"/>
        <v>131.41678717948733</v>
      </c>
      <c r="M302" s="541" t="s">
        <v>43</v>
      </c>
      <c r="N302" s="542" t="s">
        <v>44</v>
      </c>
      <c r="O302" s="542" t="s">
        <v>103</v>
      </c>
      <c r="P302" s="280" t="s">
        <v>45</v>
      </c>
      <c r="Q302" s="281" t="s">
        <v>46</v>
      </c>
      <c r="R302" s="280" t="s">
        <v>44</v>
      </c>
      <c r="S302" s="535" t="s">
        <v>103</v>
      </c>
      <c r="T302" s="280" t="s">
        <v>45</v>
      </c>
      <c r="U302" s="281" t="s">
        <v>46</v>
      </c>
    </row>
    <row r="303" spans="2:21">
      <c r="M303" s="543">
        <v>0</v>
      </c>
      <c r="N303" s="544">
        <v>1.6557260869565218</v>
      </c>
      <c r="O303" s="544">
        <v>1.9782633913043481</v>
      </c>
      <c r="P303" s="98">
        <v>0.87536197890300094</v>
      </c>
      <c r="Q303" s="100">
        <v>1.2576990004861199</v>
      </c>
      <c r="R303" s="12">
        <v>0</v>
      </c>
      <c r="S303" s="12">
        <v>0</v>
      </c>
      <c r="T303" s="12">
        <v>0</v>
      </c>
      <c r="U303" s="282">
        <v>0</v>
      </c>
    </row>
    <row r="304" spans="2:21" ht="18.75">
      <c r="B304" s="538" t="s">
        <v>75</v>
      </c>
      <c r="C304" s="304"/>
      <c r="D304" s="305" t="s">
        <v>0</v>
      </c>
      <c r="E304" s="306" t="s">
        <v>1</v>
      </c>
      <c r="F304" s="306" t="s">
        <v>58</v>
      </c>
      <c r="G304" s="306" t="s">
        <v>59</v>
      </c>
      <c r="H304" s="307" t="s">
        <v>60</v>
      </c>
      <c r="I304" s="304"/>
      <c r="M304" s="465">
        <f>0.3*0.75</f>
        <v>0.22499999999999998</v>
      </c>
      <c r="N304" s="546">
        <v>5.3852955844084889</v>
      </c>
      <c r="O304" s="546">
        <v>6.8852955844084898</v>
      </c>
      <c r="P304" s="7">
        <v>3.3190550360552655</v>
      </c>
      <c r="Q304" s="8">
        <v>3.6571947902820838</v>
      </c>
      <c r="R304" s="7">
        <f>N304-$N$303</f>
        <v>3.7295694974519673</v>
      </c>
      <c r="S304" s="7">
        <f>O304-$O$303</f>
        <v>4.9070321931041416</v>
      </c>
      <c r="T304" s="7">
        <f>P304-$P$303</f>
        <v>2.4436930571522648</v>
      </c>
      <c r="U304" s="8">
        <f>Q304-$Q$303</f>
        <v>2.3994957897959637</v>
      </c>
    </row>
    <row r="305" spans="2:21">
      <c r="B305" s="538"/>
      <c r="C305" s="331">
        <f>0.0194</f>
        <v>1.9400000000000001E-2</v>
      </c>
      <c r="D305" s="308">
        <v>20</v>
      </c>
      <c r="E305" s="309">
        <v>100</v>
      </c>
      <c r="F305" s="331">
        <v>23.76109503</v>
      </c>
      <c r="G305" s="331">
        <v>30.978752279999998</v>
      </c>
      <c r="H305" s="310">
        <f t="shared" ref="H305" si="105">G305-F305</f>
        <v>7.2176572499999985</v>
      </c>
      <c r="I305" s="331">
        <f>H305/$C$299</f>
        <v>370.13626923076913</v>
      </c>
      <c r="J305" s="540">
        <f>H305-0.0194*107+0.0153*107</f>
        <v>6.7789572499999986</v>
      </c>
      <c r="M305" s="465">
        <f>0.3*0.5</f>
        <v>0.15</v>
      </c>
      <c r="N305" s="540">
        <v>4.5492308328885471</v>
      </c>
      <c r="O305" s="540">
        <v>5.4392078153614918</v>
      </c>
      <c r="P305" s="7">
        <v>2.3403668305951073</v>
      </c>
      <c r="Q305" s="8">
        <v>2.8075146112082363</v>
      </c>
      <c r="R305" s="7">
        <f t="shared" ref="R305" si="106">N305-$N$303</f>
        <v>2.8935047459320256</v>
      </c>
      <c r="S305" s="7">
        <f t="shared" ref="S305" si="107">O305-$O$303</f>
        <v>3.4609444240571436</v>
      </c>
      <c r="T305" s="7">
        <f>P305-$P$303</f>
        <v>1.4650048516921064</v>
      </c>
      <c r="U305" s="8">
        <f>Q305-$P$303</f>
        <v>1.9321526323052354</v>
      </c>
    </row>
    <row r="306" spans="2:21">
      <c r="B306" s="538"/>
      <c r="C306" s="331">
        <f>0.3*0.8</f>
        <v>0.24</v>
      </c>
      <c r="D306" s="308">
        <v>15</v>
      </c>
      <c r="E306" s="309">
        <v>133</v>
      </c>
      <c r="F306" s="404">
        <v>24.784525469999998</v>
      </c>
      <c r="G306" s="404">
        <v>33.129455630000002</v>
      </c>
      <c r="H306" s="310">
        <f>G306-F306</f>
        <v>8.3449301600000041</v>
      </c>
      <c r="I306" s="331">
        <f t="shared" ref="I306:I308" si="108">H306/$C$299</f>
        <v>427.94513641025662</v>
      </c>
      <c r="J306" s="540">
        <f>H306-0.0194*129+0.0153*129</f>
        <v>7.8160301600000039</v>
      </c>
      <c r="M306" s="465">
        <v>1.4999999999999999E-2</v>
      </c>
      <c r="N306" s="546">
        <v>2.2430708700000017</v>
      </c>
      <c r="O306" s="546">
        <v>2.6624453513534991</v>
      </c>
      <c r="P306" s="7">
        <v>1.6525708782838606</v>
      </c>
      <c r="Q306" s="8">
        <v>1.9210219407909139</v>
      </c>
      <c r="R306" s="7">
        <f>N306-$N$303</f>
        <v>0.58734478304347992</v>
      </c>
      <c r="S306" s="7">
        <f>O306-$O$303</f>
        <v>0.68418196004915099</v>
      </c>
      <c r="T306" s="7">
        <f>P306-$P$303</f>
        <v>0.77720889938085969</v>
      </c>
      <c r="U306" s="8">
        <f>Q306-$P$303</f>
        <v>1.045659961887913</v>
      </c>
    </row>
    <row r="307" spans="2:21">
      <c r="B307" s="538"/>
      <c r="C307" s="536">
        <f>C305/0.026*C306</f>
        <v>0.17907692307692308</v>
      </c>
      <c r="D307" s="308">
        <v>26</v>
      </c>
      <c r="E307" s="309">
        <v>100</v>
      </c>
      <c r="F307" s="404">
        <v>24.10149345</v>
      </c>
      <c r="G307" s="404">
        <v>31.592121368177029</v>
      </c>
      <c r="H307" s="310">
        <f>G307-F307</f>
        <v>7.4906279181770294</v>
      </c>
      <c r="I307" s="331">
        <f t="shared" si="108"/>
        <v>384.13476503471946</v>
      </c>
      <c r="M307" s="465">
        <v>0.3</v>
      </c>
      <c r="N307" s="540">
        <v>8.0379638364293324</v>
      </c>
      <c r="O307" s="540">
        <v>9.42023408271276</v>
      </c>
      <c r="P307" s="7">
        <v>4.0673710763563804</v>
      </c>
      <c r="Q307" s="8">
        <v>4.9712870104308973</v>
      </c>
      <c r="R307" s="7">
        <f>N307-$N$303</f>
        <v>6.3822377494728109</v>
      </c>
      <c r="S307" s="7">
        <f>O307-$O$303</f>
        <v>7.4419706914084118</v>
      </c>
      <c r="T307" s="7">
        <f>P307-$P$303</f>
        <v>3.1920090974533792</v>
      </c>
      <c r="U307" s="8">
        <f>Q307-$P$303</f>
        <v>4.0959250315278961</v>
      </c>
    </row>
    <row r="308" spans="2:21">
      <c r="B308" s="538"/>
      <c r="C308" s="331"/>
      <c r="D308" s="311">
        <v>20</v>
      </c>
      <c r="E308" s="312">
        <v>130</v>
      </c>
      <c r="F308" s="332">
        <v>24.908857040000001</v>
      </c>
      <c r="G308" s="332">
        <v>33.800473590000003</v>
      </c>
      <c r="H308" s="314">
        <f t="shared" ref="H308" si="109">G308-F308</f>
        <v>8.891616550000002</v>
      </c>
      <c r="I308" s="331">
        <f t="shared" si="108"/>
        <v>455.98033589743602</v>
      </c>
      <c r="M308" s="465">
        <v>7.4999999999999997E-2</v>
      </c>
      <c r="N308" s="546">
        <v>2.82</v>
      </c>
      <c r="O308" s="547">
        <v>3.8758885667257101</v>
      </c>
      <c r="P308" s="490">
        <v>6.4637326650000002</v>
      </c>
      <c r="Q308" s="276">
        <v>7.0589868850000004</v>
      </c>
      <c r="R308" s="7">
        <f>N308-$N$303</f>
        <v>1.164273913043478</v>
      </c>
      <c r="S308" s="7">
        <f>O308-$O$303</f>
        <v>1.897625175421362</v>
      </c>
      <c r="T308" s="7"/>
      <c r="U308" s="8"/>
    </row>
    <row r="309" spans="2:21">
      <c r="M309" s="468">
        <v>0.24</v>
      </c>
      <c r="N309" s="548">
        <v>7.2818572499999981</v>
      </c>
      <c r="O309" s="549">
        <v>8.4097301600000041</v>
      </c>
      <c r="P309" s="328">
        <v>6.8255660699999998</v>
      </c>
      <c r="Q309" s="277">
        <v>7.7451733699999998</v>
      </c>
      <c r="R309" s="7">
        <f>N309-$N$303</f>
        <v>5.6261311630434765</v>
      </c>
      <c r="S309" s="7">
        <f>O309-$O$303</f>
        <v>6.4314667686956559</v>
      </c>
      <c r="T309" s="7"/>
      <c r="U309" s="8"/>
    </row>
    <row r="310" spans="2:21">
      <c r="B310" s="539"/>
      <c r="C310" s="304"/>
      <c r="D310" s="540"/>
      <c r="E310" s="540"/>
      <c r="F310" s="540"/>
      <c r="G310" s="540"/>
      <c r="H310" s="540"/>
      <c r="I310" s="540"/>
      <c r="T310" s="7"/>
      <c r="U310" s="8"/>
    </row>
    <row r="311" spans="2:21">
      <c r="B311" s="539"/>
      <c r="C311" s="331"/>
      <c r="D311" s="540"/>
      <c r="E311" s="540"/>
      <c r="F311" s="540"/>
      <c r="G311" s="540"/>
      <c r="H311" s="540"/>
      <c r="I311" s="540"/>
    </row>
    <row r="312" spans="2:21">
      <c r="B312" s="539"/>
      <c r="C312" s="331"/>
      <c r="D312" s="540"/>
      <c r="E312" s="540"/>
      <c r="F312" s="540"/>
      <c r="G312" s="540"/>
      <c r="H312" s="540"/>
      <c r="I312" s="540"/>
      <c r="R312" s="17"/>
      <c r="S312" s="17"/>
      <c r="T312" s="17"/>
      <c r="U312" s="492"/>
    </row>
    <row r="313" spans="2:21">
      <c r="B313" s="539"/>
      <c r="C313" s="536"/>
      <c r="D313" s="540"/>
      <c r="E313" s="540"/>
      <c r="F313" s="540"/>
      <c r="G313" s="540"/>
      <c r="H313" s="540"/>
      <c r="I313" s="540"/>
    </row>
    <row r="314" spans="2:21">
      <c r="B314" s="539"/>
      <c r="C314" s="331"/>
      <c r="D314" s="540"/>
      <c r="E314" s="540"/>
      <c r="F314" s="540"/>
      <c r="G314" s="540"/>
      <c r="H314" s="540"/>
      <c r="I314" s="540">
        <f>J314/0.023</f>
        <v>108.21739130434783</v>
      </c>
      <c r="J314">
        <v>2.4889999999999999</v>
      </c>
      <c r="K314" s="454">
        <f>I314*0.0153</f>
        <v>1.6557260869565218</v>
      </c>
    </row>
    <row r="315" spans="2:21">
      <c r="I315" s="540">
        <f>J315/0.023</f>
        <v>129.29826086956524</v>
      </c>
      <c r="J315">
        <v>2.9738600000000002</v>
      </c>
      <c r="K315" s="540">
        <f>I315*0.0153</f>
        <v>1.9782633913043481</v>
      </c>
    </row>
    <row r="316" spans="2:21">
      <c r="D316" t="s">
        <v>110</v>
      </c>
    </row>
    <row r="317" spans="2:21">
      <c r="D317" s="273"/>
      <c r="E317" s="556">
        <v>1</v>
      </c>
      <c r="F317" s="556">
        <v>2</v>
      </c>
      <c r="G317" s="274">
        <v>3</v>
      </c>
    </row>
    <row r="318" spans="2:21">
      <c r="D318" s="275">
        <v>0</v>
      </c>
      <c r="E318" s="490">
        <v>2.1643478260869564</v>
      </c>
      <c r="F318" s="490">
        <v>2.220831943799972</v>
      </c>
      <c r="G318" s="276">
        <v>2.2951514896840557</v>
      </c>
    </row>
    <row r="319" spans="2:21">
      <c r="D319" s="275">
        <v>0.22499999999999998</v>
      </c>
      <c r="E319" s="490">
        <v>6.8480604476961009</v>
      </c>
      <c r="F319" s="490">
        <v>6.3762158099999997</v>
      </c>
      <c r="G319" s="276">
        <v>6.434800077843688</v>
      </c>
    </row>
    <row r="320" spans="2:21">
      <c r="D320" s="275">
        <v>0.15</v>
      </c>
      <c r="E320" s="490">
        <v>5.4348000778436916</v>
      </c>
      <c r="F320" s="490">
        <v>5.5757418032134698</v>
      </c>
      <c r="G320" s="276">
        <v>5.4363556499999977</v>
      </c>
    </row>
    <row r="321" spans="4:7">
      <c r="D321" s="275">
        <v>1.4999999999999999E-2</v>
      </c>
      <c r="E321" s="490">
        <v>2.6624453513534991</v>
      </c>
      <c r="F321" s="490">
        <v>2.5351353566244001</v>
      </c>
      <c r="G321" s="276">
        <v>2.3535662445351</v>
      </c>
    </row>
    <row r="322" spans="4:7">
      <c r="D322" s="275">
        <v>0.3</v>
      </c>
      <c r="E322" s="490">
        <v>9.42023408271276</v>
      </c>
      <c r="F322" s="490">
        <v>9.4593080700000005</v>
      </c>
      <c r="G322" s="276"/>
    </row>
    <row r="323" spans="4:7">
      <c r="D323" s="275">
        <v>7.4999999999999997E-2</v>
      </c>
      <c r="E323" s="490">
        <v>3.9631394352400364</v>
      </c>
      <c r="F323" s="276">
        <v>3.6758885667257002</v>
      </c>
      <c r="G323" s="558"/>
    </row>
    <row r="324" spans="4:7">
      <c r="D324" s="557">
        <v>0.24</v>
      </c>
      <c r="E324" s="328">
        <v>8.4223301600000049</v>
      </c>
      <c r="F324" s="328">
        <v>8.4223301600000049</v>
      </c>
      <c r="G324" s="328">
        <v>8.4223301600000049</v>
      </c>
    </row>
    <row r="325" spans="4:7">
      <c r="E325" s="5"/>
      <c r="F325" s="5"/>
      <c r="G325" s="5"/>
    </row>
  </sheetData>
  <mergeCells count="2">
    <mergeCell ref="N301:Q301"/>
    <mergeCell ref="R301:U301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200"/>
  <sheetViews>
    <sheetView tabSelected="1" topLeftCell="A187" zoomScaleNormal="100" workbookViewId="0">
      <selection activeCell="N199" sqref="N199"/>
    </sheetView>
  </sheetViews>
  <sheetFormatPr defaultColWidth="9" defaultRowHeight="15"/>
  <cols>
    <col min="1" max="16384" width="9" style="540"/>
  </cols>
  <sheetData>
    <row r="1" spans="2:27" s="674" customFormat="1" ht="18.75">
      <c r="C1" s="674" t="s">
        <v>132</v>
      </c>
      <c r="D1" s="304"/>
      <c r="E1" s="305" t="s">
        <v>0</v>
      </c>
      <c r="F1" s="306" t="s">
        <v>1</v>
      </c>
      <c r="G1" s="306" t="s">
        <v>58</v>
      </c>
      <c r="H1" s="306" t="s">
        <v>59</v>
      </c>
      <c r="I1" s="307" t="s">
        <v>60</v>
      </c>
      <c r="L1" s="574" t="s">
        <v>128</v>
      </c>
      <c r="M1" s="304"/>
      <c r="N1" s="305" t="s">
        <v>0</v>
      </c>
      <c r="O1" s="306" t="s">
        <v>1</v>
      </c>
      <c r="P1" s="306" t="s">
        <v>58</v>
      </c>
      <c r="Q1" s="306" t="s">
        <v>59</v>
      </c>
      <c r="R1" s="307" t="s">
        <v>60</v>
      </c>
      <c r="S1" s="677"/>
    </row>
    <row r="2" spans="2:27" s="674" customFormat="1">
      <c r="D2" s="331">
        <f>0.0106</f>
        <v>1.06E-2</v>
      </c>
      <c r="E2" s="567">
        <v>20</v>
      </c>
      <c r="F2" s="568">
        <v>100</v>
      </c>
      <c r="G2" s="331">
        <v>23.73585619</v>
      </c>
      <c r="H2" s="331">
        <v>24.418795070000002</v>
      </c>
      <c r="I2" s="569">
        <f t="shared" ref="I2" si="0">H2-G2</f>
        <v>0.6829388800000018</v>
      </c>
      <c r="J2" s="675">
        <f>I2/D2</f>
        <v>64.428196226415267</v>
      </c>
      <c r="M2" s="331">
        <f>0.0154</f>
        <v>1.54E-2</v>
      </c>
      <c r="N2" s="567">
        <v>20</v>
      </c>
      <c r="O2" s="568">
        <v>100</v>
      </c>
      <c r="P2" s="331">
        <v>23.738463889999998</v>
      </c>
      <c r="Q2" s="331">
        <v>24.757330849999999</v>
      </c>
      <c r="R2" s="569">
        <f t="shared" ref="R2" si="1">Q2-P2</f>
        <v>1.0188669600000004</v>
      </c>
      <c r="S2" s="677">
        <f>R2/M2</f>
        <v>66.160192207792235</v>
      </c>
    </row>
    <row r="3" spans="2:27" s="674" customFormat="1">
      <c r="D3" s="331"/>
      <c r="E3" s="311">
        <v>15</v>
      </c>
      <c r="F3" s="312">
        <v>133</v>
      </c>
      <c r="G3" s="332">
        <v>24.076347739999999</v>
      </c>
      <c r="H3" s="332">
        <v>25.099964450000002</v>
      </c>
      <c r="I3" s="314">
        <f>H3-G3</f>
        <v>1.0236167100000024</v>
      </c>
      <c r="J3" s="676">
        <f>I3/D2</f>
        <v>96.567614150943626</v>
      </c>
      <c r="M3" s="331"/>
      <c r="N3" s="311">
        <v>15</v>
      </c>
      <c r="O3" s="312">
        <v>133</v>
      </c>
      <c r="P3" s="332">
        <v>23.738650159999999</v>
      </c>
      <c r="Q3" s="332">
        <v>25.100150710000001</v>
      </c>
      <c r="R3" s="314">
        <f>Q3-P3</f>
        <v>1.3615005500000024</v>
      </c>
      <c r="S3" s="677">
        <f>R3/M2</f>
        <v>88.409126623376778</v>
      </c>
    </row>
    <row r="4" spans="2:27" s="674" customFormat="1">
      <c r="D4" s="331">
        <f>0.0072</f>
        <v>7.1999999999999998E-3</v>
      </c>
      <c r="E4" s="567">
        <v>20</v>
      </c>
      <c r="F4" s="568">
        <v>100</v>
      </c>
      <c r="G4" s="403">
        <v>23.563095839999999</v>
      </c>
      <c r="H4" s="403">
        <v>24.07346064</v>
      </c>
      <c r="I4" s="569">
        <f t="shared" ref="I4" si="2">H4-G4</f>
        <v>0.5103648000000014</v>
      </c>
      <c r="J4" s="676">
        <f>I4/D4</f>
        <v>70.884000000000199</v>
      </c>
    </row>
    <row r="5" spans="2:27" s="674" customFormat="1">
      <c r="D5" s="331"/>
      <c r="E5" s="311">
        <v>15</v>
      </c>
      <c r="F5" s="312">
        <v>133</v>
      </c>
      <c r="G5" s="332">
        <v>23.56877691</v>
      </c>
      <c r="H5" s="332">
        <v>24.245475930000001</v>
      </c>
      <c r="I5" s="314">
        <f>H5-G5</f>
        <v>0.67669902000000093</v>
      </c>
      <c r="J5" s="676">
        <f>I5/D4</f>
        <v>93.985975000000138</v>
      </c>
      <c r="K5" s="674">
        <f>0.009*129</f>
        <v>1.1609999999999998</v>
      </c>
    </row>
    <row r="6" spans="2:27" s="674" customFormat="1"/>
    <row r="7" spans="2:27" s="674" customFormat="1"/>
    <row r="9" spans="2:27">
      <c r="C9" s="4">
        <v>42412</v>
      </c>
    </row>
    <row r="10" spans="2:27">
      <c r="C10" s="540" t="s">
        <v>72</v>
      </c>
      <c r="K10" s="540" t="s">
        <v>71</v>
      </c>
      <c r="S10" s="540" t="s">
        <v>76</v>
      </c>
    </row>
    <row r="11" spans="2:27" ht="18.75">
      <c r="B11" s="540" t="s">
        <v>113</v>
      </c>
      <c r="C11" s="304"/>
      <c r="D11" s="305" t="s">
        <v>0</v>
      </c>
      <c r="E11" s="306" t="s">
        <v>1</v>
      </c>
      <c r="F11" s="306" t="s">
        <v>58</v>
      </c>
      <c r="G11" s="306" t="s">
        <v>59</v>
      </c>
      <c r="H11" s="307" t="s">
        <v>60</v>
      </c>
      <c r="I11" s="304"/>
      <c r="K11" s="304" t="s">
        <v>114</v>
      </c>
      <c r="L11" s="305" t="s">
        <v>0</v>
      </c>
      <c r="M11" s="306" t="s">
        <v>1</v>
      </c>
      <c r="N11" s="306" t="s">
        <v>58</v>
      </c>
      <c r="O11" s="306" t="s">
        <v>59</v>
      </c>
      <c r="P11" s="307" t="s">
        <v>60</v>
      </c>
      <c r="S11" s="304" t="s">
        <v>114</v>
      </c>
      <c r="T11" s="305" t="s">
        <v>0</v>
      </c>
      <c r="U11" s="306" t="s">
        <v>1</v>
      </c>
      <c r="V11" s="306" t="s">
        <v>58</v>
      </c>
      <c r="W11" s="306" t="s">
        <v>59</v>
      </c>
      <c r="X11" s="307" t="s">
        <v>60</v>
      </c>
    </row>
    <row r="12" spans="2:27">
      <c r="C12" s="331">
        <f>0.0054</f>
        <v>5.4000000000000003E-3</v>
      </c>
      <c r="D12" s="308">
        <v>20</v>
      </c>
      <c r="E12" s="309">
        <v>100</v>
      </c>
      <c r="F12" s="331">
        <v>22.55046875</v>
      </c>
      <c r="G12" s="331">
        <v>23.577251950000001</v>
      </c>
      <c r="H12" s="310">
        <f t="shared" ref="H12" si="3">G12-F12</f>
        <v>1.0267832000000006</v>
      </c>
      <c r="I12" s="331"/>
      <c r="K12" s="331">
        <f>0.006-0.0005</f>
        <v>5.4999999999999997E-3</v>
      </c>
      <c r="L12" s="308">
        <v>20</v>
      </c>
      <c r="M12" s="309">
        <v>100</v>
      </c>
      <c r="N12" s="331">
        <v>22.2039236</v>
      </c>
      <c r="O12" s="331">
        <v>23.060833550000002</v>
      </c>
      <c r="P12" s="310">
        <f t="shared" ref="P12" si="4">O12-N12</f>
        <v>0.85690995000000214</v>
      </c>
      <c r="R12" s="540" t="s">
        <v>115</v>
      </c>
      <c r="S12" s="331">
        <f>0.0035</f>
        <v>3.5000000000000001E-3</v>
      </c>
      <c r="T12" s="308">
        <v>20</v>
      </c>
      <c r="U12" s="309">
        <v>100</v>
      </c>
      <c r="V12" s="331"/>
      <c r="W12" s="331"/>
      <c r="X12" s="310">
        <f t="shared" ref="X12" si="5">W12-V12</f>
        <v>0</v>
      </c>
    </row>
    <row r="13" spans="2:27">
      <c r="C13" s="331">
        <f>0.3*0.1</f>
        <v>0.03</v>
      </c>
      <c r="D13" s="308">
        <v>15</v>
      </c>
      <c r="E13" s="309">
        <v>133</v>
      </c>
      <c r="F13" s="404">
        <v>22.539013480000001</v>
      </c>
      <c r="G13" s="404">
        <v>23.745821339999999</v>
      </c>
      <c r="H13" s="310">
        <f>G13-F13</f>
        <v>1.2068078599999978</v>
      </c>
      <c r="I13" s="540">
        <f>H13-C12*90+0.009*129</f>
        <v>1.8818078599999977</v>
      </c>
      <c r="K13" s="331">
        <f>0.3*0.1</f>
        <v>0.03</v>
      </c>
      <c r="L13" s="311">
        <v>15</v>
      </c>
      <c r="M13" s="312">
        <v>133</v>
      </c>
      <c r="N13" s="332">
        <v>22.20215408</v>
      </c>
      <c r="O13" s="332">
        <v>23.234152689999998</v>
      </c>
      <c r="P13" s="314">
        <f>O13-N13</f>
        <v>1.0319986099999987</v>
      </c>
      <c r="Q13" s="540">
        <f>P13-K12*90+0.009*129</f>
        <v>1.6979986099999986</v>
      </c>
      <c r="R13" s="540">
        <f>AVERAGE(Q13,Q15)</f>
        <v>1.6151656099999989</v>
      </c>
      <c r="S13" s="331">
        <f>0.3*0.1</f>
        <v>0.03</v>
      </c>
      <c r="T13" s="311">
        <v>15</v>
      </c>
      <c r="U13" s="312">
        <v>133</v>
      </c>
      <c r="V13" s="332">
        <v>22.208021410000001</v>
      </c>
      <c r="W13" s="332">
        <v>22.771099079999999</v>
      </c>
      <c r="X13" s="314">
        <f>W13-V13</f>
        <v>0.56307766999999842</v>
      </c>
      <c r="Y13" s="540">
        <f>X13/S12</f>
        <v>160.87933428571384</v>
      </c>
      <c r="Z13" s="678">
        <f>X13-S12*88+0.009*129</f>
        <v>1.4160776699999982</v>
      </c>
      <c r="AA13" s="689">
        <f>AVERAGE(Z13,Z15)</f>
        <v>1.4612578000000003</v>
      </c>
    </row>
    <row r="14" spans="2:27">
      <c r="C14" s="536"/>
      <c r="D14" s="308">
        <v>26</v>
      </c>
      <c r="E14" s="309">
        <v>100</v>
      </c>
      <c r="F14" s="404">
        <v>22.21053599</v>
      </c>
      <c r="G14" s="404">
        <v>23.233687029999999</v>
      </c>
      <c r="H14" s="310">
        <f>G14-F14</f>
        <v>1.0231510399999983</v>
      </c>
      <c r="I14" s="331"/>
      <c r="K14" s="331">
        <f>0.0072</f>
        <v>7.1999999999999998E-3</v>
      </c>
      <c r="L14" s="308">
        <v>20</v>
      </c>
      <c r="M14" s="309">
        <v>100</v>
      </c>
      <c r="N14" s="331">
        <v>22.199825780000001</v>
      </c>
      <c r="O14" s="331">
        <v>22.88192647</v>
      </c>
      <c r="P14" s="310">
        <f t="shared" ref="P14" si="6">O14-N14</f>
        <v>0.68210068999999862</v>
      </c>
      <c r="S14" s="331">
        <f>0.0057</f>
        <v>5.7000000000000002E-3</v>
      </c>
      <c r="T14" s="308">
        <v>20</v>
      </c>
      <c r="U14" s="309">
        <v>100</v>
      </c>
      <c r="V14" s="331">
        <v>22.203271669999999</v>
      </c>
      <c r="W14" s="331">
        <v>22.888352600000001</v>
      </c>
      <c r="X14" s="310">
        <f t="shared" ref="X14" si="7">W14-V14</f>
        <v>0.68508093000000159</v>
      </c>
    </row>
    <row r="15" spans="2:27">
      <c r="C15" s="331"/>
      <c r="D15" s="311">
        <v>20</v>
      </c>
      <c r="E15" s="312">
        <v>130</v>
      </c>
      <c r="F15" s="332">
        <v>21.452066840000001</v>
      </c>
      <c r="G15" s="332">
        <v>22.65365929</v>
      </c>
      <c r="H15" s="314">
        <f t="shared" ref="H15" si="8">G15-F15</f>
        <v>1.2015924499999997</v>
      </c>
      <c r="I15" s="689"/>
      <c r="K15" s="331">
        <f>0.3*0.1</f>
        <v>0.03</v>
      </c>
      <c r="L15" s="311">
        <v>15</v>
      </c>
      <c r="M15" s="312">
        <v>133</v>
      </c>
      <c r="N15" s="332">
        <v>22.207648890000002</v>
      </c>
      <c r="O15" s="332">
        <v>23.226981500000001</v>
      </c>
      <c r="P15" s="314">
        <f>O15-N15</f>
        <v>1.0193326099999993</v>
      </c>
      <c r="Q15" s="689">
        <f>P15-K14*90+0.009*129</f>
        <v>1.5323326099999992</v>
      </c>
      <c r="S15" s="331">
        <f>0.3*0.1</f>
        <v>0.03</v>
      </c>
      <c r="T15" s="311">
        <v>15</v>
      </c>
      <c r="U15" s="312">
        <v>133</v>
      </c>
      <c r="V15" s="332">
        <v>22.204202989999999</v>
      </c>
      <c r="W15" s="332">
        <v>23.051240920000001</v>
      </c>
      <c r="X15" s="314">
        <f>W15-V15</f>
        <v>0.8470379300000026</v>
      </c>
      <c r="Y15" s="540">
        <f>X15/S14</f>
        <v>148.60314561403553</v>
      </c>
      <c r="Z15" s="540">
        <f>X15-S14*88+0.009*129</f>
        <v>1.5064379300000024</v>
      </c>
    </row>
    <row r="18" spans="2:27" ht="18.75">
      <c r="B18" s="540" t="s">
        <v>116</v>
      </c>
      <c r="C18" s="304"/>
      <c r="D18" s="305" t="s">
        <v>0</v>
      </c>
      <c r="E18" s="306" t="s">
        <v>1</v>
      </c>
      <c r="F18" s="306" t="s">
        <v>58</v>
      </c>
      <c r="G18" s="306" t="s">
        <v>59</v>
      </c>
      <c r="H18" s="307" t="s">
        <v>60</v>
      </c>
      <c r="K18" s="304" t="s">
        <v>117</v>
      </c>
      <c r="L18" s="305" t="s">
        <v>0</v>
      </c>
      <c r="M18" s="306" t="s">
        <v>1</v>
      </c>
      <c r="N18" s="306" t="s">
        <v>58</v>
      </c>
      <c r="O18" s="306" t="s">
        <v>59</v>
      </c>
      <c r="P18" s="307" t="s">
        <v>60</v>
      </c>
      <c r="S18" s="304" t="s">
        <v>117</v>
      </c>
      <c r="T18" s="305" t="s">
        <v>0</v>
      </c>
      <c r="U18" s="306" t="s">
        <v>1</v>
      </c>
      <c r="V18" s="306" t="s">
        <v>58</v>
      </c>
      <c r="W18" s="306" t="s">
        <v>59</v>
      </c>
      <c r="X18" s="307" t="s">
        <v>60</v>
      </c>
    </row>
    <row r="19" spans="2:27">
      <c r="C19" s="331">
        <f>0.0046</f>
        <v>4.5999999999999999E-3</v>
      </c>
      <c r="D19" s="567">
        <v>20</v>
      </c>
      <c r="E19" s="568">
        <v>100</v>
      </c>
      <c r="F19" s="403">
        <v>22.547674780000001</v>
      </c>
      <c r="G19" s="403">
        <v>25.44315684</v>
      </c>
      <c r="H19" s="569">
        <f t="shared" ref="H19" si="9">G19-F19</f>
        <v>2.8954820599999991</v>
      </c>
      <c r="K19" s="331">
        <f>0.0057</f>
        <v>5.7000000000000002E-3</v>
      </c>
      <c r="L19" s="308">
        <v>20</v>
      </c>
      <c r="M19" s="309">
        <v>100</v>
      </c>
      <c r="N19" s="331">
        <v>22.884254779999999</v>
      </c>
      <c r="O19" s="331">
        <v>24.336931809999999</v>
      </c>
      <c r="P19" s="310">
        <f t="shared" ref="P19" si="10">O19-N19</f>
        <v>1.4526770300000003</v>
      </c>
      <c r="S19" s="331">
        <f>0.0083</f>
        <v>8.3000000000000001E-3</v>
      </c>
      <c r="T19" s="308">
        <v>20</v>
      </c>
      <c r="U19" s="309">
        <v>100</v>
      </c>
      <c r="V19" s="331">
        <v>22.5431113</v>
      </c>
      <c r="W19" s="331">
        <v>23.24672554</v>
      </c>
      <c r="X19" s="310">
        <f t="shared" ref="X19" si="11">W19-V19</f>
        <v>0.70361424000000028</v>
      </c>
    </row>
    <row r="20" spans="2:27">
      <c r="C20" s="331">
        <f>0.3*0.3</f>
        <v>0.09</v>
      </c>
      <c r="D20" s="311">
        <v>15</v>
      </c>
      <c r="E20" s="312">
        <v>133</v>
      </c>
      <c r="F20" s="332">
        <v>22.50576526</v>
      </c>
      <c r="G20" s="332">
        <v>26.289822239999999</v>
      </c>
      <c r="H20" s="314">
        <f>G20-F20</f>
        <v>3.784056979999999</v>
      </c>
      <c r="I20" s="689">
        <f>H20-C19*90+0.009*129</f>
        <v>4.5310569799999989</v>
      </c>
      <c r="J20" s="540">
        <f>AVERAGE(I20,I22)</f>
        <v>4.4375309699999992</v>
      </c>
      <c r="K20" s="331">
        <f>0.3*0.3</f>
        <v>0.09</v>
      </c>
      <c r="L20" s="311">
        <v>15</v>
      </c>
      <c r="M20" s="312">
        <v>133</v>
      </c>
      <c r="N20" s="332">
        <v>22.545346469999998</v>
      </c>
      <c r="O20" s="332">
        <v>24.762546260000001</v>
      </c>
      <c r="P20" s="314">
        <f>O20-N20</f>
        <v>2.2171997900000022</v>
      </c>
      <c r="Q20" s="689">
        <f>P20-K19*90+0.009*129</f>
        <v>2.8651997900000019</v>
      </c>
      <c r="R20" s="540">
        <f>AVERAGE(Q20,Q22)</f>
        <v>2.8269730600000003</v>
      </c>
      <c r="S20" s="331">
        <f>0.3*0.3</f>
        <v>0.09</v>
      </c>
      <c r="T20" s="311">
        <v>15</v>
      </c>
      <c r="U20" s="312">
        <v>133</v>
      </c>
      <c r="V20" s="332">
        <v>22.548885500000001</v>
      </c>
      <c r="W20" s="332">
        <v>23.582653619999999</v>
      </c>
      <c r="X20" s="314">
        <f>W20-V20</f>
        <v>1.0337681199999977</v>
      </c>
      <c r="Y20" s="540">
        <f>X20-S19*90+0.0117*90</f>
        <v>1.3397681199999978</v>
      </c>
      <c r="Z20" s="678">
        <f>X20-S19*88+0.009*129</f>
        <v>1.4643681199999974</v>
      </c>
    </row>
    <row r="21" spans="2:27">
      <c r="C21" s="331">
        <f>0.0056</f>
        <v>5.5999999999999999E-3</v>
      </c>
      <c r="D21" s="567">
        <v>20</v>
      </c>
      <c r="E21" s="568">
        <v>100</v>
      </c>
      <c r="F21" s="403">
        <v>22.792426370000001</v>
      </c>
      <c r="G21" s="403">
        <v>25.704237259999999</v>
      </c>
      <c r="H21" s="569">
        <f t="shared" ref="H21" si="12">G21-F21</f>
        <v>2.9118108899999982</v>
      </c>
      <c r="K21" s="331">
        <f>0.0056</f>
        <v>5.5999999999999999E-3</v>
      </c>
      <c r="L21" s="308">
        <v>20</v>
      </c>
      <c r="M21" s="309">
        <v>100</v>
      </c>
      <c r="N21" s="331">
        <v>22.548047310000001</v>
      </c>
      <c r="O21" s="331">
        <v>23.844703750000001</v>
      </c>
      <c r="P21" s="310">
        <f t="shared" ref="P21" si="13">O21-N21</f>
        <v>1.2966564399999996</v>
      </c>
      <c r="S21" s="331">
        <f>0.0056</f>
        <v>5.5999999999999999E-3</v>
      </c>
      <c r="T21" s="308">
        <v>20</v>
      </c>
      <c r="U21" s="309">
        <v>100</v>
      </c>
      <c r="V21" s="331"/>
      <c r="W21" s="331"/>
      <c r="X21" s="310">
        <f t="shared" ref="X21" si="14">W21-V21</f>
        <v>0</v>
      </c>
    </row>
    <row r="22" spans="2:27">
      <c r="C22" s="331">
        <f>0.3*0.3</f>
        <v>0.09</v>
      </c>
      <c r="D22" s="311">
        <v>15</v>
      </c>
      <c r="E22" s="312">
        <v>133</v>
      </c>
      <c r="F22" s="332">
        <v>22.55102754</v>
      </c>
      <c r="G22" s="332">
        <v>26.238032499999999</v>
      </c>
      <c r="H22" s="314">
        <f>G22-F22</f>
        <v>3.6870049599999994</v>
      </c>
      <c r="I22" s="689">
        <f>H22-C21*90+0.009*129</f>
        <v>4.3440049599999995</v>
      </c>
      <c r="K22" s="331">
        <f>0.3*0.3</f>
        <v>0.09</v>
      </c>
      <c r="L22" s="311">
        <v>15</v>
      </c>
      <c r="M22" s="312">
        <v>133</v>
      </c>
      <c r="N22" s="332">
        <v>22.546277790000001</v>
      </c>
      <c r="O22" s="332">
        <v>24.67802412</v>
      </c>
      <c r="P22" s="314">
        <f>O22-N22</f>
        <v>2.1317463299999986</v>
      </c>
      <c r="Q22" s="689">
        <f>P22-K21*90+0.009*129</f>
        <v>2.7887463299999986</v>
      </c>
      <c r="S22" s="331">
        <f>0.3*0.3</f>
        <v>0.09</v>
      </c>
      <c r="T22" s="311">
        <v>15</v>
      </c>
      <c r="U22" s="312">
        <v>133</v>
      </c>
      <c r="V22" s="332"/>
      <c r="W22" s="332"/>
      <c r="X22" s="314">
        <f>W22-V22</f>
        <v>0</v>
      </c>
    </row>
    <row r="25" spans="2:27" ht="18.75">
      <c r="B25" s="540" t="s">
        <v>37</v>
      </c>
      <c r="C25" s="304"/>
      <c r="D25" s="305" t="s">
        <v>0</v>
      </c>
      <c r="E25" s="306" t="s">
        <v>1</v>
      </c>
      <c r="F25" s="306" t="s">
        <v>58</v>
      </c>
      <c r="G25" s="306" t="s">
        <v>59</v>
      </c>
      <c r="H25" s="307" t="s">
        <v>60</v>
      </c>
      <c r="K25" s="304" t="s">
        <v>118</v>
      </c>
      <c r="L25" s="305" t="s">
        <v>0</v>
      </c>
      <c r="M25" s="306" t="s">
        <v>1</v>
      </c>
      <c r="N25" s="306" t="s">
        <v>58</v>
      </c>
      <c r="O25" s="306" t="s">
        <v>59</v>
      </c>
      <c r="P25" s="307" t="s">
        <v>60</v>
      </c>
      <c r="S25" s="304" t="s">
        <v>118</v>
      </c>
      <c r="T25" s="305" t="s">
        <v>0</v>
      </c>
      <c r="U25" s="306" t="s">
        <v>1</v>
      </c>
      <c r="V25" s="306" t="s">
        <v>58</v>
      </c>
      <c r="W25" s="306" t="s">
        <v>59</v>
      </c>
      <c r="X25" s="307" t="s">
        <v>60</v>
      </c>
    </row>
    <row r="26" spans="2:27">
      <c r="C26" s="331">
        <f>0.006-0.0014</f>
        <v>4.5999999999999999E-3</v>
      </c>
      <c r="D26" s="567">
        <v>20</v>
      </c>
      <c r="E26" s="568">
        <v>100</v>
      </c>
      <c r="F26" s="403">
        <v>22.389908720000001</v>
      </c>
      <c r="G26" s="403">
        <v>26.791778019999999</v>
      </c>
      <c r="H26" s="569">
        <f t="shared" ref="H26" si="15">G26-F26</f>
        <v>4.4018692999999978</v>
      </c>
      <c r="J26" s="540" t="s">
        <v>115</v>
      </c>
      <c r="K26" s="331">
        <f>0.0056</f>
        <v>5.5999999999999999E-3</v>
      </c>
      <c r="L26" s="308">
        <v>20</v>
      </c>
      <c r="M26" s="309">
        <v>100</v>
      </c>
      <c r="N26" s="331"/>
      <c r="O26" s="331"/>
      <c r="P26" s="310">
        <f t="shared" ref="P26" si="16">O26-N26</f>
        <v>0</v>
      </c>
      <c r="S26" s="331">
        <f>0.0066</f>
        <v>6.6E-3</v>
      </c>
      <c r="T26" s="308">
        <v>20</v>
      </c>
      <c r="U26" s="309">
        <v>100</v>
      </c>
      <c r="V26" s="331">
        <v>25.516358790000002</v>
      </c>
      <c r="W26" s="331">
        <v>26.626495370000001</v>
      </c>
      <c r="X26" s="310">
        <f t="shared" ref="X26" si="17">W26-V26</f>
        <v>1.1101365799999989</v>
      </c>
    </row>
    <row r="27" spans="2:27">
      <c r="C27" s="331">
        <f>0.3*0.5</f>
        <v>0.15</v>
      </c>
      <c r="D27" s="311">
        <v>15</v>
      </c>
      <c r="E27" s="312">
        <v>133</v>
      </c>
      <c r="F27" s="332">
        <v>22.214261279999999</v>
      </c>
      <c r="G27" s="332">
        <v>27.309080139999999</v>
      </c>
      <c r="H27" s="314">
        <f>G27-F27</f>
        <v>5.0948188600000002</v>
      </c>
      <c r="I27" s="689">
        <f>H27-C26*90+0.009*129</f>
        <v>5.8418188600000001</v>
      </c>
      <c r="J27" s="540">
        <f>AVERAGE(I27,I29)</f>
        <v>5.5845666250000008</v>
      </c>
      <c r="K27" s="331">
        <f>0.3*0.5</f>
        <v>0.15</v>
      </c>
      <c r="L27" s="311">
        <v>15</v>
      </c>
      <c r="M27" s="312">
        <v>133</v>
      </c>
      <c r="N27" s="332">
        <v>21.847506419999998</v>
      </c>
      <c r="O27" s="332">
        <v>24.9285888</v>
      </c>
      <c r="P27" s="314">
        <f>O27-N27</f>
        <v>3.0810823800000016</v>
      </c>
      <c r="Q27" s="689">
        <f>P27-K26*90+0.009*129</f>
        <v>3.7380823800000016</v>
      </c>
      <c r="R27" s="540">
        <f>AVERAGE(Q27,Q29)</f>
        <v>3.8599646200000008</v>
      </c>
      <c r="S27" s="331">
        <f>0.3*0.3</f>
        <v>0.09</v>
      </c>
      <c r="T27" s="311">
        <v>15</v>
      </c>
      <c r="U27" s="312">
        <v>133</v>
      </c>
      <c r="V27" s="332">
        <v>24.752487970000001</v>
      </c>
      <c r="W27" s="332">
        <v>26.286283210000001</v>
      </c>
      <c r="X27" s="314">
        <f>W27-V27</f>
        <v>1.5337952399999999</v>
      </c>
      <c r="Z27" s="678">
        <f>X27-S26*88+0.009*129</f>
        <v>2.1139952399999995</v>
      </c>
      <c r="AA27" s="689">
        <f>AVERAGE(Z27,Z29)</f>
        <v>2.0531293099999997</v>
      </c>
    </row>
    <row r="28" spans="2:27">
      <c r="B28" s="540" t="s">
        <v>119</v>
      </c>
      <c r="C28" s="331">
        <f>0.0084-0.0018</f>
        <v>6.6E-3</v>
      </c>
      <c r="D28" s="567">
        <v>20</v>
      </c>
      <c r="E28" s="568">
        <v>100</v>
      </c>
      <c r="F28" s="403">
        <v>22.882857789999999</v>
      </c>
      <c r="G28" s="403">
        <v>26.457553440000002</v>
      </c>
      <c r="H28" s="569">
        <f t="shared" ref="H28" si="18">G28-F28</f>
        <v>3.5746956500000024</v>
      </c>
      <c r="I28" s="540">
        <f>H28*1.6</f>
        <v>5.7195130400000043</v>
      </c>
      <c r="K28" s="331">
        <f>0.0065</f>
        <v>6.4999999999999997E-3</v>
      </c>
      <c r="L28" s="308">
        <v>20</v>
      </c>
      <c r="M28" s="309">
        <v>100</v>
      </c>
      <c r="N28" s="331">
        <v>22.206065639999998</v>
      </c>
      <c r="O28" s="331">
        <v>24.94536489</v>
      </c>
      <c r="P28" s="310">
        <f t="shared" ref="P28" si="19">O28-N28</f>
        <v>2.739299250000002</v>
      </c>
      <c r="S28" s="331">
        <f>0.0058</f>
        <v>5.7999999999999996E-3</v>
      </c>
      <c r="T28" s="308">
        <v>20</v>
      </c>
      <c r="U28" s="309">
        <v>100</v>
      </c>
      <c r="V28" s="331">
        <v>23.73557679</v>
      </c>
      <c r="W28" s="331">
        <v>24.77027623</v>
      </c>
      <c r="X28" s="310">
        <f t="shared" ref="X28" si="20">W28-V28</f>
        <v>1.0346994400000007</v>
      </c>
    </row>
    <row r="29" spans="2:27">
      <c r="C29" s="331">
        <f>0.3*0.5</f>
        <v>0.15</v>
      </c>
      <c r="D29" s="311">
        <v>15</v>
      </c>
      <c r="E29" s="312">
        <v>133</v>
      </c>
      <c r="F29" s="332">
        <v>22.88071575</v>
      </c>
      <c r="G29" s="332">
        <v>27.641030140000002</v>
      </c>
      <c r="H29" s="314">
        <f>G29-F29</f>
        <v>4.7603143900000013</v>
      </c>
      <c r="I29" s="689">
        <f>H29-C28*90+0.009*129</f>
        <v>5.3273143900000006</v>
      </c>
      <c r="K29" s="331">
        <f>0.3*0.5</f>
        <v>0.15</v>
      </c>
      <c r="L29" s="311">
        <v>15</v>
      </c>
      <c r="M29" s="312">
        <v>133</v>
      </c>
      <c r="N29" s="332">
        <v>22.21044285</v>
      </c>
      <c r="O29" s="332">
        <v>25.61628971</v>
      </c>
      <c r="P29" s="314">
        <f>O29-N29</f>
        <v>3.4058468600000005</v>
      </c>
      <c r="Q29" s="689">
        <f>P29-K28*90+0.009*129</f>
        <v>3.9818468600000001</v>
      </c>
      <c r="S29" s="331">
        <f>0.3*0.3</f>
        <v>0.09</v>
      </c>
      <c r="T29" s="311">
        <v>15</v>
      </c>
      <c r="U29" s="312">
        <v>133</v>
      </c>
      <c r="V29" s="332">
        <v>23.741909790000001</v>
      </c>
      <c r="W29" s="332">
        <v>25.083573170000001</v>
      </c>
      <c r="X29" s="314">
        <f>W29-V29</f>
        <v>1.34166338</v>
      </c>
      <c r="Z29" s="679">
        <f>X29-S28*88+0.009*129</f>
        <v>1.9922633799999998</v>
      </c>
    </row>
    <row r="31" spans="2:27" ht="18.75">
      <c r="B31" s="540" t="s">
        <v>75</v>
      </c>
      <c r="C31" s="304"/>
      <c r="D31" s="305" t="s">
        <v>0</v>
      </c>
      <c r="E31" s="306" t="s">
        <v>1</v>
      </c>
      <c r="F31" s="306" t="s">
        <v>58</v>
      </c>
      <c r="G31" s="306" t="s">
        <v>59</v>
      </c>
      <c r="H31" s="307" t="s">
        <v>60</v>
      </c>
      <c r="K31" s="304" t="s">
        <v>120</v>
      </c>
      <c r="L31" s="305" t="s">
        <v>0</v>
      </c>
      <c r="M31" s="306" t="s">
        <v>1</v>
      </c>
      <c r="N31" s="306" t="s">
        <v>58</v>
      </c>
      <c r="O31" s="306" t="s">
        <v>59</v>
      </c>
      <c r="P31" s="307" t="s">
        <v>60</v>
      </c>
      <c r="S31" s="304" t="s">
        <v>120</v>
      </c>
      <c r="T31" s="305" t="s">
        <v>0</v>
      </c>
      <c r="U31" s="306" t="s">
        <v>1</v>
      </c>
      <c r="V31" s="306" t="s">
        <v>58</v>
      </c>
      <c r="W31" s="306" t="s">
        <v>59</v>
      </c>
      <c r="X31" s="307" t="s">
        <v>60</v>
      </c>
    </row>
    <row r="32" spans="2:27">
      <c r="C32" s="331">
        <f>0.0059</f>
        <v>5.8999999999999999E-3</v>
      </c>
      <c r="D32" s="567">
        <v>20</v>
      </c>
      <c r="E32" s="568">
        <v>100</v>
      </c>
      <c r="F32" s="403">
        <v>22.199918910000001</v>
      </c>
      <c r="G32" s="403">
        <v>38.553571759999997</v>
      </c>
      <c r="H32" s="569">
        <f t="shared" ref="H32" si="21">G32-F32</f>
        <v>16.353652849999996</v>
      </c>
      <c r="K32" s="331">
        <f>0.0056</f>
        <v>5.5999999999999999E-3</v>
      </c>
      <c r="L32" s="308">
        <v>20</v>
      </c>
      <c r="M32" s="309">
        <v>100</v>
      </c>
      <c r="N32" s="331">
        <v>22.537243960000001</v>
      </c>
      <c r="O32" s="331">
        <v>27.82883288</v>
      </c>
      <c r="P32" s="310">
        <f t="shared" ref="P32" si="22">O32-N32</f>
        <v>5.2915889199999988</v>
      </c>
      <c r="S32" s="331">
        <f>0.006</f>
        <v>6.0000000000000001E-3</v>
      </c>
      <c r="T32" s="308">
        <v>20</v>
      </c>
      <c r="U32" s="309">
        <v>100</v>
      </c>
      <c r="V32" s="331">
        <v>24.41525605</v>
      </c>
      <c r="W32" s="331">
        <v>25.433284820000001</v>
      </c>
      <c r="X32" s="310">
        <f t="shared" ref="X32" si="23">W32-V32</f>
        <v>1.0180287700000008</v>
      </c>
    </row>
    <row r="33" spans="2:27">
      <c r="C33" s="331">
        <f>0.3*0.8</f>
        <v>0.24</v>
      </c>
      <c r="D33" s="311">
        <v>15</v>
      </c>
      <c r="E33" s="312">
        <v>133</v>
      </c>
      <c r="F33" s="332">
        <v>22.88304406</v>
      </c>
      <c r="G33" s="332">
        <v>43.1477863</v>
      </c>
      <c r="H33" s="314">
        <f>G33-F33</f>
        <v>20.26474224</v>
      </c>
      <c r="I33" s="689">
        <f>H33-C32*90+0.009*129</f>
        <v>20.894742240000003</v>
      </c>
      <c r="K33" s="331">
        <f>0.3*0.8</f>
        <v>0.24</v>
      </c>
      <c r="L33" s="311">
        <v>15</v>
      </c>
      <c r="M33" s="312">
        <v>133</v>
      </c>
      <c r="N33" s="332">
        <v>22.544042619999999</v>
      </c>
      <c r="O33" s="332">
        <v>29.19024031</v>
      </c>
      <c r="P33" s="314">
        <f>O33-N33</f>
        <v>6.646197690000001</v>
      </c>
      <c r="Q33" s="689">
        <f>P33-K32*90+0.009*129</f>
        <v>7.3031976900000011</v>
      </c>
      <c r="R33" s="540">
        <f>AVERAGE(Q33,Q35)</f>
        <v>7.1279605699999999</v>
      </c>
      <c r="S33" s="331">
        <f>0.3*0.3</f>
        <v>0.09</v>
      </c>
      <c r="T33" s="311">
        <v>15</v>
      </c>
      <c r="U33" s="312">
        <v>133</v>
      </c>
      <c r="V33" s="332">
        <v>24.417770619999999</v>
      </c>
      <c r="W33" s="332">
        <v>26.53682384</v>
      </c>
      <c r="X33" s="314">
        <f>W33-V33</f>
        <v>2.1190532200000014</v>
      </c>
      <c r="Z33" s="680">
        <f>X33-S32*88+0.009*129</f>
        <v>2.7520532200000014</v>
      </c>
      <c r="AA33" s="689">
        <f>AVERAGE(Z33,Z35)</f>
        <v>2.7418029100000005</v>
      </c>
    </row>
    <row r="34" spans="2:27">
      <c r="C34" s="331">
        <f>0.0079</f>
        <v>7.9000000000000008E-3</v>
      </c>
      <c r="D34" s="567">
        <v>20</v>
      </c>
      <c r="E34" s="568">
        <v>100</v>
      </c>
      <c r="F34" s="403">
        <v>22.886769350000002</v>
      </c>
      <c r="G34" s="403">
        <v>46.56127</v>
      </c>
      <c r="H34" s="569">
        <f t="shared" ref="H34" si="24">G34-F34</f>
        <v>23.674500649999999</v>
      </c>
      <c r="K34" s="331">
        <f>0.0072</f>
        <v>7.1999999999999998E-3</v>
      </c>
      <c r="L34" s="308">
        <v>20</v>
      </c>
      <c r="M34" s="309">
        <v>100</v>
      </c>
      <c r="N34" s="331">
        <v>22.207648890000002</v>
      </c>
      <c r="O34" s="331">
        <v>27.487037480000001</v>
      </c>
      <c r="P34" s="310">
        <f t="shared" ref="P34" si="25">O34-N34</f>
        <v>5.2793885899999999</v>
      </c>
      <c r="R34" s="689">
        <f>_xlfn.STDEV.P(Q33,Q35)</f>
        <v>0.17523712000000113</v>
      </c>
      <c r="S34" s="331">
        <f>0.0071</f>
        <v>7.1000000000000004E-3</v>
      </c>
      <c r="T34" s="308">
        <v>20</v>
      </c>
      <c r="U34" s="309">
        <v>100</v>
      </c>
      <c r="V34" s="331">
        <v>23.72868501</v>
      </c>
      <c r="W34" s="331">
        <v>24.740287649999999</v>
      </c>
      <c r="X34" s="310">
        <f t="shared" ref="X34" si="26">W34-V34</f>
        <v>1.0116026399999996</v>
      </c>
    </row>
    <row r="35" spans="2:27">
      <c r="C35" s="331">
        <f>0.3*0.8</f>
        <v>0.24</v>
      </c>
      <c r="D35" s="311">
        <v>15</v>
      </c>
      <c r="E35" s="312">
        <v>133</v>
      </c>
      <c r="F35" s="332">
        <v>22.552331389999999</v>
      </c>
      <c r="G35" s="332">
        <v>51.686245300000003</v>
      </c>
      <c r="H35" s="314">
        <f>G35-F35</f>
        <v>29.133913910000004</v>
      </c>
      <c r="I35" s="689">
        <f>H35-C34*90+0.009*129</f>
        <v>29.583913910000007</v>
      </c>
      <c r="K35" s="331">
        <f>0.3*0.8</f>
        <v>0.24</v>
      </c>
      <c r="L35" s="311">
        <v>15</v>
      </c>
      <c r="M35" s="312">
        <v>133</v>
      </c>
      <c r="N35" s="332">
        <v>22.409280240000001</v>
      </c>
      <c r="O35" s="332">
        <v>28.84900369</v>
      </c>
      <c r="P35" s="314">
        <f>O35-N35</f>
        <v>6.4397234499999989</v>
      </c>
      <c r="Q35" s="689">
        <f>P35-K34*90+0.009*129</f>
        <v>6.9527234499999988</v>
      </c>
      <c r="S35" s="331">
        <f>0.3*0.3</f>
        <v>0.09</v>
      </c>
      <c r="T35" s="311">
        <v>15</v>
      </c>
      <c r="U35" s="312">
        <v>133</v>
      </c>
      <c r="V35" s="332">
        <v>23.732782820000001</v>
      </c>
      <c r="W35" s="332">
        <v>25.92813542</v>
      </c>
      <c r="X35" s="314">
        <f>W35-V35</f>
        <v>2.1953525999999997</v>
      </c>
      <c r="Z35" s="680">
        <f>X35-S34*88+0.009*129</f>
        <v>2.7315525999999997</v>
      </c>
    </row>
    <row r="37" spans="2:27" ht="18.75">
      <c r="B37" s="540" t="s">
        <v>97</v>
      </c>
      <c r="C37" s="304"/>
      <c r="D37" s="305" t="s">
        <v>0</v>
      </c>
      <c r="E37" s="306" t="s">
        <v>1</v>
      </c>
      <c r="F37" s="306" t="s">
        <v>58</v>
      </c>
      <c r="G37" s="306" t="s">
        <v>59</v>
      </c>
      <c r="H37" s="307" t="s">
        <v>60</v>
      </c>
      <c r="K37" s="304" t="s">
        <v>121</v>
      </c>
      <c r="L37" s="305" t="s">
        <v>0</v>
      </c>
      <c r="M37" s="306" t="s">
        <v>1</v>
      </c>
      <c r="N37" s="306" t="s">
        <v>58</v>
      </c>
      <c r="O37" s="306" t="s">
        <v>59</v>
      </c>
      <c r="P37" s="307" t="s">
        <v>60</v>
      </c>
      <c r="S37" s="304" t="s">
        <v>127</v>
      </c>
      <c r="T37" s="305" t="s">
        <v>0</v>
      </c>
      <c r="U37" s="306" t="s">
        <v>1</v>
      </c>
      <c r="V37" s="306" t="s">
        <v>58</v>
      </c>
      <c r="W37" s="306" t="s">
        <v>59</v>
      </c>
      <c r="X37" s="307" t="s">
        <v>60</v>
      </c>
    </row>
    <row r="38" spans="2:27">
      <c r="C38" s="331">
        <f>0.0087</f>
        <v>8.6999999999999994E-3</v>
      </c>
      <c r="D38" s="567">
        <v>20</v>
      </c>
      <c r="E38" s="568">
        <v>100</v>
      </c>
      <c r="F38" s="403">
        <v>22.058637260000001</v>
      </c>
      <c r="G38" s="403">
        <v>118.1080822</v>
      </c>
      <c r="H38" s="569">
        <f t="shared" ref="H38" si="27">G38-F38</f>
        <v>96.049444940000001</v>
      </c>
      <c r="K38" s="331">
        <f>0.0079</f>
        <v>7.9000000000000008E-3</v>
      </c>
      <c r="L38" s="308">
        <v>20</v>
      </c>
      <c r="M38" s="309">
        <v>100</v>
      </c>
      <c r="N38" s="331">
        <v>22.895337520000002</v>
      </c>
      <c r="O38" s="331">
        <v>36.217255809999997</v>
      </c>
      <c r="P38" s="310">
        <f t="shared" ref="P38" si="28">O38-N38</f>
        <v>13.321918289999996</v>
      </c>
      <c r="S38" s="331">
        <f>0.0056</f>
        <v>5.5999999999999999E-3</v>
      </c>
      <c r="T38" s="308">
        <v>20</v>
      </c>
      <c r="U38" s="309">
        <v>100</v>
      </c>
      <c r="V38" s="331">
        <v>23.738650159999999</v>
      </c>
      <c r="W38" s="331">
        <v>32.924471519999997</v>
      </c>
      <c r="X38" s="310">
        <f t="shared" ref="X38" si="29">W38-V38</f>
        <v>9.1858213599999985</v>
      </c>
      <c r="Z38" s="684"/>
    </row>
    <row r="39" spans="2:27">
      <c r="C39" s="331">
        <f>0.3*2</f>
        <v>0.6</v>
      </c>
      <c r="D39" s="311">
        <v>15</v>
      </c>
      <c r="E39" s="312">
        <v>133</v>
      </c>
      <c r="F39" s="332"/>
      <c r="G39" s="332"/>
      <c r="H39" s="314">
        <f>G39-F39</f>
        <v>0</v>
      </c>
      <c r="K39" s="331">
        <f>0.3*1.3</f>
        <v>0.39</v>
      </c>
      <c r="L39" s="311">
        <v>15</v>
      </c>
      <c r="M39" s="312">
        <v>133</v>
      </c>
      <c r="N39" s="332">
        <v>22.895523780000001</v>
      </c>
      <c r="O39" s="332">
        <v>32.776257139999998</v>
      </c>
      <c r="P39" s="314">
        <f>O39-N39</f>
        <v>9.8807333599999971</v>
      </c>
      <c r="Q39" s="540">
        <f>P39-K38*90+0.009*129</f>
        <v>10.330733359999996</v>
      </c>
      <c r="S39" s="331">
        <f>0.3*2</f>
        <v>0.6</v>
      </c>
      <c r="T39" s="311">
        <v>15</v>
      </c>
      <c r="U39" s="312">
        <v>133</v>
      </c>
      <c r="V39" s="332">
        <v>24.074019440000001</v>
      </c>
      <c r="W39" s="332">
        <v>35.652594899999997</v>
      </c>
      <c r="X39" s="314">
        <f>W39-V39</f>
        <v>11.578575459999996</v>
      </c>
      <c r="Z39" s="683">
        <f>X39-S38*88+0.009*129</f>
        <v>12.246775459999995</v>
      </c>
    </row>
    <row r="40" spans="2:27">
      <c r="K40" s="331">
        <f>0.0072</f>
        <v>7.1999999999999998E-3</v>
      </c>
      <c r="L40" s="308">
        <v>20</v>
      </c>
      <c r="M40" s="309">
        <v>100</v>
      </c>
      <c r="N40" s="331"/>
      <c r="O40" s="331"/>
      <c r="P40" s="310">
        <f t="shared" ref="P40" si="30">O40-N40</f>
        <v>0</v>
      </c>
      <c r="S40" s="331">
        <f>0.0067</f>
        <v>6.7000000000000002E-3</v>
      </c>
      <c r="T40" s="308">
        <v>20</v>
      </c>
      <c r="U40" s="309">
        <v>100</v>
      </c>
      <c r="V40" s="331">
        <v>24.407153539999999</v>
      </c>
      <c r="W40" s="331">
        <v>36.851486530000003</v>
      </c>
      <c r="X40" s="310">
        <f t="shared" ref="X40" si="31">W40-V40</f>
        <v>12.444332990000003</v>
      </c>
      <c r="AA40" s="540">
        <f>AVERAGE(Z39,Z41)</f>
        <v>14.241743879999996</v>
      </c>
    </row>
    <row r="41" spans="2:27" ht="18.75">
      <c r="B41" s="540" t="s">
        <v>100</v>
      </c>
      <c r="C41" s="304"/>
      <c r="D41" s="305" t="s">
        <v>0</v>
      </c>
      <c r="E41" s="306" t="s">
        <v>1</v>
      </c>
      <c r="F41" s="306" t="s">
        <v>58</v>
      </c>
      <c r="G41" s="306" t="s">
        <v>59</v>
      </c>
      <c r="H41" s="307" t="s">
        <v>60</v>
      </c>
      <c r="K41" s="331">
        <f>0.3*1.3</f>
        <v>0.39</v>
      </c>
      <c r="L41" s="311">
        <v>15</v>
      </c>
      <c r="M41" s="312">
        <v>133</v>
      </c>
      <c r="N41" s="332"/>
      <c r="O41" s="332"/>
      <c r="P41" s="314">
        <f>O41-N41</f>
        <v>0</v>
      </c>
      <c r="S41" s="331">
        <f>0.3*0.3</f>
        <v>0.09</v>
      </c>
      <c r="T41" s="311">
        <v>15</v>
      </c>
      <c r="U41" s="312">
        <v>133</v>
      </c>
      <c r="V41" s="332">
        <v>23.740047140000001</v>
      </c>
      <c r="W41" s="332">
        <v>39.405359439999998</v>
      </c>
      <c r="X41" s="314">
        <f>W41-V41</f>
        <v>15.665312299999997</v>
      </c>
      <c r="Z41" s="683">
        <f>X41-S40*88+0.009*129</f>
        <v>16.236712299999997</v>
      </c>
      <c r="AA41" s="689">
        <f>_xlfn.STDEV.S(Z39,Z41)</f>
        <v>2.8213113960700222</v>
      </c>
    </row>
    <row r="42" spans="2:27">
      <c r="C42" s="331">
        <f>0.0072</f>
        <v>7.1999999999999998E-3</v>
      </c>
      <c r="D42" s="567">
        <v>20</v>
      </c>
      <c r="E42" s="568">
        <v>100</v>
      </c>
      <c r="F42" s="403">
        <v>23.208634450000002</v>
      </c>
      <c r="G42" s="403">
        <v>70.739243669999993</v>
      </c>
      <c r="H42" s="569">
        <f t="shared" ref="H42" si="32">G42-F42</f>
        <v>47.530609219999988</v>
      </c>
      <c r="AA42" s="540">
        <f>AA41/AA40</f>
        <v>0.19810154008120129</v>
      </c>
    </row>
    <row r="43" spans="2:27" ht="18.75">
      <c r="C43" s="331">
        <f>0.3*1.3</f>
        <v>0.39</v>
      </c>
      <c r="D43" s="311">
        <v>15</v>
      </c>
      <c r="E43" s="312">
        <v>133</v>
      </c>
      <c r="F43" s="332">
        <v>25.44250491</v>
      </c>
      <c r="G43" s="332">
        <v>83.618969980000003</v>
      </c>
      <c r="H43" s="314">
        <f>G43-F43</f>
        <v>58.176465070000006</v>
      </c>
      <c r="K43" s="4">
        <v>42419</v>
      </c>
      <c r="S43" s="304" t="s">
        <v>121</v>
      </c>
      <c r="T43" s="305" t="s">
        <v>0</v>
      </c>
      <c r="U43" s="306" t="s">
        <v>1</v>
      </c>
      <c r="V43" s="306" t="s">
        <v>58</v>
      </c>
      <c r="W43" s="306" t="s">
        <v>59</v>
      </c>
      <c r="X43" s="307" t="s">
        <v>60</v>
      </c>
    </row>
    <row r="44" spans="2:27" ht="18.75">
      <c r="K44" s="304" t="s">
        <v>127</v>
      </c>
      <c r="L44" s="305" t="s">
        <v>0</v>
      </c>
      <c r="M44" s="306" t="s">
        <v>1</v>
      </c>
      <c r="N44" s="306" t="s">
        <v>58</v>
      </c>
      <c r="O44" s="306" t="s">
        <v>59</v>
      </c>
      <c r="P44" s="307" t="s">
        <v>60</v>
      </c>
      <c r="S44" s="331">
        <f>0.007</f>
        <v>7.0000000000000001E-3</v>
      </c>
      <c r="T44" s="308">
        <v>20</v>
      </c>
      <c r="U44" s="309">
        <v>100</v>
      </c>
      <c r="V44" s="331">
        <v>24.0742057</v>
      </c>
      <c r="W44" s="331">
        <v>29.872992929999999</v>
      </c>
      <c r="X44" s="310">
        <f t="shared" ref="X44" si="33">W44-V44</f>
        <v>5.7987872299999985</v>
      </c>
    </row>
    <row r="45" spans="2:27">
      <c r="K45" s="331">
        <f>0.0092</f>
        <v>9.1999999999999998E-3</v>
      </c>
      <c r="L45" s="308">
        <v>20</v>
      </c>
      <c r="M45" s="309">
        <v>100</v>
      </c>
      <c r="N45" s="331">
        <v>23.688917530000001</v>
      </c>
      <c r="O45" s="331">
        <v>43.481479200000003</v>
      </c>
      <c r="P45" s="310">
        <f t="shared" ref="P45" si="34">O45-N45</f>
        <v>19.792561670000001</v>
      </c>
      <c r="S45" s="331">
        <f>0.3*1.3</f>
        <v>0.39</v>
      </c>
      <c r="T45" s="311">
        <v>15</v>
      </c>
      <c r="U45" s="312">
        <v>133</v>
      </c>
      <c r="V45" s="332">
        <v>23.739208949999998</v>
      </c>
      <c r="W45" s="332">
        <v>31.179638579999999</v>
      </c>
      <c r="X45" s="314">
        <f>W45-V45</f>
        <v>7.4404296300000006</v>
      </c>
      <c r="Z45" s="689">
        <f>X45-S44*88+0.008*129</f>
        <v>7.8564296300000009</v>
      </c>
      <c r="AA45" s="689">
        <f>AVERAGE(Z45,Z47)</f>
        <v>5.6626773849999994</v>
      </c>
    </row>
    <row r="46" spans="2:27">
      <c r="K46" s="331">
        <f>0.3*2</f>
        <v>0.6</v>
      </c>
      <c r="L46" s="311">
        <v>15</v>
      </c>
      <c r="M46" s="312">
        <v>133</v>
      </c>
      <c r="N46" s="332">
        <v>23.566821130000001</v>
      </c>
      <c r="O46" s="332">
        <v>48.775675819999996</v>
      </c>
      <c r="P46" s="314">
        <f>O46-N46</f>
        <v>25.208854689999995</v>
      </c>
      <c r="S46" s="331">
        <f>0.0073</f>
        <v>7.3000000000000001E-3</v>
      </c>
      <c r="T46" s="308">
        <v>20</v>
      </c>
      <c r="U46" s="309">
        <v>100</v>
      </c>
      <c r="V46" s="331">
        <v>25.01623854</v>
      </c>
      <c r="W46" s="331">
        <v>27.30915486</v>
      </c>
      <c r="X46" s="310">
        <f t="shared" ref="X46" si="35">W46-V46</f>
        <v>2.2929163199999998</v>
      </c>
      <c r="Z46" s="689"/>
      <c r="AA46" s="689">
        <f>_xlfn.STDEV.S(Z45,Z47)</f>
        <v>3.1024341773654283</v>
      </c>
    </row>
    <row r="47" spans="2:27">
      <c r="D47" s="540" t="s">
        <v>125</v>
      </c>
      <c r="K47" s="331">
        <f>0.0072</f>
        <v>7.1999999999999998E-3</v>
      </c>
      <c r="L47" s="308">
        <v>20</v>
      </c>
      <c r="M47" s="309">
        <v>100</v>
      </c>
      <c r="N47" s="331"/>
      <c r="O47" s="331"/>
      <c r="P47" s="310">
        <f t="shared" ref="P47" si="36">O47-N47</f>
        <v>0</v>
      </c>
      <c r="S47" s="331">
        <f>0.3*1.3</f>
        <v>0.39</v>
      </c>
      <c r="T47" s="311">
        <v>15</v>
      </c>
      <c r="U47" s="312">
        <v>133</v>
      </c>
      <c r="V47" s="332">
        <v>24.750718460000002</v>
      </c>
      <c r="W47" s="332">
        <v>27.8300436</v>
      </c>
      <c r="X47" s="314">
        <f>W47-V47</f>
        <v>3.0793251399999981</v>
      </c>
      <c r="Y47" s="689"/>
      <c r="Z47" s="689">
        <f>X47-S46*88+0.008*129</f>
        <v>3.4689251399999983</v>
      </c>
      <c r="AA47" s="689">
        <f>AA46/AA45</f>
        <v>0.54787408259978576</v>
      </c>
    </row>
    <row r="48" spans="2:27">
      <c r="D48" s="540" t="s">
        <v>126</v>
      </c>
      <c r="F48" s="540" t="s">
        <v>123</v>
      </c>
      <c r="H48" s="540" t="s">
        <v>124</v>
      </c>
      <c r="K48" s="331">
        <f>0.3*0.8</f>
        <v>0.24</v>
      </c>
      <c r="L48" s="311">
        <v>15</v>
      </c>
      <c r="M48" s="312">
        <v>133</v>
      </c>
      <c r="N48" s="332"/>
      <c r="O48" s="332"/>
      <c r="P48" s="314">
        <f>O48-N48</f>
        <v>0</v>
      </c>
    </row>
    <row r="49" spans="3:14">
      <c r="C49" s="540">
        <f>E49/0.02</f>
        <v>98.913169565217402</v>
      </c>
      <c r="D49" s="540">
        <v>0</v>
      </c>
      <c r="E49" s="540">
        <v>1.9782633913043481</v>
      </c>
      <c r="F49" s="540">
        <v>0</v>
      </c>
      <c r="G49" s="540">
        <v>1.9782633913043481</v>
      </c>
      <c r="H49" s="566">
        <v>0</v>
      </c>
      <c r="I49" s="689">
        <v>1.97</v>
      </c>
      <c r="L49" s="540" t="s">
        <v>122</v>
      </c>
      <c r="M49" s="540" t="s">
        <v>123</v>
      </c>
      <c r="N49" s="540" t="s">
        <v>124</v>
      </c>
    </row>
    <row r="50" spans="3:14">
      <c r="C50" s="540">
        <f>C49*0.0153</f>
        <v>1.5133714943478263</v>
      </c>
      <c r="D50" s="540">
        <v>0.22499999999999998</v>
      </c>
      <c r="E50" s="540">
        <v>6.8852955844084898</v>
      </c>
      <c r="F50" s="540">
        <v>4.4999999999999998E-2</v>
      </c>
      <c r="G50" s="540">
        <v>2.8858536335148792</v>
      </c>
      <c r="H50" s="566">
        <v>7.4999999999999997E-2</v>
      </c>
      <c r="I50" s="540">
        <v>2.606716454999999</v>
      </c>
      <c r="K50" s="540">
        <v>0</v>
      </c>
      <c r="L50" s="689">
        <f>0.009*129</f>
        <v>1.1609999999999998</v>
      </c>
      <c r="M50" s="689">
        <f>0.009*129</f>
        <v>1.1609999999999998</v>
      </c>
      <c r="N50" s="689">
        <f>0.009*129</f>
        <v>1.1609999999999998</v>
      </c>
    </row>
    <row r="51" spans="3:14">
      <c r="D51" s="540">
        <v>0.15</v>
      </c>
      <c r="E51" s="540">
        <v>5.4392078153614918</v>
      </c>
      <c r="F51" s="540">
        <v>0.15</v>
      </c>
      <c r="G51" s="540">
        <v>4.0436817155</v>
      </c>
      <c r="H51" s="566">
        <v>0.15</v>
      </c>
      <c r="I51" s="540">
        <v>3.1403431433333338</v>
      </c>
      <c r="K51" s="540">
        <v>0.03</v>
      </c>
      <c r="L51" s="540">
        <v>1.8818078599999977</v>
      </c>
      <c r="M51" s="540">
        <v>1.6151656099999989</v>
      </c>
      <c r="N51" s="540">
        <v>1.4612578000000003</v>
      </c>
    </row>
    <row r="52" spans="3:14">
      <c r="D52" s="540">
        <v>1.4999999999999999E-2</v>
      </c>
      <c r="E52" s="540">
        <v>2.6624453513534991</v>
      </c>
      <c r="F52" s="540">
        <v>0.24</v>
      </c>
      <c r="G52" s="540">
        <v>4.7329427956575669</v>
      </c>
      <c r="H52" s="566">
        <v>0.24</v>
      </c>
      <c r="I52" s="540">
        <v>3.3135434099999999</v>
      </c>
      <c r="K52" s="540">
        <v>0.09</v>
      </c>
      <c r="L52" s="540">
        <v>4.4375309699999992</v>
      </c>
      <c r="M52" s="540">
        <v>2.8269730600000003</v>
      </c>
      <c r="N52" s="681">
        <v>2.0531293099999997</v>
      </c>
    </row>
    <row r="53" spans="3:14">
      <c r="C53" s="540">
        <v>1.9782633913043481</v>
      </c>
      <c r="D53" s="540">
        <v>0.3</v>
      </c>
      <c r="E53" s="540">
        <v>9.42023408271276</v>
      </c>
      <c r="F53" s="540">
        <v>0.3</v>
      </c>
      <c r="G53" s="540">
        <v>5.1344230499999997</v>
      </c>
      <c r="H53" s="566">
        <v>0.3</v>
      </c>
      <c r="I53" s="540">
        <v>3.8958018002690151</v>
      </c>
      <c r="K53" s="540">
        <v>0.15</v>
      </c>
      <c r="L53" s="268">
        <v>5.5845666250000008</v>
      </c>
      <c r="M53" s="540">
        <v>3.8599646200000008</v>
      </c>
      <c r="N53" s="540">
        <v>2.3499523999999998</v>
      </c>
    </row>
    <row r="54" spans="3:14">
      <c r="D54" s="540">
        <v>7.4999999999999997E-2</v>
      </c>
      <c r="E54" s="540">
        <v>3.8758885667257101</v>
      </c>
      <c r="F54" s="540">
        <v>0.44999999999999996</v>
      </c>
      <c r="G54" s="540">
        <v>7.1949516599999992</v>
      </c>
      <c r="H54" s="566">
        <v>0.39</v>
      </c>
      <c r="I54" s="540">
        <v>4.2727498324999988</v>
      </c>
      <c r="K54" s="540">
        <v>0.24</v>
      </c>
      <c r="L54" s="540">
        <v>9.4317052199999996</v>
      </c>
      <c r="M54" s="540">
        <v>7.1279605699999999</v>
      </c>
      <c r="N54" s="540">
        <v>3.7418029100000001</v>
      </c>
    </row>
    <row r="55" spans="3:14">
      <c r="D55" s="540">
        <v>0.24</v>
      </c>
      <c r="E55" s="540">
        <v>8.4097301600000041</v>
      </c>
      <c r="F55" s="540">
        <v>0.375</v>
      </c>
      <c r="G55" s="540">
        <v>6.4971949295</v>
      </c>
      <c r="H55" s="540">
        <v>0.54</v>
      </c>
      <c r="I55" s="540">
        <v>5.4009681500000006</v>
      </c>
      <c r="K55" s="540">
        <v>0.39</v>
      </c>
      <c r="L55" s="268"/>
      <c r="M55" s="268">
        <v>10.330733359999996</v>
      </c>
      <c r="N55" s="540">
        <v>5.6626773849999994</v>
      </c>
    </row>
    <row r="83" spans="3:39">
      <c r="C83" s="4">
        <v>42419</v>
      </c>
      <c r="P83" s="540" t="s">
        <v>76</v>
      </c>
      <c r="X83" s="687"/>
      <c r="Y83" s="687" t="s">
        <v>71</v>
      </c>
      <c r="Z83" s="687"/>
      <c r="AA83" s="687"/>
      <c r="AB83" s="687"/>
      <c r="AC83" s="687"/>
      <c r="AD83" s="687"/>
      <c r="AI83" s="540" t="s">
        <v>130</v>
      </c>
      <c r="AJ83" s="673" t="s">
        <v>133</v>
      </c>
      <c r="AK83" s="540" t="s">
        <v>131</v>
      </c>
      <c r="AL83" s="673" t="s">
        <v>133</v>
      </c>
      <c r="AM83" s="540" t="s">
        <v>135</v>
      </c>
    </row>
    <row r="84" spans="3:39" ht="18.75">
      <c r="C84" s="540" t="s">
        <v>128</v>
      </c>
      <c r="D84" s="304"/>
      <c r="E84" s="305" t="s">
        <v>0</v>
      </c>
      <c r="F84" s="306" t="s">
        <v>1</v>
      </c>
      <c r="G84" s="306" t="s">
        <v>58</v>
      </c>
      <c r="H84" s="306" t="s">
        <v>59</v>
      </c>
      <c r="I84" s="307" t="s">
        <v>60</v>
      </c>
      <c r="O84" s="681" t="s">
        <v>132</v>
      </c>
      <c r="P84" s="304"/>
      <c r="Q84" s="305" t="s">
        <v>0</v>
      </c>
      <c r="R84" s="306" t="s">
        <v>1</v>
      </c>
      <c r="S84" s="306" t="s">
        <v>58</v>
      </c>
      <c r="T84" s="306" t="s">
        <v>59</v>
      </c>
      <c r="U84" s="307" t="s">
        <v>60</v>
      </c>
      <c r="X84" s="687" t="s">
        <v>132</v>
      </c>
      <c r="Y84" s="304"/>
      <c r="Z84" s="305" t="s">
        <v>0</v>
      </c>
      <c r="AA84" s="306" t="s">
        <v>1</v>
      </c>
      <c r="AB84" s="306" t="s">
        <v>58</v>
      </c>
      <c r="AC84" s="306" t="s">
        <v>59</v>
      </c>
      <c r="AD84" s="307" t="s">
        <v>60</v>
      </c>
      <c r="AI84" s="574" t="s">
        <v>129</v>
      </c>
      <c r="AJ84" s="574" t="s">
        <v>129</v>
      </c>
      <c r="AK84" s="574" t="s">
        <v>129</v>
      </c>
      <c r="AL84" s="574" t="s">
        <v>129</v>
      </c>
      <c r="AM84" s="574" t="s">
        <v>129</v>
      </c>
    </row>
    <row r="85" spans="3:39">
      <c r="D85" s="331">
        <f>0.0152</f>
        <v>1.52E-2</v>
      </c>
      <c r="E85" s="567">
        <v>20</v>
      </c>
      <c r="F85" s="568">
        <v>100</v>
      </c>
      <c r="G85" s="403">
        <v>23.20407097</v>
      </c>
      <c r="H85" s="403">
        <v>23.729709459999999</v>
      </c>
      <c r="I85" s="569">
        <f t="shared" ref="I85" si="37">H85-G85</f>
        <v>0.52563848999999863</v>
      </c>
      <c r="J85" s="540">
        <f>I85/D85</f>
        <v>34.58147960526307</v>
      </c>
      <c r="O85" s="681" t="s">
        <v>31</v>
      </c>
      <c r="P85" s="331">
        <f>0.0097</f>
        <v>9.7000000000000003E-3</v>
      </c>
      <c r="Q85" s="567">
        <v>20</v>
      </c>
      <c r="R85" s="568">
        <v>100</v>
      </c>
      <c r="S85" s="403">
        <v>23.720955029999999</v>
      </c>
      <c r="T85" s="403">
        <v>24.760311080000001</v>
      </c>
      <c r="U85" s="569">
        <f t="shared" ref="U85" si="38">T85-S85</f>
        <v>1.0393560500000021</v>
      </c>
      <c r="X85" s="687" t="s">
        <v>31</v>
      </c>
      <c r="Y85" s="331">
        <f>0.0097</f>
        <v>9.7000000000000003E-3</v>
      </c>
      <c r="Z85" s="567">
        <v>20</v>
      </c>
      <c r="AA85" s="568">
        <v>100</v>
      </c>
      <c r="AB85" s="403"/>
      <c r="AC85" s="403"/>
      <c r="AD85" s="569">
        <f t="shared" ref="AD85" si="39">AC85-AB85</f>
        <v>0</v>
      </c>
      <c r="AH85" s="570">
        <v>0</v>
      </c>
      <c r="AI85" s="571">
        <v>23.215898765081089</v>
      </c>
      <c r="AJ85" s="624">
        <v>23.217575145815324</v>
      </c>
      <c r="AK85" s="599">
        <v>24.074205701005802</v>
      </c>
      <c r="AL85" s="649">
        <v>23.733248486116434</v>
      </c>
      <c r="AM85" s="691">
        <v>23.220648510494748</v>
      </c>
    </row>
    <row r="86" spans="3:39">
      <c r="D86" s="331"/>
      <c r="E86" s="311">
        <v>15</v>
      </c>
      <c r="F86" s="312">
        <v>133</v>
      </c>
      <c r="G86" s="332">
        <v>23.297668890000001</v>
      </c>
      <c r="H86" s="332">
        <v>24.2396086</v>
      </c>
      <c r="I86" s="314">
        <f>H86-G86</f>
        <v>0.94193970999999976</v>
      </c>
      <c r="J86" s="540">
        <f>I86/D85</f>
        <v>61.969717763157881</v>
      </c>
      <c r="O86" s="681"/>
      <c r="P86" s="331">
        <f>0.3*1</f>
        <v>0.3</v>
      </c>
      <c r="Q86" s="311">
        <v>15</v>
      </c>
      <c r="R86" s="312">
        <v>133</v>
      </c>
      <c r="S86" s="332">
        <v>23.739302080000002</v>
      </c>
      <c r="T86" s="332">
        <v>25.441107930000001</v>
      </c>
      <c r="U86" s="314">
        <f>T86-S86</f>
        <v>1.7018058499999995</v>
      </c>
      <c r="V86" s="682">
        <f>U86-P85*88+0.009*129</f>
        <v>2.0092058499999994</v>
      </c>
      <c r="X86" s="687"/>
      <c r="Y86" s="331">
        <f>0.3*1</f>
        <v>0.3</v>
      </c>
      <c r="Z86" s="311">
        <v>15</v>
      </c>
      <c r="AA86" s="312">
        <v>133</v>
      </c>
      <c r="AB86" s="332"/>
      <c r="AC86" s="332"/>
      <c r="AD86" s="314">
        <f>AC86-AB86</f>
        <v>0</v>
      </c>
      <c r="AH86" s="570">
        <v>5</v>
      </c>
      <c r="AI86" s="575">
        <v>23.728033079387739</v>
      </c>
      <c r="AJ86" s="625">
        <v>23.738370760582129</v>
      </c>
      <c r="AK86" s="600">
        <v>24.74485112696</v>
      </c>
      <c r="AL86" s="650">
        <v>24.0713186008524</v>
      </c>
      <c r="AM86" s="692">
        <v>23.576972548781178</v>
      </c>
    </row>
    <row r="87" spans="3:39">
      <c r="D87" s="331">
        <f>0.0147</f>
        <v>1.47E-2</v>
      </c>
      <c r="E87" s="567">
        <v>20</v>
      </c>
      <c r="F87" s="568">
        <v>100</v>
      </c>
      <c r="G87" s="403">
        <v>25.092979526101313</v>
      </c>
      <c r="H87" s="403">
        <v>25.61703477</v>
      </c>
      <c r="I87" s="569">
        <f t="shared" ref="I87" si="40">H87-G87</f>
        <v>0.52405524389868674</v>
      </c>
      <c r="J87" s="677">
        <f>I87/D87</f>
        <v>35.650016591747395</v>
      </c>
      <c r="O87" s="681" t="s">
        <v>37</v>
      </c>
      <c r="P87" s="331">
        <f>0.0055</f>
        <v>5.4999999999999997E-3</v>
      </c>
      <c r="Q87" s="567">
        <v>20</v>
      </c>
      <c r="R87" s="568">
        <v>100</v>
      </c>
      <c r="S87" s="403">
        <v>24.75472315</v>
      </c>
      <c r="T87" s="403">
        <v>25.396404440000001</v>
      </c>
      <c r="U87" s="569">
        <f t="shared" ref="U87" si="41">T87-S87</f>
        <v>0.64168129000000107</v>
      </c>
      <c r="X87" s="687" t="s">
        <v>37</v>
      </c>
      <c r="Y87" s="331">
        <f>0.0088</f>
        <v>8.8000000000000005E-3</v>
      </c>
      <c r="Z87" s="567">
        <v>20</v>
      </c>
      <c r="AA87" s="568">
        <v>100</v>
      </c>
      <c r="AB87" s="403">
        <v>24.089572520000001</v>
      </c>
      <c r="AC87" s="403">
        <v>25.455077760000002</v>
      </c>
      <c r="AD87" s="569">
        <f t="shared" ref="AD87" si="42">AC87-AB87</f>
        <v>1.365505240000001</v>
      </c>
      <c r="AE87" s="688"/>
      <c r="AH87" s="572">
        <v>10</v>
      </c>
      <c r="AI87" s="576">
        <v>23.776834385206364</v>
      </c>
      <c r="AJ87" s="626">
        <v>23.739954009053339</v>
      </c>
      <c r="AK87" s="601">
        <v>25.08357316753705</v>
      </c>
      <c r="AL87" s="651">
        <v>24.091621434189165</v>
      </c>
      <c r="AM87" s="694">
        <v>23.596902853065906</v>
      </c>
    </row>
    <row r="88" spans="3:39">
      <c r="C88" s="677" t="s">
        <v>132</v>
      </c>
      <c r="D88" s="331"/>
      <c r="E88" s="311">
        <v>15</v>
      </c>
      <c r="F88" s="312">
        <v>133</v>
      </c>
      <c r="G88" s="332">
        <v>23.55946368</v>
      </c>
      <c r="H88" s="332">
        <v>24.512368949999999</v>
      </c>
      <c r="I88" s="314">
        <f>H88-G88</f>
        <v>0.95290526999999869</v>
      </c>
      <c r="J88" s="677">
        <f>I88/D87</f>
        <v>64.823487755101951</v>
      </c>
      <c r="O88" s="681"/>
      <c r="P88" s="331">
        <f>0.3*0.5</f>
        <v>0.15</v>
      </c>
      <c r="Q88" s="311">
        <v>15</v>
      </c>
      <c r="R88" s="312">
        <v>133</v>
      </c>
      <c r="S88" s="332">
        <v>24.75453688</v>
      </c>
      <c r="T88" s="332">
        <v>25.431794700000001</v>
      </c>
      <c r="U88" s="314">
        <f>T88-S88</f>
        <v>0.67725782000000123</v>
      </c>
      <c r="V88" s="689">
        <f>U88-P87*88+0.009*129</f>
        <v>1.3542578200000011</v>
      </c>
      <c r="X88" s="687"/>
      <c r="Y88" s="331">
        <f>0.3*0.5</f>
        <v>0.15</v>
      </c>
      <c r="Z88" s="311">
        <v>15</v>
      </c>
      <c r="AA88" s="312">
        <v>133</v>
      </c>
      <c r="AB88" s="332">
        <v>24.230598820000001</v>
      </c>
      <c r="AC88" s="332">
        <v>25.961903540000002</v>
      </c>
      <c r="AD88" s="314">
        <f>AC88-AB88</f>
        <v>1.7313047200000007</v>
      </c>
      <c r="AE88" s="688">
        <f>AD88-Y87*88+0.009*129</f>
        <v>2.1179047200000003</v>
      </c>
      <c r="AH88" s="573">
        <v>15</v>
      </c>
      <c r="AI88" s="577">
        <v>23.939163919637441</v>
      </c>
      <c r="AJ88" s="627">
        <v>23.733062221590412</v>
      </c>
      <c r="AK88" s="602">
        <v>25.089067971054785</v>
      </c>
      <c r="AL88" s="652">
        <v>24.395698272925511</v>
      </c>
      <c r="AM88" s="693">
        <v>23.570918951685357</v>
      </c>
    </row>
    <row r="89" spans="3:39">
      <c r="D89" s="331">
        <f>0.0074</f>
        <v>7.4000000000000003E-3</v>
      </c>
      <c r="E89" s="567">
        <v>20</v>
      </c>
      <c r="F89" s="568">
        <v>100</v>
      </c>
      <c r="G89" s="403">
        <v>23.217109480000001</v>
      </c>
      <c r="H89" s="403">
        <v>23.6654482</v>
      </c>
      <c r="I89" s="569">
        <f t="shared" ref="I89" si="43">H89-G89</f>
        <v>0.44833871999999886</v>
      </c>
      <c r="J89" s="675">
        <f>I89/D89</f>
        <v>60.586313513513353</v>
      </c>
      <c r="O89" s="681" t="s">
        <v>75</v>
      </c>
      <c r="P89" s="331">
        <f>0.0078</f>
        <v>7.7999999999999996E-3</v>
      </c>
      <c r="Q89" s="567">
        <v>20</v>
      </c>
      <c r="R89" s="568">
        <v>100</v>
      </c>
      <c r="S89" s="403">
        <v>23.742375450000001</v>
      </c>
      <c r="T89" s="403">
        <v>25.448279110000001</v>
      </c>
      <c r="U89" s="569">
        <f t="shared" ref="U89" si="44">T89-S89</f>
        <v>1.7059036600000006</v>
      </c>
      <c r="X89" s="687" t="s">
        <v>75</v>
      </c>
      <c r="Y89" s="331">
        <f>0.011</f>
        <v>1.0999999999999999E-2</v>
      </c>
      <c r="Z89" s="567">
        <v>20</v>
      </c>
      <c r="AA89" s="568">
        <v>100</v>
      </c>
      <c r="AB89" s="403"/>
      <c r="AC89" s="403"/>
      <c r="AD89" s="569">
        <f t="shared" ref="AD89" si="45">AC89-AB89</f>
        <v>0</v>
      </c>
      <c r="AH89" s="570">
        <v>20</v>
      </c>
      <c r="AI89" s="578">
        <v>24.058559480819671</v>
      </c>
      <c r="AJ89" s="628">
        <v>23.745076283519037</v>
      </c>
      <c r="AK89" s="603">
        <v>25.092420732523252</v>
      </c>
      <c r="AL89" s="653">
        <v>24.419167603204695</v>
      </c>
      <c r="AM89" s="695">
        <v>23.745635077097123</v>
      </c>
    </row>
    <row r="90" spans="3:39">
      <c r="D90" s="331"/>
      <c r="E90" s="311">
        <v>15</v>
      </c>
      <c r="F90" s="312">
        <v>133</v>
      </c>
      <c r="G90" s="332">
        <v>23.061951130000001</v>
      </c>
      <c r="H90" s="332">
        <v>23.740792200000001</v>
      </c>
      <c r="I90" s="314">
        <f>H90-G90</f>
        <v>0.67884107000000071</v>
      </c>
      <c r="J90" s="675">
        <f>I90/D89</f>
        <v>91.735279729729825</v>
      </c>
      <c r="O90" s="681"/>
      <c r="P90" s="331">
        <f>0.3*0.8</f>
        <v>0.24</v>
      </c>
      <c r="Q90" s="311">
        <v>15</v>
      </c>
      <c r="R90" s="312">
        <v>133</v>
      </c>
      <c r="S90" s="332">
        <v>24.088361800000001</v>
      </c>
      <c r="T90" s="332">
        <v>26.42727932</v>
      </c>
      <c r="U90" s="314">
        <f>T90-S90</f>
        <v>2.338917519999999</v>
      </c>
      <c r="V90" s="685">
        <f>U90-P89*88+0.009*129</f>
        <v>2.8135175199999987</v>
      </c>
      <c r="X90" s="687"/>
      <c r="Y90" s="331">
        <f>0.3*1.3</f>
        <v>0.39</v>
      </c>
      <c r="Z90" s="311">
        <v>15</v>
      </c>
      <c r="AA90" s="312">
        <v>133</v>
      </c>
      <c r="AB90" s="332"/>
      <c r="AC90" s="332"/>
      <c r="AD90" s="314">
        <f>AC90-AB90</f>
        <v>0</v>
      </c>
      <c r="AH90" s="570">
        <v>25</v>
      </c>
      <c r="AI90" s="579">
        <v>24.064706210178517</v>
      </c>
      <c r="AJ90" s="629">
        <v>23.730920179541116</v>
      </c>
      <c r="AK90" s="604">
        <v>25.09037182273698</v>
      </c>
      <c r="AL90" s="654">
        <v>24.41683929662938</v>
      </c>
      <c r="AM90" s="696">
        <v>23.748708441776547</v>
      </c>
    </row>
    <row r="91" spans="3:39">
      <c r="D91" s="331">
        <f>0.0072</f>
        <v>7.1999999999999998E-3</v>
      </c>
      <c r="E91" s="567">
        <v>20</v>
      </c>
      <c r="F91" s="568">
        <v>100</v>
      </c>
      <c r="G91" s="403">
        <v>23.5698945</v>
      </c>
      <c r="H91" s="403">
        <v>24.078582919999999</v>
      </c>
      <c r="I91" s="569">
        <f t="shared" ref="I91" si="46">H91-G91</f>
        <v>0.50868841999999859</v>
      </c>
      <c r="J91" s="675">
        <f>I91/D91</f>
        <v>70.65116944444425</v>
      </c>
      <c r="AH91" s="572">
        <v>30</v>
      </c>
      <c r="AI91" s="580">
        <v>24.058932009871711</v>
      </c>
      <c r="AJ91" s="630">
        <v>23.743120505995787</v>
      </c>
      <c r="AK91" s="605">
        <v>25.091861938945165</v>
      </c>
      <c r="AL91" s="655">
        <v>24.406687879961009</v>
      </c>
      <c r="AM91" s="697">
        <v>23.746845796516293</v>
      </c>
    </row>
    <row r="92" spans="3:39">
      <c r="D92" s="331"/>
      <c r="E92" s="311">
        <v>15</v>
      </c>
      <c r="F92" s="312">
        <v>133</v>
      </c>
      <c r="G92" s="332">
        <v>23.553223821712951</v>
      </c>
      <c r="H92" s="332">
        <v>24.176254610000001</v>
      </c>
      <c r="I92" s="314">
        <f>H92-G92</f>
        <v>0.62303078828704983</v>
      </c>
      <c r="J92" s="675">
        <f>I92/D91</f>
        <v>86.532053928756923</v>
      </c>
      <c r="AH92" s="573">
        <v>35</v>
      </c>
      <c r="AI92" s="581">
        <v>24.054741058036139</v>
      </c>
      <c r="AJ92" s="631">
        <v>23.740047141316364</v>
      </c>
      <c r="AK92" s="606">
        <v>25.352073481802563</v>
      </c>
      <c r="AL92" s="656">
        <v>24.262426004554406</v>
      </c>
      <c r="AM92" s="698">
        <v>23.734738602324647</v>
      </c>
    </row>
    <row r="93" spans="3:39">
      <c r="I93" s="316"/>
      <c r="AH93" s="570">
        <v>40</v>
      </c>
      <c r="AI93" s="582">
        <v>24.058466348556646</v>
      </c>
      <c r="AJ93" s="632">
        <v>23.737905099267067</v>
      </c>
      <c r="AK93" s="607">
        <v>25.318545867118004</v>
      </c>
      <c r="AL93" s="657">
        <v>24.398492240815891</v>
      </c>
      <c r="AM93" s="699">
        <v>23.734366073272579</v>
      </c>
    </row>
    <row r="94" spans="3:39" ht="18.75">
      <c r="C94" s="540" t="s">
        <v>128</v>
      </c>
      <c r="D94" s="304"/>
      <c r="E94" s="305" t="s">
        <v>0</v>
      </c>
      <c r="F94" s="306" t="s">
        <v>1</v>
      </c>
      <c r="G94" s="306" t="s">
        <v>58</v>
      </c>
      <c r="H94" s="306" t="s">
        <v>59</v>
      </c>
      <c r="I94" s="307" t="s">
        <v>60</v>
      </c>
      <c r="O94" s="685" t="s">
        <v>128</v>
      </c>
      <c r="P94" s="304"/>
      <c r="Q94" s="305" t="s">
        <v>0</v>
      </c>
      <c r="R94" s="306" t="s">
        <v>1</v>
      </c>
      <c r="S94" s="306" t="s">
        <v>58</v>
      </c>
      <c r="T94" s="306" t="s">
        <v>59</v>
      </c>
      <c r="U94" s="307" t="s">
        <v>60</v>
      </c>
      <c r="X94" s="689" t="s">
        <v>128</v>
      </c>
      <c r="Y94" s="304"/>
      <c r="Z94" s="305" t="s">
        <v>0</v>
      </c>
      <c r="AA94" s="306" t="s">
        <v>1</v>
      </c>
      <c r="AB94" s="306" t="s">
        <v>58</v>
      </c>
      <c r="AC94" s="306" t="s">
        <v>59</v>
      </c>
      <c r="AD94" s="307" t="s">
        <v>60</v>
      </c>
      <c r="AH94" s="570">
        <v>45</v>
      </c>
      <c r="AI94" s="583">
        <v>24.061725977762091</v>
      </c>
      <c r="AJ94" s="633">
        <v>23.73818449605611</v>
      </c>
      <c r="AK94" s="608">
        <v>25.438872750930358</v>
      </c>
      <c r="AL94" s="658">
        <v>24.404918366963781</v>
      </c>
      <c r="AM94" s="700">
        <v>23.737998231530089</v>
      </c>
    </row>
    <row r="95" spans="3:39">
      <c r="C95" s="540" t="s">
        <v>75</v>
      </c>
      <c r="D95" s="331">
        <f>0.0194</f>
        <v>1.9400000000000001E-2</v>
      </c>
      <c r="E95" s="567">
        <v>20</v>
      </c>
      <c r="F95" s="568">
        <v>100</v>
      </c>
      <c r="G95" s="403">
        <v>24.416280499999999</v>
      </c>
      <c r="H95" s="403">
        <v>28.846023460000001</v>
      </c>
      <c r="I95" s="569">
        <f t="shared" ref="I95" si="47">H95-G95</f>
        <v>4.4297429600000022</v>
      </c>
      <c r="O95" s="685" t="s">
        <v>31</v>
      </c>
      <c r="P95" s="331">
        <f>0.0197</f>
        <v>1.9699999999999999E-2</v>
      </c>
      <c r="Q95" s="567">
        <v>20</v>
      </c>
      <c r="R95" s="568">
        <v>100</v>
      </c>
      <c r="S95" s="403">
        <v>24.41525605</v>
      </c>
      <c r="T95" s="403">
        <v>25.94644358</v>
      </c>
      <c r="U95" s="569">
        <f t="shared" ref="U95" si="48">T95-S95</f>
        <v>1.5311875300000004</v>
      </c>
      <c r="X95" s="689" t="s">
        <v>31</v>
      </c>
      <c r="Y95" s="331">
        <f>0.0097</f>
        <v>9.7000000000000003E-3</v>
      </c>
      <c r="Z95" s="567">
        <v>20</v>
      </c>
      <c r="AA95" s="568">
        <v>100</v>
      </c>
      <c r="AB95" s="403"/>
      <c r="AC95" s="403"/>
      <c r="AD95" s="569">
        <f t="shared" ref="AD95" si="49">AC95-AB95</f>
        <v>0</v>
      </c>
      <c r="AH95" s="572">
        <v>50</v>
      </c>
      <c r="AI95" s="584">
        <v>24.060422126079924</v>
      </c>
      <c r="AJ95" s="634">
        <v>23.739115818686237</v>
      </c>
      <c r="AK95" s="609">
        <v>25.10033697487933</v>
      </c>
      <c r="AL95" s="659">
        <v>24.409388715588367</v>
      </c>
      <c r="AM95" s="701">
        <v>23.733900411957517</v>
      </c>
    </row>
    <row r="96" spans="3:39">
      <c r="D96" s="331">
        <f>0.3*0.8</f>
        <v>0.24</v>
      </c>
      <c r="E96" s="311">
        <v>15</v>
      </c>
      <c r="F96" s="312">
        <v>133</v>
      </c>
      <c r="G96" s="332">
        <v>25.43365734</v>
      </c>
      <c r="H96" s="332">
        <v>30.718261340000002</v>
      </c>
      <c r="I96" s="314">
        <f>H96-G96</f>
        <v>5.2846040000000016</v>
      </c>
      <c r="J96" s="689">
        <f>I96-D95*90+0.0153*129</f>
        <v>5.5123040000000021</v>
      </c>
      <c r="O96" s="685"/>
      <c r="P96" s="331">
        <f>0.3*1</f>
        <v>0.3</v>
      </c>
      <c r="Q96" s="311">
        <v>15</v>
      </c>
      <c r="R96" s="312">
        <v>133</v>
      </c>
      <c r="S96" s="332">
        <v>24.088454939999998</v>
      </c>
      <c r="T96" s="332">
        <v>25.963021130000001</v>
      </c>
      <c r="U96" s="314">
        <f>T96-S96</f>
        <v>1.874566190000003</v>
      </c>
      <c r="V96" s="689">
        <f>U96-P95*88+0.0153*129</f>
        <v>2.114666190000003</v>
      </c>
      <c r="X96" s="689"/>
      <c r="Y96" s="331">
        <f>0.3*1</f>
        <v>0.3</v>
      </c>
      <c r="Z96" s="311">
        <v>15</v>
      </c>
      <c r="AA96" s="312">
        <v>133</v>
      </c>
      <c r="AB96" s="332"/>
      <c r="AC96" s="332"/>
      <c r="AD96" s="314">
        <f>AC96-AB96</f>
        <v>0</v>
      </c>
      <c r="AH96" s="573">
        <v>55</v>
      </c>
      <c r="AI96" s="585">
        <v>24.059025142134733</v>
      </c>
      <c r="AJ96" s="635">
        <v>23.74377243183687</v>
      </c>
      <c r="AK96" s="610">
        <v>25.442504909187843</v>
      </c>
      <c r="AL96" s="660">
        <v>24.40929558332537</v>
      </c>
      <c r="AM96" s="702">
        <v>23.740326538105407</v>
      </c>
    </row>
    <row r="97" spans="2:39">
      <c r="C97" s="540" t="s">
        <v>37</v>
      </c>
      <c r="D97" s="331">
        <f>0.019</f>
        <v>1.9E-2</v>
      </c>
      <c r="E97" s="567">
        <v>20</v>
      </c>
      <c r="F97" s="568">
        <v>100</v>
      </c>
      <c r="G97" s="403">
        <v>24.082028810000001</v>
      </c>
      <c r="H97" s="403">
        <v>26.640558339999998</v>
      </c>
      <c r="I97" s="569">
        <f t="shared" ref="I97" si="50">H97-G97</f>
        <v>2.5585295299999977</v>
      </c>
      <c r="O97" s="685" t="s">
        <v>37</v>
      </c>
      <c r="P97" s="331">
        <f>0.0055</f>
        <v>5.4999999999999997E-3</v>
      </c>
      <c r="Q97" s="567">
        <v>20</v>
      </c>
      <c r="R97" s="568">
        <v>100</v>
      </c>
      <c r="S97" s="403"/>
      <c r="T97" s="403"/>
      <c r="U97" s="569">
        <f t="shared" ref="U97" si="51">T97-S97</f>
        <v>0</v>
      </c>
      <c r="X97" s="689" t="s">
        <v>37</v>
      </c>
      <c r="Y97" s="331">
        <f>0.01</f>
        <v>0.01</v>
      </c>
      <c r="Z97" s="567">
        <v>20</v>
      </c>
      <c r="AA97" s="568">
        <v>100</v>
      </c>
      <c r="AB97" s="403">
        <v>25.594589890000002</v>
      </c>
      <c r="AC97" s="403">
        <v>26.26262762</v>
      </c>
      <c r="AD97" s="569">
        <f t="shared" ref="AD97" si="52">AC97-AB97</f>
        <v>0.66803772999999822</v>
      </c>
      <c r="AH97" s="570">
        <v>60</v>
      </c>
      <c r="AI97" s="586">
        <v>24.072808717060614</v>
      </c>
      <c r="AJ97" s="636">
        <v>23.745169415782058</v>
      </c>
      <c r="AK97" s="611">
        <v>25.432074095730428</v>
      </c>
      <c r="AL97" s="661">
        <v>24.406222218645947</v>
      </c>
      <c r="AM97" s="703">
        <v>23.740699067157447</v>
      </c>
    </row>
    <row r="98" spans="2:39">
      <c r="D98" s="331">
        <f>0.3*0.5</f>
        <v>0.15</v>
      </c>
      <c r="E98" s="311">
        <v>15</v>
      </c>
      <c r="F98" s="312">
        <v>133</v>
      </c>
      <c r="G98" s="332">
        <v>24.078862310000002</v>
      </c>
      <c r="H98" s="332">
        <v>27.308968589999999</v>
      </c>
      <c r="I98" s="314">
        <f>H98-G98</f>
        <v>3.2301062799999976</v>
      </c>
      <c r="J98" s="689">
        <f>I98-D97*90+0.02*129</f>
        <v>4.1001062799999977</v>
      </c>
      <c r="O98" s="685"/>
      <c r="P98" s="331">
        <f>0.3*0.5</f>
        <v>0.15</v>
      </c>
      <c r="Q98" s="311">
        <v>15</v>
      </c>
      <c r="R98" s="312">
        <v>133</v>
      </c>
      <c r="S98" s="332"/>
      <c r="T98" s="332"/>
      <c r="U98" s="314">
        <f>T98-S98</f>
        <v>0</v>
      </c>
      <c r="X98" s="689"/>
      <c r="Y98" s="331">
        <f>0.3*0.5</f>
        <v>0.15</v>
      </c>
      <c r="Z98" s="311">
        <v>15</v>
      </c>
      <c r="AA98" s="312">
        <v>133</v>
      </c>
      <c r="AB98" s="332">
        <v>25.6171279</v>
      </c>
      <c r="AC98" s="332">
        <v>26.631338249999999</v>
      </c>
      <c r="AD98" s="314">
        <f>AC98-AB98</f>
        <v>1.014210349999999</v>
      </c>
      <c r="AE98" s="689">
        <f>AD98-Y97*88+0.009*129</f>
        <v>1.2952103499999987</v>
      </c>
      <c r="AH98" s="570">
        <v>65</v>
      </c>
      <c r="AI98" s="587">
        <v>24.087989275931683</v>
      </c>
      <c r="AJ98" s="637">
        <v>23.744890018993015</v>
      </c>
      <c r="AK98" s="612">
        <v>25.437382634722145</v>
      </c>
      <c r="AL98" s="662">
        <v>24.405663425067861</v>
      </c>
      <c r="AM98" s="704">
        <v>23.748894706302565</v>
      </c>
    </row>
    <row r="99" spans="2:39">
      <c r="I99" s="316"/>
      <c r="O99" s="685" t="s">
        <v>75</v>
      </c>
      <c r="P99" s="331">
        <f>0.0169</f>
        <v>1.6899999999999998E-2</v>
      </c>
      <c r="Q99" s="567">
        <v>20</v>
      </c>
      <c r="R99" s="568">
        <v>100</v>
      </c>
      <c r="S99" s="403">
        <v>25.44371563</v>
      </c>
      <c r="T99" s="403">
        <v>26.642234720000001</v>
      </c>
      <c r="U99" s="569">
        <f t="shared" ref="U99" si="53">T99-S99</f>
        <v>1.1985190900000013</v>
      </c>
      <c r="X99" s="689" t="s">
        <v>75</v>
      </c>
      <c r="Y99" s="331">
        <f>0.011</f>
        <v>1.0999999999999999E-2</v>
      </c>
      <c r="Z99" s="567">
        <v>20</v>
      </c>
      <c r="AA99" s="568">
        <v>100</v>
      </c>
      <c r="AB99" s="403"/>
      <c r="AC99" s="403"/>
      <c r="AD99" s="569">
        <f t="shared" ref="AD99" si="54">AC99-AB99</f>
        <v>0</v>
      </c>
      <c r="AH99" s="572">
        <v>70</v>
      </c>
      <c r="AI99" s="588">
        <v>24.185964416620997</v>
      </c>
      <c r="AJ99" s="638">
        <v>23.742934241469765</v>
      </c>
      <c r="AK99" s="613">
        <v>25.43188783120441</v>
      </c>
      <c r="AL99" s="663">
        <v>24.410599435007537</v>
      </c>
      <c r="AM99" s="705">
        <v>23.74693892877929</v>
      </c>
    </row>
    <row r="100" spans="2:39" ht="18.75">
      <c r="C100" s="540" t="s">
        <v>132</v>
      </c>
      <c r="D100" s="304"/>
      <c r="E100" s="305" t="s">
        <v>0</v>
      </c>
      <c r="F100" s="306" t="s">
        <v>1</v>
      </c>
      <c r="G100" s="306" t="s">
        <v>58</v>
      </c>
      <c r="H100" s="306" t="s">
        <v>59</v>
      </c>
      <c r="I100" s="307" t="s">
        <v>60</v>
      </c>
      <c r="O100" s="685"/>
      <c r="P100" s="331">
        <f>0.3*0.8</f>
        <v>0.24</v>
      </c>
      <c r="Q100" s="311">
        <v>15</v>
      </c>
      <c r="R100" s="312">
        <v>133</v>
      </c>
      <c r="S100" s="332">
        <v>25.613216349999998</v>
      </c>
      <c r="T100" s="332">
        <v>27.265010159999999</v>
      </c>
      <c r="U100" s="314">
        <f>T100-S100</f>
        <v>1.6517938100000009</v>
      </c>
      <c r="V100" s="686">
        <f>U100-P99*88+0.0153*129</f>
        <v>2.1382938100000013</v>
      </c>
      <c r="X100" s="689"/>
      <c r="Y100" s="331">
        <f>0.3*1.3</f>
        <v>0.39</v>
      </c>
      <c r="Z100" s="311">
        <v>15</v>
      </c>
      <c r="AA100" s="312">
        <v>133</v>
      </c>
      <c r="AB100" s="332"/>
      <c r="AC100" s="332"/>
      <c r="AD100" s="314">
        <f>AC100-AB100</f>
        <v>0</v>
      </c>
      <c r="AH100" s="573">
        <v>75</v>
      </c>
      <c r="AI100" s="589">
        <v>24.282076912050062</v>
      </c>
      <c r="AJ100" s="639">
        <v>23.745076283519037</v>
      </c>
      <c r="AK100" s="614">
        <v>25.13749674782137</v>
      </c>
      <c r="AL100" s="664">
        <v>24.417304957944442</v>
      </c>
      <c r="AM100" s="706">
        <v>23.74498315125604</v>
      </c>
    </row>
    <row r="101" spans="2:39">
      <c r="C101" s="540" t="s">
        <v>75</v>
      </c>
      <c r="D101" s="331">
        <f>0.0117</f>
        <v>1.17E-2</v>
      </c>
      <c r="E101" s="567">
        <v>20</v>
      </c>
      <c r="F101" s="568">
        <v>100</v>
      </c>
      <c r="G101" s="403">
        <v>23.73427294</v>
      </c>
      <c r="H101" s="403">
        <v>31.255727629999999</v>
      </c>
      <c r="I101" s="569">
        <f t="shared" ref="I101" si="55">H101-G101</f>
        <v>7.5214546899999988</v>
      </c>
      <c r="AH101" s="570">
        <v>80</v>
      </c>
      <c r="AI101" s="590">
        <v>24.400261753813147</v>
      </c>
      <c r="AJ101" s="640">
        <v>23.742841109206744</v>
      </c>
      <c r="AK101" s="615">
        <v>25.305321085770185</v>
      </c>
      <c r="AL101" s="665">
        <v>24.417118693418423</v>
      </c>
      <c r="AM101" s="707">
        <v>23.74936036761763</v>
      </c>
    </row>
    <row r="102" spans="2:39">
      <c r="D102" s="331">
        <f>0.3*0.8</f>
        <v>0.24</v>
      </c>
      <c r="E102" s="311">
        <v>15</v>
      </c>
      <c r="F102" s="312">
        <v>133</v>
      </c>
      <c r="G102" s="332">
        <v>23.56980136</v>
      </c>
      <c r="H102" s="332">
        <v>33.093506580000003</v>
      </c>
      <c r="I102" s="314">
        <f>H102-G102</f>
        <v>9.5237052200000036</v>
      </c>
      <c r="J102" s="689">
        <f>I102-D101*90+0.009*129</f>
        <v>9.6317052200000024</v>
      </c>
      <c r="AH102" s="570">
        <v>85</v>
      </c>
      <c r="AI102" s="591">
        <v>24.398864769867956</v>
      </c>
      <c r="AJ102" s="641">
        <v>23.747590854620398</v>
      </c>
      <c r="AK102" s="616">
        <v>25.437103237933101</v>
      </c>
      <c r="AL102" s="666">
        <v>24.406315350908969</v>
      </c>
      <c r="AM102" s="708">
        <v>23.742747976943718</v>
      </c>
    </row>
    <row r="103" spans="2:39">
      <c r="C103" s="540" t="s">
        <v>37</v>
      </c>
      <c r="D103" s="331">
        <f>0.0101</f>
        <v>1.01E-2</v>
      </c>
      <c r="E103" s="567">
        <v>20</v>
      </c>
      <c r="F103" s="568">
        <v>100</v>
      </c>
      <c r="G103" s="403">
        <v>23.74293424</v>
      </c>
      <c r="H103" s="403">
        <v>27.484988569999999</v>
      </c>
      <c r="I103" s="569">
        <f t="shared" ref="I103" si="56">H103-G103</f>
        <v>3.7420543299999984</v>
      </c>
      <c r="AH103" s="572">
        <v>90</v>
      </c>
      <c r="AI103" s="592">
        <v>24.07690653663316</v>
      </c>
      <c r="AJ103" s="642">
        <v>23.747497722357377</v>
      </c>
      <c r="AK103" s="617">
        <v>25.398080819730808</v>
      </c>
      <c r="AL103" s="667">
        <v>24.413020873845877</v>
      </c>
      <c r="AM103" s="709">
        <v>23.747590854620398</v>
      </c>
    </row>
    <row r="104" spans="2:39">
      <c r="D104" s="331">
        <f>0.3*0.5</f>
        <v>0.15</v>
      </c>
      <c r="E104" s="311">
        <v>15</v>
      </c>
      <c r="F104" s="312">
        <v>133</v>
      </c>
      <c r="G104" s="332">
        <v>23.73548366</v>
      </c>
      <c r="H104" s="332">
        <v>28.849096830000001</v>
      </c>
      <c r="I104" s="314">
        <f>H104-G104</f>
        <v>5.1136131700000007</v>
      </c>
      <c r="J104" s="689">
        <f>I104-D103*90+0.009*129</f>
        <v>5.3656131700000005</v>
      </c>
      <c r="AH104" s="573">
        <v>95</v>
      </c>
      <c r="AI104" s="593">
        <v>24.349039009156183</v>
      </c>
      <c r="AJ104" s="643">
        <v>23.74693892877929</v>
      </c>
      <c r="AK104" s="618">
        <v>25.315845031490621</v>
      </c>
      <c r="AL104" s="668">
        <v>24.412741477056834</v>
      </c>
      <c r="AM104" s="710">
        <v>23.750664219299797</v>
      </c>
    </row>
    <row r="105" spans="2:39">
      <c r="AH105" s="570">
        <v>100</v>
      </c>
      <c r="AI105" s="594">
        <v>24.403521383018589</v>
      </c>
      <c r="AJ105" s="644">
        <v>23.750850483825843</v>
      </c>
      <c r="AK105" s="619">
        <v>25.104993588029963</v>
      </c>
      <c r="AL105" s="669">
        <v>24.408736789747284</v>
      </c>
      <c r="AM105" s="711">
        <v>23.74414496088891</v>
      </c>
    </row>
    <row r="106" spans="2:39">
      <c r="C106" s="674" t="s">
        <v>100</v>
      </c>
      <c r="D106" s="331">
        <f>0.0129</f>
        <v>1.29E-2</v>
      </c>
      <c r="E106" s="567">
        <v>20</v>
      </c>
      <c r="F106" s="568">
        <v>100</v>
      </c>
      <c r="G106" s="403">
        <v>23.564027159999998</v>
      </c>
      <c r="H106" s="403">
        <v>53.203183600000003</v>
      </c>
      <c r="I106" s="569">
        <f t="shared" ref="I106" si="57">H106-G106</f>
        <v>29.639156440000004</v>
      </c>
      <c r="AH106" s="570">
        <v>105</v>
      </c>
      <c r="AI106" s="595">
        <v>24.407153541276074</v>
      </c>
      <c r="AJ106" s="645">
        <v>23.751409277403901</v>
      </c>
      <c r="AK106" s="620">
        <v>25.090651219525995</v>
      </c>
      <c r="AL106" s="670">
        <v>24.410226905955497</v>
      </c>
      <c r="AM106" s="712">
        <v>23.745076283519037</v>
      </c>
    </row>
    <row r="107" spans="2:39">
      <c r="C107" s="674"/>
      <c r="D107" s="331">
        <f>0.3*1.3</f>
        <v>0.39</v>
      </c>
      <c r="E107" s="311">
        <v>15</v>
      </c>
      <c r="F107" s="312">
        <v>133</v>
      </c>
      <c r="G107" s="332">
        <v>25.083945700000001</v>
      </c>
      <c r="H107" s="332">
        <v>61.281289829999999</v>
      </c>
      <c r="I107" s="314">
        <f>H107-G107</f>
        <v>36.197344129999998</v>
      </c>
      <c r="AH107" s="572">
        <v>110</v>
      </c>
      <c r="AI107" s="596">
        <v>24.407339805802092</v>
      </c>
      <c r="AJ107" s="646">
        <v>23.746752664253268</v>
      </c>
      <c r="AK107" s="621">
        <v>25.086087738638387</v>
      </c>
      <c r="AL107" s="671">
        <v>24.407246673539095</v>
      </c>
      <c r="AM107" s="713">
        <v>23.735949321743817</v>
      </c>
    </row>
    <row r="108" spans="2:39">
      <c r="AH108" s="573">
        <v>115</v>
      </c>
      <c r="AI108" s="597">
        <v>24.298468190340301</v>
      </c>
      <c r="AJ108" s="647">
        <v>23.752806261349093</v>
      </c>
      <c r="AK108" s="622">
        <v>25.08673966447947</v>
      </c>
      <c r="AL108" s="672">
        <v>24.412927741582852</v>
      </c>
      <c r="AM108" s="714">
        <v>23.742375447891678</v>
      </c>
    </row>
    <row r="109" spans="2:39">
      <c r="AH109" s="570">
        <v>120</v>
      </c>
      <c r="AI109" s="598">
        <v>24.175626735426583</v>
      </c>
      <c r="AJ109" s="648">
        <v>24.057162496874479</v>
      </c>
      <c r="AK109" s="623">
        <v>25.34536795886563</v>
      </c>
      <c r="AL109" s="673">
        <v>24.41125136084862</v>
      </c>
      <c r="AM109" s="715">
        <v>23.748335912724478</v>
      </c>
    </row>
    <row r="110" spans="2:39" ht="18.75">
      <c r="B110" s="4">
        <v>42430</v>
      </c>
      <c r="C110" s="689" t="s">
        <v>134</v>
      </c>
      <c r="D110" s="304"/>
      <c r="E110" s="305" t="s">
        <v>0</v>
      </c>
      <c r="F110" s="306" t="s">
        <v>1</v>
      </c>
      <c r="G110" s="306" t="s">
        <v>58</v>
      </c>
      <c r="H110" s="306" t="s">
        <v>59</v>
      </c>
      <c r="I110" s="307" t="s">
        <v>60</v>
      </c>
      <c r="AI110" s="460">
        <f>AI106-AI85</f>
        <v>1.1912547761949845</v>
      </c>
      <c r="AJ110" s="460">
        <f>AJ109-AJ85</f>
        <v>0.83958735105915494</v>
      </c>
      <c r="AK110" s="460">
        <f>AK109-AK85</f>
        <v>1.2711622578598281</v>
      </c>
      <c r="AL110" s="460">
        <f>AL109-AL85</f>
        <v>0.67800287473218646</v>
      </c>
      <c r="AM110" s="460">
        <f>AM109-AM85</f>
        <v>0.52768740222973065</v>
      </c>
    </row>
    <row r="111" spans="2:39">
      <c r="C111" s="689"/>
      <c r="D111" s="331">
        <f>0.0015</f>
        <v>1.5E-3</v>
      </c>
      <c r="E111" s="567">
        <v>20</v>
      </c>
      <c r="F111" s="568">
        <v>100</v>
      </c>
      <c r="G111" s="331">
        <v>23.579580249999999</v>
      </c>
      <c r="H111" s="331">
        <v>23.57781074</v>
      </c>
      <c r="I111" s="569">
        <f t="shared" ref="I111" si="58">H111-G111</f>
        <v>-1.7695099999990305E-3</v>
      </c>
    </row>
    <row r="112" spans="2:39">
      <c r="C112" s="689"/>
      <c r="D112" s="331"/>
      <c r="E112" s="311">
        <v>15</v>
      </c>
      <c r="F112" s="312">
        <v>133</v>
      </c>
      <c r="G112" s="332">
        <v>23.56877691</v>
      </c>
      <c r="H112" s="332">
        <v>23.579207719999999</v>
      </c>
      <c r="I112" s="314">
        <f>H112-G112</f>
        <v>1.0430809999999013E-2</v>
      </c>
    </row>
    <row r="113" spans="3:34">
      <c r="C113" s="689"/>
      <c r="D113" s="331">
        <f>0.0047</f>
        <v>4.7000000000000002E-3</v>
      </c>
      <c r="E113" s="567">
        <v>20</v>
      </c>
      <c r="F113" s="568">
        <v>100</v>
      </c>
      <c r="G113" s="403">
        <v>23.571384609999999</v>
      </c>
      <c r="H113" s="403">
        <v>23.748615310000002</v>
      </c>
      <c r="I113" s="569">
        <f t="shared" ref="I113" si="59">H113-G113</f>
        <v>0.17723070000000263</v>
      </c>
    </row>
    <row r="114" spans="3:34">
      <c r="C114" s="689"/>
      <c r="D114" s="331"/>
      <c r="E114" s="311">
        <v>15</v>
      </c>
      <c r="F114" s="312">
        <v>133</v>
      </c>
      <c r="G114" s="332">
        <v>23.574551109942867</v>
      </c>
      <c r="H114" s="332">
        <v>23.749080970000001</v>
      </c>
      <c r="I114" s="314">
        <f>H114-G114</f>
        <v>0.17452986005713456</v>
      </c>
    </row>
    <row r="115" spans="3:34">
      <c r="D115" s="331">
        <f>0.0022</f>
        <v>2.2000000000000001E-3</v>
      </c>
      <c r="E115" s="567">
        <v>20</v>
      </c>
      <c r="F115" s="568">
        <v>100</v>
      </c>
      <c r="G115" s="403">
        <v>23.223256209999999</v>
      </c>
      <c r="H115" s="403">
        <v>23.575948090000001</v>
      </c>
      <c r="I115" s="569">
        <f t="shared" ref="I115" si="60">H115-G115</f>
        <v>0.35269188000000185</v>
      </c>
    </row>
    <row r="116" spans="3:34">
      <c r="D116" s="331"/>
      <c r="E116" s="311">
        <v>15</v>
      </c>
      <c r="F116" s="312">
        <v>133</v>
      </c>
      <c r="G116" s="332">
        <v>23.227447170000001</v>
      </c>
      <c r="H116" s="332">
        <v>23.574644240000001</v>
      </c>
      <c r="I116" s="314">
        <f>H116-G116</f>
        <v>0.34719707</v>
      </c>
    </row>
    <row r="118" spans="3:34" ht="18.75">
      <c r="C118" s="690" t="s">
        <v>132</v>
      </c>
      <c r="D118" s="304"/>
      <c r="E118" s="305" t="s">
        <v>0</v>
      </c>
      <c r="F118" s="306" t="s">
        <v>1</v>
      </c>
      <c r="G118" s="306" t="s">
        <v>58</v>
      </c>
      <c r="H118" s="306" t="s">
        <v>59</v>
      </c>
      <c r="I118" s="307" t="s">
        <v>60</v>
      </c>
      <c r="K118" s="304" t="s">
        <v>136</v>
      </c>
      <c r="L118" s="305" t="s">
        <v>0</v>
      </c>
      <c r="M118" s="306" t="s">
        <v>1</v>
      </c>
      <c r="N118" s="306" t="s">
        <v>58</v>
      </c>
      <c r="O118" s="306" t="s">
        <v>59</v>
      </c>
      <c r="P118" s="307" t="s">
        <v>60</v>
      </c>
      <c r="Q118" s="304" t="s">
        <v>137</v>
      </c>
      <c r="R118" s="305" t="s">
        <v>0</v>
      </c>
      <c r="S118" s="306" t="s">
        <v>1</v>
      </c>
      <c r="T118" s="306" t="s">
        <v>58</v>
      </c>
      <c r="U118" s="306" t="s">
        <v>59</v>
      </c>
      <c r="V118" s="307" t="s">
        <v>60</v>
      </c>
      <c r="W118" s="304" t="s">
        <v>138</v>
      </c>
      <c r="X118" s="305" t="s">
        <v>0</v>
      </c>
      <c r="Y118" s="306" t="s">
        <v>1</v>
      </c>
      <c r="Z118" s="306" t="s">
        <v>58</v>
      </c>
      <c r="AA118" s="306" t="s">
        <v>59</v>
      </c>
      <c r="AB118" s="307" t="s">
        <v>60</v>
      </c>
      <c r="AC118" s="304" t="s">
        <v>139</v>
      </c>
      <c r="AD118" s="305" t="s">
        <v>0</v>
      </c>
      <c r="AE118" s="306" t="s">
        <v>1</v>
      </c>
      <c r="AF118" s="306" t="s">
        <v>58</v>
      </c>
      <c r="AG118" s="306" t="s">
        <v>59</v>
      </c>
      <c r="AH118" s="307" t="s">
        <v>60</v>
      </c>
    </row>
    <row r="119" spans="3:34">
      <c r="C119" s="690"/>
      <c r="D119" s="331">
        <f>0.008</f>
        <v>8.0000000000000002E-3</v>
      </c>
      <c r="E119" s="567">
        <v>20</v>
      </c>
      <c r="F119" s="568">
        <v>100</v>
      </c>
      <c r="G119" s="331">
        <v>25.95547741</v>
      </c>
      <c r="H119" s="331">
        <v>26.293920060000001</v>
      </c>
      <c r="I119" s="569">
        <f t="shared" ref="I119" si="61">H119-G119</f>
        <v>0.33844265000000107</v>
      </c>
      <c r="K119" s="331">
        <f>0.0096</f>
        <v>9.5999999999999992E-3</v>
      </c>
      <c r="L119" s="567">
        <v>20</v>
      </c>
      <c r="M119" s="568">
        <v>100</v>
      </c>
      <c r="N119" s="331">
        <v>25.429000729999998</v>
      </c>
      <c r="O119" s="331">
        <v>27.82045098</v>
      </c>
      <c r="P119" s="569">
        <f t="shared" ref="P119" si="62">O119-N119</f>
        <v>2.3914502500000019</v>
      </c>
      <c r="Q119" s="331">
        <f>0.0095</f>
        <v>9.4999999999999998E-3</v>
      </c>
      <c r="R119" s="567">
        <v>20</v>
      </c>
      <c r="S119" s="568">
        <v>100</v>
      </c>
      <c r="T119" s="331">
        <v>23.747963380000002</v>
      </c>
      <c r="U119" s="331">
        <v>25.100616370000001</v>
      </c>
      <c r="V119" s="569">
        <f t="shared" ref="V119" si="63">U119-T119</f>
        <v>1.3526529899999993</v>
      </c>
      <c r="W119" s="331">
        <f>0.0117</f>
        <v>1.17E-2</v>
      </c>
      <c r="X119" s="567">
        <v>20</v>
      </c>
      <c r="Y119" s="568">
        <v>100</v>
      </c>
      <c r="Z119" s="331">
        <v>23.750757350000001</v>
      </c>
      <c r="AA119" s="331">
        <v>25.117659580000002</v>
      </c>
      <c r="AB119" s="569">
        <f t="shared" ref="AB119" si="64">AA119-Z119</f>
        <v>1.3669022300000009</v>
      </c>
      <c r="AC119" s="331">
        <f>0.0107</f>
        <v>1.0699999999999999E-2</v>
      </c>
      <c r="AD119" s="567">
        <v>20</v>
      </c>
      <c r="AE119" s="568">
        <v>100</v>
      </c>
      <c r="AF119" s="331">
        <v>23.742375450000001</v>
      </c>
      <c r="AG119" s="331">
        <v>27.31437026</v>
      </c>
      <c r="AH119" s="569">
        <f t="shared" ref="AH119" si="65">AG119-AF119</f>
        <v>3.5719948099999996</v>
      </c>
    </row>
    <row r="120" spans="3:34">
      <c r="C120" s="690"/>
      <c r="D120" s="331"/>
      <c r="E120" s="311">
        <v>15</v>
      </c>
      <c r="F120" s="312">
        <v>133</v>
      </c>
      <c r="G120" s="332">
        <v>25.30373784</v>
      </c>
      <c r="H120" s="332">
        <v>25.953149109999998</v>
      </c>
      <c r="I120" s="314">
        <f>H120-G120</f>
        <v>0.6494112699999981</v>
      </c>
      <c r="J120" s="540">
        <f>I120/D119</f>
        <v>81.176408749999766</v>
      </c>
      <c r="K120" s="331"/>
      <c r="L120" s="311">
        <v>15</v>
      </c>
      <c r="M120" s="312">
        <v>133</v>
      </c>
      <c r="N120" s="332">
        <v>24.411437630000002</v>
      </c>
      <c r="O120" s="332">
        <v>27.496257570000001</v>
      </c>
      <c r="P120" s="314">
        <f>O120-N120</f>
        <v>3.0848199399999991</v>
      </c>
      <c r="Q120" s="331"/>
      <c r="R120" s="311">
        <v>15</v>
      </c>
      <c r="S120" s="312">
        <v>133</v>
      </c>
      <c r="T120" s="332">
        <v>23.73622872</v>
      </c>
      <c r="U120" s="332">
        <v>25.615078990000001</v>
      </c>
      <c r="V120" s="314">
        <f>U120-T120</f>
        <v>1.8788502700000009</v>
      </c>
      <c r="W120" s="331"/>
      <c r="X120" s="311">
        <v>15</v>
      </c>
      <c r="Y120" s="312">
        <v>133</v>
      </c>
      <c r="Z120" s="332">
        <v>23.750943620000001</v>
      </c>
      <c r="AA120" s="332">
        <v>25.632308460000001</v>
      </c>
      <c r="AB120" s="314">
        <f>AA120-Z120</f>
        <v>1.8813648399999998</v>
      </c>
      <c r="AC120" s="331"/>
      <c r="AD120" s="311">
        <v>15</v>
      </c>
      <c r="AE120" s="312">
        <v>133</v>
      </c>
      <c r="AF120" s="332">
        <v>23.750477950000001</v>
      </c>
      <c r="AG120" s="332">
        <v>27.835445279999998</v>
      </c>
      <c r="AH120" s="314">
        <f>AG120-AF120</f>
        <v>4.0849673299999978</v>
      </c>
    </row>
    <row r="121" spans="3:34">
      <c r="C121" s="690"/>
      <c r="D121" s="331">
        <f>0.0075</f>
        <v>7.4999999999999997E-3</v>
      </c>
      <c r="E121" s="567">
        <v>20</v>
      </c>
      <c r="F121" s="568">
        <v>100</v>
      </c>
      <c r="G121" s="403">
        <v>24.081539114000002</v>
      </c>
      <c r="H121" s="403">
        <v>24.427922039999999</v>
      </c>
      <c r="I121" s="569">
        <f t="shared" ref="I121:I122" si="66">H121-G121</f>
        <v>0.34638292599999687</v>
      </c>
    </row>
    <row r="122" spans="3:34">
      <c r="C122" s="690"/>
      <c r="D122" s="331"/>
      <c r="E122" s="311">
        <v>15</v>
      </c>
      <c r="F122" s="312">
        <v>133</v>
      </c>
      <c r="G122" s="332">
        <v>23.739488349999998</v>
      </c>
      <c r="H122" s="332">
        <v>24.42885335855803</v>
      </c>
      <c r="I122" s="314">
        <f t="shared" si="66"/>
        <v>0.68936500855803118</v>
      </c>
      <c r="J122" s="716">
        <f>I122/D121</f>
        <v>91.915334474404162</v>
      </c>
    </row>
    <row r="124" spans="3:34" ht="18.75">
      <c r="C124" s="690" t="s">
        <v>128</v>
      </c>
      <c r="D124" s="304"/>
      <c r="E124" s="305" t="s">
        <v>0</v>
      </c>
      <c r="F124" s="306" t="s">
        <v>1</v>
      </c>
      <c r="G124" s="306" t="s">
        <v>58</v>
      </c>
      <c r="H124" s="306" t="s">
        <v>59</v>
      </c>
      <c r="I124" s="307" t="s">
        <v>60</v>
      </c>
      <c r="K124" s="304" t="s">
        <v>136</v>
      </c>
      <c r="L124" s="305" t="s">
        <v>0</v>
      </c>
      <c r="M124" s="306" t="s">
        <v>1</v>
      </c>
      <c r="N124" s="306" t="s">
        <v>58</v>
      </c>
      <c r="O124" s="306" t="s">
        <v>59</v>
      </c>
      <c r="P124" s="307" t="s">
        <v>60</v>
      </c>
      <c r="Q124" s="304" t="s">
        <v>137</v>
      </c>
      <c r="R124" s="305" t="s">
        <v>0</v>
      </c>
      <c r="S124" s="306" t="s">
        <v>1</v>
      </c>
      <c r="T124" s="306" t="s">
        <v>58</v>
      </c>
      <c r="U124" s="306" t="s">
        <v>59</v>
      </c>
      <c r="V124" s="307" t="s">
        <v>60</v>
      </c>
      <c r="W124" s="304" t="s">
        <v>138</v>
      </c>
      <c r="X124" s="305" t="s">
        <v>0</v>
      </c>
      <c r="Y124" s="306" t="s">
        <v>1</v>
      </c>
      <c r="Z124" s="306" t="s">
        <v>58</v>
      </c>
      <c r="AA124" s="306" t="s">
        <v>59</v>
      </c>
      <c r="AB124" s="307" t="s">
        <v>60</v>
      </c>
    </row>
    <row r="125" spans="3:34">
      <c r="C125" s="690"/>
      <c r="D125" s="331">
        <f>0.0157</f>
        <v>1.5699999999999999E-2</v>
      </c>
      <c r="E125" s="567">
        <v>20</v>
      </c>
      <c r="F125" s="568">
        <v>100</v>
      </c>
      <c r="G125" s="331">
        <v>25.10275841</v>
      </c>
      <c r="H125" s="331">
        <v>26.02690986</v>
      </c>
      <c r="I125" s="569">
        <f t="shared" ref="I125" si="67">H125-G125</f>
        <v>0.9241514500000001</v>
      </c>
      <c r="K125" s="331">
        <f>0.014</f>
        <v>1.4E-2</v>
      </c>
      <c r="L125" s="567">
        <v>20</v>
      </c>
      <c r="M125" s="568">
        <v>100</v>
      </c>
      <c r="N125" s="331">
        <v>25.44371563</v>
      </c>
      <c r="O125" s="331">
        <v>26.982540010000001</v>
      </c>
      <c r="P125" s="569">
        <f t="shared" ref="P125" si="68">O125-N125</f>
        <v>1.5388243800000012</v>
      </c>
      <c r="Q125" s="331">
        <f>0.0177</f>
        <v>1.77E-2</v>
      </c>
      <c r="R125" s="567">
        <v>20</v>
      </c>
      <c r="S125" s="568">
        <v>100</v>
      </c>
      <c r="T125" s="331">
        <v>25.95612934</v>
      </c>
      <c r="U125" s="331">
        <v>27.414301179999999</v>
      </c>
      <c r="V125" s="569">
        <f t="shared" ref="V125" si="69">U125-T125</f>
        <v>1.4581718399999986</v>
      </c>
      <c r="W125" s="331">
        <f>0.0157</f>
        <v>1.5699999999999999E-2</v>
      </c>
      <c r="X125" s="567">
        <v>20</v>
      </c>
      <c r="Y125" s="568">
        <v>100</v>
      </c>
      <c r="Z125" s="331">
        <v>25.615730920000001</v>
      </c>
      <c r="AA125" s="331">
        <v>26.642234720000001</v>
      </c>
      <c r="AB125" s="569">
        <f t="shared" ref="AB125" si="70">AA125-Z125</f>
        <v>1.0265038000000004</v>
      </c>
    </row>
    <row r="126" spans="3:34">
      <c r="C126" s="690"/>
      <c r="D126" s="331"/>
      <c r="E126" s="311">
        <v>15</v>
      </c>
      <c r="F126" s="312">
        <v>133</v>
      </c>
      <c r="G126" s="332">
        <v>24.759752290000002</v>
      </c>
      <c r="H126" s="332">
        <v>25.971775560000001</v>
      </c>
      <c r="I126" s="314">
        <f>H126-G126</f>
        <v>1.2120232699999995</v>
      </c>
      <c r="J126" s="716">
        <f>I126/D125</f>
        <v>77.198934394904441</v>
      </c>
      <c r="K126" s="331"/>
      <c r="L126" s="311">
        <v>15</v>
      </c>
      <c r="M126" s="312">
        <v>133</v>
      </c>
      <c r="N126" s="332">
        <v>25.958550779999999</v>
      </c>
      <c r="O126" s="332">
        <v>28.053374770000001</v>
      </c>
      <c r="P126" s="314">
        <f>O126-N126</f>
        <v>2.0948239900000019</v>
      </c>
      <c r="Q126" s="331"/>
      <c r="R126" s="311">
        <v>15</v>
      </c>
      <c r="S126" s="312">
        <v>133</v>
      </c>
      <c r="T126" s="332">
        <v>24.078303519999999</v>
      </c>
      <c r="U126" s="332">
        <v>26.301650039999998</v>
      </c>
      <c r="V126" s="314">
        <f>U126-T126</f>
        <v>2.2233465199999998</v>
      </c>
      <c r="W126" s="331"/>
      <c r="X126" s="311">
        <v>15</v>
      </c>
      <c r="Y126" s="312">
        <v>133</v>
      </c>
      <c r="Z126" s="332">
        <v>24.750997859999998</v>
      </c>
      <c r="AA126" s="332">
        <v>25.96413871</v>
      </c>
      <c r="AB126" s="314">
        <f>AA126-Z126</f>
        <v>1.213140850000002</v>
      </c>
    </row>
    <row r="127" spans="3:34">
      <c r="C127" s="690"/>
      <c r="D127" s="331">
        <f>0.0047</f>
        <v>4.7000000000000002E-3</v>
      </c>
      <c r="E127" s="567">
        <v>20</v>
      </c>
      <c r="F127" s="568">
        <v>100</v>
      </c>
      <c r="G127" s="403"/>
      <c r="H127" s="403"/>
      <c r="I127" s="569">
        <f t="shared" ref="I127" si="71">H127-G127</f>
        <v>0</v>
      </c>
    </row>
    <row r="128" spans="3:34">
      <c r="C128" s="690"/>
      <c r="D128" s="331"/>
      <c r="E128" s="311">
        <v>15</v>
      </c>
      <c r="F128" s="312">
        <v>133</v>
      </c>
      <c r="G128" s="332"/>
      <c r="H128" s="332"/>
      <c r="I128" s="314">
        <f>H128-G128</f>
        <v>0</v>
      </c>
    </row>
    <row r="132" spans="3:25" ht="18.75">
      <c r="C132" s="717" t="s">
        <v>134</v>
      </c>
      <c r="D132" s="304"/>
      <c r="E132" s="305" t="s">
        <v>0</v>
      </c>
      <c r="F132" s="306" t="s">
        <v>1</v>
      </c>
      <c r="G132" s="306" t="s">
        <v>58</v>
      </c>
      <c r="H132" s="306" t="s">
        <v>59</v>
      </c>
      <c r="I132" s="307" t="s">
        <v>60</v>
      </c>
      <c r="L132" s="304" t="s">
        <v>143</v>
      </c>
      <c r="M132" s="305" t="s">
        <v>0</v>
      </c>
      <c r="N132" s="306" t="s">
        <v>1</v>
      </c>
      <c r="O132" s="306" t="s">
        <v>58</v>
      </c>
      <c r="P132" s="306" t="s">
        <v>59</v>
      </c>
      <c r="Q132" s="307" t="s">
        <v>60</v>
      </c>
      <c r="T132" s="304" t="s">
        <v>149</v>
      </c>
      <c r="U132" s="305" t="s">
        <v>0</v>
      </c>
      <c r="V132" s="306" t="s">
        <v>1</v>
      </c>
      <c r="W132" s="306" t="s">
        <v>58</v>
      </c>
      <c r="X132" s="306" t="s">
        <v>59</v>
      </c>
      <c r="Y132" s="307" t="s">
        <v>60</v>
      </c>
    </row>
    <row r="133" spans="3:25">
      <c r="C133" s="717" t="s">
        <v>140</v>
      </c>
      <c r="D133" s="331">
        <f>0.0047</f>
        <v>4.7000000000000002E-3</v>
      </c>
      <c r="E133" s="567">
        <v>20</v>
      </c>
      <c r="F133" s="568">
        <v>100</v>
      </c>
      <c r="G133" s="331">
        <v>23.746659529999999</v>
      </c>
      <c r="H133" s="331">
        <v>24.977961180000001</v>
      </c>
      <c r="I133" s="569">
        <f t="shared" ref="I133" si="72">H133-G133</f>
        <v>1.2313016500000025</v>
      </c>
      <c r="L133" s="331">
        <f>0.0048</f>
        <v>4.7999999999999996E-3</v>
      </c>
      <c r="M133" s="567">
        <v>20</v>
      </c>
      <c r="N133" s="568">
        <v>100</v>
      </c>
      <c r="O133" s="331">
        <v>23.741071600000001</v>
      </c>
      <c r="P133" s="331">
        <v>24.765247089999999</v>
      </c>
      <c r="Q133" s="569">
        <f t="shared" ref="Q133" si="73">P133-O133</f>
        <v>1.0241754899999975</v>
      </c>
      <c r="T133" s="331">
        <f>0.0043</f>
        <v>4.3E-3</v>
      </c>
      <c r="U133" s="567">
        <v>20</v>
      </c>
      <c r="V133" s="568">
        <v>100</v>
      </c>
      <c r="W133" s="331">
        <v>23.755041439999999</v>
      </c>
      <c r="X133" s="331">
        <v>24.437607790000001</v>
      </c>
      <c r="Y133" s="569">
        <f t="shared" ref="Y133" si="74">X133-W133</f>
        <v>0.68256635000000188</v>
      </c>
    </row>
    <row r="134" spans="3:25">
      <c r="C134" s="717"/>
      <c r="D134" s="331"/>
      <c r="E134" s="311">
        <v>15</v>
      </c>
      <c r="F134" s="312">
        <v>133</v>
      </c>
      <c r="G134" s="332">
        <v>23.74442436</v>
      </c>
      <c r="H134" s="332">
        <v>25.44148045</v>
      </c>
      <c r="I134" s="314">
        <f>H134-G134</f>
        <v>1.6970560900000002</v>
      </c>
      <c r="L134" s="331"/>
      <c r="M134" s="311">
        <v>15</v>
      </c>
      <c r="N134" s="312">
        <v>133</v>
      </c>
      <c r="O134" s="332">
        <v>23.747590850000002</v>
      </c>
      <c r="P134" s="332">
        <v>25.00645965</v>
      </c>
      <c r="Q134" s="314">
        <f>P134-O134</f>
        <v>1.2588687999999983</v>
      </c>
      <c r="T134" s="331"/>
      <c r="U134" s="311">
        <v>15</v>
      </c>
      <c r="V134" s="312">
        <v>133</v>
      </c>
      <c r="W134" s="332">
        <v>23.76184009</v>
      </c>
      <c r="X134" s="332">
        <v>24.77241828</v>
      </c>
      <c r="Y134" s="314">
        <f>X134-W134</f>
        <v>1.0105781900000004</v>
      </c>
    </row>
    <row r="135" spans="3:25">
      <c r="L135" s="331">
        <f>0.0045</f>
        <v>4.4999999999999997E-3</v>
      </c>
      <c r="M135" s="567">
        <v>20</v>
      </c>
      <c r="N135" s="568">
        <v>100</v>
      </c>
      <c r="O135" s="331">
        <v>23.751502410000001</v>
      </c>
      <c r="P135" s="331">
        <v>24.774467189999999</v>
      </c>
      <c r="Q135" s="569">
        <f t="shared" ref="Q135" si="75">P135-O135</f>
        <v>1.0229647799999988</v>
      </c>
      <c r="T135" s="331">
        <f>0.005</f>
        <v>5.0000000000000001E-3</v>
      </c>
      <c r="U135" s="567">
        <v>20</v>
      </c>
      <c r="V135" s="568">
        <v>100</v>
      </c>
      <c r="W135" s="331">
        <v>23.758394200000001</v>
      </c>
      <c r="X135" s="331">
        <v>24.43239238</v>
      </c>
      <c r="Y135" s="569">
        <f t="shared" ref="Y135" si="76">X135-W135</f>
        <v>0.67399817999999811</v>
      </c>
    </row>
    <row r="136" spans="3:25" ht="18.75">
      <c r="C136" s="540" t="s">
        <v>141</v>
      </c>
      <c r="D136" s="304"/>
      <c r="E136" s="305" t="s">
        <v>0</v>
      </c>
      <c r="F136" s="306" t="s">
        <v>1</v>
      </c>
      <c r="G136" s="306" t="s">
        <v>58</v>
      </c>
      <c r="H136" s="306" t="s">
        <v>59</v>
      </c>
      <c r="I136" s="307" t="s">
        <v>60</v>
      </c>
      <c r="L136" s="331"/>
      <c r="M136" s="311">
        <v>15</v>
      </c>
      <c r="N136" s="312">
        <v>133</v>
      </c>
      <c r="O136" s="332">
        <v>23.7523406</v>
      </c>
      <c r="P136" s="332">
        <v>25.116355720000001</v>
      </c>
      <c r="Q136" s="314">
        <f>P136-O136</f>
        <v>1.3640151200000012</v>
      </c>
      <c r="T136" s="331"/>
      <c r="U136" s="311">
        <v>15</v>
      </c>
      <c r="V136" s="312">
        <v>133</v>
      </c>
      <c r="W136" s="332">
        <v>23.71024482</v>
      </c>
      <c r="X136" s="332">
        <v>24.751929180000001</v>
      </c>
      <c r="Y136" s="314">
        <f>X136-W136</f>
        <v>1.0416843600000014</v>
      </c>
    </row>
    <row r="137" spans="3:25">
      <c r="D137" s="331">
        <f>0.0049</f>
        <v>4.8999999999999998E-3</v>
      </c>
      <c r="E137" s="567">
        <v>20</v>
      </c>
      <c r="F137" s="568">
        <v>100</v>
      </c>
      <c r="G137" s="331">
        <v>24.08333266</v>
      </c>
      <c r="H137" s="331">
        <v>28.845371539999999</v>
      </c>
      <c r="I137" s="569">
        <f t="shared" ref="I137" si="77">H137-G137</f>
        <v>4.7620388799999986</v>
      </c>
    </row>
    <row r="138" spans="3:25" ht="18.75">
      <c r="D138" s="331"/>
      <c r="E138" s="311">
        <v>15</v>
      </c>
      <c r="F138" s="312">
        <v>133</v>
      </c>
      <c r="G138" s="332">
        <v>23.746845796516293</v>
      </c>
      <c r="H138" s="332">
        <v>29.69306139</v>
      </c>
      <c r="I138" s="314">
        <f>H138-G138</f>
        <v>5.9462155934837071</v>
      </c>
      <c r="L138" s="304" t="s">
        <v>144</v>
      </c>
      <c r="M138" s="305" t="s">
        <v>0</v>
      </c>
      <c r="N138" s="306" t="s">
        <v>1</v>
      </c>
      <c r="O138" s="306" t="s">
        <v>58</v>
      </c>
      <c r="P138" s="306" t="s">
        <v>59</v>
      </c>
      <c r="Q138" s="307" t="s">
        <v>60</v>
      </c>
      <c r="T138" s="304" t="s">
        <v>150</v>
      </c>
      <c r="U138" s="305" t="s">
        <v>0</v>
      </c>
      <c r="V138" s="306" t="s">
        <v>1</v>
      </c>
      <c r="W138" s="306" t="s">
        <v>58</v>
      </c>
      <c r="X138" s="306" t="s">
        <v>59</v>
      </c>
      <c r="Y138" s="307" t="s">
        <v>60</v>
      </c>
    </row>
    <row r="139" spans="3:25">
      <c r="D139" s="331">
        <f>0.0047</f>
        <v>4.7000000000000002E-3</v>
      </c>
      <c r="E139" s="567">
        <v>20</v>
      </c>
      <c r="F139" s="568">
        <v>100</v>
      </c>
      <c r="G139" s="331">
        <v>24.01376286</v>
      </c>
      <c r="H139" s="331">
        <v>28.300811849999999</v>
      </c>
      <c r="I139" s="569">
        <f t="shared" ref="I139" si="78">H139-G139</f>
        <v>4.2870489899999988</v>
      </c>
      <c r="L139" s="331">
        <f>0.005</f>
        <v>5.0000000000000001E-3</v>
      </c>
      <c r="M139" s="567">
        <v>20</v>
      </c>
      <c r="N139" s="568">
        <v>100</v>
      </c>
      <c r="O139" s="331">
        <v>23.75392385</v>
      </c>
      <c r="P139" s="331">
        <v>25.970751100000001</v>
      </c>
      <c r="Q139" s="569">
        <f t="shared" ref="Q139" si="79">P139-O139</f>
        <v>2.2168272500000015</v>
      </c>
      <c r="T139" s="331">
        <f>0.005</f>
        <v>5.0000000000000001E-3</v>
      </c>
      <c r="U139" s="567">
        <v>20</v>
      </c>
      <c r="V139" s="568">
        <v>100</v>
      </c>
      <c r="W139" s="331">
        <v>23.748894709999998</v>
      </c>
      <c r="X139" s="331">
        <v>25.11095405</v>
      </c>
      <c r="Y139" s="569">
        <f t="shared" ref="Y139" si="80">X139-W139</f>
        <v>1.3620593400000018</v>
      </c>
    </row>
    <row r="140" spans="3:25">
      <c r="D140" s="331"/>
      <c r="E140" s="311">
        <v>15</v>
      </c>
      <c r="F140" s="312">
        <v>133</v>
      </c>
      <c r="G140" s="332">
        <v>24.079421109999998</v>
      </c>
      <c r="H140" s="332">
        <v>29.63571546</v>
      </c>
      <c r="I140" s="314">
        <f>H140-G140</f>
        <v>5.5562943500000017</v>
      </c>
      <c r="L140" s="331"/>
      <c r="M140" s="311">
        <v>15</v>
      </c>
      <c r="N140" s="312">
        <v>133</v>
      </c>
      <c r="O140" s="332">
        <v>23.75243373</v>
      </c>
      <c r="P140" s="332">
        <v>26.947471109999999</v>
      </c>
      <c r="Q140" s="314">
        <f>P140-O140</f>
        <v>3.1950373799999987</v>
      </c>
      <c r="T140" s="331"/>
      <c r="U140" s="311">
        <v>15</v>
      </c>
      <c r="V140" s="312">
        <v>133</v>
      </c>
      <c r="W140" s="332">
        <v>23.766055089999998</v>
      </c>
      <c r="X140" s="332">
        <v>25.444274419999999</v>
      </c>
      <c r="Y140" s="314">
        <f>X140-W140</f>
        <v>1.678219330000001</v>
      </c>
    </row>
    <row r="141" spans="3:25">
      <c r="L141" s="331">
        <f>0.0052</f>
        <v>5.1999999999999998E-3</v>
      </c>
      <c r="M141" s="567">
        <v>20</v>
      </c>
      <c r="N141" s="568">
        <v>100</v>
      </c>
      <c r="O141" s="331">
        <v>24.113880049999999</v>
      </c>
      <c r="P141" s="331">
        <v>26.977697129999999</v>
      </c>
      <c r="Q141" s="569">
        <f t="shared" ref="Q141" si="81">P141-O141</f>
        <v>2.8638170800000005</v>
      </c>
      <c r="T141" s="331">
        <f>0.0056</f>
        <v>5.5999999999999999E-3</v>
      </c>
      <c r="U141" s="567">
        <v>20</v>
      </c>
      <c r="V141" s="568">
        <v>100</v>
      </c>
      <c r="W141" s="331">
        <v>24.421123380000001</v>
      </c>
      <c r="X141" s="331">
        <v>25.4522838</v>
      </c>
      <c r="Y141" s="569">
        <f t="shared" ref="Y141" si="82">X141-W141</f>
        <v>1.0311604199999991</v>
      </c>
    </row>
    <row r="142" spans="3:25" ht="18.75">
      <c r="C142" s="718" t="s">
        <v>142</v>
      </c>
      <c r="D142" s="304"/>
      <c r="E142" s="305" t="s">
        <v>0</v>
      </c>
      <c r="F142" s="306" t="s">
        <v>1</v>
      </c>
      <c r="G142" s="306" t="s">
        <v>58</v>
      </c>
      <c r="H142" s="306" t="s">
        <v>59</v>
      </c>
      <c r="I142" s="307" t="s">
        <v>60</v>
      </c>
      <c r="L142" s="331"/>
      <c r="M142" s="311">
        <v>15</v>
      </c>
      <c r="N142" s="312">
        <v>133</v>
      </c>
      <c r="O142" s="332">
        <v>24.071225470000002</v>
      </c>
      <c r="P142" s="332">
        <v>27.48061135</v>
      </c>
      <c r="Q142" s="314">
        <f>P142-O142</f>
        <v>3.4093858799999985</v>
      </c>
      <c r="T142" s="331"/>
      <c r="U142" s="311">
        <v>15</v>
      </c>
      <c r="V142" s="312">
        <v>133</v>
      </c>
      <c r="W142" s="332">
        <v>24.093949739999999</v>
      </c>
      <c r="X142" s="332">
        <v>25.445392009999999</v>
      </c>
      <c r="Y142" s="314">
        <f>X142-W142</f>
        <v>1.3514422699999997</v>
      </c>
    </row>
    <row r="143" spans="3:25">
      <c r="C143" s="718"/>
      <c r="D143" s="331">
        <f>0.006</f>
        <v>6.0000000000000001E-3</v>
      </c>
      <c r="E143" s="567">
        <v>20</v>
      </c>
      <c r="F143" s="568">
        <v>100</v>
      </c>
      <c r="G143" s="331">
        <v>24.428108300000002</v>
      </c>
      <c r="H143" s="331">
        <v>34.12969614</v>
      </c>
      <c r="I143" s="569">
        <f t="shared" ref="I143" si="83">H143-G143</f>
        <v>9.7015878399999984</v>
      </c>
    </row>
    <row r="144" spans="3:25" ht="18.75">
      <c r="C144" s="718"/>
      <c r="D144" s="331"/>
      <c r="E144" s="311">
        <v>15</v>
      </c>
      <c r="F144" s="312">
        <v>133</v>
      </c>
      <c r="G144" s="332">
        <v>23.73613559</v>
      </c>
      <c r="H144" s="332">
        <v>36.476442900000002</v>
      </c>
      <c r="I144" s="314">
        <f>H144-G144</f>
        <v>12.740307310000002</v>
      </c>
      <c r="L144" s="304" t="s">
        <v>147</v>
      </c>
      <c r="M144" s="305" t="s">
        <v>0</v>
      </c>
      <c r="N144" s="306" t="s">
        <v>1</v>
      </c>
      <c r="O144" s="306" t="s">
        <v>58</v>
      </c>
      <c r="P144" s="306" t="s">
        <v>59</v>
      </c>
      <c r="Q144" s="307" t="s">
        <v>60</v>
      </c>
      <c r="T144" s="304" t="s">
        <v>151</v>
      </c>
      <c r="U144" s="305" t="s">
        <v>0</v>
      </c>
      <c r="V144" s="306" t="s">
        <v>1</v>
      </c>
      <c r="W144" s="306" t="s">
        <v>58</v>
      </c>
      <c r="X144" s="306" t="s">
        <v>59</v>
      </c>
      <c r="Y144" s="307" t="s">
        <v>60</v>
      </c>
    </row>
    <row r="145" spans="3:25">
      <c r="C145" s="718"/>
      <c r="D145" s="331">
        <f>0.0052</f>
        <v>5.1999999999999998E-3</v>
      </c>
      <c r="E145" s="567">
        <v>20</v>
      </c>
      <c r="F145" s="568">
        <v>100</v>
      </c>
      <c r="G145" s="331">
        <v>24.422986030000001</v>
      </c>
      <c r="H145" s="331">
        <v>36.344847010000002</v>
      </c>
      <c r="I145" s="569">
        <f t="shared" ref="I145" si="84">H145-G145</f>
        <v>11.921860980000002</v>
      </c>
      <c r="L145" s="331">
        <f>0.0056</f>
        <v>5.5999999999999999E-3</v>
      </c>
      <c r="M145" s="567">
        <v>20</v>
      </c>
      <c r="N145" s="568">
        <v>100</v>
      </c>
      <c r="O145" s="331">
        <v>23.759046120000001</v>
      </c>
      <c r="P145" s="331">
        <v>27.84671428</v>
      </c>
      <c r="Q145" s="569">
        <f t="shared" ref="Q145" si="85">P145-O145</f>
        <v>4.0876681599999998</v>
      </c>
      <c r="T145" s="331">
        <f>0.005</f>
        <v>5.0000000000000001E-3</v>
      </c>
      <c r="U145" s="567">
        <v>20</v>
      </c>
      <c r="V145" s="568">
        <v>100</v>
      </c>
      <c r="W145" s="331">
        <v>24.11900232</v>
      </c>
      <c r="X145" s="331">
        <v>25.446509599999999</v>
      </c>
      <c r="Y145" s="569">
        <f t="shared" ref="Y145" si="86">X145-W145</f>
        <v>1.327507279999999</v>
      </c>
    </row>
    <row r="146" spans="3:25">
      <c r="C146" s="718"/>
      <c r="D146" s="331"/>
      <c r="E146" s="311">
        <v>15</v>
      </c>
      <c r="F146" s="312">
        <v>133</v>
      </c>
      <c r="G146" s="332">
        <v>23.74461062</v>
      </c>
      <c r="H146" s="332">
        <v>38.915576870000002</v>
      </c>
      <c r="I146" s="314">
        <f>H146-G146</f>
        <v>15.170966250000003</v>
      </c>
      <c r="L146" s="331"/>
      <c r="M146" s="311">
        <v>15</v>
      </c>
      <c r="N146" s="312">
        <v>133</v>
      </c>
      <c r="O146" s="332">
        <v>24.085381569999999</v>
      </c>
      <c r="P146" s="332">
        <v>29.159692920000001</v>
      </c>
      <c r="Q146" s="314">
        <f>P146-O146</f>
        <v>5.0743113500000021</v>
      </c>
      <c r="R146" s="540">
        <f>AVERAGE(Q146,Q148)</f>
        <v>5.8623499950000006</v>
      </c>
      <c r="T146" s="331"/>
      <c r="U146" s="311">
        <v>15</v>
      </c>
      <c r="V146" s="312">
        <v>133</v>
      </c>
      <c r="W146" s="332">
        <v>24.183149467894399</v>
      </c>
      <c r="X146" s="332">
        <v>25.72159825</v>
      </c>
      <c r="Y146" s="314">
        <f>X146-W146</f>
        <v>1.5384487821056005</v>
      </c>
    </row>
    <row r="147" spans="3:25">
      <c r="L147" s="331">
        <f>0.0054</f>
        <v>5.4000000000000003E-3</v>
      </c>
      <c r="M147" s="567">
        <v>20</v>
      </c>
      <c r="N147" s="568">
        <v>100</v>
      </c>
      <c r="O147" s="331">
        <v>23.94568318</v>
      </c>
      <c r="P147" s="331">
        <v>29.374921579999999</v>
      </c>
      <c r="Q147" s="569">
        <f t="shared" ref="Q147" si="87">P147-O147</f>
        <v>5.4292383999999991</v>
      </c>
      <c r="R147" s="540">
        <f>_xlfn.STDEV.S(Q146,Q148)</f>
        <v>1.11445493943312</v>
      </c>
      <c r="T147" s="331">
        <f>0.0057</f>
        <v>5.7000000000000002E-3</v>
      </c>
      <c r="U147" s="567">
        <v>20</v>
      </c>
      <c r="V147" s="568">
        <v>100</v>
      </c>
      <c r="W147" s="331">
        <v>23.72523911</v>
      </c>
      <c r="X147" s="331">
        <v>24.988485130000001</v>
      </c>
      <c r="Y147" s="569">
        <f t="shared" ref="Y147" si="88">X147-W147</f>
        <v>1.2632460200000004</v>
      </c>
    </row>
    <row r="148" spans="3:25">
      <c r="D148" s="540">
        <v>0</v>
      </c>
      <c r="E148" s="540">
        <v>0.34719707</v>
      </c>
      <c r="L148" s="331"/>
      <c r="M148" s="311">
        <v>15</v>
      </c>
      <c r="N148" s="312">
        <v>133</v>
      </c>
      <c r="O148" s="332">
        <v>23.73539053</v>
      </c>
      <c r="P148" s="332">
        <v>30.385779169999999</v>
      </c>
      <c r="Q148" s="314">
        <f>P148-O148</f>
        <v>6.6503886399999992</v>
      </c>
      <c r="T148" s="331"/>
      <c r="U148" s="311">
        <v>15</v>
      </c>
      <c r="V148" s="312">
        <v>133</v>
      </c>
      <c r="W148" s="332">
        <v>23.580418439999999</v>
      </c>
      <c r="X148" s="332">
        <v>25.105831779999999</v>
      </c>
      <c r="Y148" s="314">
        <f>X148-W148</f>
        <v>1.5254133400000001</v>
      </c>
    </row>
    <row r="149" spans="3:25">
      <c r="D149" s="540">
        <v>0.03</v>
      </c>
      <c r="E149" s="540">
        <v>1.6970560900000002</v>
      </c>
    </row>
    <row r="150" spans="3:25" ht="18.75">
      <c r="D150" s="540">
        <v>0.09</v>
      </c>
      <c r="E150" s="540">
        <v>4.5562943499999999</v>
      </c>
      <c r="L150" s="304" t="s">
        <v>148</v>
      </c>
      <c r="M150" s="305" t="s">
        <v>0</v>
      </c>
      <c r="N150" s="306" t="s">
        <v>1</v>
      </c>
      <c r="O150" s="306" t="s">
        <v>58</v>
      </c>
      <c r="P150" s="306" t="s">
        <v>59</v>
      </c>
      <c r="Q150" s="307" t="s">
        <v>60</v>
      </c>
      <c r="T150" s="304" t="s">
        <v>152</v>
      </c>
      <c r="U150" s="305" t="s">
        <v>0</v>
      </c>
      <c r="V150" s="306" t="s">
        <v>1</v>
      </c>
      <c r="W150" s="306" t="s">
        <v>58</v>
      </c>
      <c r="X150" s="306" t="s">
        <v>59</v>
      </c>
      <c r="Y150" s="307" t="s">
        <v>60</v>
      </c>
    </row>
    <row r="151" spans="3:25">
      <c r="L151" s="331">
        <f>0.0057</f>
        <v>5.7000000000000002E-3</v>
      </c>
      <c r="M151" s="567">
        <v>20</v>
      </c>
      <c r="N151" s="568">
        <v>100</v>
      </c>
      <c r="O151" s="331">
        <v>23.57976652</v>
      </c>
      <c r="P151" s="331">
        <v>31.354727230000002</v>
      </c>
      <c r="Q151" s="569">
        <f t="shared" ref="Q151" si="89">P151-O151</f>
        <v>7.774960710000002</v>
      </c>
      <c r="T151" s="331">
        <f>0.006</f>
        <v>6.0000000000000001E-3</v>
      </c>
      <c r="U151" s="567">
        <v>20</v>
      </c>
      <c r="V151" s="568">
        <v>100</v>
      </c>
      <c r="W151" s="331">
        <v>23.740233409999998</v>
      </c>
      <c r="X151" s="331">
        <v>25.60958419</v>
      </c>
      <c r="Y151" s="569">
        <f t="shared" ref="Y151" si="90">X151-W151</f>
        <v>1.8693507800000013</v>
      </c>
    </row>
    <row r="152" spans="3:25">
      <c r="G152" s="540" t="s">
        <v>92</v>
      </c>
      <c r="H152" s="540" t="s">
        <v>145</v>
      </c>
      <c r="I152" s="540" t="s">
        <v>146</v>
      </c>
      <c r="L152" s="331"/>
      <c r="M152" s="311">
        <v>15</v>
      </c>
      <c r="N152" s="312">
        <v>133</v>
      </c>
      <c r="O152" s="332">
        <v>24.08426399</v>
      </c>
      <c r="P152" s="332">
        <v>34.142641519999998</v>
      </c>
      <c r="Q152" s="314">
        <f>P152-O152</f>
        <v>10.058377529999998</v>
      </c>
      <c r="T152" s="331"/>
      <c r="U152" s="311">
        <v>15</v>
      </c>
      <c r="V152" s="312">
        <v>133</v>
      </c>
      <c r="W152" s="332">
        <v>23.741350990000001</v>
      </c>
      <c r="X152" s="332">
        <v>25.96562883</v>
      </c>
      <c r="Y152" s="314">
        <f>X152-W152</f>
        <v>2.2242778399999992</v>
      </c>
    </row>
    <row r="153" spans="3:25">
      <c r="G153" s="540">
        <v>4.7000000000000002E-3</v>
      </c>
      <c r="L153" s="331">
        <f>0.0053</f>
        <v>5.3E-3</v>
      </c>
      <c r="M153" s="567">
        <v>20</v>
      </c>
      <c r="N153" s="568">
        <v>100</v>
      </c>
      <c r="O153" s="331">
        <v>24.420378320000001</v>
      </c>
      <c r="P153" s="331">
        <v>36.352576990000003</v>
      </c>
      <c r="Q153" s="569">
        <f t="shared" ref="Q153" si="91">P153-O153</f>
        <v>11.932198670000002</v>
      </c>
      <c r="T153" s="331">
        <f>0.006</f>
        <v>6.0000000000000001E-3</v>
      </c>
      <c r="U153" s="567">
        <v>20</v>
      </c>
      <c r="V153" s="568">
        <v>100</v>
      </c>
      <c r="W153" s="331">
        <v>23.74358617</v>
      </c>
      <c r="X153" s="331">
        <v>25.447440919999998</v>
      </c>
      <c r="Y153" s="569">
        <f t="shared" ref="Y153" si="92">X153-W153</f>
        <v>1.7038547499999979</v>
      </c>
    </row>
    <row r="154" spans="3:25">
      <c r="G154" s="540">
        <v>4.8999999999999998E-3</v>
      </c>
      <c r="L154" s="331"/>
      <c r="M154" s="311">
        <v>15</v>
      </c>
      <c r="N154" s="312">
        <v>133</v>
      </c>
      <c r="O154" s="332">
        <v>23.756531549999998</v>
      </c>
      <c r="P154" s="332">
        <v>37.880784300000002</v>
      </c>
      <c r="Q154" s="314">
        <f>P154-O154</f>
        <v>14.124252750000004</v>
      </c>
      <c r="T154" s="331"/>
      <c r="U154" s="311">
        <v>15</v>
      </c>
      <c r="V154" s="312">
        <v>133</v>
      </c>
      <c r="W154" s="332">
        <v>23.574457979999998</v>
      </c>
      <c r="X154" s="332">
        <v>25.620853189999998</v>
      </c>
      <c r="Y154" s="314">
        <f>X154-W154</f>
        <v>2.04639521</v>
      </c>
    </row>
    <row r="155" spans="3:25">
      <c r="G155" s="540">
        <v>4.7000000000000002E-3</v>
      </c>
    </row>
    <row r="156" spans="3:25" ht="18.75">
      <c r="G156" s="540">
        <v>4.7999999999999996E-3</v>
      </c>
      <c r="T156" s="304" t="s">
        <v>153</v>
      </c>
      <c r="U156" s="305" t="s">
        <v>0</v>
      </c>
      <c r="V156" s="306" t="s">
        <v>1</v>
      </c>
      <c r="W156" s="306" t="s">
        <v>58</v>
      </c>
      <c r="X156" s="306" t="s">
        <v>59</v>
      </c>
      <c r="Y156" s="307" t="s">
        <v>60</v>
      </c>
    </row>
    <row r="157" spans="3:25">
      <c r="G157" s="540">
        <v>4.4999999999999997E-3</v>
      </c>
      <c r="T157" s="331">
        <f>0.0055</f>
        <v>5.4999999999999997E-3</v>
      </c>
      <c r="U157" s="567">
        <v>20</v>
      </c>
      <c r="V157" s="568">
        <v>100</v>
      </c>
      <c r="W157" s="331">
        <v>24.769810570000001</v>
      </c>
      <c r="X157" s="331">
        <v>27.83106806</v>
      </c>
      <c r="Y157" s="569">
        <f t="shared" ref="Y157" si="93">X157-W157</f>
        <v>3.0612574899999991</v>
      </c>
    </row>
    <row r="158" spans="3:25">
      <c r="G158" s="540">
        <v>5.0000000000000001E-3</v>
      </c>
      <c r="T158" s="331"/>
      <c r="U158" s="311">
        <v>15</v>
      </c>
      <c r="V158" s="312">
        <v>133</v>
      </c>
      <c r="W158" s="332">
        <v>24.959893520000001</v>
      </c>
      <c r="X158" s="332">
        <v>28.861204019999999</v>
      </c>
      <c r="Y158" s="314">
        <f>X158-W158</f>
        <v>3.9013104999999975</v>
      </c>
    </row>
    <row r="159" spans="3:25">
      <c r="G159" s="540">
        <v>4.7000000000000002E-3</v>
      </c>
    </row>
    <row r="160" spans="3:25">
      <c r="G160" s="540">
        <v>4.8999999999999998E-3</v>
      </c>
      <c r="K160" s="4">
        <v>42440</v>
      </c>
    </row>
    <row r="161" spans="6:17" ht="18.75">
      <c r="G161" s="540">
        <v>5.1000000000000004E-3</v>
      </c>
      <c r="K161" s="540" t="s">
        <v>92</v>
      </c>
      <c r="L161" s="305" t="s">
        <v>0</v>
      </c>
      <c r="M161" s="306" t="s">
        <v>1</v>
      </c>
      <c r="N161" s="306" t="s">
        <v>58</v>
      </c>
      <c r="O161" s="306" t="s">
        <v>59</v>
      </c>
      <c r="P161" s="307" t="s">
        <v>60</v>
      </c>
    </row>
    <row r="162" spans="6:17">
      <c r="G162" s="540">
        <v>4.7000000000000002E-3</v>
      </c>
      <c r="K162" s="540">
        <f>0.004</f>
        <v>4.0000000000000001E-3</v>
      </c>
      <c r="L162" s="567">
        <v>30</v>
      </c>
      <c r="M162" s="568">
        <v>149</v>
      </c>
      <c r="N162" s="331">
        <v>23.576506890000001</v>
      </c>
      <c r="O162" s="331">
        <v>23.740699070000002</v>
      </c>
      <c r="P162" s="569">
        <f t="shared" ref="P162" si="94">O162-N162</f>
        <v>0.16419218000000058</v>
      </c>
    </row>
    <row r="163" spans="6:17">
      <c r="G163" s="540">
        <v>4.8999999999999998E-3</v>
      </c>
      <c r="K163" s="540" t="s">
        <v>119</v>
      </c>
      <c r="L163" s="311">
        <v>15</v>
      </c>
      <c r="M163" s="312">
        <v>133</v>
      </c>
      <c r="N163" s="332">
        <v>23.56812498</v>
      </c>
      <c r="O163" s="332">
        <v>23.750012290000001</v>
      </c>
      <c r="P163" s="314">
        <f>O163-N163</f>
        <v>0.18188731000000047</v>
      </c>
    </row>
    <row r="164" spans="6:17" ht="18.75">
      <c r="G164" s="540">
        <v>4.4999999999999997E-3</v>
      </c>
      <c r="K164" s="540" t="s">
        <v>145</v>
      </c>
      <c r="L164" s="305" t="s">
        <v>0</v>
      </c>
      <c r="M164" s="306" t="s">
        <v>1</v>
      </c>
      <c r="N164" s="306" t="s">
        <v>58</v>
      </c>
      <c r="O164" s="306" t="s">
        <v>59</v>
      </c>
      <c r="P164" s="307" t="s">
        <v>60</v>
      </c>
    </row>
    <row r="165" spans="6:17">
      <c r="F165" s="720" t="s">
        <v>61</v>
      </c>
      <c r="G165" s="99">
        <f>AVERAGE(G153:G164)</f>
        <v>4.7833333333333339E-3</v>
      </c>
      <c r="H165" s="99"/>
      <c r="I165" s="719"/>
      <c r="K165" s="540">
        <v>7.0000000000000001E-3</v>
      </c>
      <c r="L165" s="567">
        <v>30</v>
      </c>
      <c r="M165" s="568">
        <v>149</v>
      </c>
      <c r="N165" s="331">
        <v>24.078582919999999</v>
      </c>
      <c r="O165" s="331">
        <v>25.440456000000001</v>
      </c>
      <c r="P165" s="569">
        <f t="shared" ref="P165" si="95">O165-N165</f>
        <v>1.3618730800000023</v>
      </c>
    </row>
    <row r="166" spans="6:17">
      <c r="F166" s="721" t="s">
        <v>62</v>
      </c>
      <c r="G166" s="33">
        <f>_xlfn.STDEV.S(G153:G164)</f>
        <v>1.8504708655481253E-4</v>
      </c>
      <c r="H166" s="33"/>
      <c r="I166" s="564"/>
      <c r="L166" s="311">
        <v>15</v>
      </c>
      <c r="M166" s="312">
        <v>133</v>
      </c>
      <c r="N166" s="332">
        <v>24.089851920000001</v>
      </c>
      <c r="O166" s="332">
        <v>25.144854200000001</v>
      </c>
      <c r="P166" s="314">
        <f>O166-N166</f>
        <v>1.0550022800000001</v>
      </c>
      <c r="Q166" s="729"/>
    </row>
    <row r="167" spans="6:17" ht="18.75">
      <c r="F167" s="722" t="s">
        <v>69</v>
      </c>
      <c r="G167" s="17">
        <f>G166/G165</f>
        <v>3.8685802067208189E-2</v>
      </c>
      <c r="H167" s="17"/>
      <c r="I167" s="492"/>
      <c r="K167" s="540" t="s">
        <v>146</v>
      </c>
      <c r="L167" s="305" t="s">
        <v>0</v>
      </c>
      <c r="M167" s="306" t="s">
        <v>1</v>
      </c>
      <c r="N167" s="306" t="s">
        <v>58</v>
      </c>
      <c r="O167" s="306" t="s">
        <v>59</v>
      </c>
      <c r="P167" s="307" t="s">
        <v>60</v>
      </c>
    </row>
    <row r="168" spans="6:17">
      <c r="K168" s="540">
        <v>0.11700000000000001</v>
      </c>
      <c r="L168" s="567">
        <v>30</v>
      </c>
      <c r="M168" s="568">
        <v>149</v>
      </c>
      <c r="N168" s="331">
        <v>25.0949353</v>
      </c>
      <c r="O168" s="331">
        <v>26.970619079999999</v>
      </c>
      <c r="P168" s="569">
        <f t="shared" ref="P168" si="96">O168-N168</f>
        <v>1.8756837799999992</v>
      </c>
    </row>
    <row r="169" spans="6:17">
      <c r="L169" s="311">
        <v>15</v>
      </c>
      <c r="M169" s="312">
        <v>133</v>
      </c>
      <c r="N169" s="332">
        <v>25.439152150000002</v>
      </c>
      <c r="O169" s="332">
        <v>26.97611388</v>
      </c>
      <c r="P169" s="314">
        <f>O169-N169</f>
        <v>1.536961729999998</v>
      </c>
    </row>
    <row r="170" spans="6:17">
      <c r="K170" s="540" t="s">
        <v>154</v>
      </c>
    </row>
    <row r="171" spans="6:17" ht="18.75">
      <c r="K171" s="728" t="s">
        <v>92</v>
      </c>
      <c r="L171" s="305" t="s">
        <v>0</v>
      </c>
      <c r="M171" s="306" t="s">
        <v>1</v>
      </c>
      <c r="N171" s="306" t="s">
        <v>58</v>
      </c>
      <c r="O171" s="306" t="s">
        <v>59</v>
      </c>
      <c r="P171" s="307" t="s">
        <v>60</v>
      </c>
    </row>
    <row r="172" spans="6:17">
      <c r="K172" s="728">
        <f>0.0052</f>
        <v>5.1999999999999998E-3</v>
      </c>
      <c r="L172" s="567">
        <v>30</v>
      </c>
      <c r="M172" s="568">
        <v>149</v>
      </c>
      <c r="N172" s="331">
        <v>24.082215080000001</v>
      </c>
      <c r="O172" s="331">
        <v>38.571173760000001</v>
      </c>
      <c r="P172" s="569">
        <f t="shared" ref="P172" si="97">O172-N172</f>
        <v>14.48895868</v>
      </c>
    </row>
    <row r="173" spans="6:17">
      <c r="K173" s="728" t="s">
        <v>119</v>
      </c>
      <c r="L173" s="311">
        <v>15</v>
      </c>
      <c r="M173" s="312">
        <v>133</v>
      </c>
      <c r="N173" s="332">
        <v>23.785681950000001</v>
      </c>
      <c r="O173" s="332">
        <v>35.789871859999998</v>
      </c>
      <c r="P173" s="314">
        <f>O173-N173</f>
        <v>12.004189909999997</v>
      </c>
    </row>
    <row r="174" spans="6:17" ht="18.75">
      <c r="K174" s="728" t="s">
        <v>145</v>
      </c>
      <c r="L174" s="305" t="s">
        <v>0</v>
      </c>
      <c r="M174" s="306" t="s">
        <v>1</v>
      </c>
      <c r="N174" s="306" t="s">
        <v>58</v>
      </c>
      <c r="O174" s="306" t="s">
        <v>59</v>
      </c>
      <c r="P174" s="307" t="s">
        <v>60</v>
      </c>
    </row>
    <row r="175" spans="6:17">
      <c r="K175" s="728">
        <v>1.0699999999999999E-2</v>
      </c>
      <c r="L175" s="567">
        <v>30</v>
      </c>
      <c r="M175" s="568">
        <v>149</v>
      </c>
      <c r="N175" s="331">
        <v>24.086871689999999</v>
      </c>
      <c r="O175" s="331">
        <v>32.251684050000001</v>
      </c>
      <c r="P175" s="569">
        <f t="shared" ref="P175" si="98">O175-N175</f>
        <v>8.1648123600000027</v>
      </c>
    </row>
    <row r="176" spans="6:17">
      <c r="K176" s="728"/>
      <c r="L176" s="311">
        <v>15</v>
      </c>
      <c r="M176" s="312">
        <v>133</v>
      </c>
      <c r="N176" s="332">
        <v>24.091062640000001</v>
      </c>
      <c r="O176" s="332">
        <v>30.718913270000002</v>
      </c>
      <c r="P176" s="314">
        <f>O176-N176</f>
        <v>6.6278506300000011</v>
      </c>
    </row>
    <row r="177" spans="11:16" ht="18.75">
      <c r="K177" s="728" t="s">
        <v>146</v>
      </c>
      <c r="L177" s="305" t="s">
        <v>0</v>
      </c>
      <c r="M177" s="306" t="s">
        <v>1</v>
      </c>
      <c r="N177" s="306" t="s">
        <v>58</v>
      </c>
      <c r="O177" s="306" t="s">
        <v>59</v>
      </c>
      <c r="P177" s="307" t="s">
        <v>60</v>
      </c>
    </row>
    <row r="178" spans="11:16">
      <c r="K178" s="728">
        <v>0.151</v>
      </c>
      <c r="L178" s="567">
        <v>30</v>
      </c>
      <c r="M178" s="568">
        <v>149</v>
      </c>
      <c r="N178" s="404">
        <v>24.41525605</v>
      </c>
      <c r="O178" s="404">
        <v>30.385220369999999</v>
      </c>
      <c r="P178" s="569">
        <f t="shared" ref="P178" si="99">O178-N178</f>
        <v>5.969964319999999</v>
      </c>
    </row>
    <row r="179" spans="11:16">
      <c r="K179" s="728"/>
      <c r="L179" s="311">
        <v>15</v>
      </c>
      <c r="M179" s="312">
        <v>133</v>
      </c>
      <c r="N179" s="332">
        <v>24.08333266</v>
      </c>
      <c r="O179" s="332">
        <v>29.027072579999999</v>
      </c>
      <c r="P179" s="314">
        <f>O179-N179</f>
        <v>4.9437399199999987</v>
      </c>
    </row>
    <row r="180" spans="11:16">
      <c r="K180" s="540" t="s">
        <v>155</v>
      </c>
    </row>
    <row r="181" spans="11:16" ht="18.75">
      <c r="K181" s="730" t="s">
        <v>92</v>
      </c>
      <c r="L181" s="305" t="s">
        <v>0</v>
      </c>
      <c r="M181" s="306" t="s">
        <v>1</v>
      </c>
      <c r="N181" s="306" t="s">
        <v>58</v>
      </c>
      <c r="O181" s="306" t="s">
        <v>59</v>
      </c>
      <c r="P181" s="307" t="s">
        <v>60</v>
      </c>
    </row>
    <row r="182" spans="11:16">
      <c r="K182" s="730">
        <f>0.0056</f>
        <v>5.5999999999999999E-3</v>
      </c>
      <c r="L182" s="567">
        <v>30</v>
      </c>
      <c r="M182" s="568">
        <v>149</v>
      </c>
      <c r="N182" s="331">
        <v>23.738929550000002</v>
      </c>
      <c r="O182" s="331">
        <v>26.28833212</v>
      </c>
      <c r="P182" s="569">
        <f t="shared" ref="P182" si="100">O182-N182</f>
        <v>2.549402569999998</v>
      </c>
    </row>
    <row r="183" spans="11:16">
      <c r="K183" s="730" t="s">
        <v>119</v>
      </c>
      <c r="L183" s="311">
        <v>15</v>
      </c>
      <c r="M183" s="312">
        <v>133</v>
      </c>
      <c r="N183" s="332">
        <v>23.748149649999998</v>
      </c>
      <c r="O183" s="332">
        <v>25.95761946</v>
      </c>
      <c r="P183" s="314">
        <f>O183-N183</f>
        <v>2.2094698100000016</v>
      </c>
    </row>
    <row r="184" spans="11:16" ht="18.75">
      <c r="K184" s="730" t="s">
        <v>145</v>
      </c>
      <c r="L184" s="305" t="s">
        <v>0</v>
      </c>
      <c r="M184" s="306" t="s">
        <v>1</v>
      </c>
      <c r="N184" s="306" t="s">
        <v>58</v>
      </c>
      <c r="O184" s="306" t="s">
        <v>59</v>
      </c>
      <c r="P184" s="307" t="s">
        <v>60</v>
      </c>
    </row>
    <row r="185" spans="11:16">
      <c r="K185" s="730">
        <v>1.01E-2</v>
      </c>
      <c r="L185" s="567">
        <v>30</v>
      </c>
      <c r="M185" s="568">
        <v>149</v>
      </c>
      <c r="N185" s="331">
        <v>23.739115819999999</v>
      </c>
      <c r="O185" s="331">
        <v>26.330055380000001</v>
      </c>
      <c r="P185" s="569">
        <f t="shared" ref="P185" si="101">O185-N185</f>
        <v>2.5909395600000025</v>
      </c>
    </row>
    <row r="186" spans="11:16">
      <c r="K186" s="730"/>
      <c r="L186" s="311">
        <v>15</v>
      </c>
      <c r="M186" s="312">
        <v>133</v>
      </c>
      <c r="N186" s="332">
        <v>23.747311459999999</v>
      </c>
      <c r="O186" s="332">
        <v>25.94756117</v>
      </c>
      <c r="P186" s="314">
        <f>O186-N186</f>
        <v>2.2002497100000014</v>
      </c>
    </row>
    <row r="187" spans="11:16" ht="18.75">
      <c r="K187" s="730" t="s">
        <v>146</v>
      </c>
      <c r="L187" s="305" t="s">
        <v>0</v>
      </c>
      <c r="M187" s="306" t="s">
        <v>1</v>
      </c>
      <c r="N187" s="306" t="s">
        <v>58</v>
      </c>
      <c r="O187" s="306" t="s">
        <v>59</v>
      </c>
      <c r="P187" s="307" t="s">
        <v>60</v>
      </c>
    </row>
    <row r="188" spans="11:16">
      <c r="K188" s="730">
        <v>1.6199999999999999E-2</v>
      </c>
      <c r="L188" s="567">
        <v>30</v>
      </c>
      <c r="M188" s="568">
        <v>149</v>
      </c>
      <c r="N188" s="404">
        <v>24.10149345</v>
      </c>
      <c r="O188" s="404">
        <v>27.292577309999999</v>
      </c>
      <c r="P188" s="569">
        <f t="shared" ref="P188" si="102">O188-N188</f>
        <v>3.1910838599999991</v>
      </c>
    </row>
    <row r="189" spans="11:16">
      <c r="K189" s="730"/>
      <c r="L189" s="311">
        <v>15</v>
      </c>
      <c r="M189" s="312">
        <v>133</v>
      </c>
      <c r="N189" s="332">
        <v>24.007522999999999</v>
      </c>
      <c r="O189" s="332">
        <v>26.303419550000001</v>
      </c>
      <c r="P189" s="314">
        <f>O189-N189</f>
        <v>2.2958965500000019</v>
      </c>
    </row>
    <row r="191" spans="11:16">
      <c r="K191" s="731" t="s">
        <v>156</v>
      </c>
      <c r="L191" s="731"/>
      <c r="M191" s="731"/>
      <c r="N191" s="731"/>
      <c r="O191" s="731"/>
      <c r="P191" s="731"/>
    </row>
    <row r="192" spans="11:16" ht="18.75">
      <c r="K192" s="731" t="s">
        <v>92</v>
      </c>
      <c r="L192" s="305" t="s">
        <v>0</v>
      </c>
      <c r="M192" s="306" t="s">
        <v>1</v>
      </c>
      <c r="N192" s="306" t="s">
        <v>58</v>
      </c>
      <c r="O192" s="306" t="s">
        <v>59</v>
      </c>
      <c r="P192" s="307" t="s">
        <v>60</v>
      </c>
    </row>
    <row r="193" spans="11:16">
      <c r="K193" s="731">
        <f>0.0043</f>
        <v>4.3E-3</v>
      </c>
      <c r="L193" s="567">
        <v>30</v>
      </c>
      <c r="M193" s="568">
        <v>149</v>
      </c>
      <c r="N193" s="331">
        <v>23.749453500000001</v>
      </c>
      <c r="O193" s="331">
        <v>25.621598250000002</v>
      </c>
      <c r="P193" s="569">
        <f t="shared" ref="P193" si="103">O193-N193</f>
        <v>1.8721447500000004</v>
      </c>
    </row>
    <row r="194" spans="11:16">
      <c r="K194" s="731" t="s">
        <v>119</v>
      </c>
      <c r="L194" s="311">
        <v>15</v>
      </c>
      <c r="M194" s="312">
        <v>133</v>
      </c>
      <c r="N194" s="332">
        <v>23.748987840000002</v>
      </c>
      <c r="O194" s="332">
        <v>25.44446069</v>
      </c>
      <c r="P194" s="314">
        <f>O194-N194</f>
        <v>1.695472849999998</v>
      </c>
    </row>
    <row r="195" spans="11:16" ht="18.75">
      <c r="K195" s="731" t="s">
        <v>145</v>
      </c>
      <c r="L195" s="305" t="s">
        <v>0</v>
      </c>
      <c r="M195" s="306" t="s">
        <v>1</v>
      </c>
      <c r="N195" s="306" t="s">
        <v>58</v>
      </c>
      <c r="O195" s="306" t="s">
        <v>59</v>
      </c>
      <c r="P195" s="307" t="s">
        <v>60</v>
      </c>
    </row>
    <row r="196" spans="11:16">
      <c r="K196" s="731">
        <v>1.0699999999999999E-2</v>
      </c>
      <c r="L196" s="567">
        <v>30</v>
      </c>
      <c r="M196" s="568">
        <v>149</v>
      </c>
      <c r="N196" s="331">
        <v>23.748801570000001</v>
      </c>
      <c r="O196" s="331">
        <v>26.308821219999999</v>
      </c>
      <c r="P196" s="569">
        <f t="shared" ref="P196" si="104">O196-N196</f>
        <v>2.5600196499999974</v>
      </c>
    </row>
    <row r="197" spans="11:16">
      <c r="K197" s="731"/>
      <c r="L197" s="311">
        <v>15</v>
      </c>
      <c r="M197" s="312">
        <v>133</v>
      </c>
      <c r="N197" s="332">
        <v>23.748894709999998</v>
      </c>
      <c r="O197" s="332">
        <v>25.87910896</v>
      </c>
      <c r="P197" s="314">
        <f>O197-N197</f>
        <v>2.1302142500000016</v>
      </c>
    </row>
    <row r="198" spans="11:16" ht="18.75">
      <c r="K198" s="731" t="s">
        <v>146</v>
      </c>
      <c r="L198" s="305" t="s">
        <v>0</v>
      </c>
      <c r="M198" s="306" t="s">
        <v>1</v>
      </c>
      <c r="N198" s="306" t="s">
        <v>58</v>
      </c>
      <c r="O198" s="306" t="s">
        <v>59</v>
      </c>
      <c r="P198" s="307" t="s">
        <v>60</v>
      </c>
    </row>
    <row r="199" spans="11:16">
      <c r="K199" s="731">
        <v>1.6199999999999999E-2</v>
      </c>
      <c r="L199" s="567">
        <v>30</v>
      </c>
      <c r="M199" s="568">
        <v>149</v>
      </c>
      <c r="N199" s="404">
        <v>24.092087100000001</v>
      </c>
      <c r="O199" s="404">
        <v>27.219002830000001</v>
      </c>
      <c r="P199" s="569">
        <f t="shared" ref="P199" si="105">O199-N199</f>
        <v>3.1269157300000003</v>
      </c>
    </row>
    <row r="200" spans="11:16">
      <c r="K200" s="731"/>
      <c r="L200" s="311">
        <v>15</v>
      </c>
      <c r="M200" s="312">
        <v>133</v>
      </c>
      <c r="N200" s="332">
        <v>24.09115577</v>
      </c>
      <c r="O200" s="332">
        <v>26.295968970000001</v>
      </c>
      <c r="P200" s="314">
        <f>O200-N200</f>
        <v>2.2048132000000003</v>
      </c>
    </row>
  </sheetData>
  <phoneticPr fontId="5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52"/>
  <sheetViews>
    <sheetView topLeftCell="A142" workbookViewId="0">
      <selection activeCell="K133" sqref="K133"/>
    </sheetView>
  </sheetViews>
  <sheetFormatPr defaultRowHeight="15"/>
  <cols>
    <col min="13" max="13" width="14.42578125" customWidth="1"/>
    <col min="15" max="15" width="9" style="540"/>
    <col min="19" max="19" width="9" style="540"/>
  </cols>
  <sheetData>
    <row r="2" spans="2:22">
      <c r="D2" t="s">
        <v>70</v>
      </c>
    </row>
    <row r="3" spans="2:22" ht="18.75">
      <c r="B3" s="4">
        <v>42333</v>
      </c>
      <c r="C3" s="304"/>
      <c r="D3" s="305" t="s">
        <v>0</v>
      </c>
      <c r="E3" s="306" t="s">
        <v>1</v>
      </c>
      <c r="F3" s="306" t="s">
        <v>58</v>
      </c>
      <c r="G3" s="306" t="s">
        <v>59</v>
      </c>
      <c r="H3" s="307" t="s">
        <v>60</v>
      </c>
      <c r="I3" s="394"/>
      <c r="L3" s="366" t="s">
        <v>0</v>
      </c>
      <c r="M3" s="367" t="s">
        <v>1</v>
      </c>
      <c r="N3" s="367" t="s">
        <v>65</v>
      </c>
      <c r="O3" s="367" t="s">
        <v>66</v>
      </c>
      <c r="P3" s="368" t="s">
        <v>67</v>
      </c>
      <c r="Q3" s="540"/>
      <c r="R3" s="540"/>
    </row>
    <row r="4" spans="2:22">
      <c r="B4" t="s">
        <v>109</v>
      </c>
      <c r="C4" s="304">
        <f>0.0086-0.0004</f>
        <v>8.2000000000000007E-3</v>
      </c>
      <c r="D4" s="308">
        <v>20</v>
      </c>
      <c r="E4" s="309">
        <v>130</v>
      </c>
      <c r="F4" s="403">
        <v>22.899158394286498</v>
      </c>
      <c r="G4" s="403">
        <v>23.745076283519037</v>
      </c>
      <c r="H4" s="310">
        <f t="shared" ref="H4" si="0">G4-F4</f>
        <v>0.8459178892325383</v>
      </c>
      <c r="I4" s="394">
        <f>H4/$C4</f>
        <v>103.16071819909003</v>
      </c>
      <c r="J4" s="396">
        <f>H4-$C$4*56+0.02*129</f>
        <v>2.9667178892325383</v>
      </c>
      <c r="K4">
        <v>1.3899999999999999E-2</v>
      </c>
      <c r="L4" s="369">
        <v>20</v>
      </c>
      <c r="M4" s="370">
        <v>130</v>
      </c>
      <c r="N4" s="413">
        <v>22.2865899158394</v>
      </c>
      <c r="O4" s="413">
        <v>23.215197450762801</v>
      </c>
      <c r="P4" s="372">
        <f t="shared" ref="P4" si="1">O4-N4</f>
        <v>0.92860753492340109</v>
      </c>
      <c r="Q4" s="540">
        <f>P4/$C4</f>
        <v>113.24482133212207</v>
      </c>
      <c r="R4" s="540">
        <f>P4-$K$4*56+0.02*129</f>
        <v>2.7302075349234012</v>
      </c>
      <c r="S4" s="540">
        <v>2.9667178892325383</v>
      </c>
      <c r="T4">
        <v>2.9606354763886986</v>
      </c>
      <c r="U4" s="540">
        <f>AVERAGE(R4:T4)</f>
        <v>2.8858536335148792</v>
      </c>
      <c r="V4" s="540">
        <f>_xlfn.STDEV.S(R4:T4)</f>
        <v>0.13482777882010011</v>
      </c>
    </row>
    <row r="5" spans="2:22">
      <c r="C5" s="304">
        <f>0.3*0.15</f>
        <v>4.4999999999999998E-2</v>
      </c>
      <c r="D5" s="308">
        <v>20</v>
      </c>
      <c r="E5" s="309">
        <v>100</v>
      </c>
      <c r="F5" s="404">
        <v>22.543018164814601</v>
      </c>
      <c r="G5" s="404">
        <v>23.229309810954931</v>
      </c>
      <c r="H5" s="310">
        <f>G5-F5</f>
        <v>0.68629164614032945</v>
      </c>
      <c r="I5" s="394">
        <f>H5/$C4</f>
        <v>83.694103187845045</v>
      </c>
      <c r="J5">
        <f>H5-$C$4*46+0.02*107</f>
        <v>2.4490916461403294</v>
      </c>
      <c r="L5" s="369">
        <v>20</v>
      </c>
      <c r="M5" s="370">
        <v>100</v>
      </c>
      <c r="N5" s="414">
        <v>22.401816481465399</v>
      </c>
      <c r="O5" s="414">
        <v>23.198109549229301</v>
      </c>
      <c r="P5" s="372">
        <f>O5-N5</f>
        <v>0.79629306776390152</v>
      </c>
      <c r="Q5" s="540">
        <f>P5/$C4</f>
        <v>97.108910702914812</v>
      </c>
      <c r="R5" s="540">
        <f>P5-$K$4*46+0.02*107</f>
        <v>2.2968930677639019</v>
      </c>
      <c r="S5" s="540">
        <v>2.4490916461403294</v>
      </c>
      <c r="T5">
        <v>2.4317597875452006</v>
      </c>
      <c r="U5" s="540">
        <f>AVERAGE(R5:T5)</f>
        <v>2.3925815004831441</v>
      </c>
      <c r="V5" s="540">
        <f>_xlfn.STDEV.S(R5:T5)</f>
        <v>8.332049836498262E-2</v>
      </c>
    </row>
    <row r="6" spans="2:22">
      <c r="C6" s="304">
        <f>C5/C4</f>
        <v>5.48780487804878</v>
      </c>
      <c r="D6" s="311">
        <v>30</v>
      </c>
      <c r="E6" s="312">
        <v>130</v>
      </c>
      <c r="F6" s="332">
        <v>23.097110521621101</v>
      </c>
      <c r="G6" s="332">
        <v>24.1803524303646</v>
      </c>
      <c r="H6" s="314">
        <f>G6-F6</f>
        <v>1.0832419087434992</v>
      </c>
      <c r="I6" s="394">
        <f>H6/$C4</f>
        <v>132.10267179798771</v>
      </c>
      <c r="J6" s="397">
        <f>H6-$C$4*120+0.0153*80</f>
        <v>1.323241908743499</v>
      </c>
      <c r="L6" s="373">
        <v>30</v>
      </c>
      <c r="M6" s="374">
        <v>130</v>
      </c>
      <c r="N6" s="375">
        <v>23.097110521621101</v>
      </c>
      <c r="O6" s="375">
        <v>24.1803524303646</v>
      </c>
      <c r="P6" s="376">
        <f>O6-N6</f>
        <v>1.0832419087434992</v>
      </c>
      <c r="Q6" s="540">
        <f>P6/$C4</f>
        <v>132.10267179798771</v>
      </c>
      <c r="R6" s="540">
        <f>P6-$C$4*120+0.0153*80</f>
        <v>1.323241908743499</v>
      </c>
    </row>
    <row r="8" spans="2:22" ht="18.75">
      <c r="B8" s="4">
        <v>42337</v>
      </c>
      <c r="C8" s="304"/>
      <c r="D8" s="305" t="s">
        <v>0</v>
      </c>
      <c r="E8" s="306" t="s">
        <v>1</v>
      </c>
      <c r="F8" s="306" t="s">
        <v>58</v>
      </c>
      <c r="G8" s="306" t="s">
        <v>59</v>
      </c>
      <c r="H8" s="307" t="s">
        <v>60</v>
      </c>
      <c r="I8" s="397"/>
      <c r="J8" s="397"/>
    </row>
    <row r="9" spans="2:22">
      <c r="B9" t="s">
        <v>109</v>
      </c>
      <c r="C9" s="304">
        <f>0.0098-0.0054</f>
        <v>4.3999999999999994E-3</v>
      </c>
      <c r="D9" s="308">
        <v>20</v>
      </c>
      <c r="E9" s="309">
        <v>130</v>
      </c>
      <c r="F9" s="408">
        <v>23.223349346122102</v>
      </c>
      <c r="G9" s="407">
        <v>23.850384822510801</v>
      </c>
      <c r="H9" s="310">
        <f>G9-F9</f>
        <v>0.6270354763886985</v>
      </c>
      <c r="I9" s="397">
        <f>H9/C9</f>
        <v>142.50806281561333</v>
      </c>
      <c r="J9" s="397">
        <f>H9-0.0044*56+0.02*129</f>
        <v>2.9606354763886986</v>
      </c>
    </row>
    <row r="10" spans="2:22">
      <c r="C10" s="304">
        <f>0.3*0.15</f>
        <v>4.4999999999999998E-2</v>
      </c>
      <c r="D10" s="308">
        <v>20</v>
      </c>
      <c r="E10" s="309">
        <v>100</v>
      </c>
      <c r="F10" s="406">
        <v>23.082067703131898</v>
      </c>
      <c r="G10" s="405">
        <v>23.576227490677098</v>
      </c>
      <c r="H10" s="310">
        <f>G10-F10</f>
        <v>0.4941597875452004</v>
      </c>
      <c r="I10" s="397">
        <f>H10/C9</f>
        <v>112.30904262390919</v>
      </c>
      <c r="J10" s="408">
        <f>H10-0.0044*46+0.02*107</f>
        <v>2.4317597875452006</v>
      </c>
    </row>
    <row r="11" spans="2:22">
      <c r="C11" s="304">
        <f>C10/C9</f>
        <v>10.227272727272728</v>
      </c>
      <c r="D11" s="311">
        <v>30</v>
      </c>
      <c r="E11" s="312">
        <v>130</v>
      </c>
      <c r="F11" s="17">
        <v>23.030986191689099</v>
      </c>
      <c r="G11" s="17">
        <v>23.9513161451409</v>
      </c>
      <c r="H11" s="314">
        <f>G11-F11</f>
        <v>0.92032995345180169</v>
      </c>
      <c r="I11" s="409">
        <f>H11/C9</f>
        <v>209.16589851177315</v>
      </c>
      <c r="J11" s="408">
        <f>H11-0.0044*98+0.0153*80</f>
        <v>1.7131299534518016</v>
      </c>
      <c r="L11">
        <v>3.5868516599999989</v>
      </c>
    </row>
    <row r="12" spans="2:22">
      <c r="L12">
        <v>2.9709079599999999</v>
      </c>
    </row>
    <row r="13" spans="2:22">
      <c r="L13">
        <v>4.1701155299999977</v>
      </c>
    </row>
    <row r="14" spans="2:22" ht="18.75">
      <c r="C14" s="304"/>
      <c r="D14" s="305" t="s">
        <v>0</v>
      </c>
      <c r="E14" s="306" t="s">
        <v>1</v>
      </c>
      <c r="F14" s="306" t="s">
        <v>58</v>
      </c>
      <c r="G14" s="306" t="s">
        <v>59</v>
      </c>
      <c r="H14" s="307" t="s">
        <v>60</v>
      </c>
      <c r="I14" s="409"/>
      <c r="J14">
        <v>1</v>
      </c>
      <c r="K14">
        <v>2</v>
      </c>
      <c r="L14" t="s">
        <v>61</v>
      </c>
      <c r="M14" t="s">
        <v>62</v>
      </c>
      <c r="N14" t="s">
        <v>69</v>
      </c>
    </row>
    <row r="15" spans="2:22">
      <c r="B15" t="s">
        <v>37</v>
      </c>
      <c r="C15" s="304">
        <f>0.0116-0.0004</f>
        <v>1.12E-2</v>
      </c>
      <c r="D15" s="308">
        <v>20</v>
      </c>
      <c r="E15" s="309">
        <v>130</v>
      </c>
      <c r="F15" s="403">
        <v>22.148606099999999</v>
      </c>
      <c r="G15" s="403">
        <v>24.196044311000001</v>
      </c>
      <c r="H15" s="310">
        <f t="shared" ref="H15" si="2">G15-F15</f>
        <v>2.0474382110000029</v>
      </c>
      <c r="I15" s="409">
        <f>H15/$C15</f>
        <v>182.80698312500027</v>
      </c>
      <c r="J15" s="411">
        <f>H15-0.0112*56+0.02*129</f>
        <v>4.0002382110000028</v>
      </c>
      <c r="K15">
        <v>4.0871252200000008</v>
      </c>
      <c r="L15" s="415">
        <f>AVERAGE(J15:K15)</f>
        <v>4.0436817155000018</v>
      </c>
      <c r="M15" s="415">
        <f>_xlfn.STDEV.S(J15:K15)</f>
        <v>6.1438393260915179E-2</v>
      </c>
      <c r="N15" s="415">
        <f>M15/L15</f>
        <v>1.5193676847861977E-2</v>
      </c>
    </row>
    <row r="16" spans="2:22">
      <c r="C16" s="304">
        <f>0.3*0.5</f>
        <v>0.15</v>
      </c>
      <c r="D16" s="308">
        <v>20</v>
      </c>
      <c r="E16" s="309">
        <v>100</v>
      </c>
      <c r="F16" s="404">
        <v>21.866039744975563</v>
      </c>
      <c r="G16" s="404">
        <v>23.226981500000001</v>
      </c>
      <c r="H16" s="310">
        <f>G16-F16</f>
        <v>1.360941755024438</v>
      </c>
      <c r="I16" s="409">
        <f>H16/$C15</f>
        <v>121.51265669861054</v>
      </c>
      <c r="J16" s="410">
        <f>H16-0.0112*46+0.02*107</f>
        <v>2.9857417550244381</v>
      </c>
      <c r="K16">
        <v>3.1185757999999977</v>
      </c>
      <c r="L16">
        <f>AVERAGE(J16:K16)</f>
        <v>3.0521587775122176</v>
      </c>
      <c r="M16">
        <f>_xlfn.STDEV.S(J16:K16)</f>
        <v>9.3927853974657041E-2</v>
      </c>
      <c r="N16">
        <f>M16/L16</f>
        <v>3.0774235818497177E-2</v>
      </c>
    </row>
    <row r="17" spans="2:15">
      <c r="C17" s="304">
        <f>C16/C15</f>
        <v>13.392857142857142</v>
      </c>
      <c r="D17" s="311">
        <v>30</v>
      </c>
      <c r="E17" s="312">
        <v>130</v>
      </c>
      <c r="F17" s="332">
        <v>22.893102339999999</v>
      </c>
      <c r="G17" s="332">
        <v>25.797126420000001</v>
      </c>
      <c r="H17" s="314">
        <f>G17-F17</f>
        <v>2.9040240800000028</v>
      </c>
      <c r="I17" s="409">
        <f>H17/$C15</f>
        <v>259.28786428571453</v>
      </c>
      <c r="J17" s="412">
        <f>H17-0.0112*96+0.0153*80</f>
        <v>3.0528240800000028</v>
      </c>
      <c r="K17">
        <v>3.3555628299999993</v>
      </c>
      <c r="L17" s="416">
        <f>AVERAGE(J17:K17)</f>
        <v>3.2041934550000013</v>
      </c>
      <c r="M17" s="416">
        <f>_xlfn.STDEV.S(J17:K17)</f>
        <v>0.21406862305293642</v>
      </c>
      <c r="N17" s="416">
        <f>M17/L17</f>
        <v>6.6808894674849253E-2</v>
      </c>
    </row>
    <row r="18" spans="2:15" ht="18.75">
      <c r="C18" s="365"/>
      <c r="D18" s="366" t="s">
        <v>0</v>
      </c>
      <c r="E18" s="367" t="s">
        <v>1</v>
      </c>
      <c r="F18" s="367" t="s">
        <v>65</v>
      </c>
      <c r="G18" s="367" t="s">
        <v>66</v>
      </c>
      <c r="H18" s="368" t="s">
        <v>67</v>
      </c>
      <c r="I18" s="412"/>
      <c r="K18" s="412"/>
    </row>
    <row r="19" spans="2:15">
      <c r="C19" s="365">
        <f>0.0128-0.0004</f>
        <v>1.2400000000000001E-2</v>
      </c>
      <c r="D19" s="369">
        <v>20</v>
      </c>
      <c r="E19" s="370">
        <v>130</v>
      </c>
      <c r="F19" s="413">
        <v>22.194752829999999</v>
      </c>
      <c r="G19" s="413">
        <v>24.396278049999999</v>
      </c>
      <c r="H19" s="372">
        <f t="shared" ref="H19" si="3">G19-F19</f>
        <v>2.2015252200000006</v>
      </c>
      <c r="I19" s="412">
        <f>H19/$C19</f>
        <v>177.54235645161293</v>
      </c>
      <c r="J19" s="540">
        <f>H19-0.0124*56+0.02*129</f>
        <v>4.0871252200000008</v>
      </c>
    </row>
    <row r="20" spans="2:15">
      <c r="C20" s="365">
        <f>0.3*0.15</f>
        <v>4.4999999999999998E-2</v>
      </c>
      <c r="D20" s="369">
        <v>20</v>
      </c>
      <c r="E20" s="370">
        <v>100</v>
      </c>
      <c r="F20" s="371">
        <v>22.032467100000002</v>
      </c>
      <c r="G20" s="414">
        <v>23.581442899999999</v>
      </c>
      <c r="H20" s="372">
        <f>G20-F20</f>
        <v>1.5489757999999973</v>
      </c>
      <c r="I20" s="412">
        <f>H20/$C19</f>
        <v>124.91740322580623</v>
      </c>
      <c r="J20" s="540">
        <f>H20-0.0124*46+0.02*107</f>
        <v>3.1185757999999977</v>
      </c>
    </row>
    <row r="21" spans="2:15">
      <c r="C21" s="365">
        <f>C20/C19</f>
        <v>3.6290322580645156</v>
      </c>
      <c r="D21" s="373">
        <v>30</v>
      </c>
      <c r="E21" s="374">
        <v>130</v>
      </c>
      <c r="F21" s="375">
        <v>22.226188350000001</v>
      </c>
      <c r="G21" s="375">
        <v>25.43295118</v>
      </c>
      <c r="H21" s="376">
        <f>G21-F21</f>
        <v>3.2067628299999988</v>
      </c>
      <c r="I21" s="412">
        <f>H21/$C19</f>
        <v>258.60990564516118</v>
      </c>
      <c r="J21" s="412">
        <f>H21-0.0112*96+0.0153*80</f>
        <v>3.3555628299999993</v>
      </c>
    </row>
    <row r="23" spans="2:15" ht="18.75">
      <c r="B23" t="s">
        <v>106</v>
      </c>
      <c r="C23" s="304"/>
      <c r="D23" s="305" t="s">
        <v>0</v>
      </c>
      <c r="E23" s="306" t="s">
        <v>1</v>
      </c>
      <c r="F23" s="306" t="s">
        <v>58</v>
      </c>
      <c r="G23" s="306" t="s">
        <v>59</v>
      </c>
      <c r="H23" s="307" t="s">
        <v>60</v>
      </c>
      <c r="I23" s="416"/>
      <c r="J23" s="416">
        <v>1</v>
      </c>
      <c r="K23">
        <v>2</v>
      </c>
      <c r="L23">
        <v>3</v>
      </c>
      <c r="M23" t="s">
        <v>61</v>
      </c>
      <c r="N23" t="s">
        <v>62</v>
      </c>
      <c r="O23" t="s">
        <v>69</v>
      </c>
    </row>
    <row r="24" spans="2:15">
      <c r="C24" s="304">
        <f>0.0132-0.0003</f>
        <v>1.29E-2</v>
      </c>
      <c r="D24" s="308">
        <v>20</v>
      </c>
      <c r="E24" s="309">
        <v>130</v>
      </c>
      <c r="F24" s="403">
        <v>22.09883151</v>
      </c>
      <c r="G24" s="331">
        <v>26.8954398569727</v>
      </c>
      <c r="H24" s="310">
        <f t="shared" ref="H24" si="4">G24-F24</f>
        <v>4.7966083469727003</v>
      </c>
      <c r="I24" s="416">
        <f>H24/$C24</f>
        <v>371.83010441648838</v>
      </c>
      <c r="J24" s="416">
        <f>H24-0.0112*89+0.0153*56</f>
        <v>4.6566083469727007</v>
      </c>
      <c r="K24">
        <v>4.9105791200000004</v>
      </c>
      <c r="L24">
        <v>4.6316409200000006</v>
      </c>
      <c r="M24" s="419">
        <f>AVERAGE(J24:L24)</f>
        <v>4.7329427956575669</v>
      </c>
      <c r="N24" s="419">
        <f>_xlfn.STDEV.S(J24:L24)</f>
        <v>0.15434325672612609</v>
      </c>
      <c r="O24" s="419">
        <f>N24/M24</f>
        <v>3.2610420913545511E-2</v>
      </c>
    </row>
    <row r="25" spans="2:15">
      <c r="C25" s="304">
        <f>0.3*0.75</f>
        <v>0.22499999999999998</v>
      </c>
      <c r="D25" s="308">
        <v>20</v>
      </c>
      <c r="E25" s="309">
        <v>100</v>
      </c>
      <c r="F25" s="404">
        <v>22.513308970000001</v>
      </c>
      <c r="G25" s="404">
        <v>26.621303510000001</v>
      </c>
      <c r="H25" s="310">
        <f>G25-F25</f>
        <v>4.10799454</v>
      </c>
      <c r="I25" s="416">
        <f>H25/$C24</f>
        <v>318.4491891472868</v>
      </c>
      <c r="J25" s="416">
        <f>H25-0.0129*76+0.0153*43</f>
        <v>3.7854945400000002</v>
      </c>
      <c r="K25">
        <v>4.1532995199999991</v>
      </c>
      <c r="L25">
        <v>3.9483930600000017</v>
      </c>
      <c r="M25" s="540">
        <f>AVERAGE(J25:L25)</f>
        <v>3.9623957066666669</v>
      </c>
      <c r="N25" s="540">
        <f>_xlfn.STDEV.S(J25:L25)</f>
        <v>0.18430187577301951</v>
      </c>
      <c r="O25">
        <f>N25/M25</f>
        <v>4.6512738609860341E-2</v>
      </c>
    </row>
    <row r="26" spans="2:15">
      <c r="C26" s="304">
        <f>C25/C24</f>
        <v>17.441860465116278</v>
      </c>
      <c r="D26" s="311">
        <v>30</v>
      </c>
      <c r="E26" s="312">
        <v>130</v>
      </c>
      <c r="F26" s="332">
        <v>22.226143310000001</v>
      </c>
      <c r="G26" s="332">
        <v>25.63211299</v>
      </c>
      <c r="H26" s="314">
        <f>G26-F26</f>
        <v>3.4059696799999983</v>
      </c>
      <c r="I26" s="416">
        <f>H26/$C24</f>
        <v>264.02865736434097</v>
      </c>
      <c r="J26" s="416">
        <f>H26-0.0112*96+0.0153*80</f>
        <v>3.5547696799999988</v>
      </c>
      <c r="K26">
        <v>4.101787919999996</v>
      </c>
      <c r="M26" s="419">
        <f>AVERAGE(J26:K26)</f>
        <v>3.8282787999999974</v>
      </c>
      <c r="N26" s="419">
        <f>_xlfn.STDEV.S(J26:K26)</f>
        <v>0.3868003069367284</v>
      </c>
      <c r="O26" s="419">
        <f>N26/M26</f>
        <v>0.10103765351069223</v>
      </c>
    </row>
    <row r="27" spans="2:15" ht="18.75">
      <c r="C27" s="365"/>
      <c r="D27" s="366" t="s">
        <v>0</v>
      </c>
      <c r="E27" s="367" t="s">
        <v>1</v>
      </c>
      <c r="F27" s="367" t="s">
        <v>65</v>
      </c>
      <c r="G27" s="367" t="s">
        <v>66</v>
      </c>
      <c r="H27" s="368" t="s">
        <v>67</v>
      </c>
      <c r="I27" s="416"/>
      <c r="J27" s="416"/>
    </row>
    <row r="28" spans="2:15">
      <c r="C28" s="365">
        <f>0.0162-0.0055</f>
        <v>1.0699999999999999E-2</v>
      </c>
      <c r="D28" s="369">
        <v>20</v>
      </c>
      <c r="E28" s="370">
        <v>130</v>
      </c>
      <c r="F28" s="413">
        <v>22.02022174</v>
      </c>
      <c r="G28" s="413">
        <v>24.956065890000001</v>
      </c>
      <c r="H28" s="372">
        <f t="shared" ref="H28" si="5">G28-F28</f>
        <v>2.9358441500000012</v>
      </c>
      <c r="I28" s="416">
        <f>H28/$C28</f>
        <v>274.37795794392537</v>
      </c>
      <c r="J28" s="420">
        <f>H28+H31</f>
        <v>3.7723791200000001</v>
      </c>
      <c r="K28" s="416">
        <f>J28-0.0162*89+0.02*129</f>
        <v>4.9105791200000004</v>
      </c>
    </row>
    <row r="29" spans="2:15">
      <c r="C29" s="365">
        <f>0.3*0.15</f>
        <v>4.4999999999999998E-2</v>
      </c>
      <c r="D29" s="369">
        <v>20</v>
      </c>
      <c r="E29" s="370">
        <v>100</v>
      </c>
      <c r="F29" s="371">
        <v>22.494033659999999</v>
      </c>
      <c r="G29" s="414">
        <v>25.096184919999999</v>
      </c>
      <c r="H29" s="372">
        <f>G29-F29</f>
        <v>2.6021512599999994</v>
      </c>
      <c r="I29" s="416">
        <f>H29/$C28</f>
        <v>243.19170654205604</v>
      </c>
      <c r="J29">
        <f>H29+H32</f>
        <v>3.2930995199999984</v>
      </c>
      <c r="K29" s="416">
        <f>J29-0.0162*79+0.02*107</f>
        <v>4.1532995199999991</v>
      </c>
    </row>
    <row r="30" spans="2:15">
      <c r="C30" s="365">
        <f>C29/C28</f>
        <v>4.2056074766355138</v>
      </c>
      <c r="D30" s="373">
        <v>30</v>
      </c>
      <c r="E30" s="374">
        <v>130</v>
      </c>
      <c r="F30" s="375">
        <v>22.491612230000001</v>
      </c>
      <c r="G30" s="375">
        <v>25.435558879999999</v>
      </c>
      <c r="H30" s="376">
        <f>G30-F30</f>
        <v>2.9439466499999973</v>
      </c>
      <c r="I30" s="416">
        <f>H30/$C28</f>
        <v>275.13520093457919</v>
      </c>
      <c r="J30" s="421">
        <f>H30+H33</f>
        <v>4.101787919999996</v>
      </c>
      <c r="K30" s="416">
        <f>J30-0.0162*96+0.0153*80</f>
        <v>3.7705879199999961</v>
      </c>
    </row>
    <row r="31" spans="2:15">
      <c r="C31" s="365">
        <f>0.0162-0.0107</f>
        <v>5.4999999999999997E-3</v>
      </c>
      <c r="D31" s="369">
        <v>20</v>
      </c>
      <c r="E31" s="370">
        <v>130</v>
      </c>
      <c r="F31" s="413">
        <v>22.924280670000002</v>
      </c>
      <c r="G31" s="413">
        <v>23.760815640000001</v>
      </c>
      <c r="H31" s="372">
        <f t="shared" ref="H31" si="6">G31-F31</f>
        <v>0.83653496999999888</v>
      </c>
      <c r="I31" s="418">
        <f>H31/$C31</f>
        <v>152.09726727272707</v>
      </c>
    </row>
    <row r="32" spans="2:15">
      <c r="C32" s="365">
        <f>0.3*0.15</f>
        <v>4.4999999999999998E-2</v>
      </c>
      <c r="D32" s="369">
        <v>20</v>
      </c>
      <c r="E32" s="370">
        <v>100</v>
      </c>
      <c r="F32" s="371">
        <v>22.891798489999999</v>
      </c>
      <c r="G32" s="414">
        <v>23.582746749999998</v>
      </c>
      <c r="H32" s="372">
        <f>G32-F32</f>
        <v>0.69094825999999898</v>
      </c>
      <c r="I32" s="418">
        <f>H32/$C31</f>
        <v>125.62695636363618</v>
      </c>
    </row>
    <row r="33" spans="2:16">
      <c r="C33" s="365">
        <f>C32/C31</f>
        <v>8.1818181818181817</v>
      </c>
      <c r="D33" s="373">
        <v>30</v>
      </c>
      <c r="E33" s="374">
        <v>130</v>
      </c>
      <c r="F33" s="375">
        <v>22.37640455</v>
      </c>
      <c r="G33" s="375">
        <v>23.534245819999999</v>
      </c>
      <c r="H33" s="376">
        <f>G33-F33</f>
        <v>1.1578412699999987</v>
      </c>
      <c r="I33" s="418">
        <f>H33/$C31</f>
        <v>210.51659454545432</v>
      </c>
    </row>
    <row r="36" spans="2:16" ht="18.75">
      <c r="C36" s="304"/>
      <c r="D36" s="305" t="s">
        <v>0</v>
      </c>
      <c r="E36" s="306" t="s">
        <v>1</v>
      </c>
      <c r="F36" s="306" t="s">
        <v>58</v>
      </c>
      <c r="G36" s="306" t="s">
        <v>59</v>
      </c>
      <c r="H36" s="307" t="s">
        <v>60</v>
      </c>
      <c r="I36" s="421"/>
      <c r="K36">
        <v>1</v>
      </c>
      <c r="L36">
        <v>2</v>
      </c>
      <c r="M36">
        <v>3</v>
      </c>
      <c r="N36" t="s">
        <v>61</v>
      </c>
      <c r="O36" t="s">
        <v>62</v>
      </c>
      <c r="P36" t="s">
        <v>69</v>
      </c>
    </row>
    <row r="37" spans="2:16">
      <c r="B37" t="s">
        <v>31</v>
      </c>
      <c r="C37" s="304">
        <f>0.0185-0.0084</f>
        <v>1.01E-2</v>
      </c>
      <c r="D37" s="308">
        <v>20</v>
      </c>
      <c r="E37" s="309">
        <v>130</v>
      </c>
      <c r="F37" s="403">
        <v>22.55074814</v>
      </c>
      <c r="G37" s="331">
        <v>24.792898170000001</v>
      </c>
      <c r="H37" s="310">
        <f t="shared" ref="H37" si="7">G37-F37</f>
        <v>2.2421500300000012</v>
      </c>
      <c r="I37" s="421">
        <f>H37/$C37</f>
        <v>221.99505247524766</v>
      </c>
      <c r="J37" s="422">
        <f>H37+H40</f>
        <v>3.5959835499999997</v>
      </c>
      <c r="K37" s="422">
        <f>J37-0.0185*56+0.02*129</f>
        <v>5.1399835500000002</v>
      </c>
      <c r="L37">
        <v>5.1395107700000002</v>
      </c>
      <c r="M37">
        <v>5.1237748299999986</v>
      </c>
      <c r="N37">
        <f>AVERAGE(K37:M37)</f>
        <v>5.1344230499999997</v>
      </c>
      <c r="O37">
        <f>_xlfn.STDEV.S(K37:M37)</f>
        <v>9.2246583735343547E-3</v>
      </c>
      <c r="P37">
        <f>O37/N37</f>
        <v>1.7966299784226692E-3</v>
      </c>
    </row>
    <row r="38" spans="2:16">
      <c r="C38" s="304">
        <f>0.3*1</f>
        <v>0.3</v>
      </c>
      <c r="D38" s="308">
        <v>20</v>
      </c>
      <c r="E38" s="309">
        <v>100</v>
      </c>
      <c r="F38" s="404">
        <v>22.561178959999999</v>
      </c>
      <c r="G38" s="404">
        <v>24.309451660000001</v>
      </c>
      <c r="H38" s="310">
        <f>G38-F38</f>
        <v>1.7482727000000011</v>
      </c>
      <c r="I38" s="421">
        <f>H38/$C37</f>
        <v>173.09630693069317</v>
      </c>
      <c r="J38" s="422">
        <f>H38+H41</f>
        <v>2.7848347900000014</v>
      </c>
      <c r="K38" s="422">
        <f>J38-0.0185*46+0.02*107</f>
        <v>4.0738347900000011</v>
      </c>
      <c r="L38">
        <v>3.9523509900000029</v>
      </c>
      <c r="M38">
        <v>4.2413542200000034</v>
      </c>
      <c r="N38" s="446">
        <f t="shared" ref="N38:N39" si="8">AVERAGE(K38:M38)</f>
        <v>4.0891800000000025</v>
      </c>
      <c r="O38" s="446">
        <f>_xlfn.STDEV.S(K38:M38)</f>
        <v>0.14511141698731497</v>
      </c>
      <c r="P38" s="425">
        <f>O38/N38</f>
        <v>3.5486678744226195E-2</v>
      </c>
    </row>
    <row r="39" spans="2:16">
      <c r="C39" s="304">
        <f>C38/C37</f>
        <v>29.702970297029704</v>
      </c>
      <c r="D39" s="311">
        <v>30</v>
      </c>
      <c r="E39" s="312">
        <v>130</v>
      </c>
      <c r="F39" s="332">
        <v>22.716781990000001</v>
      </c>
      <c r="G39" s="332">
        <v>24.99869949</v>
      </c>
      <c r="H39" s="314">
        <f>G39-F39</f>
        <v>2.2819174999999987</v>
      </c>
      <c r="I39" s="421">
        <f>H39/$C37</f>
        <v>225.93242574257414</v>
      </c>
      <c r="J39" s="422">
        <f>H39+H42</f>
        <v>3.5086075699999988</v>
      </c>
      <c r="K39" s="422">
        <f>J39-0.0185*89+0.0153*80</f>
        <v>3.0861075699999989</v>
      </c>
      <c r="L39">
        <v>3.2626792000000009</v>
      </c>
      <c r="M39">
        <v>2.6196108400000018</v>
      </c>
      <c r="N39" s="446">
        <f t="shared" si="8"/>
        <v>2.9894658700000005</v>
      </c>
      <c r="O39" s="446">
        <f>_xlfn.STDEV.S(K39:M39)</f>
        <v>0.33224831458178894</v>
      </c>
      <c r="P39" s="425">
        <f>O39/N39</f>
        <v>0.11113969151345049</v>
      </c>
    </row>
    <row r="40" spans="2:16">
      <c r="C40" s="304">
        <f>0.0084</f>
        <v>8.3999999999999995E-3</v>
      </c>
      <c r="D40" s="308">
        <v>20</v>
      </c>
      <c r="E40" s="309">
        <v>130</v>
      </c>
      <c r="F40" s="403">
        <v>22.339064650000001</v>
      </c>
      <c r="G40" s="331">
        <v>23.692898169999999</v>
      </c>
      <c r="H40" s="310">
        <f t="shared" ref="H40" si="9">G40-F40</f>
        <v>1.3538335199999985</v>
      </c>
      <c r="I40" s="421">
        <f>H40/$C40</f>
        <v>161.17065714285698</v>
      </c>
      <c r="P40" s="446"/>
    </row>
    <row r="41" spans="2:16">
      <c r="C41" s="304">
        <f>0.3*1</f>
        <v>0.3</v>
      </c>
      <c r="D41" s="308">
        <v>20</v>
      </c>
      <c r="E41" s="309">
        <v>100</v>
      </c>
      <c r="F41" s="404">
        <v>22.55065501</v>
      </c>
      <c r="G41" s="404">
        <v>23.5872171</v>
      </c>
      <c r="H41" s="310">
        <f>G41-F41</f>
        <v>1.0365620900000003</v>
      </c>
      <c r="I41" s="421">
        <f>H41/$C40</f>
        <v>123.40024880952386</v>
      </c>
    </row>
    <row r="42" spans="2:16">
      <c r="C42" s="304">
        <f>C41/C40</f>
        <v>35.714285714285715</v>
      </c>
      <c r="D42" s="311">
        <v>30</v>
      </c>
      <c r="E42" s="312">
        <v>130</v>
      </c>
      <c r="F42" s="332">
        <v>22.54981682</v>
      </c>
      <c r="G42" s="332">
        <v>23.77650689</v>
      </c>
      <c r="H42" s="314">
        <f>G42-F42</f>
        <v>1.2266900700000001</v>
      </c>
      <c r="I42" s="421">
        <f>H42/$C40</f>
        <v>146.03453214285716</v>
      </c>
    </row>
    <row r="43" spans="2:16">
      <c r="C43" s="365">
        <f>0.016-0.0073</f>
        <v>8.6999999999999994E-3</v>
      </c>
      <c r="D43" s="369">
        <v>20</v>
      </c>
      <c r="E43" s="370">
        <v>130</v>
      </c>
      <c r="F43" s="413">
        <v>22.54208684</v>
      </c>
      <c r="G43" s="371">
        <v>24.561374430000001</v>
      </c>
      <c r="H43" s="372">
        <f t="shared" ref="H43" si="10">G43-F43</f>
        <v>2.0192875900000011</v>
      </c>
      <c r="I43" s="423">
        <f>H43/$C43</f>
        <v>232.10202183908061</v>
      </c>
      <c r="J43" s="423">
        <f>H43+H46</f>
        <v>3.4555107700000001</v>
      </c>
      <c r="K43" s="540">
        <f>J43-0.016*56+0.02*129</f>
        <v>5.1395107700000002</v>
      </c>
    </row>
    <row r="44" spans="2:16">
      <c r="C44" s="365">
        <f>0.3*1</f>
        <v>0.3</v>
      </c>
      <c r="D44" s="369">
        <v>20</v>
      </c>
      <c r="E44" s="370">
        <v>100</v>
      </c>
      <c r="F44" s="414">
        <v>22.579805409999999</v>
      </c>
      <c r="G44" s="414">
        <v>23.955693360000001</v>
      </c>
      <c r="H44" s="372">
        <f>G44-F44</f>
        <v>1.3758879500000027</v>
      </c>
      <c r="I44" s="423">
        <f>H44/$C43</f>
        <v>158.1480402298854</v>
      </c>
      <c r="J44" s="423">
        <f>H44+H47</f>
        <v>2.548350990000003</v>
      </c>
      <c r="K44" s="540">
        <f>J44-0.016*46+0.02*107</f>
        <v>3.9523509900000029</v>
      </c>
    </row>
    <row r="45" spans="2:16">
      <c r="C45" s="365">
        <f>C44/C43</f>
        <v>34.482758620689658</v>
      </c>
      <c r="D45" s="373">
        <v>30</v>
      </c>
      <c r="E45" s="374">
        <v>130</v>
      </c>
      <c r="F45" s="375">
        <v>22.818599599999999</v>
      </c>
      <c r="G45" s="375">
        <v>24.830250339999999</v>
      </c>
      <c r="H45" s="376">
        <f>G45-F45</f>
        <v>2.0116507400000003</v>
      </c>
      <c r="I45" s="423">
        <f>H45/$C43</f>
        <v>231.2242229885058</v>
      </c>
      <c r="J45" s="423">
        <f>H45+H48</f>
        <v>3.4181792000000009</v>
      </c>
      <c r="K45" s="423">
        <f>J45-0.0155*89+0.0153*80</f>
        <v>3.2626792000000009</v>
      </c>
    </row>
    <row r="46" spans="2:16">
      <c r="C46" s="365">
        <f>0.0073</f>
        <v>7.3000000000000001E-3</v>
      </c>
      <c r="D46" s="369">
        <v>20</v>
      </c>
      <c r="E46" s="370">
        <v>130</v>
      </c>
      <c r="F46" s="413">
        <v>23.23806424</v>
      </c>
      <c r="G46" s="371">
        <v>24.674287419999999</v>
      </c>
      <c r="H46" s="372">
        <f t="shared" ref="H46" si="11">G46-F46</f>
        <v>1.4362231799999989</v>
      </c>
      <c r="I46" s="423">
        <f>H46/$C46</f>
        <v>196.74290136986286</v>
      </c>
      <c r="J46" s="423"/>
      <c r="K46" s="423"/>
    </row>
    <row r="47" spans="2:16">
      <c r="C47" s="365">
        <f>0.3*1</f>
        <v>0.3</v>
      </c>
      <c r="D47" s="369">
        <v>20</v>
      </c>
      <c r="E47" s="370">
        <v>100</v>
      </c>
      <c r="F47" s="414">
        <v>22.688445730000002</v>
      </c>
      <c r="G47" s="414">
        <v>23.860908770000002</v>
      </c>
      <c r="H47" s="372">
        <f>G47-F47</f>
        <v>1.1724630400000002</v>
      </c>
      <c r="I47" s="423">
        <f>H47/$C46</f>
        <v>160.61137534246578</v>
      </c>
      <c r="J47" s="423"/>
      <c r="K47" s="423"/>
    </row>
    <row r="48" spans="2:16">
      <c r="C48" s="365">
        <f>C47/C46</f>
        <v>41.095890410958901</v>
      </c>
      <c r="D48" s="373">
        <v>30</v>
      </c>
      <c r="E48" s="374">
        <v>130</v>
      </c>
      <c r="F48" s="375">
        <v>22.552517659999999</v>
      </c>
      <c r="G48" s="375">
        <v>23.95904612</v>
      </c>
      <c r="H48" s="376">
        <f>G48-F48</f>
        <v>1.4065284600000005</v>
      </c>
      <c r="I48" s="423">
        <f>H48/$C46</f>
        <v>192.6751315068494</v>
      </c>
      <c r="J48" s="423"/>
      <c r="K48" s="423"/>
    </row>
    <row r="51" spans="2:11" ht="18.75">
      <c r="B51" t="s">
        <v>74</v>
      </c>
      <c r="C51" s="304"/>
      <c r="D51" s="305" t="s">
        <v>0</v>
      </c>
      <c r="E51" s="306" t="s">
        <v>1</v>
      </c>
      <c r="F51" s="306" t="s">
        <v>58</v>
      </c>
      <c r="G51" s="306" t="s">
        <v>59</v>
      </c>
      <c r="H51" s="307" t="s">
        <v>60</v>
      </c>
      <c r="I51" s="424"/>
    </row>
    <row r="52" spans="2:11">
      <c r="C52" s="356">
        <f>0.0156-0.0008</f>
        <v>1.4799999999999999E-2</v>
      </c>
      <c r="D52" s="434">
        <v>20</v>
      </c>
      <c r="E52" s="435">
        <v>130</v>
      </c>
      <c r="F52" s="442">
        <v>22.27660002</v>
      </c>
      <c r="G52" s="433">
        <v>27.760869880000001</v>
      </c>
      <c r="H52" s="436">
        <f t="shared" ref="H52" si="12">G52-F52</f>
        <v>5.4842698600000013</v>
      </c>
      <c r="I52" s="424">
        <f>H52/$C52</f>
        <v>370.55877432432442</v>
      </c>
      <c r="J52" s="428">
        <f>H52-0.0148*89+0.0153*56</f>
        <v>5.0238698600000014</v>
      </c>
    </row>
    <row r="53" spans="2:11">
      <c r="C53" s="356">
        <f>0.3*1.25</f>
        <v>0.375</v>
      </c>
      <c r="D53" s="434">
        <v>20</v>
      </c>
      <c r="E53" s="435">
        <v>100</v>
      </c>
      <c r="F53" s="444">
        <v>22.299994130000002</v>
      </c>
      <c r="G53" s="444">
        <v>27.09245962</v>
      </c>
      <c r="H53" s="436">
        <f>G53-F53</f>
        <v>4.7924654899999979</v>
      </c>
      <c r="I53" s="424">
        <f>H53/$C52</f>
        <v>323.81523581081069</v>
      </c>
      <c r="J53" s="427">
        <f>H53-0.0148*76+0.0153*43</f>
        <v>4.325565489999998</v>
      </c>
    </row>
    <row r="54" spans="2:11">
      <c r="C54" s="356">
        <f>C53/C52</f>
        <v>25.337837837837839</v>
      </c>
      <c r="D54" s="437">
        <v>30</v>
      </c>
      <c r="E54" s="438">
        <v>130</v>
      </c>
      <c r="F54" s="439">
        <v>22.081815429999999</v>
      </c>
      <c r="G54" s="439">
        <v>28.004131350000002</v>
      </c>
      <c r="H54" s="440">
        <f>G54-F54</f>
        <v>5.9223159200000026</v>
      </c>
      <c r="I54" s="424">
        <f>H54/$C52</f>
        <v>400.15648108108127</v>
      </c>
      <c r="J54" s="429">
        <f>H54-0.01448*96+0.0153*80</f>
        <v>5.7562359200000026</v>
      </c>
    </row>
    <row r="55" spans="2:11">
      <c r="C55" s="426"/>
      <c r="D55" s="426"/>
      <c r="E55" s="426"/>
      <c r="F55" s="426"/>
      <c r="G55" s="426"/>
      <c r="H55" s="426"/>
      <c r="I55" s="426"/>
      <c r="J55" s="426"/>
    </row>
    <row r="56" spans="2:11">
      <c r="C56" s="426"/>
      <c r="D56" s="426"/>
      <c r="E56" s="426"/>
      <c r="F56" s="426"/>
      <c r="G56" s="426"/>
      <c r="H56" s="426"/>
      <c r="I56" s="426"/>
      <c r="J56" s="426"/>
    </row>
    <row r="57" spans="2:11" ht="18.75">
      <c r="B57" t="s">
        <v>31</v>
      </c>
      <c r="C57" s="359"/>
      <c r="D57" s="447" t="s">
        <v>0</v>
      </c>
      <c r="E57" s="448" t="s">
        <v>1</v>
      </c>
      <c r="F57" s="448" t="s">
        <v>80</v>
      </c>
      <c r="G57" s="448" t="s">
        <v>81</v>
      </c>
      <c r="H57" s="449" t="s">
        <v>82</v>
      </c>
      <c r="I57" s="445"/>
      <c r="J57" s="445"/>
      <c r="K57" s="445">
        <v>3</v>
      </c>
    </row>
    <row r="58" spans="2:11">
      <c r="B58" s="4">
        <v>42339</v>
      </c>
      <c r="C58" s="359">
        <f>0.0201-0.008</f>
        <v>1.21E-2</v>
      </c>
      <c r="D58" s="360">
        <v>20</v>
      </c>
      <c r="E58" s="361">
        <v>130</v>
      </c>
      <c r="F58" s="450">
        <v>22.284347910000001</v>
      </c>
      <c r="G58" s="329">
        <v>24.519236679999999</v>
      </c>
      <c r="H58" s="362">
        <f t="shared" ref="H58" si="13">G58-F58</f>
        <v>2.2348887699999977</v>
      </c>
      <c r="I58" s="445">
        <f>H58/$C58</f>
        <v>184.70155123966924</v>
      </c>
      <c r="J58" s="445">
        <f>H58+H61</f>
        <v>3.6693748299999989</v>
      </c>
      <c r="K58" s="540">
        <f>J58-0.0201*56+0.02*129</f>
        <v>5.1237748299999986</v>
      </c>
    </row>
    <row r="59" spans="2:11">
      <c r="C59" s="359">
        <f>0.3*1</f>
        <v>0.3</v>
      </c>
      <c r="D59" s="360">
        <v>20</v>
      </c>
      <c r="E59" s="361">
        <v>100</v>
      </c>
      <c r="F59" s="451">
        <v>22.203271669999999</v>
      </c>
      <c r="G59" s="451">
        <v>24.240792200000001</v>
      </c>
      <c r="H59" s="362">
        <f>G59-F59</f>
        <v>2.0375205300000019</v>
      </c>
      <c r="I59" s="445">
        <f>H59/$C58</f>
        <v>168.39012644628116</v>
      </c>
      <c r="J59" s="445">
        <f>H59+H62</f>
        <v>3.0259542200000027</v>
      </c>
      <c r="K59" s="540">
        <f>J59-0.0201*46+0.02*107</f>
        <v>4.2413542200000034</v>
      </c>
    </row>
    <row r="60" spans="2:11">
      <c r="C60" s="359">
        <f>C59/C58</f>
        <v>24.793388429752067</v>
      </c>
      <c r="D60" s="363">
        <v>30</v>
      </c>
      <c r="E60" s="364">
        <v>130</v>
      </c>
      <c r="F60" s="330">
        <v>21.897984109999999</v>
      </c>
      <c r="G60" s="330">
        <v>24.279048580000001</v>
      </c>
      <c r="H60" s="441">
        <f>G60-F60</f>
        <v>2.3810644700000019</v>
      </c>
      <c r="I60" s="445">
        <f>H60/$C58</f>
        <v>196.78218760330594</v>
      </c>
      <c r="J60" s="445">
        <f>H60+H63</f>
        <v>3.6876108400000014</v>
      </c>
      <c r="K60" s="445">
        <f>J60-0.0191*120+0.0153*80</f>
        <v>2.6196108400000018</v>
      </c>
    </row>
    <row r="61" spans="2:11">
      <c r="C61" s="359">
        <f>0.007</f>
        <v>7.0000000000000001E-3</v>
      </c>
      <c r="D61" s="360">
        <v>20</v>
      </c>
      <c r="E61" s="361">
        <v>130</v>
      </c>
      <c r="F61" s="450">
        <v>23.219437790000001</v>
      </c>
      <c r="G61" s="329">
        <v>24.653923850000002</v>
      </c>
      <c r="H61" s="362">
        <f t="shared" ref="H61" si="14">G61-F61</f>
        <v>1.4344860600000011</v>
      </c>
      <c r="I61" s="445">
        <f>H61/$C61</f>
        <v>204.92658000000014</v>
      </c>
      <c r="J61" s="445"/>
      <c r="K61" s="445"/>
    </row>
    <row r="62" spans="2:11">
      <c r="C62" s="359">
        <f>0.3*1</f>
        <v>0.3</v>
      </c>
      <c r="D62" s="360">
        <v>20</v>
      </c>
      <c r="E62" s="361">
        <v>100</v>
      </c>
      <c r="F62" s="451">
        <v>22.54190058</v>
      </c>
      <c r="G62" s="451">
        <v>23.530334270000001</v>
      </c>
      <c r="H62" s="362">
        <f>G62-F62</f>
        <v>0.98843369000000081</v>
      </c>
      <c r="I62" s="445">
        <f>H62/$C61</f>
        <v>141.20481285714297</v>
      </c>
      <c r="J62" s="445"/>
      <c r="K62" s="445"/>
    </row>
    <row r="63" spans="2:11">
      <c r="C63" s="359">
        <f>C62/C61</f>
        <v>42.857142857142854</v>
      </c>
      <c r="D63" s="363">
        <v>30</v>
      </c>
      <c r="E63" s="364">
        <v>130</v>
      </c>
      <c r="F63" s="330">
        <v>23.566169210000002</v>
      </c>
      <c r="G63" s="330">
        <v>24.872715580000001</v>
      </c>
      <c r="H63" s="441">
        <f>G63-F63</f>
        <v>1.3065463699999995</v>
      </c>
      <c r="I63" s="445">
        <f>H63/$C61</f>
        <v>186.64948142857136</v>
      </c>
      <c r="J63" s="445"/>
      <c r="K63" s="445"/>
    </row>
    <row r="66" spans="2:13" ht="18.75">
      <c r="B66" s="460"/>
      <c r="C66" s="460"/>
      <c r="D66" s="461" t="s">
        <v>0</v>
      </c>
      <c r="E66" s="462" t="s">
        <v>1</v>
      </c>
      <c r="F66" s="462" t="s">
        <v>85</v>
      </c>
      <c r="G66" s="462" t="s">
        <v>86</v>
      </c>
      <c r="H66" s="463" t="s">
        <v>87</v>
      </c>
      <c r="I66" s="460"/>
      <c r="J66" s="460"/>
      <c r="L66" s="460"/>
      <c r="M66" s="460" t="s">
        <v>69</v>
      </c>
    </row>
    <row r="67" spans="2:13">
      <c r="B67" s="460" t="s">
        <v>84</v>
      </c>
      <c r="C67" s="460">
        <f>0.012</f>
        <v>1.2E-2</v>
      </c>
      <c r="D67" s="465">
        <v>15</v>
      </c>
      <c r="E67" s="466">
        <v>133</v>
      </c>
      <c r="F67" s="460">
        <v>22.884999834597092</v>
      </c>
      <c r="G67" s="460">
        <v>25.063079158251199</v>
      </c>
      <c r="H67" s="467">
        <f t="shared" ref="H67" si="15">G67-F67</f>
        <v>2.1780793236541065</v>
      </c>
      <c r="I67" s="460">
        <f>H67/$C67</f>
        <v>181.50661030450888</v>
      </c>
      <c r="J67" s="460">
        <f>H67-0.012*99+0.0153*56</f>
        <v>1.8468793236541066</v>
      </c>
      <c r="K67">
        <f>J67-0.012*56+0.02*129</f>
        <v>3.7548793236541065</v>
      </c>
      <c r="L67" s="460">
        <f>(K67-2.4312)/10.228</f>
        <v>0.12941721975499673</v>
      </c>
      <c r="M67" s="460">
        <f>100*(L67-$C$68)/$C$68</f>
        <v>-4.1353927740765011</v>
      </c>
    </row>
    <row r="68" spans="2:13">
      <c r="B68" s="460"/>
      <c r="C68" s="460">
        <f>0.3*0.45</f>
        <v>0.13500000000000001</v>
      </c>
      <c r="D68" s="465">
        <v>20</v>
      </c>
      <c r="E68" s="466">
        <v>100</v>
      </c>
      <c r="F68" s="460">
        <v>22.210349721333372</v>
      </c>
      <c r="G68" s="460">
        <v>24.247497722357402</v>
      </c>
      <c r="H68" s="467">
        <f>G68-F68</f>
        <v>2.037148001024029</v>
      </c>
      <c r="I68" s="460">
        <f>H68/$C67</f>
        <v>169.76233341866907</v>
      </c>
      <c r="J68" s="460">
        <f>H68-0.012*79+0.0153*43</f>
        <v>1.747048001024029</v>
      </c>
      <c r="L68" s="460">
        <f>(H68-0.5868)/11.994</f>
        <v>0.12092279481607712</v>
      </c>
      <c r="M68" s="460">
        <f>100*(L68-$C$68)/$C$68</f>
        <v>-10.427559395498433</v>
      </c>
    </row>
    <row r="69" spans="2:13">
      <c r="B69" s="460"/>
      <c r="C69" s="460">
        <f>C68/C67</f>
        <v>11.25</v>
      </c>
      <c r="D69" s="468">
        <v>30</v>
      </c>
      <c r="E69" s="469">
        <v>130</v>
      </c>
      <c r="F69" s="470">
        <v>23.451337129999999</v>
      </c>
      <c r="G69" s="472">
        <v>25.907460058180099</v>
      </c>
      <c r="H69" s="471">
        <f>G69-F69</f>
        <v>2.4561229281801005</v>
      </c>
      <c r="I69" s="460">
        <f>H69/$C67</f>
        <v>204.67691068167503</v>
      </c>
      <c r="J69" s="460">
        <f>H69-0.012*130+0.0153*80</f>
        <v>2.1201229281801002</v>
      </c>
      <c r="L69" s="460">
        <f>(J69-1.16)/6.74</f>
        <v>0.14245147302375374</v>
      </c>
      <c r="M69" s="460">
        <f>(L69-$C$68)/$C$68</f>
        <v>5.5196096472249885E-2</v>
      </c>
    </row>
    <row r="70" spans="2:13">
      <c r="B70" s="460" t="s">
        <v>83</v>
      </c>
      <c r="C70" s="460">
        <f>0.0112</f>
        <v>1.12E-2</v>
      </c>
      <c r="D70" s="465">
        <v>20</v>
      </c>
      <c r="E70" s="466">
        <v>130</v>
      </c>
      <c r="F70" s="460">
        <v>23.229496075480949</v>
      </c>
      <c r="G70" s="460">
        <v>24.9200057935718</v>
      </c>
      <c r="H70" s="467">
        <f t="shared" ref="H70" si="16">G70-F70</f>
        <v>1.6905097180908513</v>
      </c>
      <c r="I70" s="460">
        <f>H70/$C70</f>
        <v>150.93836768668314</v>
      </c>
      <c r="J70" s="460">
        <f>H70-0.0112*99+0.0153*56</f>
        <v>1.4385097180908513</v>
      </c>
      <c r="L70" s="460">
        <f>(J70-0.7)/6.65</f>
        <v>0.11105409294599267</v>
      </c>
      <c r="M70" s="460">
        <f>(L70-$C$70)/$C$71</f>
        <v>0.95099136139040641</v>
      </c>
    </row>
    <row r="71" spans="2:13">
      <c r="B71" s="460"/>
      <c r="C71" s="460">
        <f>0.3*0.35</f>
        <v>0.105</v>
      </c>
      <c r="D71" s="465">
        <v>20</v>
      </c>
      <c r="E71" s="466">
        <v>100</v>
      </c>
      <c r="F71" s="460">
        <v>23.2877642385819</v>
      </c>
      <c r="G71" s="475">
        <v>24.657549483</v>
      </c>
      <c r="H71" s="467">
        <f>G71-F71</f>
        <v>1.3697852444181002</v>
      </c>
      <c r="I71" s="460">
        <f>H71/$C70</f>
        <v>122.30225396590181</v>
      </c>
      <c r="J71" s="460">
        <f>H71-0.0112*79+0.0153*43</f>
        <v>1.1428852444181001</v>
      </c>
      <c r="L71" s="460">
        <f>(J71-0.44)/6.36</f>
        <v>0.11051654786448116</v>
      </c>
      <c r="M71" s="460">
        <f>(L71-$C$71)/$C$71</f>
        <v>5.2538551090296801E-2</v>
      </c>
    </row>
    <row r="72" spans="2:13">
      <c r="B72" s="460"/>
      <c r="C72" s="460">
        <f>C71/C70</f>
        <v>9.375</v>
      </c>
      <c r="D72" s="468">
        <v>30</v>
      </c>
      <c r="E72" s="469">
        <v>130</v>
      </c>
      <c r="F72" s="472">
        <v>23.272781596945599</v>
      </c>
      <c r="G72" s="472">
        <v>25.321847457995801</v>
      </c>
      <c r="H72" s="471">
        <f>G72-F72</f>
        <v>2.0490658610502024</v>
      </c>
      <c r="I72" s="460">
        <f>H72/$C70</f>
        <v>182.95230902233951</v>
      </c>
      <c r="J72" s="460">
        <f>H72-0.0112*130+0.0153*80</f>
        <v>1.8170658610502024</v>
      </c>
      <c r="L72" s="460">
        <f>(J72-1.16)/6.74</f>
        <v>9.7487516476291169E-2</v>
      </c>
      <c r="M72" s="460">
        <f>(L72-$C$71)/$C$71</f>
        <v>-7.1547462130560263E-2</v>
      </c>
    </row>
    <row r="75" spans="2:13" ht="18.75">
      <c r="B75" s="4">
        <v>42340</v>
      </c>
      <c r="C75" s="494"/>
      <c r="D75" s="496" t="s">
        <v>0</v>
      </c>
      <c r="E75" s="497" t="s">
        <v>1</v>
      </c>
      <c r="F75" s="497" t="s">
        <v>94</v>
      </c>
      <c r="G75" s="497" t="s">
        <v>93</v>
      </c>
      <c r="H75" s="498" t="s">
        <v>47</v>
      </c>
      <c r="I75" s="494"/>
      <c r="J75" s="494"/>
      <c r="K75" s="494"/>
    </row>
    <row r="76" spans="2:13">
      <c r="B76" t="s">
        <v>92</v>
      </c>
      <c r="C76" s="494">
        <f>0.0296-0.0152</f>
        <v>1.4400000000000001E-2</v>
      </c>
      <c r="D76" s="499">
        <v>20</v>
      </c>
      <c r="E76" s="500">
        <v>130</v>
      </c>
      <c r="F76" s="501">
        <v>22.589470179999999</v>
      </c>
      <c r="G76" s="494">
        <v>23.750664220000001</v>
      </c>
      <c r="H76" s="502">
        <f t="shared" ref="H76" si="17">G76-F76</f>
        <v>1.1611940400000016</v>
      </c>
      <c r="I76" s="494">
        <f>H76/$C76</f>
        <v>80.638475000000099</v>
      </c>
      <c r="J76" s="494">
        <f>H76+H79</f>
        <v>2.3350540600000009</v>
      </c>
      <c r="K76" s="494">
        <f>J76/0.0296</f>
        <v>78.886961486486513</v>
      </c>
    </row>
    <row r="77" spans="2:13">
      <c r="B77" t="s">
        <v>64</v>
      </c>
      <c r="C77" s="494">
        <f>0.3*1.5</f>
        <v>0.44999999999999996</v>
      </c>
      <c r="D77" s="499">
        <v>20</v>
      </c>
      <c r="E77" s="500">
        <v>100</v>
      </c>
      <c r="F77" s="503">
        <v>22.539479140000001</v>
      </c>
      <c r="G77" s="503">
        <v>23.56942884</v>
      </c>
      <c r="H77" s="502">
        <f>G77-F77</f>
        <v>1.0299496999999995</v>
      </c>
      <c r="I77" s="494">
        <f>H77/$C76</f>
        <v>71.524284722222177</v>
      </c>
      <c r="J77" s="494">
        <f>H77+H80</f>
        <v>2.0377339199999973</v>
      </c>
      <c r="K77" s="494">
        <f>J77/0.0296</f>
        <v>68.842362162162075</v>
      </c>
    </row>
    <row r="78" spans="2:13">
      <c r="C78" s="494">
        <f>C77/C76</f>
        <v>31.249999999999993</v>
      </c>
      <c r="D78" s="504">
        <v>30</v>
      </c>
      <c r="E78" s="505">
        <v>130</v>
      </c>
      <c r="F78" s="506">
        <v>22.318395800000001</v>
      </c>
      <c r="G78" s="506">
        <v>23.709774899999999</v>
      </c>
      <c r="H78" s="507">
        <f>G78-F78</f>
        <v>1.3913790999999982</v>
      </c>
      <c r="I78" s="494">
        <f>H78/$C76</f>
        <v>96.623548611110976</v>
      </c>
      <c r="J78" s="494">
        <f>H78+H81</f>
        <v>2.7446568899999981</v>
      </c>
      <c r="K78" s="494">
        <f>J78/0.0296</f>
        <v>92.724894932432363</v>
      </c>
    </row>
    <row r="79" spans="2:13">
      <c r="C79" s="494">
        <f>0.0152</f>
        <v>1.52E-2</v>
      </c>
      <c r="D79" s="499">
        <v>20</v>
      </c>
      <c r="E79" s="500">
        <v>130</v>
      </c>
      <c r="F79" s="501">
        <v>22.58760754</v>
      </c>
      <c r="G79" s="494">
        <v>23.76146756</v>
      </c>
      <c r="H79" s="502">
        <f t="shared" ref="H79" si="18">G79-F79</f>
        <v>1.1738600199999993</v>
      </c>
      <c r="I79" s="494">
        <f>H79/$C79</f>
        <v>77.2276328947368</v>
      </c>
      <c r="J79" s="494"/>
      <c r="K79" s="494"/>
    </row>
    <row r="80" spans="2:13">
      <c r="C80" s="494">
        <f>0.3*1</f>
        <v>0.3</v>
      </c>
      <c r="D80" s="499">
        <v>20</v>
      </c>
      <c r="E80" s="500">
        <v>100</v>
      </c>
      <c r="F80" s="503">
        <v>22.572447960000002</v>
      </c>
      <c r="G80" s="503">
        <v>23.580232179999999</v>
      </c>
      <c r="H80" s="502">
        <f>G80-F80</f>
        <v>1.0077842199999978</v>
      </c>
      <c r="I80" s="494">
        <f>H80/$C79</f>
        <v>66.301593421052488</v>
      </c>
      <c r="J80" s="494"/>
      <c r="K80" s="494"/>
    </row>
    <row r="81" spans="2:17">
      <c r="C81" s="494">
        <f>C80/C79</f>
        <v>19.736842105263158</v>
      </c>
      <c r="D81" s="504">
        <v>30</v>
      </c>
      <c r="E81" s="505">
        <v>130</v>
      </c>
      <c r="F81" s="506">
        <v>22.395803180000001</v>
      </c>
      <c r="G81" s="506">
        <v>23.749080970000001</v>
      </c>
      <c r="H81" s="507">
        <f>G81-F81</f>
        <v>1.3532777899999999</v>
      </c>
      <c r="I81" s="494">
        <f>H81/$C79</f>
        <v>89.031433552631569</v>
      </c>
      <c r="J81" s="494"/>
      <c r="K81" s="494"/>
    </row>
    <row r="83" spans="2:17">
      <c r="Q83" s="495"/>
    </row>
    <row r="84" spans="2:17" ht="18.75">
      <c r="B84" s="4">
        <v>42341</v>
      </c>
      <c r="C84" s="304"/>
      <c r="D84" s="305" t="s">
        <v>0</v>
      </c>
      <c r="E84" s="306" t="s">
        <v>1</v>
      </c>
      <c r="F84" s="306" t="s">
        <v>58</v>
      </c>
      <c r="G84" s="306" t="s">
        <v>59</v>
      </c>
      <c r="H84" s="307" t="s">
        <v>60</v>
      </c>
      <c r="I84" s="304"/>
      <c r="J84" s="510"/>
      <c r="K84" s="510">
        <v>1</v>
      </c>
      <c r="L84">
        <v>2</v>
      </c>
      <c r="M84" s="521" t="s">
        <v>61</v>
      </c>
      <c r="N84" s="521" t="s">
        <v>62</v>
      </c>
      <c r="P84" s="521" t="s">
        <v>69</v>
      </c>
      <c r="Q84">
        <v>1</v>
      </c>
    </row>
    <row r="85" spans="2:17">
      <c r="B85" t="s">
        <v>97</v>
      </c>
      <c r="C85" s="331">
        <f>0.0286-0.0169</f>
        <v>1.1700000000000002E-2</v>
      </c>
      <c r="D85" s="308">
        <v>20</v>
      </c>
      <c r="E85" s="309">
        <v>130</v>
      </c>
      <c r="F85" s="331">
        <v>22.884813569999999</v>
      </c>
      <c r="G85" s="331">
        <v>26.925500599999999</v>
      </c>
      <c r="H85" s="310">
        <f t="shared" ref="H85" si="19">G85-F85</f>
        <v>4.0406870300000008</v>
      </c>
      <c r="I85" s="331">
        <f>H85/$C85</f>
        <v>345.35786581196584</v>
      </c>
      <c r="J85" s="510">
        <f>H85+H88</f>
        <v>8.1017971399999986</v>
      </c>
      <c r="K85" s="510">
        <f>J85-0.0235*42+0.0153*56</f>
        <v>7.9715971399999983</v>
      </c>
      <c r="L85">
        <v>8.2731991500000017</v>
      </c>
      <c r="M85" s="521">
        <f>AVERAGE(K85:L85)</f>
        <v>8.122398145</v>
      </c>
      <c r="N85" s="521">
        <f>_xlfn.STDEV.S(K85:L85)</f>
        <v>0.21326482649049533</v>
      </c>
      <c r="P85" s="521">
        <f>N85/M85</f>
        <v>2.6256386683257735E-2</v>
      </c>
      <c r="Q85">
        <f>M85+1</f>
        <v>9.122398145</v>
      </c>
    </row>
    <row r="86" spans="2:17">
      <c r="B86" t="s">
        <v>98</v>
      </c>
      <c r="C86" s="331">
        <f>0.3*2</f>
        <v>0.6</v>
      </c>
      <c r="D86" s="308">
        <v>20</v>
      </c>
      <c r="E86" s="309">
        <v>100</v>
      </c>
      <c r="F86" s="331">
        <v>22.370630349999999</v>
      </c>
      <c r="G86" s="331">
        <v>25.746566399999999</v>
      </c>
      <c r="H86" s="310">
        <f>G86-F86</f>
        <v>3.37593605</v>
      </c>
      <c r="I86" s="331">
        <f>H86/$C85</f>
        <v>288.5415427350427</v>
      </c>
      <c r="J86" s="510">
        <f>H86+H89</f>
        <v>7.2399782899999998</v>
      </c>
      <c r="K86" s="510">
        <f>J86-0.0235*35+0.0153*43</f>
        <v>7.0753782899999997</v>
      </c>
      <c r="L86">
        <v>6.9834788699999981</v>
      </c>
      <c r="M86" s="521">
        <f t="shared" ref="M86:M87" si="20">AVERAGE(K86:L86)</f>
        <v>7.0294285799999994</v>
      </c>
      <c r="N86" s="521">
        <f t="shared" ref="N86:N87" si="21">_xlfn.STDEV.S(K86:L86)</f>
        <v>6.4982703069111775E-2</v>
      </c>
      <c r="P86" s="521">
        <f t="shared" ref="P86:P87" si="22">N86/M86</f>
        <v>9.2443791596374374E-3</v>
      </c>
      <c r="Q86" s="523">
        <f t="shared" ref="Q86:Q87" si="23">M86+1</f>
        <v>8.0294285799999994</v>
      </c>
    </row>
    <row r="87" spans="2:17">
      <c r="C87" s="331">
        <f>C85/0.026*C86</f>
        <v>0.27000000000000007</v>
      </c>
      <c r="D87" s="311">
        <v>30</v>
      </c>
      <c r="E87" s="312">
        <v>130</v>
      </c>
      <c r="F87" s="332">
        <v>21.854863869999999</v>
      </c>
      <c r="G87" s="332">
        <v>23.742096050000001</v>
      </c>
      <c r="H87" s="314">
        <f>G87-F87</f>
        <v>1.8872321800000016</v>
      </c>
      <c r="I87" s="331">
        <f>H87/$C85</f>
        <v>161.30189572649584</v>
      </c>
      <c r="J87" s="510">
        <f>H87+H90</f>
        <v>4.6074121900000016</v>
      </c>
      <c r="K87" s="510">
        <f>J87-0.0235*59+0.0153*80</f>
        <v>4.4449121900000019</v>
      </c>
      <c r="L87">
        <v>4.1620912400000014</v>
      </c>
      <c r="M87" s="521">
        <f t="shared" si="20"/>
        <v>4.3035017150000012</v>
      </c>
      <c r="N87" s="521">
        <f t="shared" si="21"/>
        <v>0.19998461160662187</v>
      </c>
      <c r="P87" s="521">
        <f t="shared" si="22"/>
        <v>4.6470206090442286E-2</v>
      </c>
      <c r="Q87" s="523">
        <f t="shared" si="23"/>
        <v>5.3035017150000012</v>
      </c>
    </row>
    <row r="88" spans="2:17">
      <c r="C88" s="331">
        <f>0.0169</f>
        <v>1.6899999999999998E-2</v>
      </c>
      <c r="D88" s="308">
        <v>20</v>
      </c>
      <c r="E88" s="309">
        <v>130</v>
      </c>
      <c r="F88" s="331">
        <v>21.860358680000001</v>
      </c>
      <c r="G88" s="331">
        <v>25.921468789999999</v>
      </c>
      <c r="H88" s="310">
        <f t="shared" ref="H88" si="24">G88-F88</f>
        <v>4.0611101099999978</v>
      </c>
      <c r="I88" s="331">
        <f>H88/$C88</f>
        <v>240.30237337278095</v>
      </c>
      <c r="J88" s="510"/>
      <c r="K88" s="510"/>
    </row>
    <row r="89" spans="2:17">
      <c r="C89" s="331">
        <f>0.3*1</f>
        <v>0.3</v>
      </c>
      <c r="D89" s="308">
        <v>20</v>
      </c>
      <c r="E89" s="309">
        <v>100</v>
      </c>
      <c r="F89" s="331">
        <v>21.886249450000001</v>
      </c>
      <c r="G89" s="331">
        <v>25.750291690000001</v>
      </c>
      <c r="H89" s="310">
        <f>G89-F89</f>
        <v>3.8640422399999999</v>
      </c>
      <c r="I89" s="331">
        <f>H89/$C88</f>
        <v>228.64155266272192</v>
      </c>
      <c r="J89" s="510"/>
      <c r="K89" s="510"/>
    </row>
    <row r="90" spans="2:17">
      <c r="C90" s="331">
        <f>C88/0.026*C89</f>
        <v>0.19499999999999998</v>
      </c>
      <c r="D90" s="311">
        <v>30</v>
      </c>
      <c r="E90" s="312">
        <v>130</v>
      </c>
      <c r="F90" s="332">
        <v>22.209325270000001</v>
      </c>
      <c r="G90" s="332">
        <v>24.929505280000001</v>
      </c>
      <c r="H90" s="314">
        <f>G90-F90</f>
        <v>2.72018001</v>
      </c>
      <c r="I90" s="331">
        <f>H90/$C88</f>
        <v>160.95739704142014</v>
      </c>
      <c r="J90" s="510"/>
      <c r="K90" s="510"/>
    </row>
    <row r="91" spans="2:17" ht="18.75">
      <c r="C91" s="365"/>
      <c r="D91" s="366" t="s">
        <v>0</v>
      </c>
      <c r="E91" s="367" t="s">
        <v>1</v>
      </c>
      <c r="F91" s="367" t="s">
        <v>65</v>
      </c>
      <c r="G91" s="367" t="s">
        <v>66</v>
      </c>
      <c r="H91" s="368" t="s">
        <v>67</v>
      </c>
      <c r="I91" s="365"/>
      <c r="J91" s="520"/>
      <c r="K91" s="520"/>
    </row>
    <row r="92" spans="2:17">
      <c r="C92" s="371">
        <f>0.0318-0.0174</f>
        <v>1.4400000000000003E-2</v>
      </c>
      <c r="D92" s="369">
        <v>20</v>
      </c>
      <c r="E92" s="370">
        <v>130</v>
      </c>
      <c r="F92" s="371">
        <v>22.66371758</v>
      </c>
      <c r="G92" s="371">
        <v>26.958262170000001</v>
      </c>
      <c r="H92" s="372">
        <f t="shared" ref="H92" si="25">G92-F92</f>
        <v>4.294544590000001</v>
      </c>
      <c r="I92" s="371">
        <f>H92/$C92</f>
        <v>298.23226319444444</v>
      </c>
      <c r="J92" s="520">
        <f>H92+H95</f>
        <v>8.6763991500000017</v>
      </c>
      <c r="K92" s="520">
        <f>J92-0.03*42+0.0153*56</f>
        <v>8.2731991500000017</v>
      </c>
    </row>
    <row r="93" spans="2:17">
      <c r="C93" s="371">
        <f>0.3*1</f>
        <v>0.3</v>
      </c>
      <c r="D93" s="369">
        <v>20</v>
      </c>
      <c r="E93" s="370">
        <v>100</v>
      </c>
      <c r="F93" s="371">
        <v>22.259896090000002</v>
      </c>
      <c r="G93" s="371">
        <v>26.090690110000001</v>
      </c>
      <c r="H93" s="372">
        <f>G93-F93</f>
        <v>3.830794019999999</v>
      </c>
      <c r="I93" s="371">
        <f>H93/$C92</f>
        <v>266.02736249999987</v>
      </c>
      <c r="J93" s="520">
        <f>H93+H96</f>
        <v>7.3755788699999982</v>
      </c>
      <c r="K93" s="520">
        <f>J93-0.03*35+0.0153*43</f>
        <v>6.9834788699999981</v>
      </c>
    </row>
    <row r="94" spans="2:17">
      <c r="C94" s="371">
        <f>C92/0.026*C93</f>
        <v>0.16615384615384618</v>
      </c>
      <c r="D94" s="373">
        <v>30</v>
      </c>
      <c r="E94" s="374">
        <v>130</v>
      </c>
      <c r="F94" s="375">
        <v>22.2805955</v>
      </c>
      <c r="G94" s="375">
        <v>24.765060829999999</v>
      </c>
      <c r="H94" s="376">
        <f>G94-F94</f>
        <v>2.484465329999999</v>
      </c>
      <c r="I94" s="371">
        <f>H94/$C92</f>
        <v>172.53231458333323</v>
      </c>
      <c r="J94" s="520">
        <f>H94+H97</f>
        <v>4.7080912400000017</v>
      </c>
      <c r="K94" s="520">
        <f>J94-0.03*59+0.0153*80</f>
        <v>4.1620912400000014</v>
      </c>
    </row>
    <row r="95" spans="2:17">
      <c r="C95" s="371">
        <f>0.0174</f>
        <v>1.7399999999999999E-2</v>
      </c>
      <c r="D95" s="369">
        <v>20</v>
      </c>
      <c r="E95" s="370">
        <v>130</v>
      </c>
      <c r="F95" s="371">
        <v>22.444018570000001</v>
      </c>
      <c r="G95" s="371">
        <v>26.825873130000002</v>
      </c>
      <c r="H95" s="372">
        <f t="shared" ref="H95" si="26">G95-F95</f>
        <v>4.3818545600000007</v>
      </c>
      <c r="I95" s="371">
        <f>H95/$C95</f>
        <v>251.83072183908052</v>
      </c>
      <c r="J95" s="520"/>
      <c r="K95" s="520"/>
    </row>
    <row r="96" spans="2:17">
      <c r="C96" s="371">
        <f>0.3*1</f>
        <v>0.3</v>
      </c>
      <c r="D96" s="369">
        <v>20</v>
      </c>
      <c r="E96" s="370">
        <v>100</v>
      </c>
      <c r="F96" s="371">
        <v>22.512563910000001</v>
      </c>
      <c r="G96" s="371">
        <v>26.05734876</v>
      </c>
      <c r="H96" s="372">
        <f>G96-F96</f>
        <v>3.5447848499999992</v>
      </c>
      <c r="I96" s="371">
        <f>H96/$C95</f>
        <v>203.72326724137929</v>
      </c>
      <c r="J96" s="520"/>
      <c r="K96" s="520"/>
    </row>
    <row r="97" spans="2:17">
      <c r="C97" s="371">
        <f>C95/0.026*C96</f>
        <v>0.20076923076923076</v>
      </c>
      <c r="D97" s="373">
        <v>30</v>
      </c>
      <c r="E97" s="374">
        <v>130</v>
      </c>
      <c r="F97" s="375">
        <v>22.545998399999998</v>
      </c>
      <c r="G97" s="375">
        <v>24.769624310000001</v>
      </c>
      <c r="H97" s="376">
        <f>G97-F97</f>
        <v>2.2236259100000026</v>
      </c>
      <c r="I97" s="371">
        <f>H97/$C95</f>
        <v>127.79459252873579</v>
      </c>
      <c r="J97" s="520"/>
      <c r="K97" s="520"/>
    </row>
    <row r="100" spans="2:17" ht="18.75">
      <c r="B100" t="s">
        <v>92</v>
      </c>
      <c r="C100" s="304"/>
      <c r="D100" s="305" t="s">
        <v>0</v>
      </c>
      <c r="E100" s="306" t="s">
        <v>1</v>
      </c>
      <c r="F100" s="306" t="s">
        <v>58</v>
      </c>
      <c r="G100" s="306" t="s">
        <v>59</v>
      </c>
      <c r="H100" s="307" t="s">
        <v>60</v>
      </c>
      <c r="I100" s="304"/>
      <c r="J100" s="522"/>
      <c r="K100" s="522">
        <v>1</v>
      </c>
      <c r="L100">
        <v>2</v>
      </c>
      <c r="M100" s="524" t="s">
        <v>61</v>
      </c>
      <c r="N100" s="524" t="s">
        <v>62</v>
      </c>
      <c r="P100" s="524" t="s">
        <v>69</v>
      </c>
      <c r="Q100">
        <v>1</v>
      </c>
    </row>
    <row r="101" spans="2:17">
      <c r="C101" s="331">
        <f>0.0184-0.0084</f>
        <v>0.01</v>
      </c>
      <c r="D101" s="308">
        <v>20</v>
      </c>
      <c r="E101" s="309">
        <v>130</v>
      </c>
      <c r="F101" s="331">
        <v>22.545625869999999</v>
      </c>
      <c r="G101" s="331">
        <v>25.921817269999998</v>
      </c>
      <c r="H101" s="310">
        <f t="shared" ref="H101" si="27">G101-F101</f>
        <v>3.3761913999999997</v>
      </c>
      <c r="I101" s="331">
        <f>H101/$C101</f>
        <v>337.61913999999996</v>
      </c>
      <c r="J101" s="522">
        <f>H101+H104</f>
        <v>5.6064204999999987</v>
      </c>
      <c r="K101" s="522">
        <f>J101-0.0184*56+0.02*129</f>
        <v>7.1560204999999986</v>
      </c>
      <c r="L101">
        <v>7.2338828199999989</v>
      </c>
      <c r="M101" s="524">
        <f>AVERAGE(K101:L101)</f>
        <v>7.1949516599999992</v>
      </c>
      <c r="N101" s="524">
        <f>_xlfn.STDEV.S(K101:L101)</f>
        <v>5.505697447091721E-2</v>
      </c>
      <c r="P101" s="524">
        <f>N101/M101</f>
        <v>7.6521673907837227E-3</v>
      </c>
      <c r="Q101">
        <f>M101+0.8</f>
        <v>7.994951659999999</v>
      </c>
    </row>
    <row r="102" spans="2:17">
      <c r="C102" s="331">
        <f>0.3*1.5</f>
        <v>0.44999999999999996</v>
      </c>
      <c r="D102" s="308">
        <v>20</v>
      </c>
      <c r="E102" s="309">
        <v>100</v>
      </c>
      <c r="F102" s="331">
        <v>22.545812130000002</v>
      </c>
      <c r="G102" s="331">
        <v>25.274591446999999</v>
      </c>
      <c r="H102" s="310">
        <f>G102-F102</f>
        <v>2.7287793169999972</v>
      </c>
      <c r="I102" s="331">
        <f>H102/$C101</f>
        <v>272.87793169999969</v>
      </c>
      <c r="J102" s="522">
        <f>H102+H105</f>
        <v>4.8116606989999973</v>
      </c>
      <c r="K102" s="522">
        <f>J102-0.0184*46+0.02*107</f>
        <v>6.1052606989999969</v>
      </c>
      <c r="L102">
        <v>5.9597798900000001</v>
      </c>
      <c r="M102" s="525">
        <f t="shared" ref="M102:M103" si="28">AVERAGE(K102:L102)</f>
        <v>6.0325202944999985</v>
      </c>
      <c r="N102" s="525">
        <f t="shared" ref="N102:N103" si="29">_xlfn.STDEV.S(K102:L102)</f>
        <v>0.10287046657640267</v>
      </c>
      <c r="P102" s="526">
        <f t="shared" ref="P102:P103" si="30">N102/M102</f>
        <v>1.7052651554308452E-2</v>
      </c>
      <c r="Q102" s="531">
        <f t="shared" ref="Q102:Q103" si="31">M102+0.8</f>
        <v>6.8325202944999983</v>
      </c>
    </row>
    <row r="103" spans="2:17">
      <c r="C103" s="331">
        <f>C101/0.026*C102</f>
        <v>0.17307692307692307</v>
      </c>
      <c r="D103" s="311">
        <v>30</v>
      </c>
      <c r="E103" s="312">
        <v>130</v>
      </c>
      <c r="F103" s="332">
        <v>22.302830060000002</v>
      </c>
      <c r="G103" s="332">
        <v>24.087244219999999</v>
      </c>
      <c r="H103" s="314">
        <f>G103-F103</f>
        <v>1.7844141599999972</v>
      </c>
      <c r="I103" s="331">
        <f>H103/$C101</f>
        <v>178.44141599999972</v>
      </c>
      <c r="J103" s="522">
        <f>H103+H106</f>
        <v>2.9423485699999965</v>
      </c>
      <c r="K103" s="522">
        <f>J103-0.0145*59+0.0153*80</f>
        <v>3.3108485699999965</v>
      </c>
      <c r="L103">
        <v>3.4293824899999992</v>
      </c>
      <c r="M103" s="525">
        <f t="shared" si="28"/>
        <v>3.3701155299999979</v>
      </c>
      <c r="N103" s="525">
        <f t="shared" si="29"/>
        <v>8.3816138632625589E-2</v>
      </c>
      <c r="P103" s="526">
        <f t="shared" si="30"/>
        <v>2.4870405149768158E-2</v>
      </c>
      <c r="Q103" s="531">
        <f t="shared" si="31"/>
        <v>4.1701155299999977</v>
      </c>
    </row>
    <row r="104" spans="2:17">
      <c r="C104" s="331">
        <f>0.0044</f>
        <v>4.4000000000000003E-3</v>
      </c>
      <c r="D104" s="308">
        <v>20</v>
      </c>
      <c r="E104" s="309">
        <v>130</v>
      </c>
      <c r="F104" s="331">
        <v>22.54087612</v>
      </c>
      <c r="G104" s="331">
        <v>24.771105219999999</v>
      </c>
      <c r="H104" s="310">
        <f t="shared" ref="H104" si="32">G104-F104</f>
        <v>2.230229099999999</v>
      </c>
      <c r="I104" s="331">
        <f>H104/$C104</f>
        <v>506.87024999999971</v>
      </c>
      <c r="J104" s="522"/>
      <c r="K104" s="522"/>
    </row>
    <row r="105" spans="2:17">
      <c r="C105" s="331">
        <f>0.3*1.5</f>
        <v>0.44999999999999996</v>
      </c>
      <c r="D105" s="308">
        <v>20</v>
      </c>
      <c r="E105" s="309">
        <v>100</v>
      </c>
      <c r="F105" s="331">
        <v>22.206624430000002</v>
      </c>
      <c r="G105" s="331">
        <v>24.289505812000002</v>
      </c>
      <c r="H105" s="310">
        <f>G105-F105</f>
        <v>2.0828813820000001</v>
      </c>
      <c r="I105" s="331">
        <f>H105/$C104</f>
        <v>473.38213227272723</v>
      </c>
      <c r="J105" s="522"/>
      <c r="K105" s="522"/>
    </row>
    <row r="106" spans="2:17">
      <c r="C106" s="331">
        <f>C104/0.026*C105</f>
        <v>7.6153846153846155E-2</v>
      </c>
      <c r="D106" s="311">
        <v>30</v>
      </c>
      <c r="E106" s="312">
        <v>130</v>
      </c>
      <c r="F106" s="332">
        <v>22.58844573</v>
      </c>
      <c r="G106" s="332">
        <v>23.746380139999999</v>
      </c>
      <c r="H106" s="314">
        <f>G106-F106</f>
        <v>1.1579344099999993</v>
      </c>
      <c r="I106" s="331">
        <f>H106/$C104</f>
        <v>263.16691136363619</v>
      </c>
      <c r="J106" s="522"/>
      <c r="K106" s="522"/>
    </row>
    <row r="107" spans="2:17" ht="18.75">
      <c r="C107" s="365"/>
      <c r="D107" s="366" t="s">
        <v>0</v>
      </c>
      <c r="E107" s="367" t="s">
        <v>1</v>
      </c>
      <c r="F107" s="367" t="s">
        <v>65</v>
      </c>
      <c r="G107" s="367" t="s">
        <v>66</v>
      </c>
      <c r="H107" s="368" t="s">
        <v>67</v>
      </c>
      <c r="I107" s="365"/>
      <c r="J107" s="524"/>
      <c r="K107" s="524">
        <v>2</v>
      </c>
    </row>
    <row r="108" spans="2:17">
      <c r="C108" s="371">
        <f>0.0232-0.0127</f>
        <v>1.0499999999999999E-2</v>
      </c>
      <c r="D108" s="369">
        <v>20</v>
      </c>
      <c r="E108" s="370">
        <v>130</v>
      </c>
      <c r="F108" s="371">
        <v>22.679598160000001</v>
      </c>
      <c r="G108" s="371">
        <v>26.097768160000001</v>
      </c>
      <c r="H108" s="372">
        <f t="shared" ref="H108" si="33">G108-F108</f>
        <v>3.4181699999999999</v>
      </c>
      <c r="I108" s="371">
        <f>H108/$C108</f>
        <v>325.54000000000002</v>
      </c>
      <c r="J108" s="524">
        <f>H108+H111</f>
        <v>5.9530828199999988</v>
      </c>
      <c r="K108" s="540">
        <f>J108-0.0232*56+0.02*129</f>
        <v>7.2338828199999989</v>
      </c>
    </row>
    <row r="109" spans="2:17">
      <c r="C109" s="371">
        <f>0.3*1.5</f>
        <v>0.44999999999999996</v>
      </c>
      <c r="D109" s="369">
        <v>20</v>
      </c>
      <c r="E109" s="370">
        <v>100</v>
      </c>
      <c r="F109" s="371">
        <v>22.264066060000001</v>
      </c>
      <c r="G109" s="371">
        <v>24.750012290000001</v>
      </c>
      <c r="H109" s="372">
        <f>G109-F109</f>
        <v>2.4859462299999997</v>
      </c>
      <c r="I109" s="371">
        <f>H109/$C108</f>
        <v>236.7567838095238</v>
      </c>
      <c r="J109" s="524">
        <f>H109+H112</f>
        <v>4.8869798899999992</v>
      </c>
      <c r="K109" s="540">
        <f>J109-0.0232*46+0.02*107</f>
        <v>5.9597798900000001</v>
      </c>
    </row>
    <row r="110" spans="2:17">
      <c r="C110" s="371">
        <f>C108/0.026*C109</f>
        <v>0.1817307692307692</v>
      </c>
      <c r="D110" s="373">
        <v>30</v>
      </c>
      <c r="E110" s="374">
        <v>130</v>
      </c>
      <c r="F110" s="375">
        <v>22.54953742</v>
      </c>
      <c r="G110" s="375">
        <v>25.388268669999999</v>
      </c>
      <c r="H110" s="376">
        <f>G110-F110</f>
        <v>2.8387312499999986</v>
      </c>
      <c r="I110" s="371">
        <f>H110/$C108</f>
        <v>270.35535714285703</v>
      </c>
      <c r="J110" s="524">
        <f>H110+H113</f>
        <v>4.6971824899999959</v>
      </c>
      <c r="K110" s="524">
        <f>J110-0.0202*59+0.0153*80</f>
        <v>4.7293824899999963</v>
      </c>
    </row>
    <row r="111" spans="2:17">
      <c r="C111" s="371">
        <f>0.0124</f>
        <v>1.24E-2</v>
      </c>
      <c r="D111" s="369">
        <v>20</v>
      </c>
      <c r="E111" s="370">
        <v>130</v>
      </c>
      <c r="F111" s="371">
        <v>22.8825784</v>
      </c>
      <c r="G111" s="371">
        <v>25.417491219999999</v>
      </c>
      <c r="H111" s="372">
        <f t="shared" ref="H111" si="34">G111-F111</f>
        <v>2.5349128199999988</v>
      </c>
      <c r="I111" s="371">
        <f>H111/$C111</f>
        <v>204.42845322580638</v>
      </c>
      <c r="J111" s="524"/>
      <c r="K111" s="524"/>
    </row>
    <row r="112" spans="2:17">
      <c r="C112" s="371">
        <f>0.3*1.5</f>
        <v>0.44999999999999996</v>
      </c>
      <c r="D112" s="369">
        <v>20</v>
      </c>
      <c r="E112" s="370">
        <v>100</v>
      </c>
      <c r="F112" s="371">
        <v>22.350189350000001</v>
      </c>
      <c r="G112" s="371">
        <v>24.75122301</v>
      </c>
      <c r="H112" s="372">
        <f>G112-F112</f>
        <v>2.4010336599999995</v>
      </c>
      <c r="I112" s="371">
        <f>H112/$C111</f>
        <v>193.63174677419352</v>
      </c>
      <c r="J112" s="524"/>
      <c r="K112" s="524"/>
    </row>
    <row r="113" spans="2:21">
      <c r="C113" s="371">
        <f>C111/0.026*C112</f>
        <v>0.2146153846153846</v>
      </c>
      <c r="D113" s="373">
        <v>30</v>
      </c>
      <c r="E113" s="374">
        <v>130</v>
      </c>
      <c r="F113" s="375">
        <v>22.228886110000001</v>
      </c>
      <c r="G113" s="375">
        <v>24.087337349999999</v>
      </c>
      <c r="H113" s="376">
        <f>G113-F113</f>
        <v>1.8584512399999973</v>
      </c>
      <c r="I113" s="371">
        <f>H113/$C111</f>
        <v>149.87509999999978</v>
      </c>
      <c r="J113" s="524"/>
      <c r="K113" s="524"/>
    </row>
    <row r="116" spans="2:21" ht="18.75">
      <c r="B116" t="s">
        <v>74</v>
      </c>
      <c r="C116" s="304"/>
      <c r="D116" s="305" t="s">
        <v>0</v>
      </c>
      <c r="E116" s="306" t="s">
        <v>1</v>
      </c>
      <c r="F116" s="306" t="s">
        <v>58</v>
      </c>
      <c r="G116" s="306" t="s">
        <v>59</v>
      </c>
      <c r="H116" s="307" t="s">
        <v>60</v>
      </c>
      <c r="I116" s="304"/>
      <c r="J116" s="527">
        <v>1</v>
      </c>
      <c r="K116">
        <v>2</v>
      </c>
      <c r="L116" t="s">
        <v>61</v>
      </c>
      <c r="M116" t="s">
        <v>62</v>
      </c>
      <c r="N116" t="s">
        <v>69</v>
      </c>
    </row>
    <row r="117" spans="2:21">
      <c r="C117" s="331">
        <f>0.0217-0.0004</f>
        <v>2.1299999999999999E-2</v>
      </c>
      <c r="D117" s="308">
        <v>15</v>
      </c>
      <c r="E117" s="309">
        <v>133</v>
      </c>
      <c r="F117" s="331">
        <v>22.747581650000001</v>
      </c>
      <c r="G117" s="331">
        <v>27.833765320000001</v>
      </c>
      <c r="H117" s="310">
        <f t="shared" ref="H117" si="35">G117-F117</f>
        <v>5.0861836700000005</v>
      </c>
      <c r="I117" s="331">
        <f>H117/$C117</f>
        <v>238.78796572769957</v>
      </c>
      <c r="J117" s="527">
        <f>H117-0.0213*56+0.02*129</f>
        <v>6.4733836700000005</v>
      </c>
      <c r="K117">
        <v>6.5210061889999995</v>
      </c>
      <c r="L117" s="528">
        <f>AVERAGE(J117:K117)</f>
        <v>6.4971949295</v>
      </c>
      <c r="M117" s="528">
        <f>_xlfn.STDEV.S(J117:K117)</f>
        <v>3.3674206122084514E-2</v>
      </c>
      <c r="N117" s="528">
        <f>M117/L117</f>
        <v>5.182883765606207E-3</v>
      </c>
      <c r="P117">
        <f>L117*1.8</f>
        <v>11.6949508731</v>
      </c>
    </row>
    <row r="118" spans="2:21">
      <c r="C118" s="331">
        <f>0.3*1.25</f>
        <v>0.375</v>
      </c>
      <c r="D118" s="308">
        <v>20</v>
      </c>
      <c r="E118" s="309">
        <v>100</v>
      </c>
      <c r="F118" s="331">
        <v>22.34357696</v>
      </c>
      <c r="G118" s="331">
        <v>26.750012290000001</v>
      </c>
      <c r="H118" s="310">
        <f>G118-F118</f>
        <v>4.4064353300000008</v>
      </c>
      <c r="I118" s="331">
        <f>H118/$C117</f>
        <v>206.87489812206576</v>
      </c>
      <c r="J118" s="527">
        <f>H118-0.0213*42+0.02*107</f>
        <v>5.6518353300000008</v>
      </c>
      <c r="K118">
        <v>5.8178102700000007</v>
      </c>
      <c r="L118" s="529">
        <f t="shared" ref="L118:L119" si="36">AVERAGE(J118:K118)</f>
        <v>5.7348228000000008</v>
      </c>
      <c r="M118" s="529">
        <f t="shared" ref="M118:M119" si="37">_xlfn.STDEV.S(J118:K118)</f>
        <v>0.11736200558103028</v>
      </c>
      <c r="N118" s="529">
        <f t="shared" ref="N118:N119" si="38">M118/L118</f>
        <v>2.0464800687656864E-2</v>
      </c>
      <c r="P118" s="530">
        <f>L118*1.8</f>
        <v>10.322681040000001</v>
      </c>
    </row>
    <row r="119" spans="2:21">
      <c r="C119" s="331">
        <f>C117/0.026*C118</f>
        <v>0.30721153846153848</v>
      </c>
      <c r="D119" s="311">
        <v>30</v>
      </c>
      <c r="E119" s="312">
        <v>130</v>
      </c>
      <c r="F119" s="332">
        <v>22.303370940000001</v>
      </c>
      <c r="G119" s="332">
        <v>27.765526489999999</v>
      </c>
      <c r="H119" s="314">
        <f>G119-F119</f>
        <v>5.4621555499999985</v>
      </c>
      <c r="I119" s="331">
        <f>H119/$C117</f>
        <v>256.43922769953048</v>
      </c>
      <c r="J119" s="527">
        <f>H119-0.0205*42+0.0153*56</f>
        <v>5.4579555499999985</v>
      </c>
      <c r="K119">
        <v>5.6200606600000018</v>
      </c>
      <c r="L119" s="529">
        <f t="shared" si="36"/>
        <v>5.5390081050000006</v>
      </c>
      <c r="M119" s="529">
        <f t="shared" si="37"/>
        <v>0.11462562254599352</v>
      </c>
      <c r="N119" s="529">
        <f t="shared" si="38"/>
        <v>2.0694250734625618E-2</v>
      </c>
      <c r="P119" s="530">
        <f t="shared" ref="P119" si="39">L119*1.8</f>
        <v>9.9702145890000011</v>
      </c>
    </row>
    <row r="120" spans="2:21" ht="18.75">
      <c r="C120" s="365"/>
      <c r="D120" s="366" t="s">
        <v>0</v>
      </c>
      <c r="E120" s="367" t="s">
        <v>1</v>
      </c>
      <c r="F120" s="367" t="s">
        <v>65</v>
      </c>
      <c r="G120" s="367" t="s">
        <v>66</v>
      </c>
      <c r="H120" s="368" t="s">
        <v>67</v>
      </c>
      <c r="I120" s="365"/>
      <c r="J120" s="527">
        <v>2</v>
      </c>
      <c r="K120" s="527"/>
    </row>
    <row r="121" spans="2:21">
      <c r="C121" s="371">
        <f>0.0199-0.0021</f>
        <v>1.78E-2</v>
      </c>
      <c r="D121" s="369">
        <v>15</v>
      </c>
      <c r="E121" s="370">
        <v>133</v>
      </c>
      <c r="F121" s="371">
        <v>22.59608257</v>
      </c>
      <c r="G121" s="371">
        <v>27.533888759</v>
      </c>
      <c r="H121" s="372">
        <f t="shared" ref="H121" si="40">G121-F121</f>
        <v>4.9378061889999998</v>
      </c>
      <c r="I121" s="371">
        <f>H121/$C121</f>
        <v>277.40484207865165</v>
      </c>
      <c r="J121" s="540">
        <f>H121-0.0178*56+0.02*129</f>
        <v>6.5210061889999995</v>
      </c>
      <c r="K121" s="527"/>
    </row>
    <row r="122" spans="2:21">
      <c r="C122" s="371">
        <f>0.3*1.25</f>
        <v>0.375</v>
      </c>
      <c r="D122" s="369">
        <v>20</v>
      </c>
      <c r="E122" s="370">
        <v>100</v>
      </c>
      <c r="F122" s="371">
        <v>22.520597339999998</v>
      </c>
      <c r="G122" s="371">
        <v>26.946007609999999</v>
      </c>
      <c r="H122" s="372">
        <f>G122-F122</f>
        <v>4.4254102700000004</v>
      </c>
      <c r="I122" s="371">
        <f>H122/$C121</f>
        <v>248.61855449438204</v>
      </c>
      <c r="J122" s="540">
        <f>H122-0.0178*42+0.02*107</f>
        <v>5.8178102700000007</v>
      </c>
      <c r="K122" s="527"/>
    </row>
    <row r="123" spans="2:21">
      <c r="C123" s="371">
        <f>C121/0.026*C122</f>
        <v>0.25673076923076921</v>
      </c>
      <c r="D123" s="373">
        <v>30</v>
      </c>
      <c r="E123" s="374">
        <v>130</v>
      </c>
      <c r="F123" s="375">
        <v>22.516271289999999</v>
      </c>
      <c r="G123" s="375">
        <v>28.027131950000001</v>
      </c>
      <c r="H123" s="376">
        <f>G123-F123</f>
        <v>5.5108606600000023</v>
      </c>
      <c r="I123" s="371">
        <f>H123/$C121</f>
        <v>309.59891348314619</v>
      </c>
      <c r="J123" s="529">
        <f>H123-0.0178*42+0.0153*56</f>
        <v>5.6200606600000018</v>
      </c>
    </row>
    <row r="125" spans="2:21">
      <c r="B125" s="4">
        <v>42378</v>
      </c>
      <c r="C125" s="539"/>
      <c r="D125" s="539"/>
      <c r="E125" s="539"/>
      <c r="F125" s="539"/>
      <c r="G125" s="539"/>
      <c r="H125" s="539"/>
      <c r="I125" s="539"/>
    </row>
    <row r="126" spans="2:21" ht="18.75">
      <c r="B126" s="539" t="s">
        <v>102</v>
      </c>
      <c r="C126" s="304"/>
      <c r="D126" s="305" t="s">
        <v>0</v>
      </c>
      <c r="E126" s="306" t="s">
        <v>1</v>
      </c>
      <c r="F126" s="306" t="s">
        <v>58</v>
      </c>
      <c r="G126" s="306" t="s">
        <v>59</v>
      </c>
      <c r="H126" s="307" t="s">
        <v>60</v>
      </c>
      <c r="I126" s="304"/>
      <c r="M126" s="6">
        <v>0.54</v>
      </c>
      <c r="N126" s="550">
        <v>6.0379519399999992</v>
      </c>
      <c r="O126" s="550">
        <v>7.1180728000000002</v>
      </c>
      <c r="P126" s="12">
        <v>3.2705898209999988</v>
      </c>
      <c r="Q126" s="282">
        <v>3.9402145889999987</v>
      </c>
      <c r="R126" s="545">
        <f>N126-$N$134</f>
        <v>3.8736041139130428</v>
      </c>
      <c r="S126" s="546">
        <f>O126-$O$134</f>
        <v>4.5321075826086954</v>
      </c>
      <c r="T126" s="7">
        <f>P126-$P$134</f>
        <v>2.4010388679554953</v>
      </c>
      <c r="U126" s="8">
        <f>Q126-$Q$134</f>
        <v>2.7060076917579448</v>
      </c>
    </row>
    <row r="127" spans="2:21">
      <c r="B127" s="539"/>
      <c r="C127" s="331">
        <f>0.0174-0.0018</f>
        <v>1.5599999999999999E-2</v>
      </c>
      <c r="D127" s="308">
        <v>20</v>
      </c>
      <c r="E127" s="309">
        <v>100</v>
      </c>
      <c r="F127" s="331">
        <v>23.766403570000001</v>
      </c>
      <c r="G127" s="331">
        <v>29.33355551</v>
      </c>
      <c r="H127" s="310">
        <f t="shared" ref="H127" si="41">G127-F127</f>
        <v>5.5671519399999987</v>
      </c>
      <c r="I127" s="331">
        <f>H127/$C$127</f>
        <v>356.86871410256401</v>
      </c>
      <c r="J127" s="540">
        <f>H127+(0.02-0.0156)*107</f>
        <v>6.0379519399999992</v>
      </c>
    </row>
    <row r="128" spans="2:21">
      <c r="B128" s="539"/>
      <c r="C128" s="331">
        <f>0.3*1.8</f>
        <v>0.54</v>
      </c>
      <c r="D128" s="308">
        <v>15</v>
      </c>
      <c r="E128" s="309">
        <v>133</v>
      </c>
      <c r="F128" s="404">
        <v>22.239563570000001</v>
      </c>
      <c r="G128" s="404">
        <v>28.886836370000001</v>
      </c>
      <c r="H128" s="310">
        <f>G128-F128</f>
        <v>6.6472727999999996</v>
      </c>
      <c r="I128" s="331">
        <f t="shared" ref="I128:I130" si="42">H128/$C$127</f>
        <v>426.10723076923074</v>
      </c>
      <c r="J128" s="540">
        <f>H128+(0.02-0.0156)*129</f>
        <v>7.2148728000000002</v>
      </c>
      <c r="L128">
        <v>0.24</v>
      </c>
      <c r="M128">
        <v>3.2207930600000019</v>
      </c>
    </row>
    <row r="129" spans="2:21">
      <c r="B129" s="539"/>
      <c r="C129" s="536">
        <f>C127/0.026*C128</f>
        <v>0.32400000000000001</v>
      </c>
      <c r="D129" s="308">
        <v>26</v>
      </c>
      <c r="E129" s="309">
        <v>100</v>
      </c>
      <c r="F129" s="404">
        <v>23.759232390000001</v>
      </c>
      <c r="G129" s="404">
        <v>27.512928248222362</v>
      </c>
      <c r="H129" s="310">
        <f>G129-F129</f>
        <v>3.7536958582223612</v>
      </c>
      <c r="I129" s="331">
        <f t="shared" si="42"/>
        <v>240.6215293732283</v>
      </c>
      <c r="L129">
        <v>0.39</v>
      </c>
      <c r="M129">
        <v>3.4514816599999989</v>
      </c>
    </row>
    <row r="130" spans="2:21">
      <c r="B130" s="539"/>
      <c r="C130" s="331"/>
      <c r="D130" s="311">
        <v>20</v>
      </c>
      <c r="E130" s="312">
        <v>130</v>
      </c>
      <c r="F130" s="332">
        <v>24.104659949999999</v>
      </c>
      <c r="G130" s="332">
        <v>29.04998312</v>
      </c>
      <c r="H130" s="314">
        <f>G130-F130</f>
        <v>4.9453231700000018</v>
      </c>
      <c r="I130" s="331">
        <f t="shared" si="42"/>
        <v>317.00789551282065</v>
      </c>
      <c r="L130">
        <v>0.54</v>
      </c>
      <c r="M130">
        <v>3.5671519399999987</v>
      </c>
    </row>
    <row r="131" spans="2:21">
      <c r="B131" s="539"/>
      <c r="C131" s="539"/>
      <c r="D131" s="539"/>
      <c r="E131" s="539"/>
      <c r="F131" s="539"/>
      <c r="G131" s="539"/>
      <c r="H131" s="539"/>
      <c r="I131" s="539"/>
    </row>
    <row r="132" spans="2:21" ht="18.75">
      <c r="B132" s="539" t="s">
        <v>75</v>
      </c>
      <c r="C132" s="304"/>
      <c r="D132" s="305" t="s">
        <v>0</v>
      </c>
      <c r="E132" s="306" t="s">
        <v>1</v>
      </c>
      <c r="F132" s="306" t="s">
        <v>58</v>
      </c>
      <c r="G132" s="306" t="s">
        <v>59</v>
      </c>
      <c r="H132" s="307" t="s">
        <v>60</v>
      </c>
      <c r="I132" s="304"/>
      <c r="M132" s="278" t="s">
        <v>71</v>
      </c>
      <c r="N132" s="723" t="s">
        <v>4</v>
      </c>
      <c r="O132" s="724"/>
      <c r="P132" s="725"/>
      <c r="Q132" s="726"/>
      <c r="R132" s="723" t="s">
        <v>48</v>
      </c>
      <c r="S132" s="724"/>
      <c r="T132" s="725"/>
      <c r="U132" s="726"/>
    </row>
    <row r="133" spans="2:21">
      <c r="B133" s="539"/>
      <c r="C133" s="331">
        <f>0.0132</f>
        <v>1.32E-2</v>
      </c>
      <c r="D133" s="308">
        <v>20</v>
      </c>
      <c r="E133" s="309">
        <v>100</v>
      </c>
      <c r="F133" s="331">
        <v>23.77022199</v>
      </c>
      <c r="G133" s="331">
        <v>26.991015050000001</v>
      </c>
      <c r="H133" s="310">
        <f t="shared" ref="H133" si="43">G133-F133</f>
        <v>3.2207930600000019</v>
      </c>
      <c r="I133" s="331">
        <f>H133/$C$133</f>
        <v>243.99947424242438</v>
      </c>
      <c r="J133" s="540">
        <f>H133+(0.02-0.0132)*107</f>
        <v>3.9483930600000017</v>
      </c>
      <c r="M133" s="541" t="s">
        <v>43</v>
      </c>
      <c r="N133" s="542" t="s">
        <v>44</v>
      </c>
      <c r="O133" s="542" t="s">
        <v>104</v>
      </c>
      <c r="P133" s="286" t="s">
        <v>45</v>
      </c>
      <c r="Q133" s="287" t="s">
        <v>46</v>
      </c>
      <c r="R133" s="542" t="s">
        <v>44</v>
      </c>
      <c r="S133" s="542" t="s">
        <v>104</v>
      </c>
      <c r="T133" s="286" t="s">
        <v>45</v>
      </c>
      <c r="U133" s="287" t="s">
        <v>46</v>
      </c>
    </row>
    <row r="134" spans="2:21">
      <c r="B134" s="539"/>
      <c r="C134" s="331">
        <f>0.3*0.8</f>
        <v>0.24</v>
      </c>
      <c r="D134" s="308">
        <v>15</v>
      </c>
      <c r="E134" s="309">
        <v>133</v>
      </c>
      <c r="F134" s="404">
        <v>24.43369624</v>
      </c>
      <c r="G134" s="404">
        <v>28.18813716</v>
      </c>
      <c r="H134" s="310">
        <f>G134-F134</f>
        <v>3.7544409200000004</v>
      </c>
      <c r="I134" s="331">
        <f t="shared" ref="I134:I136" si="44">H134/$C$133</f>
        <v>284.42734242424245</v>
      </c>
      <c r="J134" s="540">
        <f>H134+(0.02-0.0132)*129</f>
        <v>4.6316409200000006</v>
      </c>
      <c r="M134" s="554">
        <v>0</v>
      </c>
      <c r="N134" s="450">
        <v>2.1643478260869564</v>
      </c>
      <c r="O134" s="450">
        <v>2.5859652173913048</v>
      </c>
      <c r="P134" s="5">
        <v>0.86955095304450347</v>
      </c>
      <c r="Q134" s="274">
        <v>1.2342068972420537</v>
      </c>
      <c r="R134" s="551">
        <v>0</v>
      </c>
      <c r="S134" s="551">
        <v>0</v>
      </c>
      <c r="T134" s="12">
        <v>0</v>
      </c>
      <c r="U134" s="282">
        <v>0</v>
      </c>
    </row>
    <row r="135" spans="2:21">
      <c r="B135" s="539"/>
      <c r="C135" s="536">
        <f>C133/0.026*C134</f>
        <v>0.12184615384615384</v>
      </c>
      <c r="D135" s="308">
        <v>26</v>
      </c>
      <c r="E135" s="309">
        <v>100</v>
      </c>
      <c r="F135" s="404">
        <v>24.097116239999998</v>
      </c>
      <c r="G135" s="404">
        <v>27.51590848</v>
      </c>
      <c r="H135" s="310">
        <f>G135-F135</f>
        <v>3.4187922400000019</v>
      </c>
      <c r="I135" s="331">
        <f t="shared" si="44"/>
        <v>258.99941212121229</v>
      </c>
      <c r="M135" s="360">
        <f>0.3*0.15</f>
        <v>4.4999999999999998E-2</v>
      </c>
      <c r="N135" s="451">
        <v>2.3925815004831441</v>
      </c>
      <c r="O135" s="451">
        <v>2.8858536335148792</v>
      </c>
      <c r="P135" s="7">
        <v>0.97291788923253819</v>
      </c>
      <c r="Q135" s="8">
        <v>1.323241908743499</v>
      </c>
      <c r="R135" s="545">
        <f t="shared" ref="R135:R140" si="45">N135-$N$134</f>
        <v>0.22823367439618769</v>
      </c>
      <c r="S135" s="546">
        <f>O135-$O$134</f>
        <v>0.29988841612357442</v>
      </c>
      <c r="T135" s="7">
        <f t="shared" ref="T135" si="46">P135-$P$134</f>
        <v>0.10336693618803472</v>
      </c>
      <c r="U135" s="8">
        <f t="shared" ref="U135" si="47">Q135-$Q$134</f>
        <v>8.9035011501445327E-2</v>
      </c>
    </row>
    <row r="136" spans="2:21">
      <c r="B136" s="539"/>
      <c r="C136" s="331"/>
      <c r="D136" s="311">
        <v>20</v>
      </c>
      <c r="E136" s="312">
        <v>130</v>
      </c>
      <c r="F136" s="332">
        <v>24.427735770000002</v>
      </c>
      <c r="G136" s="332">
        <v>28.522016319999999</v>
      </c>
      <c r="H136" s="314">
        <f t="shared" ref="H136" si="48">G136-F136</f>
        <v>4.094280549999997</v>
      </c>
      <c r="I136" s="331">
        <f t="shared" si="44"/>
        <v>310.17276893939373</v>
      </c>
      <c r="M136" s="360">
        <f>0.3*0.5</f>
        <v>0.15</v>
      </c>
      <c r="N136" s="451">
        <v>3.0521587775122199</v>
      </c>
      <c r="O136" s="451">
        <v>4.0436817155</v>
      </c>
      <c r="P136" s="5">
        <v>1.563281115000001</v>
      </c>
      <c r="Q136" s="8">
        <v>2.2041934550000009</v>
      </c>
      <c r="R136" s="545">
        <f t="shared" si="45"/>
        <v>0.88781095142526345</v>
      </c>
      <c r="S136" s="546">
        <f t="shared" ref="S136:S140" si="49">O136-$O$134</f>
        <v>1.4577164981086952</v>
      </c>
      <c r="T136" s="7">
        <f>P136-$P$134</f>
        <v>0.69373016195549753</v>
      </c>
      <c r="U136" s="8">
        <f>Q136-$Q$134</f>
        <v>0.96998655775794718</v>
      </c>
    </row>
    <row r="137" spans="2:21">
      <c r="B137" s="539"/>
      <c r="C137" s="539"/>
      <c r="D137" s="539"/>
      <c r="E137" s="539"/>
      <c r="F137" s="539"/>
      <c r="G137" s="539"/>
      <c r="H137" s="539"/>
      <c r="I137" s="539"/>
      <c r="M137" s="360">
        <v>0.24</v>
      </c>
      <c r="N137" s="555">
        <v>3.9483930600000017</v>
      </c>
      <c r="O137" s="555">
        <v>4.6316409200000006</v>
      </c>
      <c r="P137" s="12">
        <v>2.1719937334863504</v>
      </c>
      <c r="Q137" s="282">
        <v>2.6626787999999975</v>
      </c>
      <c r="R137" s="545">
        <f t="shared" si="45"/>
        <v>1.7840452339130453</v>
      </c>
      <c r="S137" s="546">
        <f t="shared" si="49"/>
        <v>2.0456757026086958</v>
      </c>
      <c r="T137" s="7">
        <f>P137-$P$134</f>
        <v>1.3024427804418468</v>
      </c>
      <c r="U137" s="8">
        <f>Q137-$Q$134</f>
        <v>1.4284719027579438</v>
      </c>
    </row>
    <row r="138" spans="2:21" ht="18.75">
      <c r="B138" s="539" t="s">
        <v>100</v>
      </c>
      <c r="C138" s="304"/>
      <c r="D138" s="305" t="s">
        <v>0</v>
      </c>
      <c r="E138" s="306" t="s">
        <v>1</v>
      </c>
      <c r="F138" s="306" t="s">
        <v>58</v>
      </c>
      <c r="G138" s="306" t="s">
        <v>59</v>
      </c>
      <c r="H138" s="307" t="s">
        <v>60</v>
      </c>
      <c r="I138" s="304"/>
      <c r="M138" s="360">
        <v>0.3</v>
      </c>
      <c r="N138" s="451">
        <v>4.4891800000000002</v>
      </c>
      <c r="O138" s="451">
        <v>5.1344230499999997</v>
      </c>
      <c r="P138" s="12"/>
      <c r="Q138" s="282"/>
      <c r="R138" s="545">
        <f t="shared" si="45"/>
        <v>2.3248321739130438</v>
      </c>
      <c r="S138" s="546">
        <f t="shared" si="49"/>
        <v>2.5484578326086949</v>
      </c>
      <c r="T138" s="7"/>
      <c r="U138" s="8"/>
    </row>
    <row r="139" spans="2:21">
      <c r="B139" s="539"/>
      <c r="C139" s="331">
        <f>0.0201-0.0024</f>
        <v>1.77E-2</v>
      </c>
      <c r="D139" s="308">
        <v>20</v>
      </c>
      <c r="E139" s="309">
        <v>100</v>
      </c>
      <c r="F139" s="331">
        <v>23.763330209999999</v>
      </c>
      <c r="G139" s="331">
        <v>27.714811869999998</v>
      </c>
      <c r="H139" s="310">
        <f t="shared" ref="H139" si="50">G139-F139</f>
        <v>3.9514816599999989</v>
      </c>
      <c r="I139" s="331">
        <f>H139/$C$139</f>
        <v>223.24755141242932</v>
      </c>
      <c r="J139" s="540">
        <f>H139+(0.02-0.0177)*107</f>
        <v>4.1975816599999991</v>
      </c>
      <c r="M139" s="360">
        <f>0.3*1.5</f>
        <v>0.44999999999999996</v>
      </c>
      <c r="N139" s="451">
        <v>6.0325202944999985</v>
      </c>
      <c r="O139" s="451">
        <v>7.1949516599999992</v>
      </c>
      <c r="P139" s="12">
        <v>3.5868516599999989</v>
      </c>
      <c r="Q139" s="282">
        <v>4.1701155299999977</v>
      </c>
      <c r="R139" s="545">
        <f t="shared" si="45"/>
        <v>3.8681724684130421</v>
      </c>
      <c r="S139" s="546">
        <f t="shared" si="49"/>
        <v>4.6089864426086944</v>
      </c>
      <c r="T139" s="7"/>
      <c r="U139" s="8"/>
    </row>
    <row r="140" spans="2:21">
      <c r="B140" s="539"/>
      <c r="C140" s="331">
        <f>0.3*1.3</f>
        <v>0.39</v>
      </c>
      <c r="D140" s="308">
        <v>15</v>
      </c>
      <c r="E140" s="309">
        <v>133</v>
      </c>
      <c r="F140" s="404">
        <v>24.110992944895798</v>
      </c>
      <c r="G140" s="404">
        <v>28.694190750000001</v>
      </c>
      <c r="H140" s="310">
        <f>G140-F140</f>
        <v>4.5831978051042022</v>
      </c>
      <c r="I140" s="331">
        <f t="shared" ref="I140:I142" si="51">H140/$C$139</f>
        <v>258.93772910193229</v>
      </c>
      <c r="J140" s="540">
        <f>H140+(0.02-0.0177)*129</f>
        <v>4.8798978051042026</v>
      </c>
      <c r="M140" s="363">
        <v>0.375</v>
      </c>
      <c r="N140" s="330">
        <v>5.7348228000000008</v>
      </c>
      <c r="O140" s="330">
        <v>6.4971949295</v>
      </c>
      <c r="P140" s="328"/>
      <c r="Q140" s="277"/>
      <c r="R140" s="545">
        <f t="shared" si="45"/>
        <v>3.5704749739130444</v>
      </c>
      <c r="S140" s="546">
        <f t="shared" si="49"/>
        <v>3.9112297121086952</v>
      </c>
      <c r="T140" s="10"/>
      <c r="U140" s="11"/>
    </row>
    <row r="141" spans="2:21">
      <c r="B141" s="539"/>
      <c r="C141" s="536">
        <f>C139/0.026*C140</f>
        <v>0.26550000000000001</v>
      </c>
      <c r="D141" s="308">
        <v>26</v>
      </c>
      <c r="E141" s="309">
        <v>100</v>
      </c>
      <c r="F141" s="404">
        <v>23.767241760000001</v>
      </c>
      <c r="G141" s="404">
        <v>27.510599939999999</v>
      </c>
      <c r="H141" s="310">
        <f>G141-F141</f>
        <v>3.7433581799999978</v>
      </c>
      <c r="I141" s="331">
        <f t="shared" si="51"/>
        <v>211.48916271186428</v>
      </c>
    </row>
    <row r="142" spans="2:21">
      <c r="B142" s="539"/>
      <c r="C142" s="331"/>
      <c r="D142" s="311">
        <v>20</v>
      </c>
      <c r="E142" s="312">
        <v>130</v>
      </c>
      <c r="F142" s="332">
        <v>24.42317229</v>
      </c>
      <c r="G142" s="332">
        <v>28.723461400000001</v>
      </c>
      <c r="H142" s="314">
        <f t="shared" ref="H142" si="52">G142-F142</f>
        <v>4.3002891100000014</v>
      </c>
      <c r="I142" s="331">
        <f t="shared" si="51"/>
        <v>242.9541870056498</v>
      </c>
    </row>
    <row r="143" spans="2:21">
      <c r="B143" s="539"/>
      <c r="C143" s="539"/>
      <c r="D143" s="539"/>
      <c r="E143" s="539"/>
      <c r="F143" s="539"/>
      <c r="G143" s="539"/>
      <c r="H143" s="539"/>
      <c r="I143" s="539"/>
    </row>
    <row r="144" spans="2:21">
      <c r="D144" t="s">
        <v>111</v>
      </c>
    </row>
    <row r="145" spans="4:11">
      <c r="D145" s="559"/>
      <c r="E145" s="560">
        <v>1</v>
      </c>
      <c r="F145" s="561">
        <v>2</v>
      </c>
      <c r="G145" s="562">
        <v>3</v>
      </c>
    </row>
    <row r="146" spans="4:11">
      <c r="D146" s="563">
        <v>0</v>
      </c>
      <c r="E146" s="33">
        <v>2.1643478260869564</v>
      </c>
      <c r="F146" s="33">
        <v>2.220831943799972</v>
      </c>
      <c r="G146" s="564">
        <v>2.2951514896840557</v>
      </c>
      <c r="K146">
        <v>4.6344230500000014</v>
      </c>
    </row>
    <row r="147" spans="4:11">
      <c r="D147" s="563">
        <v>4.4999999999999998E-2</v>
      </c>
      <c r="E147" s="33">
        <v>2.7302075349234012</v>
      </c>
      <c r="F147" s="33">
        <v>2.9667178892325383</v>
      </c>
      <c r="G147" s="564">
        <v>2.9606354763886986</v>
      </c>
      <c r="K147">
        <v>4.0891800000000025</v>
      </c>
    </row>
    <row r="148" spans="4:11">
      <c r="D148" s="563">
        <v>0.15</v>
      </c>
      <c r="E148" s="33">
        <v>4.0002382110000028</v>
      </c>
      <c r="F148" s="33">
        <v>4.0871252200000008</v>
      </c>
      <c r="G148" s="564"/>
    </row>
    <row r="149" spans="4:11">
      <c r="D149" s="563">
        <v>0.24</v>
      </c>
      <c r="E149" s="33">
        <v>4.6566083469727007</v>
      </c>
      <c r="F149" s="33">
        <v>4.9105791200000004</v>
      </c>
      <c r="G149" s="564">
        <v>4.6316409200000006</v>
      </c>
    </row>
    <row r="150" spans="4:11">
      <c r="D150" s="563">
        <v>0.3</v>
      </c>
      <c r="E150" s="33">
        <v>5.1399835500000002</v>
      </c>
      <c r="F150" s="33">
        <v>5.1395107700000002</v>
      </c>
      <c r="G150" s="564">
        <v>5.1237748299999986</v>
      </c>
    </row>
    <row r="151" spans="4:11">
      <c r="D151" s="563">
        <v>0.44999999999999996</v>
      </c>
      <c r="E151" s="33">
        <v>7.1560204999999986</v>
      </c>
      <c r="F151" s="33">
        <v>7.2338828199999989</v>
      </c>
      <c r="G151" s="564"/>
    </row>
    <row r="152" spans="4:11">
      <c r="D152" s="565">
        <v>0.375</v>
      </c>
      <c r="E152" s="17">
        <v>6.4733836700000005</v>
      </c>
      <c r="F152" s="17">
        <v>6.5210061889999995</v>
      </c>
      <c r="G152" s="492"/>
    </row>
  </sheetData>
  <mergeCells count="2">
    <mergeCell ref="N132:Q132"/>
    <mergeCell ref="R132:U132"/>
  </mergeCells>
  <phoneticPr fontId="5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131"/>
  <sheetViews>
    <sheetView topLeftCell="C110" workbookViewId="0">
      <selection activeCell="K107" sqref="K107"/>
    </sheetView>
  </sheetViews>
  <sheetFormatPr defaultRowHeight="15"/>
  <cols>
    <col min="10" max="10" width="12.42578125" customWidth="1"/>
    <col min="13" max="13" width="14.85546875" customWidth="1"/>
    <col min="14" max="14" width="14.85546875" style="540" customWidth="1"/>
    <col min="16" max="16" width="9" style="540"/>
  </cols>
  <sheetData>
    <row r="2" spans="3:11">
      <c r="C2" s="4">
        <v>42337</v>
      </c>
    </row>
    <row r="3" spans="3:11" ht="18.75">
      <c r="C3" t="s">
        <v>37</v>
      </c>
      <c r="D3" s="304"/>
      <c r="E3" s="305" t="s">
        <v>0</v>
      </c>
      <c r="F3" s="306" t="s">
        <v>1</v>
      </c>
      <c r="G3" s="306" t="s">
        <v>58</v>
      </c>
      <c r="H3" s="306" t="s">
        <v>59</v>
      </c>
      <c r="I3" s="307" t="s">
        <v>60</v>
      </c>
      <c r="J3" s="427"/>
    </row>
    <row r="4" spans="3:11">
      <c r="D4" s="304">
        <f>0.0109-0.0005</f>
        <v>1.04E-2</v>
      </c>
      <c r="E4" s="308">
        <v>20</v>
      </c>
      <c r="F4" s="309">
        <v>130</v>
      </c>
      <c r="G4" s="403">
        <v>22.25850217</v>
      </c>
      <c r="H4" s="331">
        <v>23.963795869999998</v>
      </c>
      <c r="I4" s="310">
        <f t="shared" ref="I4" si="0">H4-G4</f>
        <v>1.7052936999999986</v>
      </c>
      <c r="J4" s="427">
        <f>I4/$D4</f>
        <v>163.97054807692294</v>
      </c>
      <c r="K4" s="689">
        <f>I4-0.0104*46+0.0153*129</f>
        <v>3.2005936999999989</v>
      </c>
    </row>
    <row r="5" spans="3:11">
      <c r="D5" s="304">
        <f>0.3*0.5</f>
        <v>0.15</v>
      </c>
      <c r="E5" s="308">
        <v>20</v>
      </c>
      <c r="F5" s="309">
        <v>100</v>
      </c>
      <c r="G5" s="331">
        <v>22.4824852634958</v>
      </c>
      <c r="H5" s="404">
        <v>23.75345819</v>
      </c>
      <c r="I5" s="310">
        <f>H5-G5</f>
        <v>1.2709729265042</v>
      </c>
      <c r="J5" s="429">
        <f>I5/$D4</f>
        <v>122.20893524078846</v>
      </c>
      <c r="K5" s="540">
        <f>I5-0.0104*46+0.0105*107</f>
        <v>1.9160729265042002</v>
      </c>
    </row>
    <row r="6" spans="3:11">
      <c r="D6" s="304">
        <f>D5/D4</f>
        <v>14.423076923076923</v>
      </c>
      <c r="E6" s="311">
        <v>30</v>
      </c>
      <c r="F6" s="312">
        <v>130</v>
      </c>
      <c r="G6" s="332">
        <v>21.87162768</v>
      </c>
      <c r="H6" s="332">
        <v>23.592246240000001</v>
      </c>
      <c r="I6" s="314">
        <f>H6-G6</f>
        <v>1.7206185600000019</v>
      </c>
      <c r="J6" s="432">
        <f>I6/$D4</f>
        <v>165.4440923076925</v>
      </c>
      <c r="K6" s="689">
        <f>I6-0.0104*46+0.0105*107</f>
        <v>2.3657185600000021</v>
      </c>
    </row>
    <row r="9" spans="3:11" ht="18.75">
      <c r="C9" t="s">
        <v>75</v>
      </c>
      <c r="D9" s="304"/>
      <c r="E9" s="305" t="s">
        <v>0</v>
      </c>
      <c r="F9" s="306" t="s">
        <v>1</v>
      </c>
      <c r="G9" s="306" t="s">
        <v>58</v>
      </c>
      <c r="H9" s="306" t="s">
        <v>59</v>
      </c>
      <c r="I9" s="307" t="s">
        <v>60</v>
      </c>
    </row>
    <row r="10" spans="3:11">
      <c r="D10" s="304">
        <f>0.0185-0.0084</f>
        <v>1.01E-2</v>
      </c>
      <c r="E10" s="308">
        <v>20</v>
      </c>
      <c r="F10" s="309">
        <v>130</v>
      </c>
      <c r="G10" s="403">
        <v>22.222736309999998</v>
      </c>
      <c r="H10" s="331">
        <v>23.585540720000001</v>
      </c>
      <c r="I10" s="310">
        <f t="shared" ref="I10" si="1">H10-G10</f>
        <v>1.3628044100000025</v>
      </c>
      <c r="J10" s="431">
        <f>I10/$D10</f>
        <v>134.93112970297057</v>
      </c>
      <c r="K10" s="431">
        <f>I10-0.0101*69+0.0153*129</f>
        <v>2.6396044100000027</v>
      </c>
    </row>
    <row r="11" spans="3:11">
      <c r="D11" s="304">
        <f>0.3*0.8</f>
        <v>0.24</v>
      </c>
      <c r="E11" s="308">
        <v>20</v>
      </c>
      <c r="F11" s="309">
        <v>100</v>
      </c>
      <c r="G11" s="404">
        <v>22.21025659</v>
      </c>
      <c r="H11" s="331">
        <v>23.244024710000001</v>
      </c>
      <c r="I11" s="310">
        <f>H11-G11</f>
        <v>1.0337681200000013</v>
      </c>
      <c r="J11" s="431">
        <f>I11/$D10</f>
        <v>102.35327920792092</v>
      </c>
      <c r="K11" s="431">
        <f>I11-0.0101*56+0.02*107</f>
        <v>2.6081681200000015</v>
      </c>
    </row>
    <row r="12" spans="3:11">
      <c r="D12" s="304">
        <f>D11/D10</f>
        <v>23.762376237623762</v>
      </c>
      <c r="E12" s="311">
        <v>30</v>
      </c>
      <c r="F12" s="312">
        <v>130</v>
      </c>
      <c r="G12" s="332">
        <v>22.252610789999999</v>
      </c>
      <c r="H12" s="332">
        <v>24.35587963</v>
      </c>
      <c r="I12" s="314">
        <f>H12-G12</f>
        <v>2.1032688400000019</v>
      </c>
      <c r="J12" s="431">
        <f>I12/$D10</f>
        <v>208.24443960396059</v>
      </c>
      <c r="K12" s="431">
        <f>I12-0.0101*96+0.0153*80</f>
        <v>2.3576688400000019</v>
      </c>
    </row>
    <row r="15" spans="3:11" ht="18.75">
      <c r="D15" s="304"/>
      <c r="E15" s="305" t="s">
        <v>0</v>
      </c>
      <c r="F15" s="306" t="s">
        <v>1</v>
      </c>
      <c r="G15" s="306" t="s">
        <v>58</v>
      </c>
      <c r="H15" s="306" t="s">
        <v>59</v>
      </c>
      <c r="I15" s="307" t="s">
        <v>60</v>
      </c>
    </row>
    <row r="16" spans="3:11">
      <c r="C16" t="s">
        <v>107</v>
      </c>
      <c r="D16" s="356">
        <f>0.0178-0.0014</f>
        <v>1.6400000000000001E-2</v>
      </c>
      <c r="E16" s="434">
        <v>15</v>
      </c>
      <c r="F16" s="435">
        <v>133</v>
      </c>
      <c r="G16" s="439">
        <v>22.548978630000001</v>
      </c>
      <c r="H16" s="439">
        <v>25.454203249999999</v>
      </c>
      <c r="I16" s="436">
        <f t="shared" ref="I16" si="2">H16-G16</f>
        <v>2.9052246199999985</v>
      </c>
      <c r="J16" s="356">
        <f>I16/$D16</f>
        <v>177.14784268292672</v>
      </c>
      <c r="K16" s="356">
        <f>I16-0.0104*80+0.0153*129</f>
        <v>4.0469246199999986</v>
      </c>
    </row>
    <row r="17" spans="3:18">
      <c r="D17" s="356">
        <f>0.3*1.1</f>
        <v>0.33</v>
      </c>
      <c r="E17" s="434">
        <v>20</v>
      </c>
      <c r="F17" s="435">
        <v>100</v>
      </c>
      <c r="G17" s="444">
        <v>22.251493199999999</v>
      </c>
      <c r="H17" s="444">
        <v>24.461095029999999</v>
      </c>
      <c r="I17" s="436">
        <f>H17-G17</f>
        <v>2.2096018300000004</v>
      </c>
      <c r="J17" s="356">
        <f>I17/$D16</f>
        <v>134.73181890243904</v>
      </c>
      <c r="K17" s="356">
        <f>I17-0.0104*56+0.0153*43</f>
        <v>2.2851018300000003</v>
      </c>
    </row>
    <row r="18" spans="3:18">
      <c r="D18" s="356">
        <f>D17/D16</f>
        <v>20.121951219512194</v>
      </c>
      <c r="E18" s="437">
        <v>30</v>
      </c>
      <c r="F18" s="438">
        <v>130</v>
      </c>
      <c r="G18" s="439"/>
      <c r="H18" s="439"/>
      <c r="I18" s="440">
        <f>H18-G18</f>
        <v>0</v>
      </c>
      <c r="J18" s="356">
        <f t="shared" ref="J18" si="3">I18/$D18</f>
        <v>0</v>
      </c>
      <c r="K18" s="356">
        <f>I18-0.0164*96+0.0153*80</f>
        <v>-0.35040000000000027</v>
      </c>
    </row>
    <row r="21" spans="3:18" ht="18.75">
      <c r="C21" s="4">
        <v>42339</v>
      </c>
      <c r="D21" s="304"/>
      <c r="E21" s="305" t="s">
        <v>0</v>
      </c>
      <c r="F21" s="306" t="s">
        <v>1</v>
      </c>
      <c r="G21" s="306" t="s">
        <v>58</v>
      </c>
      <c r="H21" s="306" t="s">
        <v>59</v>
      </c>
      <c r="I21" s="307" t="s">
        <v>60</v>
      </c>
      <c r="J21" s="455"/>
      <c r="K21" s="455"/>
    </row>
    <row r="22" spans="3:18">
      <c r="C22" t="s">
        <v>31</v>
      </c>
      <c r="D22" s="304">
        <f>0.0185-0.0094</f>
        <v>9.0999999999999987E-3</v>
      </c>
      <c r="E22" s="308">
        <v>20</v>
      </c>
      <c r="F22" s="309">
        <v>130</v>
      </c>
      <c r="G22" s="403">
        <v>23.233593899999999</v>
      </c>
      <c r="H22" s="331">
        <v>24.598140690000001</v>
      </c>
      <c r="I22" s="310">
        <f t="shared" ref="I22" si="4">H22-G22</f>
        <v>1.3645467900000021</v>
      </c>
      <c r="J22" s="455">
        <f>I22/$D22</f>
        <v>149.95019670329697</v>
      </c>
      <c r="K22" s="455">
        <f>I22+I25</f>
        <v>2.9396175400000004</v>
      </c>
      <c r="L22">
        <f>K22-0.0185*90+0.0153*129</f>
        <v>3.2483175400000004</v>
      </c>
    </row>
    <row r="23" spans="3:18">
      <c r="D23" s="304">
        <f>0.3*1</f>
        <v>0.3</v>
      </c>
      <c r="E23" s="308">
        <v>20</v>
      </c>
      <c r="F23" s="309">
        <v>100</v>
      </c>
      <c r="G23" s="404">
        <v>22.835174070000001</v>
      </c>
      <c r="H23" s="331">
        <v>23.732503430000001</v>
      </c>
      <c r="I23" s="310">
        <f>H23-G23</f>
        <v>0.89732936000000052</v>
      </c>
      <c r="J23" s="455">
        <f>I23/$D22</f>
        <v>98.607621978022053</v>
      </c>
      <c r="K23" s="456">
        <f t="shared" ref="K23:K24" si="5">I23+I26</f>
        <v>2.1037646999999993</v>
      </c>
      <c r="L23" s="456">
        <f>K23-0.018*72+0.0153*43</f>
        <v>1.4656646999999994</v>
      </c>
    </row>
    <row r="24" spans="3:18">
      <c r="D24" s="304">
        <f>D23/D22</f>
        <v>32.967032967032971</v>
      </c>
      <c r="E24" s="311">
        <v>30</v>
      </c>
      <c r="F24" s="312">
        <v>130</v>
      </c>
      <c r="G24" s="332">
        <v>23.41389796</v>
      </c>
      <c r="H24" s="332">
        <v>24.899165150000002</v>
      </c>
      <c r="I24" s="314">
        <f>H24-G24</f>
        <v>1.4852671900000018</v>
      </c>
      <c r="J24" s="455">
        <f>I24/$D22</f>
        <v>163.21617472527495</v>
      </c>
      <c r="K24" s="456">
        <f t="shared" si="5"/>
        <v>3.8451573800000034</v>
      </c>
      <c r="L24" s="456">
        <f>K24-0.018*110+0.0153*43</f>
        <v>2.5230573800000036</v>
      </c>
    </row>
    <row r="25" spans="3:18">
      <c r="D25" s="304">
        <f>0.0096</f>
        <v>9.5999999999999992E-3</v>
      </c>
      <c r="E25" s="308">
        <v>20</v>
      </c>
      <c r="F25" s="309">
        <v>130</v>
      </c>
      <c r="G25" s="403">
        <v>23.217482010000001</v>
      </c>
      <c r="H25" s="331">
        <v>24.79255276</v>
      </c>
      <c r="I25" s="310">
        <f t="shared" ref="I25" si="6">H25-G25</f>
        <v>1.5750707499999983</v>
      </c>
      <c r="J25" s="455">
        <f>I25/$D25</f>
        <v>164.06986979166649</v>
      </c>
      <c r="K25" s="455"/>
    </row>
    <row r="26" spans="3:18">
      <c r="D26" s="304">
        <f>0.3*1</f>
        <v>0.3</v>
      </c>
      <c r="E26" s="308">
        <v>20</v>
      </c>
      <c r="F26" s="309">
        <v>100</v>
      </c>
      <c r="G26" s="404">
        <v>22.554473430000002</v>
      </c>
      <c r="H26" s="331">
        <v>23.76090877</v>
      </c>
      <c r="I26" s="310">
        <f>H26-G26</f>
        <v>1.2064353399999987</v>
      </c>
      <c r="J26" s="455">
        <f>I26/$D25</f>
        <v>125.67034791666654</v>
      </c>
      <c r="K26" s="455"/>
    </row>
    <row r="27" spans="3:18">
      <c r="D27" s="304">
        <f>D26/D25</f>
        <v>31.25</v>
      </c>
      <c r="E27" s="311">
        <v>30</v>
      </c>
      <c r="F27" s="312">
        <v>130</v>
      </c>
      <c r="G27" s="332">
        <v>23.56924257</v>
      </c>
      <c r="H27" s="332">
        <v>25.929132760000002</v>
      </c>
      <c r="I27" s="314">
        <f>H27-G27</f>
        <v>2.3598901900000016</v>
      </c>
      <c r="J27" s="455">
        <f>I27/$D25</f>
        <v>245.82189479166686</v>
      </c>
      <c r="K27" s="455"/>
    </row>
    <row r="28" spans="3:18" ht="18.75">
      <c r="C28" t="s">
        <v>31</v>
      </c>
      <c r="D28" s="365"/>
      <c r="E28" s="366" t="s">
        <v>0</v>
      </c>
      <c r="F28" s="367" t="s">
        <v>1</v>
      </c>
      <c r="G28" s="367" t="s">
        <v>65</v>
      </c>
      <c r="H28" s="367" t="s">
        <v>66</v>
      </c>
      <c r="I28" s="368" t="s">
        <v>67</v>
      </c>
      <c r="J28" s="457"/>
      <c r="K28" s="457">
        <v>1</v>
      </c>
      <c r="L28" s="457">
        <v>2</v>
      </c>
      <c r="M28">
        <v>3</v>
      </c>
      <c r="O28" t="s">
        <v>61</v>
      </c>
      <c r="Q28" t="s">
        <v>62</v>
      </c>
      <c r="R28" t="s">
        <v>69</v>
      </c>
    </row>
    <row r="29" spans="3:18">
      <c r="D29" s="365">
        <f>0.0187</f>
        <v>1.8700000000000001E-2</v>
      </c>
      <c r="E29" s="369">
        <v>20</v>
      </c>
      <c r="F29" s="370">
        <v>130</v>
      </c>
      <c r="G29" s="413">
        <v>23.369801364529199</v>
      </c>
      <c r="H29" s="413">
        <v>26.974903164798214</v>
      </c>
      <c r="I29" s="372">
        <f t="shared" ref="I29" si="7">H29-G29</f>
        <v>3.6051018002690149</v>
      </c>
      <c r="J29" s="457">
        <f>I29/$D29</f>
        <v>192.78619252775479</v>
      </c>
      <c r="K29" s="459">
        <f>I29-0.0187*90+0.0153*129</f>
        <v>3.8958018002690151</v>
      </c>
      <c r="L29" s="457">
        <v>3.2483175400000004</v>
      </c>
      <c r="M29">
        <v>2.9949625699999993</v>
      </c>
      <c r="O29">
        <f>AVERAGE(K29:M29)</f>
        <v>3.3796939700896718</v>
      </c>
      <c r="Q29">
        <f>_xlfn.STDEV.S(K29:M29)</f>
        <v>0.46456716897048106</v>
      </c>
      <c r="R29">
        <f>Q29/O29</f>
        <v>0.1374583536503321</v>
      </c>
    </row>
    <row r="30" spans="3:18">
      <c r="D30" s="365">
        <f>0.3*1</f>
        <v>0.3</v>
      </c>
      <c r="E30" s="369">
        <v>20</v>
      </c>
      <c r="F30" s="370">
        <v>100</v>
      </c>
      <c r="G30" s="414">
        <v>23.220369113705704</v>
      </c>
      <c r="H30" s="414">
        <v>26.296434628750966</v>
      </c>
      <c r="I30" s="372">
        <f>H30-G30</f>
        <v>3.0760655150452614</v>
      </c>
      <c r="J30" s="457">
        <f>I30/$D29</f>
        <v>164.49548208798188</v>
      </c>
      <c r="K30" s="459">
        <f>I30-0.0187*99+0.0153*107</f>
        <v>2.8618655150452614</v>
      </c>
      <c r="L30" s="457">
        <v>3.1847542700000027</v>
      </c>
      <c r="M30">
        <v>1.7279397799999998</v>
      </c>
      <c r="O30" s="512">
        <f t="shared" ref="O30:O31" si="8">AVERAGE(K30:M30)</f>
        <v>2.591519855015088</v>
      </c>
      <c r="Q30" s="512">
        <f t="shared" ref="Q30:Q31" si="9">_xlfn.STDEV.S(K30:M30)</f>
        <v>0.76510927094850545</v>
      </c>
      <c r="R30" s="473">
        <f t="shared" ref="R30:R31" si="10">Q30/O30</f>
        <v>0.29523573568918343</v>
      </c>
    </row>
    <row r="31" spans="3:18">
      <c r="D31" s="365">
        <f>D30/D29</f>
        <v>16.042780748663098</v>
      </c>
      <c r="E31" s="373">
        <v>30</v>
      </c>
      <c r="F31" s="374">
        <v>130</v>
      </c>
      <c r="G31" s="375">
        <v>23.369149438688101</v>
      </c>
      <c r="H31" s="375">
        <v>27.7106449729589</v>
      </c>
      <c r="I31" s="376">
        <f>H31-G31</f>
        <v>4.3414955342707984</v>
      </c>
      <c r="J31" s="457">
        <f>I31/$D29</f>
        <v>232.16553659202128</v>
      </c>
      <c r="K31" s="459">
        <f>I31-0.0187*153+0.0153*80</f>
        <v>2.7043955342707982</v>
      </c>
      <c r="L31" s="457">
        <v>2.5230573800000036</v>
      </c>
      <c r="M31">
        <v>2.5023251399999999</v>
      </c>
      <c r="O31" s="512">
        <f t="shared" si="8"/>
        <v>2.576592684756934</v>
      </c>
      <c r="Q31" s="512">
        <f t="shared" si="9"/>
        <v>0.11116488969882538</v>
      </c>
      <c r="R31" s="473">
        <f t="shared" si="10"/>
        <v>4.3144145505214865E-2</v>
      </c>
    </row>
    <row r="32" spans="3:18">
      <c r="D32" s="365"/>
      <c r="E32" s="458"/>
      <c r="F32" s="458"/>
      <c r="G32" s="458"/>
      <c r="H32" s="458"/>
      <c r="I32" s="458"/>
      <c r="J32" s="457"/>
      <c r="K32" s="457"/>
    </row>
    <row r="33" spans="3:19" ht="18.75">
      <c r="C33" t="s">
        <v>75</v>
      </c>
      <c r="D33" s="365"/>
      <c r="E33" s="366" t="s">
        <v>0</v>
      </c>
      <c r="F33" s="367" t="s">
        <v>1</v>
      </c>
      <c r="G33" s="367" t="s">
        <v>65</v>
      </c>
      <c r="H33" s="367" t="s">
        <v>66</v>
      </c>
      <c r="I33" s="368" t="s">
        <v>67</v>
      </c>
      <c r="J33" s="473"/>
      <c r="K33" s="473">
        <v>1</v>
      </c>
      <c r="L33" s="457">
        <v>2</v>
      </c>
      <c r="M33">
        <v>3</v>
      </c>
      <c r="O33" t="s">
        <v>61</v>
      </c>
      <c r="Q33" t="s">
        <v>62</v>
      </c>
      <c r="R33" t="s">
        <v>69</v>
      </c>
    </row>
    <row r="34" spans="3:19">
      <c r="D34" s="365">
        <f>0.0154-0.0019</f>
        <v>1.35E-2</v>
      </c>
      <c r="E34" s="369">
        <v>15</v>
      </c>
      <c r="F34" s="370">
        <v>133</v>
      </c>
      <c r="G34" s="413">
        <v>23.269242569999999</v>
      </c>
      <c r="H34" s="371">
        <v>25.75593387</v>
      </c>
      <c r="I34" s="372">
        <f t="shared" ref="I34" si="11">H34-G34</f>
        <v>2.4866913000000004</v>
      </c>
      <c r="J34" s="473">
        <f>I34/$D34</f>
        <v>184.1993555555556</v>
      </c>
      <c r="K34" s="473">
        <f>I34-0.0135*80+0.0153*129</f>
        <v>3.3803913000000003</v>
      </c>
      <c r="L34">
        <v>3.5651975100000004</v>
      </c>
      <c r="M34">
        <v>2.9950414199999997</v>
      </c>
      <c r="O34">
        <f>AVERAGE(K34:M34)</f>
        <v>3.3135434099999999</v>
      </c>
      <c r="Q34">
        <f>_xlfn.STDEV.S(K34:M34)</f>
        <v>0.29089684088884726</v>
      </c>
      <c r="R34">
        <f>Q34/O34</f>
        <v>8.7790261027196642E-2</v>
      </c>
    </row>
    <row r="35" spans="3:19">
      <c r="D35" s="365">
        <f>0.3*0.8</f>
        <v>0.24</v>
      </c>
      <c r="E35" s="369">
        <v>20</v>
      </c>
      <c r="F35" s="370">
        <v>100</v>
      </c>
      <c r="G35" s="414">
        <v>23.111335279999999</v>
      </c>
      <c r="H35" s="371">
        <v>24.912089550000001</v>
      </c>
      <c r="I35" s="372">
        <f>H35-G35</f>
        <v>1.8007542700000023</v>
      </c>
      <c r="J35" s="473">
        <f>I35/$D34</f>
        <v>133.38920518518535</v>
      </c>
      <c r="K35" s="473">
        <f>I35-0.0135*56+0.02*107</f>
        <v>3.1847542700000027</v>
      </c>
      <c r="L35" s="457">
        <v>2.9015727800000004</v>
      </c>
      <c r="M35">
        <v>3.2749195299999996</v>
      </c>
      <c r="O35" s="476">
        <f>AVERAGE(K35:M35)</f>
        <v>3.1204155266666675</v>
      </c>
      <c r="Q35" s="476">
        <f t="shared" ref="Q35:Q36" si="12">_xlfn.STDEV.S(K35:M35)</f>
        <v>0.19481158680677862</v>
      </c>
      <c r="R35" s="474">
        <f t="shared" ref="R35:R36" si="13">Q35/O35</f>
        <v>6.2431296454572793E-2</v>
      </c>
    </row>
    <row r="36" spans="3:19">
      <c r="D36" s="365">
        <f>D35/D34</f>
        <v>17.777777777777779</v>
      </c>
      <c r="E36" s="373">
        <v>30</v>
      </c>
      <c r="F36" s="374">
        <v>130</v>
      </c>
      <c r="G36" s="375">
        <v>23.265237880000001</v>
      </c>
      <c r="H36" s="375">
        <v>25.389299269999999</v>
      </c>
      <c r="I36" s="376">
        <f>H36-G36</f>
        <v>2.1240613899999978</v>
      </c>
      <c r="J36" s="473">
        <f>I36/$D34</f>
        <v>157.33788074074059</v>
      </c>
      <c r="K36" s="473">
        <f>I36-0.0135*96+0.0153*80</f>
        <v>2.0520613899999978</v>
      </c>
      <c r="L36">
        <v>2.3576688400000019</v>
      </c>
      <c r="M36">
        <v>2.1459618299999992</v>
      </c>
      <c r="O36" s="476">
        <f>AVERAGE(K36:M36)</f>
        <v>2.185230686666666</v>
      </c>
      <c r="Q36" s="476">
        <f t="shared" si="12"/>
        <v>0.15654236072643943</v>
      </c>
      <c r="R36" s="474">
        <f t="shared" si="13"/>
        <v>7.1636537817994825E-2</v>
      </c>
    </row>
    <row r="37" spans="3:19" ht="18.75">
      <c r="D37" s="359"/>
      <c r="E37" s="447" t="s">
        <v>0</v>
      </c>
      <c r="F37" s="448" t="s">
        <v>1</v>
      </c>
      <c r="G37" s="448" t="s">
        <v>80</v>
      </c>
      <c r="H37" s="448" t="s">
        <v>81</v>
      </c>
      <c r="I37" s="449" t="s">
        <v>82</v>
      </c>
      <c r="J37" s="474"/>
      <c r="K37" s="474">
        <v>3</v>
      </c>
    </row>
    <row r="38" spans="3:19">
      <c r="D38" s="359">
        <f>0.0176-0.0003</f>
        <v>1.7299999999999999E-2</v>
      </c>
      <c r="E38" s="360">
        <v>15</v>
      </c>
      <c r="F38" s="361">
        <v>133</v>
      </c>
      <c r="G38" s="450">
        <v>22.28798007</v>
      </c>
      <c r="H38" s="329">
        <v>25.26347758</v>
      </c>
      <c r="I38" s="362">
        <f t="shared" ref="I38" si="14">H38-G38</f>
        <v>2.9754975100000003</v>
      </c>
      <c r="J38" s="474">
        <f>I38/$D38</f>
        <v>171.99407572254339</v>
      </c>
      <c r="K38" s="474">
        <f>I38-0.0173*80+0.0153*129</f>
        <v>3.5651975100000004</v>
      </c>
    </row>
    <row r="39" spans="3:19">
      <c r="D39" s="359">
        <f>0.3*0.8</f>
        <v>0.24</v>
      </c>
      <c r="E39" s="360">
        <v>20</v>
      </c>
      <c r="F39" s="361">
        <v>100</v>
      </c>
      <c r="G39" s="450">
        <v>22.280078790000001</v>
      </c>
      <c r="H39" s="329">
        <v>24.38379832</v>
      </c>
      <c r="I39" s="362">
        <f>H39-G39</f>
        <v>2.1037195299999993</v>
      </c>
      <c r="J39" s="474">
        <f>I39/$D38</f>
        <v>121.60228497109823</v>
      </c>
      <c r="K39" s="474">
        <f>I39-0.0173*56+0.02*107</f>
        <v>3.2749195299999996</v>
      </c>
    </row>
    <row r="40" spans="3:19">
      <c r="D40" s="359">
        <f>D39/D38</f>
        <v>13.872832369942197</v>
      </c>
      <c r="E40" s="363">
        <v>30</v>
      </c>
      <c r="F40" s="364">
        <v>130</v>
      </c>
      <c r="G40" s="330">
        <v>23.2298686</v>
      </c>
      <c r="H40" s="330">
        <v>25.812630429999999</v>
      </c>
      <c r="I40" s="441">
        <f>H40-G40</f>
        <v>2.582761829999999</v>
      </c>
      <c r="J40" s="474">
        <f>I40/$D38</f>
        <v>149.29259132947971</v>
      </c>
      <c r="K40" s="474">
        <f>I40-0.0173*96+0.0153*80</f>
        <v>2.1459618299999992</v>
      </c>
    </row>
    <row r="42" spans="3:19" ht="18.75">
      <c r="C42" t="s">
        <v>37</v>
      </c>
      <c r="D42" s="359"/>
      <c r="E42" s="447" t="s">
        <v>0</v>
      </c>
      <c r="F42" s="448" t="s">
        <v>1</v>
      </c>
      <c r="G42" s="448" t="s">
        <v>80</v>
      </c>
      <c r="H42" s="448" t="s">
        <v>81</v>
      </c>
      <c r="I42" s="449" t="s">
        <v>82</v>
      </c>
      <c r="J42" s="477"/>
      <c r="K42" s="477">
        <v>2</v>
      </c>
      <c r="L42">
        <v>1</v>
      </c>
      <c r="M42">
        <v>3</v>
      </c>
      <c r="O42" t="s">
        <v>61</v>
      </c>
      <c r="Q42" t="s">
        <v>62</v>
      </c>
      <c r="R42" t="s">
        <v>69</v>
      </c>
    </row>
    <row r="43" spans="3:19">
      <c r="D43" s="359">
        <f>0.012-0.0003</f>
        <v>1.17E-2</v>
      </c>
      <c r="E43" s="360">
        <v>20</v>
      </c>
      <c r="F43" s="361">
        <v>130</v>
      </c>
      <c r="G43" s="450">
        <v>22.82428067</v>
      </c>
      <c r="H43" s="329">
        <v>24.637607790000001</v>
      </c>
      <c r="I43" s="362">
        <f t="shared" ref="I43" si="15">H43-G43</f>
        <v>1.8133271200000003</v>
      </c>
      <c r="J43" s="477">
        <f>I43/$D43</f>
        <v>154.98522393162395</v>
      </c>
      <c r="K43" s="540">
        <f>I43-0.0117*56+0.0153*129</f>
        <v>3.1318271200000005</v>
      </c>
      <c r="L43">
        <v>3.2005936999999989</v>
      </c>
      <c r="M43">
        <v>3.0886086100000005</v>
      </c>
      <c r="O43" s="478">
        <f>AVERAGE(K43:M43)</f>
        <v>3.1403431433333338</v>
      </c>
      <c r="Q43" s="478">
        <f>_xlfn.STDEV.S(K43:M43)</f>
        <v>5.647616387147178E-2</v>
      </c>
      <c r="R43" s="478">
        <f>Q43/O43</f>
        <v>1.7984074126219485E-2</v>
      </c>
      <c r="S43" s="478"/>
    </row>
    <row r="44" spans="3:19">
      <c r="D44" s="359">
        <f>0.3*0.5</f>
        <v>0.15</v>
      </c>
      <c r="E44" s="360">
        <v>20</v>
      </c>
      <c r="F44" s="361">
        <v>100</v>
      </c>
      <c r="G44" s="451">
        <v>22.860971710000001</v>
      </c>
      <c r="H44" s="329">
        <v>24.255879629999999</v>
      </c>
      <c r="I44" s="362">
        <f>H44-G44</f>
        <v>1.3949079199999979</v>
      </c>
      <c r="J44" s="477">
        <f>I44/$D43</f>
        <v>119.22289914529895</v>
      </c>
      <c r="K44" s="540">
        <f>I44-0.0117*46+0.02*107</f>
        <v>2.9967079199999977</v>
      </c>
      <c r="L44">
        <v>2.9325729265042</v>
      </c>
      <c r="M44">
        <v>3.0436885099999995</v>
      </c>
      <c r="O44" s="478">
        <f t="shared" ref="O44:O45" si="16">AVERAGE(K44:M44)</f>
        <v>2.9909897855013994</v>
      </c>
      <c r="Q44" s="478">
        <f t="shared" ref="Q44:Q45" si="17">_xlfn.STDEV.S(K44:M44)</f>
        <v>5.577805142267922E-2</v>
      </c>
      <c r="R44" s="478">
        <f t="shared" ref="R44:R45" si="18">Q44/O44</f>
        <v>1.8648693383394078E-2</v>
      </c>
    </row>
    <row r="45" spans="3:19">
      <c r="D45" s="359">
        <f>D44/D43</f>
        <v>12.820512820512819</v>
      </c>
      <c r="E45" s="363">
        <v>30</v>
      </c>
      <c r="F45" s="364">
        <v>130</v>
      </c>
      <c r="G45" s="330">
        <v>23.036480999999998</v>
      </c>
      <c r="H45" s="330">
        <v>24.968134190000001</v>
      </c>
      <c r="I45" s="441">
        <f>H45-G45</f>
        <v>1.9316531900000022</v>
      </c>
      <c r="J45" s="477">
        <f>I45/$D43</f>
        <v>165.09856324786344</v>
      </c>
      <c r="K45" s="477">
        <f>I45-0.0117*96+0.0153*80</f>
        <v>2.0324531900000022</v>
      </c>
      <c r="L45">
        <v>1.9462185600000019</v>
      </c>
      <c r="M45">
        <v>1.9822778799999972</v>
      </c>
      <c r="O45" s="478">
        <f t="shared" si="16"/>
        <v>1.9869832100000007</v>
      </c>
      <c r="Q45" s="478">
        <f t="shared" si="17"/>
        <v>4.3309444127302497E-2</v>
      </c>
      <c r="R45" s="478">
        <f t="shared" si="18"/>
        <v>2.1796582834387655E-2</v>
      </c>
    </row>
    <row r="46" spans="3:19" ht="18.75">
      <c r="D46" s="365"/>
      <c r="E46" s="366" t="s">
        <v>0</v>
      </c>
      <c r="F46" s="367" t="s">
        <v>1</v>
      </c>
      <c r="G46" s="367" t="s">
        <v>65</v>
      </c>
      <c r="H46" s="367" t="s">
        <v>66</v>
      </c>
      <c r="I46" s="368" t="s">
        <v>67</v>
      </c>
      <c r="J46" s="478"/>
      <c r="K46" s="478">
        <v>3</v>
      </c>
    </row>
    <row r="47" spans="3:19">
      <c r="D47" s="365">
        <f>0.0107-0.0009</f>
        <v>9.7999999999999997E-3</v>
      </c>
      <c r="E47" s="369">
        <v>20</v>
      </c>
      <c r="F47" s="370">
        <v>130</v>
      </c>
      <c r="G47" s="413">
        <v>23.222697419999999</v>
      </c>
      <c r="H47" s="371">
        <v>24.88640603</v>
      </c>
      <c r="I47" s="372">
        <f t="shared" ref="I47" si="19">H47-G47</f>
        <v>1.6637086100000005</v>
      </c>
      <c r="J47" s="478">
        <f>I47/$D47</f>
        <v>169.76618469387759</v>
      </c>
      <c r="K47" s="540">
        <f>I47-0.0098*56+0.0153*129</f>
        <v>3.0886086100000005</v>
      </c>
    </row>
    <row r="48" spans="3:19">
      <c r="D48" s="365">
        <f>0.3*0.5</f>
        <v>0.15</v>
      </c>
      <c r="E48" s="369">
        <v>20</v>
      </c>
      <c r="F48" s="370">
        <v>100</v>
      </c>
      <c r="G48" s="414">
        <v>22.395896310000001</v>
      </c>
      <c r="H48" s="371">
        <v>23.750384820000001</v>
      </c>
      <c r="I48" s="372">
        <f>H48-G48</f>
        <v>1.3544885099999995</v>
      </c>
      <c r="J48" s="478">
        <f>I48/$D47</f>
        <v>138.21311326530608</v>
      </c>
      <c r="K48" s="540">
        <f>I48-0.0098*46+0.02*107</f>
        <v>3.0436885099999995</v>
      </c>
    </row>
    <row r="49" spans="3:17">
      <c r="D49" s="365">
        <f>D48/D47</f>
        <v>15.306122448979592</v>
      </c>
      <c r="E49" s="373">
        <v>30</v>
      </c>
      <c r="F49" s="374">
        <v>130</v>
      </c>
      <c r="G49" s="375">
        <v>23.227074640000001</v>
      </c>
      <c r="H49" s="375">
        <v>24.926152519999999</v>
      </c>
      <c r="I49" s="376">
        <f>H49-G49</f>
        <v>1.6990778799999973</v>
      </c>
      <c r="J49" s="478">
        <f>I49/$D47</f>
        <v>173.37529387755075</v>
      </c>
      <c r="K49" s="478">
        <f>I49-0.0098*96+0.0153*80</f>
        <v>1.9822778799999972</v>
      </c>
    </row>
    <row r="51" spans="3:17" ht="18.75">
      <c r="C51" t="s">
        <v>38</v>
      </c>
      <c r="D51" s="359"/>
      <c r="E51" s="447" t="s">
        <v>0</v>
      </c>
      <c r="F51" s="448" t="s">
        <v>1</v>
      </c>
      <c r="G51" s="448" t="s">
        <v>80</v>
      </c>
      <c r="H51" s="448" t="s">
        <v>81</v>
      </c>
      <c r="I51" s="449" t="s">
        <v>82</v>
      </c>
      <c r="J51" s="479"/>
      <c r="K51">
        <v>1</v>
      </c>
      <c r="L51">
        <v>2</v>
      </c>
      <c r="N51" s="480" t="s">
        <v>61</v>
      </c>
      <c r="O51" s="480" t="s">
        <v>62</v>
      </c>
      <c r="Q51" s="480" t="s">
        <v>69</v>
      </c>
    </row>
    <row r="52" spans="3:17">
      <c r="D52" s="359">
        <f>0.0091-0.0003</f>
        <v>8.8000000000000005E-3</v>
      </c>
      <c r="E52" s="360">
        <v>20</v>
      </c>
      <c r="F52" s="361">
        <v>130</v>
      </c>
      <c r="G52" s="450">
        <v>23.226608980000002</v>
      </c>
      <c r="H52" s="329">
        <v>24.425966259999999</v>
      </c>
      <c r="I52" s="362">
        <f t="shared" ref="I52" si="20">H52-G52</f>
        <v>1.1993572799999974</v>
      </c>
      <c r="J52" s="479">
        <f>I52/$D52</f>
        <v>136.2905999999997</v>
      </c>
      <c r="K52" s="479">
        <f>I52-0.0088*56+0.0153*129</f>
        <v>2.6802572799999975</v>
      </c>
      <c r="L52" s="480">
        <v>2.533175630000001</v>
      </c>
      <c r="N52" s="480">
        <f>AVERAGE(K52:M52)</f>
        <v>2.606716454999999</v>
      </c>
      <c r="O52" s="480">
        <f>_xlfn.STDEV.S(K52:M52)</f>
        <v>0.10400243210310389</v>
      </c>
      <c r="Q52" s="480">
        <f>O52/N52</f>
        <v>3.9897869176992604E-2</v>
      </c>
    </row>
    <row r="53" spans="3:17">
      <c r="D53" s="359">
        <f>0.3*0.25</f>
        <v>7.4999999999999997E-2</v>
      </c>
      <c r="E53" s="360">
        <v>20</v>
      </c>
      <c r="F53" s="361">
        <v>100</v>
      </c>
      <c r="G53" s="451">
        <v>23.027702510000001</v>
      </c>
      <c r="H53" s="329">
        <v>23.763888999999999</v>
      </c>
      <c r="I53" s="362">
        <f>H53-G53</f>
        <v>0.73618648999999792</v>
      </c>
      <c r="J53" s="479">
        <f>I53/$D52</f>
        <v>83.657555681817939</v>
      </c>
      <c r="K53" s="479">
        <f>I53-0.0088*46+0.02*107</f>
        <v>2.4713864899999978</v>
      </c>
      <c r="L53" s="480">
        <v>2.3923959385983009</v>
      </c>
      <c r="N53" s="540">
        <f t="shared" ref="N53:N54" si="21">AVERAGE(K53:M53)</f>
        <v>2.4318912142991493</v>
      </c>
      <c r="O53" s="540">
        <f t="shared" ref="O53:O54" si="22">_xlfn.STDEV.S(K53:M53)</f>
        <v>5.5854754545804394E-2</v>
      </c>
      <c r="Q53" s="482">
        <f>O53/N53</f>
        <v>2.2967620515830213E-2</v>
      </c>
    </row>
    <row r="54" spans="3:17">
      <c r="D54" s="359">
        <f>D53/D52</f>
        <v>8.5227272727272716</v>
      </c>
      <c r="E54" s="363">
        <v>30</v>
      </c>
      <c r="F54" s="364">
        <v>130</v>
      </c>
      <c r="G54" s="330">
        <v>23.26942884</v>
      </c>
      <c r="H54" s="330">
        <v>24.766271549999999</v>
      </c>
      <c r="I54" s="441">
        <f>H54-G54</f>
        <v>1.4968427099999992</v>
      </c>
      <c r="J54" s="479">
        <f>I54/$D52</f>
        <v>170.09576249999989</v>
      </c>
      <c r="K54" s="479">
        <f>I54-0.0088*96+0.0153*80</f>
        <v>1.8760427099999992</v>
      </c>
      <c r="L54" s="480">
        <v>1.6661805299999974</v>
      </c>
      <c r="N54" s="540">
        <f t="shared" si="21"/>
        <v>1.7711116199999983</v>
      </c>
      <c r="O54" s="540">
        <f t="shared" si="22"/>
        <v>0.1483949705925931</v>
      </c>
      <c r="Q54" s="482">
        <f>O54/N54</f>
        <v>8.3786345771133974E-2</v>
      </c>
    </row>
    <row r="55" spans="3:17" ht="18.75">
      <c r="D55" s="365"/>
      <c r="E55" s="366" t="s">
        <v>0</v>
      </c>
      <c r="F55" s="367" t="s">
        <v>1</v>
      </c>
      <c r="G55" s="367" t="s">
        <v>65</v>
      </c>
      <c r="H55" s="367" t="s">
        <v>66</v>
      </c>
      <c r="I55" s="368" t="s">
        <v>67</v>
      </c>
      <c r="J55" s="479"/>
    </row>
    <row r="56" spans="3:17">
      <c r="D56" s="365">
        <f>0.0061</f>
        <v>6.1000000000000004E-3</v>
      </c>
      <c r="E56" s="369">
        <v>20</v>
      </c>
      <c r="F56" s="370">
        <v>130</v>
      </c>
      <c r="G56" s="413">
        <v>23.236760390000001</v>
      </c>
      <c r="H56" s="371">
        <v>24.137836020000002</v>
      </c>
      <c r="I56" s="372">
        <f t="shared" ref="I56" si="23">H56-G56</f>
        <v>0.90107563000000113</v>
      </c>
      <c r="J56" s="479">
        <f>I56/$D56</f>
        <v>147.71731639344279</v>
      </c>
      <c r="K56" s="540">
        <f>I56-0.0061*56+0.0153*129</f>
        <v>2.533175630000001</v>
      </c>
    </row>
    <row r="57" spans="3:17">
      <c r="D57" s="365">
        <f>0.3*0.25</f>
        <v>7.4999999999999997E-2</v>
      </c>
      <c r="E57" s="369">
        <v>20</v>
      </c>
      <c r="F57" s="370">
        <v>100</v>
      </c>
      <c r="G57" s="414">
        <v>23.228751020000001</v>
      </c>
      <c r="H57" s="414">
        <v>23.761746958598302</v>
      </c>
      <c r="I57" s="372">
        <f>H57-G57</f>
        <v>0.53299593859830097</v>
      </c>
      <c r="J57" s="479">
        <f>I57/$D56</f>
        <v>87.376383376770647</v>
      </c>
      <c r="K57" s="540">
        <f>I57-0.0061*46+0.02*107</f>
        <v>2.3923959385983009</v>
      </c>
    </row>
    <row r="58" spans="3:17">
      <c r="D58" s="365">
        <f>D57/D56</f>
        <v>12.295081967213113</v>
      </c>
      <c r="E58" s="373">
        <v>30</v>
      </c>
      <c r="F58" s="374">
        <v>130</v>
      </c>
      <c r="G58" s="375">
        <v>23.567007400000001</v>
      </c>
      <c r="H58" s="375">
        <v>24.594787929999999</v>
      </c>
      <c r="I58" s="376">
        <f>H58-G58</f>
        <v>1.0277805299999976</v>
      </c>
      <c r="J58" s="479">
        <f>I58/$D56</f>
        <v>168.48861147540944</v>
      </c>
      <c r="K58" s="481">
        <f>I58-0.0061*96+0.0153*80</f>
        <v>1.6661805299999974</v>
      </c>
    </row>
    <row r="62" spans="3:17" ht="18.75">
      <c r="C62" s="460"/>
      <c r="D62" s="460"/>
      <c r="E62" s="461" t="s">
        <v>0</v>
      </c>
      <c r="F62" s="462" t="s">
        <v>1</v>
      </c>
      <c r="G62" s="462" t="s">
        <v>85</v>
      </c>
      <c r="H62" s="462" t="s">
        <v>86</v>
      </c>
      <c r="I62" s="463" t="s">
        <v>87</v>
      </c>
      <c r="J62" s="460"/>
      <c r="K62" s="460"/>
    </row>
    <row r="63" spans="3:17">
      <c r="C63" s="460" t="s">
        <v>83</v>
      </c>
      <c r="D63" s="464">
        <f>0.0081-0.002</f>
        <v>6.0999999999999995E-3</v>
      </c>
      <c r="E63" s="465">
        <v>20</v>
      </c>
      <c r="F63" s="466">
        <v>130</v>
      </c>
      <c r="G63" s="464">
        <v>23.224280669999999</v>
      </c>
      <c r="H63" s="464">
        <v>24.150477949999999</v>
      </c>
      <c r="I63" s="467">
        <f t="shared" ref="I63" si="24">H63-G63</f>
        <v>0.92619728000000023</v>
      </c>
      <c r="J63" s="464">
        <f>I63/$D63</f>
        <v>151.8356196721312</v>
      </c>
      <c r="K63" s="460">
        <f>I63-0.0059*89+0.0153*56</f>
        <v>1.2578972800000003</v>
      </c>
      <c r="L63">
        <f>(K63-0.87)/3.4</f>
        <v>0.11408743529411774</v>
      </c>
      <c r="M63">
        <f>(L63-$D$64)/$D$64</f>
        <v>8.6547002801121417E-2</v>
      </c>
    </row>
    <row r="64" spans="3:17">
      <c r="C64" s="460"/>
      <c r="D64" s="464">
        <f>0.3*0.35</f>
        <v>0.105</v>
      </c>
      <c r="E64" s="465">
        <v>20</v>
      </c>
      <c r="F64" s="466">
        <v>100</v>
      </c>
      <c r="G64" s="460">
        <v>23.228751020000001</v>
      </c>
      <c r="H64" s="460">
        <v>23.78544758</v>
      </c>
      <c r="I64" s="467">
        <f>H64-G64</f>
        <v>0.5566965599999989</v>
      </c>
      <c r="J64" s="464">
        <f>I64/$D63</f>
        <v>91.261731147540814</v>
      </c>
      <c r="K64" s="460">
        <f>I64-0.0059*56+0.0153*43</f>
        <v>0.8841965599999988</v>
      </c>
      <c r="L64">
        <f>(K64-0.6)/3</f>
        <v>9.4732186666666274E-2</v>
      </c>
      <c r="M64" s="483">
        <f t="shared" ref="M64:M65" si="25">(L64-$D$64)/$D$64</f>
        <v>-9.7788698412702116E-2</v>
      </c>
    </row>
    <row r="65" spans="3:18">
      <c r="C65" s="460"/>
      <c r="D65" s="464">
        <f>D63/0.026*D64</f>
        <v>2.4634615384615383E-2</v>
      </c>
      <c r="E65" s="468">
        <v>30</v>
      </c>
      <c r="F65" s="469">
        <v>130</v>
      </c>
      <c r="G65" s="470">
        <v>23.574551110000002</v>
      </c>
      <c r="H65" s="470">
        <v>24.620596979999998</v>
      </c>
      <c r="I65" s="471">
        <f>H65-G65</f>
        <v>1.0460458699999968</v>
      </c>
      <c r="J65" s="464">
        <f>I65/$D63</f>
        <v>171.48292950819621</v>
      </c>
      <c r="K65" s="460">
        <f>I65-0.0059*96+0.0153*80</f>
        <v>1.7036458699999968</v>
      </c>
      <c r="L65" s="484">
        <f>(K65-1.3)/4.1</f>
        <v>9.8450212195121165E-2</v>
      </c>
      <c r="M65" s="484">
        <f t="shared" si="25"/>
        <v>-6.2378931475036495E-2</v>
      </c>
    </row>
    <row r="66" spans="3:18" ht="18.75">
      <c r="C66" s="460"/>
      <c r="D66" s="460"/>
      <c r="E66" s="461" t="s">
        <v>0</v>
      </c>
      <c r="F66" s="462" t="s">
        <v>1</v>
      </c>
      <c r="G66" s="462" t="s">
        <v>85</v>
      </c>
      <c r="H66" s="462" t="s">
        <v>86</v>
      </c>
      <c r="I66" s="463" t="s">
        <v>87</v>
      </c>
      <c r="J66" s="460"/>
      <c r="K66" s="460"/>
    </row>
    <row r="67" spans="3:18">
      <c r="C67" s="460" t="s">
        <v>88</v>
      </c>
      <c r="D67" s="464">
        <f>0.0087</f>
        <v>8.6999999999999994E-3</v>
      </c>
      <c r="E67" s="465">
        <v>15</v>
      </c>
      <c r="F67" s="466">
        <v>133</v>
      </c>
      <c r="G67" s="460">
        <v>23.573619789999999</v>
      </c>
      <c r="H67" s="460">
        <v>24.7955006</v>
      </c>
      <c r="I67" s="467">
        <f t="shared" ref="I67" si="26">H67-G67</f>
        <v>1.2218808100000018</v>
      </c>
      <c r="J67" s="464">
        <f>I67/$D67</f>
        <v>140.44607011494276</v>
      </c>
      <c r="K67" s="460">
        <f>I67-0.0087*91+0.0153*56</f>
        <v>1.286980810000002</v>
      </c>
      <c r="L67">
        <f>K67-0.0087*56+0.02*129</f>
        <v>3.379780810000002</v>
      </c>
      <c r="M67" s="485">
        <f>(L67-2.7693)/5.0274</f>
        <v>0.12143072164538371</v>
      </c>
      <c r="N67" s="485">
        <f>100*(M67-$D$68)/$D$68</f>
        <v>1.1922680378197623</v>
      </c>
    </row>
    <row r="68" spans="3:18">
      <c r="C68" s="460"/>
      <c r="D68" s="464">
        <f>0.3*0.4</f>
        <v>0.12</v>
      </c>
      <c r="E68" s="465">
        <v>20</v>
      </c>
      <c r="F68" s="466">
        <v>100</v>
      </c>
      <c r="G68" s="460">
        <v>23.236667260000001</v>
      </c>
      <c r="H68" s="460">
        <v>24.09227336</v>
      </c>
      <c r="I68" s="467">
        <f>H68-G68</f>
        <v>0.85560609999999926</v>
      </c>
      <c r="J68" s="464">
        <f>I68/$D67</f>
        <v>98.345528735632101</v>
      </c>
      <c r="K68" s="460">
        <f>I68-0.0087*62+0.0153*43</f>
        <v>0.9741060999999992</v>
      </c>
      <c r="M68" s="485">
        <f>(K68-0.6)/3</f>
        <v>0.12470203333333307</v>
      </c>
      <c r="N68" s="485">
        <f>(M68-$D$68)/$D$68</f>
        <v>3.9183611111108983E-2</v>
      </c>
    </row>
    <row r="69" spans="3:18">
      <c r="C69" s="460"/>
      <c r="D69" s="464">
        <f>D67/0.026*D68</f>
        <v>4.0153846153846151E-2</v>
      </c>
      <c r="E69" s="468">
        <v>30</v>
      </c>
      <c r="F69" s="469">
        <v>130</v>
      </c>
      <c r="G69" s="470">
        <v>23.374457979999999</v>
      </c>
      <c r="H69" s="472">
        <v>24.950741900000001</v>
      </c>
      <c r="I69" s="471">
        <f>H69-G69</f>
        <v>1.5762839200000016</v>
      </c>
      <c r="J69" s="464">
        <f>I69/$D67</f>
        <v>181.18205977011513</v>
      </c>
      <c r="K69" s="460">
        <f>I69-0.0107*96+0.0153*80</f>
        <v>1.7730839200000017</v>
      </c>
      <c r="M69" s="485">
        <f>(K69-1.3)/4.1</f>
        <v>0.11538632195121992</v>
      </c>
      <c r="N69" s="485">
        <f>(M69-$D$68)/$D$68</f>
        <v>-3.8447317073167279E-2</v>
      </c>
    </row>
    <row r="72" spans="3:18" ht="18.75">
      <c r="C72" s="4">
        <v>42341</v>
      </c>
      <c r="D72" s="359"/>
      <c r="E72" s="447" t="s">
        <v>0</v>
      </c>
      <c r="F72" s="448" t="s">
        <v>1</v>
      </c>
      <c r="G72" s="448" t="s">
        <v>80</v>
      </c>
      <c r="H72" s="448" t="s">
        <v>81</v>
      </c>
      <c r="I72" s="449" t="s">
        <v>82</v>
      </c>
      <c r="J72" s="359"/>
      <c r="K72" s="511">
        <v>3</v>
      </c>
    </row>
    <row r="73" spans="3:18">
      <c r="C73" t="s">
        <v>31</v>
      </c>
      <c r="D73" s="359">
        <f>0.0197-0.0033</f>
        <v>1.6399999999999998E-2</v>
      </c>
      <c r="E73" s="360">
        <v>20</v>
      </c>
      <c r="F73" s="361">
        <v>130</v>
      </c>
      <c r="G73" s="450">
        <v>22.553355849999999</v>
      </c>
      <c r="H73" s="329">
        <v>24.493018419999999</v>
      </c>
      <c r="I73" s="362">
        <f t="shared" ref="I73" si="27">H73-G73</f>
        <v>1.9396625699999994</v>
      </c>
      <c r="J73" s="359">
        <f>I73/$D73</f>
        <v>118.27210792682925</v>
      </c>
      <c r="K73" s="511">
        <f>I73-0.0164*56+0.0153*129</f>
        <v>2.9949625699999993</v>
      </c>
    </row>
    <row r="74" spans="3:18">
      <c r="D74" s="359">
        <f>0.3*1</f>
        <v>0.3</v>
      </c>
      <c r="E74" s="360">
        <v>20</v>
      </c>
      <c r="F74" s="361">
        <v>100</v>
      </c>
      <c r="G74" s="451">
        <v>22.209697800000001</v>
      </c>
      <c r="H74" s="329">
        <v>23.853737580000001</v>
      </c>
      <c r="I74" s="362">
        <f>H74-G74</f>
        <v>1.64403978</v>
      </c>
      <c r="J74" s="359">
        <f>I74/$D73</f>
        <v>100.2463280487805</v>
      </c>
      <c r="K74" s="511">
        <f>I74-0.0164*35+0.0153*43</f>
        <v>1.7279397799999998</v>
      </c>
    </row>
    <row r="75" spans="3:18">
      <c r="D75" s="359">
        <f>D74/D73</f>
        <v>18.292682926829269</v>
      </c>
      <c r="E75" s="363">
        <v>30</v>
      </c>
      <c r="F75" s="364">
        <v>130</v>
      </c>
      <c r="G75" s="330">
        <v>22.883695979999999</v>
      </c>
      <c r="H75" s="330">
        <v>25.736421119999999</v>
      </c>
      <c r="I75" s="441">
        <f>H75-G75</f>
        <v>2.8527251400000004</v>
      </c>
      <c r="J75" s="359">
        <f>I75/$D73</f>
        <v>173.94665487804883</v>
      </c>
      <c r="K75" s="511">
        <f>I75-0.0164*59+0.0153*80</f>
        <v>3.1091251400000006</v>
      </c>
    </row>
    <row r="78" spans="3:18" ht="18.75">
      <c r="D78" s="304"/>
      <c r="E78" s="305" t="s">
        <v>0</v>
      </c>
      <c r="F78" s="306" t="s">
        <v>1</v>
      </c>
      <c r="G78" s="306" t="s">
        <v>58</v>
      </c>
      <c r="H78" s="306" t="s">
        <v>59</v>
      </c>
      <c r="I78" s="307" t="s">
        <v>60</v>
      </c>
      <c r="J78" s="304"/>
      <c r="K78" s="531"/>
      <c r="L78" s="531">
        <v>1</v>
      </c>
      <c r="M78" s="531">
        <v>2</v>
      </c>
      <c r="N78" s="540">
        <v>3</v>
      </c>
      <c r="O78" s="531" t="s">
        <v>61</v>
      </c>
      <c r="Q78" s="531" t="s">
        <v>62</v>
      </c>
      <c r="R78" s="531" t="s">
        <v>69</v>
      </c>
    </row>
    <row r="79" spans="3:18">
      <c r="C79" t="s">
        <v>108</v>
      </c>
      <c r="D79" s="331">
        <f>0.0264-0.0154</f>
        <v>1.0999999999999999E-2</v>
      </c>
      <c r="E79" s="308">
        <v>15</v>
      </c>
      <c r="F79" s="309">
        <v>133</v>
      </c>
      <c r="G79" s="331">
        <v>23.216457559999998</v>
      </c>
      <c r="H79" s="331">
        <v>25.72475554</v>
      </c>
      <c r="I79" s="310">
        <f t="shared" ref="I79" si="28">H79-G79</f>
        <v>2.5082979800000018</v>
      </c>
      <c r="J79" s="331">
        <f>I79/$D$79</f>
        <v>228.02708909090927</v>
      </c>
      <c r="K79" s="531">
        <f>I79+I82</f>
        <v>4.2492613400000039</v>
      </c>
      <c r="L79" s="540">
        <f>K79-0.0234*56+0.0153*129</f>
        <v>4.9125613400000034</v>
      </c>
      <c r="M79" s="532">
        <v>4.7301681500000008</v>
      </c>
      <c r="N79" s="540">
        <v>5.33646815</v>
      </c>
      <c r="O79" s="531">
        <f>AVERAGE(L79:N79)</f>
        <v>4.9930658800000014</v>
      </c>
      <c r="Q79" s="531">
        <f>_xlfn.STDEV.S(L79:N79)</f>
        <v>0.31106375266246983</v>
      </c>
      <c r="R79" s="531">
        <f>Q79/O79</f>
        <v>6.2299148486794999E-2</v>
      </c>
    </row>
    <row r="80" spans="3:18">
      <c r="D80" s="331">
        <f>0.3*1.8</f>
        <v>0.54</v>
      </c>
      <c r="E80" s="308">
        <v>20</v>
      </c>
      <c r="F80" s="309">
        <v>100</v>
      </c>
      <c r="G80" s="331">
        <v>22.581460809999999</v>
      </c>
      <c r="H80" s="331">
        <v>24.911341419999999</v>
      </c>
      <c r="I80" s="310">
        <f>H80-G80</f>
        <v>2.32988061</v>
      </c>
      <c r="J80" s="331">
        <f>I80/$D$79</f>
        <v>211.80732818181821</v>
      </c>
      <c r="K80" s="531">
        <f>I80+I83</f>
        <v>3.3561050200000011</v>
      </c>
      <c r="L80" s="540">
        <f>K80-0.0234*46+0.02*107</f>
        <v>4.4197050200000012</v>
      </c>
      <c r="M80" s="531">
        <v>4.2486663469999986</v>
      </c>
      <c r="N80" s="540">
        <v>4.3679541900000025</v>
      </c>
      <c r="O80" s="540">
        <f>AVERAGE(L80:N80)</f>
        <v>4.3454418523333338</v>
      </c>
      <c r="Q80" s="540">
        <f>_xlfn.STDEV.S(L80:N80)</f>
        <v>8.7713516209384917E-2</v>
      </c>
      <c r="R80" s="531">
        <f t="shared" ref="R80:R81" si="29">Q80/O80</f>
        <v>2.0185177754084124E-2</v>
      </c>
    </row>
    <row r="81" spans="3:18">
      <c r="D81" s="331">
        <f>D79/0.026*D80</f>
        <v>0.22846153846153847</v>
      </c>
      <c r="E81" s="311">
        <v>30</v>
      </c>
      <c r="F81" s="312">
        <v>130</v>
      </c>
      <c r="G81" s="332">
        <v>22.874196489999999</v>
      </c>
      <c r="H81" s="332">
        <v>24.681842549999999</v>
      </c>
      <c r="I81" s="314">
        <f>H81-G81</f>
        <v>1.8076460599999997</v>
      </c>
      <c r="J81" s="331">
        <f>I81/$D$79</f>
        <v>164.33145999999999</v>
      </c>
      <c r="K81" s="531">
        <f>I81+I84</f>
        <v>3.2136157400000016</v>
      </c>
      <c r="L81" s="531">
        <f>K81-0.0215*59+0.0153*80</f>
        <v>3.1691157400000014</v>
      </c>
      <c r="M81" s="531">
        <v>3.1772668600000031</v>
      </c>
      <c r="O81" s="531">
        <f t="shared" ref="O81" si="30">AVERAGE(L81:M81)</f>
        <v>3.1731913000000023</v>
      </c>
      <c r="Q81" s="531">
        <f t="shared" ref="Q81" si="31">_xlfn.STDEV.S(L81:M81)</f>
        <v>5.7637122262665158E-3</v>
      </c>
      <c r="R81" s="531">
        <f t="shared" si="29"/>
        <v>1.816377167763731E-3</v>
      </c>
    </row>
    <row r="82" spans="3:18">
      <c r="D82" s="331">
        <f>0.0144</f>
        <v>1.44E-2</v>
      </c>
      <c r="E82" s="308">
        <v>20</v>
      </c>
      <c r="F82" s="309">
        <v>130</v>
      </c>
      <c r="G82" s="331">
        <v>22.68332345</v>
      </c>
      <c r="H82" s="331">
        <v>24.424286810000002</v>
      </c>
      <c r="I82" s="310">
        <f t="shared" ref="I82" si="32">H82-G82</f>
        <v>1.7409633600000021</v>
      </c>
      <c r="J82" s="331">
        <f>I82/$D$82</f>
        <v>120.90023333333347</v>
      </c>
      <c r="K82" s="531"/>
      <c r="L82" s="531"/>
      <c r="M82" s="531"/>
      <c r="O82" s="531"/>
      <c r="Q82" s="531"/>
      <c r="R82" s="531"/>
    </row>
    <row r="83" spans="3:18">
      <c r="D83" s="331">
        <f>0.3*2</f>
        <v>0.6</v>
      </c>
      <c r="E83" s="308">
        <v>20</v>
      </c>
      <c r="F83" s="309">
        <v>100</v>
      </c>
      <c r="G83" s="331">
        <v>22.536219509999999</v>
      </c>
      <c r="H83" s="331">
        <v>23.56244392</v>
      </c>
      <c r="I83" s="310">
        <f>H83-G83</f>
        <v>1.0262244100000011</v>
      </c>
      <c r="J83" s="331">
        <f t="shared" ref="J83:J84" si="33">I83/$D$82</f>
        <v>71.265584027777848</v>
      </c>
      <c r="K83" s="531"/>
      <c r="L83" s="531"/>
      <c r="M83" s="531"/>
      <c r="O83" s="531"/>
      <c r="Q83" s="531"/>
      <c r="R83" s="531"/>
    </row>
    <row r="84" spans="3:18">
      <c r="D84" s="331">
        <f>D82/0.026*D83</f>
        <v>0.3323076923076923</v>
      </c>
      <c r="E84" s="311">
        <v>30</v>
      </c>
      <c r="F84" s="312">
        <v>130</v>
      </c>
      <c r="G84" s="332">
        <v>22.884068509999999</v>
      </c>
      <c r="H84" s="332">
        <v>24.290038190000001</v>
      </c>
      <c r="I84" s="314">
        <f>H84-G84</f>
        <v>1.4059696800000019</v>
      </c>
      <c r="J84" s="331">
        <f t="shared" si="33"/>
        <v>97.636783333333469</v>
      </c>
      <c r="K84" s="531"/>
      <c r="L84" s="531"/>
      <c r="M84" s="531"/>
      <c r="O84" s="531"/>
      <c r="Q84" s="531"/>
      <c r="R84" s="531"/>
    </row>
    <row r="85" spans="3:18" ht="18.75">
      <c r="D85" s="365"/>
      <c r="E85" s="366" t="s">
        <v>0</v>
      </c>
      <c r="F85" s="367" t="s">
        <v>1</v>
      </c>
      <c r="G85" s="367" t="s">
        <v>65</v>
      </c>
      <c r="H85" s="367" t="s">
        <v>66</v>
      </c>
      <c r="I85" s="368" t="s">
        <v>67</v>
      </c>
      <c r="J85" s="365"/>
      <c r="K85" s="531"/>
      <c r="L85" s="531">
        <v>2</v>
      </c>
      <c r="M85" s="531"/>
      <c r="O85" s="531"/>
      <c r="Q85" s="531"/>
      <c r="R85" s="531"/>
    </row>
    <row r="86" spans="3:18">
      <c r="D86" s="371">
        <f>0.0268-0.014</f>
        <v>1.2800000000000001E-2</v>
      </c>
      <c r="E86" s="369">
        <v>15</v>
      </c>
      <c r="F86" s="370">
        <v>133</v>
      </c>
      <c r="G86" s="371">
        <v>22.291798490000001</v>
      </c>
      <c r="H86" s="371">
        <v>24.925873129999999</v>
      </c>
      <c r="I86" s="372">
        <f t="shared" ref="I86" si="34">H86-G86</f>
        <v>2.6340746399999979</v>
      </c>
      <c r="J86" s="371">
        <f>I86/$D86</f>
        <v>205.78708124999983</v>
      </c>
      <c r="K86" s="531">
        <f>I86+I89</f>
        <v>4.3773693699999967</v>
      </c>
      <c r="L86" s="540">
        <f>K86-0.0248*56+0.02*129</f>
        <v>5.568569369999997</v>
      </c>
      <c r="M86" s="531"/>
      <c r="O86" s="531"/>
      <c r="Q86" s="531"/>
      <c r="R86" s="531"/>
    </row>
    <row r="87" spans="3:18">
      <c r="D87" s="371">
        <f>0.3*2</f>
        <v>0.6</v>
      </c>
      <c r="E87" s="369">
        <v>20</v>
      </c>
      <c r="F87" s="370">
        <v>100</v>
      </c>
      <c r="G87" s="371">
        <v>22.544601409999999</v>
      </c>
      <c r="H87" s="371">
        <v>24.254591446999999</v>
      </c>
      <c r="I87" s="372">
        <f>H87-G87</f>
        <v>1.7099900370000007</v>
      </c>
      <c r="J87" s="371">
        <f>I87/$D86</f>
        <v>133.59297164062505</v>
      </c>
      <c r="K87" s="531">
        <f>I87+I90</f>
        <v>3.2494663469999985</v>
      </c>
      <c r="L87" s="540">
        <f>K87-0.0248*46+0.02*107</f>
        <v>4.2486663469999986</v>
      </c>
      <c r="M87" s="531"/>
      <c r="O87" s="531"/>
      <c r="Q87" s="531"/>
      <c r="R87" s="531"/>
    </row>
    <row r="88" spans="3:18">
      <c r="D88" s="371">
        <f>D86/0.026*D87</f>
        <v>0.29538461538461541</v>
      </c>
      <c r="E88" s="373">
        <v>30</v>
      </c>
      <c r="F88" s="374">
        <v>130</v>
      </c>
      <c r="G88" s="375">
        <v>22.88947018</v>
      </c>
      <c r="H88" s="375">
        <v>24.420378320000001</v>
      </c>
      <c r="I88" s="376">
        <f>H88-G88</f>
        <v>1.5309081400000011</v>
      </c>
      <c r="J88" s="371">
        <f>I88/$D86</f>
        <v>119.60219843750008</v>
      </c>
      <c r="K88" s="531">
        <f>I88+I91</f>
        <v>3.3692668600000033</v>
      </c>
      <c r="L88" s="531">
        <f>K88-0.024*59+0.0153*80</f>
        <v>3.1772668600000031</v>
      </c>
      <c r="M88" s="531"/>
      <c r="O88" s="531"/>
      <c r="Q88" s="531"/>
      <c r="R88" s="531"/>
    </row>
    <row r="89" spans="3:18">
      <c r="D89" s="371">
        <f>0.014</f>
        <v>1.4E-2</v>
      </c>
      <c r="E89" s="369">
        <v>20</v>
      </c>
      <c r="F89" s="370">
        <v>130</v>
      </c>
      <c r="G89" s="371">
        <v>23.211055890000001</v>
      </c>
      <c r="H89" s="371">
        <v>24.95435062</v>
      </c>
      <c r="I89" s="372">
        <f t="shared" ref="I89" si="35">H89-G89</f>
        <v>1.7432947299999988</v>
      </c>
      <c r="J89" s="371">
        <f>I89/$D89</f>
        <v>124.52105214285706</v>
      </c>
      <c r="K89" s="531"/>
      <c r="L89" s="531"/>
      <c r="M89" s="531"/>
      <c r="O89" s="531"/>
      <c r="Q89" s="531"/>
      <c r="R89" s="531"/>
    </row>
    <row r="90" spans="3:18">
      <c r="D90" s="371">
        <f>0.3*2</f>
        <v>0.6</v>
      </c>
      <c r="E90" s="369">
        <v>20</v>
      </c>
      <c r="F90" s="370">
        <v>100</v>
      </c>
      <c r="G90" s="371">
        <v>22.886210550000001</v>
      </c>
      <c r="H90" s="371">
        <v>24.425686859999999</v>
      </c>
      <c r="I90" s="372">
        <f>H90-G90</f>
        <v>1.5394763099999977</v>
      </c>
      <c r="J90" s="371">
        <f>I90/$D89</f>
        <v>109.96259357142841</v>
      </c>
      <c r="K90" s="531"/>
      <c r="L90" s="531"/>
      <c r="M90" s="531"/>
      <c r="O90" s="531"/>
      <c r="Q90" s="531"/>
      <c r="R90" s="531"/>
    </row>
    <row r="91" spans="3:18">
      <c r="D91" s="371">
        <f>D89/0.026*D90</f>
        <v>0.32307692307692309</v>
      </c>
      <c r="E91" s="373">
        <v>30</v>
      </c>
      <c r="F91" s="374">
        <v>130</v>
      </c>
      <c r="G91" s="375">
        <v>22.885931159999998</v>
      </c>
      <c r="H91" s="375">
        <v>24.724289880000001</v>
      </c>
      <c r="I91" s="376">
        <f>H91-G91</f>
        <v>1.8383587200000022</v>
      </c>
      <c r="J91" s="371">
        <f>I91/$D89</f>
        <v>131.3113371428573</v>
      </c>
      <c r="K91" s="531"/>
      <c r="L91" s="531"/>
      <c r="M91" s="531"/>
      <c r="O91" s="531"/>
      <c r="Q91" s="531"/>
      <c r="R91" s="531"/>
    </row>
    <row r="93" spans="3:18" ht="18.75">
      <c r="C93" t="s">
        <v>100</v>
      </c>
      <c r="D93" s="359"/>
      <c r="E93" s="447" t="s">
        <v>0</v>
      </c>
      <c r="F93" s="448" t="s">
        <v>1</v>
      </c>
      <c r="G93" s="448" t="s">
        <v>80</v>
      </c>
      <c r="H93" s="448" t="s">
        <v>81</v>
      </c>
      <c r="I93" s="449" t="s">
        <v>82</v>
      </c>
      <c r="J93" s="359"/>
      <c r="K93">
        <v>2</v>
      </c>
    </row>
    <row r="94" spans="3:18">
      <c r="D94" s="359">
        <f>0.0186</f>
        <v>1.8599999999999998E-2</v>
      </c>
      <c r="E94" s="360">
        <v>15</v>
      </c>
      <c r="F94" s="361">
        <v>133</v>
      </c>
      <c r="G94" s="450">
        <v>23.216550689999998</v>
      </c>
      <c r="H94" s="329">
        <v>26.592391735</v>
      </c>
      <c r="I94" s="362">
        <f t="shared" ref="I94" si="36">H94-G94</f>
        <v>3.3758410450000014</v>
      </c>
      <c r="J94" s="359">
        <f>I94/$D94</f>
        <v>181.49683037634418</v>
      </c>
      <c r="K94" s="540">
        <f>I94-0.0186*56+0.0153*129</f>
        <v>4.3079410450000015</v>
      </c>
    </row>
    <row r="95" spans="3:18">
      <c r="D95" s="359">
        <f>0.3*1.25</f>
        <v>0.375</v>
      </c>
      <c r="E95" s="360">
        <v>20</v>
      </c>
      <c r="F95" s="361">
        <v>100</v>
      </c>
      <c r="G95" s="451">
        <v>22.825953980000001</v>
      </c>
      <c r="H95" s="329">
        <v>25.05438951</v>
      </c>
      <c r="I95" s="362">
        <f>H95-G95</f>
        <v>2.2284355299999987</v>
      </c>
      <c r="J95" s="359">
        <f>I95/$D94</f>
        <v>119.80836182795693</v>
      </c>
      <c r="K95" s="540">
        <f>I95-0.0186*46+0.02*107</f>
        <v>3.5128355299999989</v>
      </c>
    </row>
    <row r="96" spans="3:18">
      <c r="D96" s="359">
        <f>D95/D94</f>
        <v>20.161290322580648</v>
      </c>
      <c r="E96" s="363">
        <v>30</v>
      </c>
      <c r="F96" s="364">
        <v>130</v>
      </c>
      <c r="G96" s="330">
        <v>22.886210550000001</v>
      </c>
      <c r="H96" s="330">
        <v>24.42279976</v>
      </c>
      <c r="I96" s="441">
        <f>H96-G96</f>
        <v>1.5365892099999989</v>
      </c>
      <c r="J96" s="359">
        <f>I96/$D94</f>
        <v>82.612323118279519</v>
      </c>
      <c r="K96" s="533">
        <f>I96-0.0154*80+0.0153*80</f>
        <v>1.5285892099999989</v>
      </c>
      <c r="L96" s="534"/>
      <c r="N96" s="540">
        <v>3.2130164549999991</v>
      </c>
    </row>
    <row r="97" spans="3:20">
      <c r="N97" s="540">
        <v>2.4318912142991493</v>
      </c>
    </row>
    <row r="98" spans="3:20">
      <c r="C98" s="4">
        <v>42378</v>
      </c>
      <c r="D98" s="540"/>
      <c r="E98" s="540"/>
      <c r="F98" s="540"/>
      <c r="G98" s="540"/>
      <c r="H98" s="540"/>
      <c r="I98" s="540"/>
      <c r="J98" s="540"/>
    </row>
    <row r="99" spans="3:20" ht="18.75">
      <c r="C99" s="540" t="s">
        <v>102</v>
      </c>
      <c r="D99" s="304"/>
      <c r="E99" s="305" t="s">
        <v>0</v>
      </c>
      <c r="F99" s="306" t="s">
        <v>1</v>
      </c>
      <c r="G99" s="306" t="s">
        <v>58</v>
      </c>
      <c r="H99" s="306" t="s">
        <v>59</v>
      </c>
      <c r="I99" s="307" t="s">
        <v>60</v>
      </c>
      <c r="J99" s="304"/>
      <c r="M99" s="278" t="s">
        <v>76</v>
      </c>
      <c r="N99" s="723" t="s">
        <v>47</v>
      </c>
      <c r="O99" s="724"/>
      <c r="P99" s="725"/>
      <c r="Q99" s="726"/>
      <c r="R99" s="723" t="s">
        <v>77</v>
      </c>
      <c r="S99" s="725"/>
      <c r="T99" s="726"/>
    </row>
    <row r="100" spans="3:20">
      <c r="C100" s="540"/>
      <c r="D100" s="331">
        <f>0.0205</f>
        <v>2.0500000000000001E-2</v>
      </c>
      <c r="E100" s="308">
        <v>20</v>
      </c>
      <c r="F100" s="309">
        <v>100</v>
      </c>
      <c r="G100" s="331">
        <v>23.773015959999999</v>
      </c>
      <c r="H100" s="331">
        <v>28.194470150000001</v>
      </c>
      <c r="I100" s="310">
        <f t="shared" ref="I100" si="37">H100-G100</f>
        <v>4.4214541900000022</v>
      </c>
      <c r="J100" s="331">
        <f>I100/$D$100</f>
        <v>215.68069219512205</v>
      </c>
      <c r="K100">
        <f>I100-0.0205*107+0.02*107</f>
        <v>4.3679541900000025</v>
      </c>
      <c r="M100" s="541" t="s">
        <v>43</v>
      </c>
      <c r="N100" s="542" t="s">
        <v>44</v>
      </c>
      <c r="O100" s="542" t="s">
        <v>104</v>
      </c>
      <c r="P100" s="322" t="s">
        <v>45</v>
      </c>
      <c r="Q100" s="323" t="s">
        <v>46</v>
      </c>
      <c r="R100" s="322" t="s">
        <v>44</v>
      </c>
      <c r="S100" s="542" t="s">
        <v>104</v>
      </c>
      <c r="T100" s="323" t="s">
        <v>46</v>
      </c>
    </row>
    <row r="101" spans="3:20">
      <c r="C101" s="540"/>
      <c r="D101" s="331">
        <f>0.3*1.8</f>
        <v>0.54</v>
      </c>
      <c r="E101" s="308">
        <v>15</v>
      </c>
      <c r="F101" s="309">
        <v>133</v>
      </c>
      <c r="G101" s="404">
        <v>24.2649677</v>
      </c>
      <c r="H101" s="404">
        <v>29.66593585</v>
      </c>
      <c r="I101" s="310">
        <f>H101-G101</f>
        <v>5.4009681500000006</v>
      </c>
      <c r="J101" s="331">
        <f t="shared" ref="J101:J103" si="38">I101/$D$100</f>
        <v>263.4618609756098</v>
      </c>
      <c r="K101" s="540">
        <f>I101-0.0205*129+0.0153*129</f>
        <v>4.7301681500000008</v>
      </c>
      <c r="M101" s="553">
        <v>0</v>
      </c>
      <c r="N101" s="552">
        <v>2.1643478260869564</v>
      </c>
      <c r="O101" s="552">
        <v>2.5859652173913048</v>
      </c>
      <c r="P101" s="430">
        <v>0.86955095304450347</v>
      </c>
      <c r="Q101" s="100">
        <v>1.2342068972420537</v>
      </c>
      <c r="R101" s="12">
        <v>0</v>
      </c>
      <c r="S101" s="12">
        <v>0</v>
      </c>
      <c r="T101" s="282">
        <v>0</v>
      </c>
    </row>
    <row r="102" spans="3:20">
      <c r="C102" s="540"/>
      <c r="D102" s="536">
        <f>D100/0.026*D101</f>
        <v>0.42576923076923084</v>
      </c>
      <c r="E102" s="308">
        <v>26</v>
      </c>
      <c r="F102" s="309">
        <v>100</v>
      </c>
      <c r="G102" s="404">
        <v>24.10158659</v>
      </c>
      <c r="H102" s="404">
        <v>28.87610518</v>
      </c>
      <c r="I102" s="310">
        <f>H102-G102</f>
        <v>4.7745185899999996</v>
      </c>
      <c r="J102" s="331">
        <f t="shared" si="38"/>
        <v>232.90334585365849</v>
      </c>
      <c r="M102" s="545">
        <f>0.3*0.25</f>
        <v>7.4999999999999997E-2</v>
      </c>
      <c r="N102" s="546">
        <v>2.4318912142991493</v>
      </c>
      <c r="O102" s="546">
        <v>3.2130164549999991</v>
      </c>
      <c r="P102" s="7">
        <v>1.2439664549999991</v>
      </c>
      <c r="Q102" s="8">
        <v>1.7711116199999983</v>
      </c>
      <c r="R102" s="7">
        <f>N102-$N$101</f>
        <v>0.26754338821219292</v>
      </c>
      <c r="S102" s="7">
        <f>O102-$O$101</f>
        <v>0.6270512376086943</v>
      </c>
      <c r="T102" s="8">
        <f>Q102-$Q$101</f>
        <v>0.53690472275794465</v>
      </c>
    </row>
    <row r="103" spans="3:20">
      <c r="C103" s="540"/>
      <c r="D103" s="331"/>
      <c r="E103" s="311">
        <v>20</v>
      </c>
      <c r="F103" s="312">
        <v>130</v>
      </c>
      <c r="G103" s="332">
        <v>24.448224870000001</v>
      </c>
      <c r="H103" s="332">
        <v>29.723608779999999</v>
      </c>
      <c r="I103" s="314">
        <f>H103-G103</f>
        <v>5.2753839099999986</v>
      </c>
      <c r="J103" s="331">
        <f t="shared" si="38"/>
        <v>257.33580048780482</v>
      </c>
      <c r="M103" s="434">
        <f>0.3*0.5</f>
        <v>0.15</v>
      </c>
      <c r="N103" s="552">
        <v>2.9909897855013994</v>
      </c>
      <c r="O103" s="552">
        <v>3.711976476666667</v>
      </c>
      <c r="P103" s="430">
        <v>1.2669098100000014</v>
      </c>
      <c r="Q103" s="8">
        <v>1.9869832100000007</v>
      </c>
      <c r="R103" s="7">
        <f>N103-$N$101</f>
        <v>0.82664195941444296</v>
      </c>
      <c r="S103" s="7">
        <f>O103-$O$101</f>
        <v>1.1260112592753622</v>
      </c>
      <c r="T103" s="8">
        <f>Q103-$Q$101</f>
        <v>0.75277631275794699</v>
      </c>
    </row>
    <row r="104" spans="3:20">
      <c r="C104" s="540"/>
      <c r="D104" s="540"/>
      <c r="E104" s="540"/>
      <c r="F104" s="540"/>
      <c r="G104" s="540"/>
      <c r="H104" s="540"/>
      <c r="I104" s="540"/>
      <c r="J104" s="540"/>
      <c r="M104" s="434">
        <v>0.24</v>
      </c>
      <c r="N104" s="551">
        <v>3.40157278</v>
      </c>
      <c r="O104" s="551">
        <v>3.9013414200000001</v>
      </c>
      <c r="P104" s="12">
        <v>1.5368310733333341</v>
      </c>
      <c r="Q104" s="282">
        <v>2.185230686666666</v>
      </c>
      <c r="R104" s="7">
        <f>N104-$N$101</f>
        <v>1.2372249539130435</v>
      </c>
      <c r="S104" s="7">
        <f>O104-$O$101</f>
        <v>1.3153762026086953</v>
      </c>
      <c r="T104" s="8">
        <f>Q104-$Q$101</f>
        <v>0.9510237894246123</v>
      </c>
    </row>
    <row r="105" spans="3:20" ht="18.75">
      <c r="C105" s="540" t="s">
        <v>75</v>
      </c>
      <c r="D105" s="304"/>
      <c r="E105" s="305" t="s">
        <v>0</v>
      </c>
      <c r="F105" s="306" t="s">
        <v>1</v>
      </c>
      <c r="G105" s="306" t="s">
        <v>58</v>
      </c>
      <c r="H105" s="306" t="s">
        <v>59</v>
      </c>
      <c r="I105" s="307" t="s">
        <v>60</v>
      </c>
      <c r="J105" s="304"/>
      <c r="M105" s="434">
        <v>0.39</v>
      </c>
      <c r="N105" s="546">
        <v>3.8462548700000001</v>
      </c>
      <c r="O105" s="546">
        <v>4.8420498324999999</v>
      </c>
      <c r="P105" s="7">
        <v>2.0696939700896713</v>
      </c>
      <c r="Q105" s="8">
        <v>2.576592684756934</v>
      </c>
      <c r="R105" s="7">
        <f>N105-$N$101</f>
        <v>1.6819070439130437</v>
      </c>
      <c r="S105" s="7">
        <f>O105-$O$101</f>
        <v>2.2560846151086951</v>
      </c>
      <c r="T105" s="8">
        <f>Q105-$Q$101</f>
        <v>1.3423857875148804</v>
      </c>
    </row>
    <row r="106" spans="3:20">
      <c r="C106" s="540"/>
      <c r="D106" s="331">
        <f>0.0231</f>
        <v>2.3099999999999999E-2</v>
      </c>
      <c r="E106" s="308">
        <v>20</v>
      </c>
      <c r="F106" s="309">
        <v>100</v>
      </c>
      <c r="G106" s="331">
        <v>23.762771409999999</v>
      </c>
      <c r="H106" s="331">
        <v>26.996044189999999</v>
      </c>
      <c r="I106" s="310">
        <f t="shared" ref="I106" si="39">H106-G106</f>
        <v>3.2332727800000001</v>
      </c>
      <c r="J106" s="331">
        <f>I106/$D$106</f>
        <v>139.96851861471862</v>
      </c>
      <c r="K106" s="540">
        <f>I106-0.0231*107+0.02*107</f>
        <v>2.9015727800000004</v>
      </c>
      <c r="M106" s="434">
        <v>0.54</v>
      </c>
      <c r="N106" s="547">
        <v>4.8454418523333302</v>
      </c>
      <c r="O106" s="547">
        <v>5.3746329533333297</v>
      </c>
      <c r="P106" s="490">
        <v>2.1631799880000031</v>
      </c>
      <c r="Q106" s="276">
        <v>2.7514605779999983</v>
      </c>
      <c r="R106" s="6">
        <f>N106-$N$101</f>
        <v>2.6810940262463738</v>
      </c>
      <c r="S106" s="7">
        <f>O106-$O$101</f>
        <v>2.7886677359420249</v>
      </c>
      <c r="T106" s="8">
        <f>Q106-$Q$101</f>
        <v>1.5172536807579446</v>
      </c>
    </row>
    <row r="107" spans="3:20">
      <c r="C107" s="540"/>
      <c r="D107" s="331">
        <f>0.3*0.8</f>
        <v>0.24</v>
      </c>
      <c r="E107" s="308">
        <v>15</v>
      </c>
      <c r="F107" s="309">
        <v>133</v>
      </c>
      <c r="G107" s="404">
        <v>24.443754519999999</v>
      </c>
      <c r="H107" s="404">
        <v>28.444995939999998</v>
      </c>
      <c r="I107" s="310">
        <f>H107-G107</f>
        <v>4.0012414199999995</v>
      </c>
      <c r="J107" s="331">
        <f t="shared" ref="J107:J109" si="40">I107/$D$106</f>
        <v>173.21391428571428</v>
      </c>
      <c r="K107" s="540">
        <f>I107-0.0231*129+0.0153*129</f>
        <v>2.9950414199999997</v>
      </c>
      <c r="M107" s="9"/>
      <c r="N107" s="328"/>
      <c r="O107" s="328"/>
      <c r="P107" s="328"/>
      <c r="Q107" s="277"/>
      <c r="R107" s="9"/>
      <c r="S107" s="10"/>
      <c r="T107" s="11"/>
    </row>
    <row r="108" spans="3:20">
      <c r="C108" s="540"/>
      <c r="D108" s="536">
        <f>D106/0.026*D107</f>
        <v>0.21323076923076922</v>
      </c>
      <c r="E108" s="308">
        <v>26</v>
      </c>
      <c r="F108" s="309">
        <v>100</v>
      </c>
      <c r="G108" s="404">
        <v>23.76184009</v>
      </c>
      <c r="H108" s="404">
        <v>27.396512919999999</v>
      </c>
      <c r="I108" s="310">
        <f>H108-G108</f>
        <v>3.6346728299999995</v>
      </c>
      <c r="J108" s="331">
        <f t="shared" si="40"/>
        <v>157.34514415584414</v>
      </c>
    </row>
    <row r="109" spans="3:20">
      <c r="C109" s="540"/>
      <c r="D109" s="331"/>
      <c r="E109" s="311">
        <v>20</v>
      </c>
      <c r="F109" s="312">
        <v>130</v>
      </c>
      <c r="G109" s="332">
        <v>24.442916329999999</v>
      </c>
      <c r="H109" s="332">
        <v>28.53626555</v>
      </c>
      <c r="I109" s="314">
        <f t="shared" ref="I109" si="41">H109-G109</f>
        <v>4.0933492200000003</v>
      </c>
      <c r="J109" s="331">
        <f t="shared" si="40"/>
        <v>177.20126493506496</v>
      </c>
    </row>
    <row r="110" spans="3:20">
      <c r="C110" s="540"/>
      <c r="D110" s="540"/>
      <c r="E110" s="540"/>
      <c r="F110" s="540"/>
      <c r="G110" s="540"/>
      <c r="H110" s="540"/>
      <c r="I110" s="540"/>
      <c r="J110" s="540"/>
    </row>
    <row r="111" spans="3:20" ht="18.75">
      <c r="C111" s="540" t="s">
        <v>100</v>
      </c>
      <c r="D111" s="304"/>
      <c r="E111" s="305" t="s">
        <v>0</v>
      </c>
      <c r="F111" s="306" t="s">
        <v>1</v>
      </c>
      <c r="G111" s="306" t="s">
        <v>58</v>
      </c>
      <c r="H111" s="306" t="s">
        <v>59</v>
      </c>
      <c r="I111" s="307" t="s">
        <v>60</v>
      </c>
      <c r="J111" s="304"/>
      <c r="K111">
        <v>1</v>
      </c>
      <c r="L111">
        <v>2</v>
      </c>
    </row>
    <row r="112" spans="3:20">
      <c r="C112" s="540"/>
      <c r="D112" s="331">
        <f>0.0158</f>
        <v>1.5800000000000002E-2</v>
      </c>
      <c r="E112" s="308">
        <v>20</v>
      </c>
      <c r="F112" s="309">
        <v>100</v>
      </c>
      <c r="G112" s="331">
        <v>23.764727189999999</v>
      </c>
      <c r="H112" s="537">
        <v>27.337001399999998</v>
      </c>
      <c r="I112" s="310">
        <f t="shared" ref="I112" si="42">H112-G112</f>
        <v>3.5722742099999998</v>
      </c>
      <c r="J112" s="331">
        <f>I112/$D$112</f>
        <v>226.0933044303797</v>
      </c>
      <c r="K112" s="540">
        <f>I112-0.0218*107+0.02*107</f>
        <v>3.3796742100000001</v>
      </c>
      <c r="L112">
        <v>3.5128355299999989</v>
      </c>
      <c r="N112" s="540">
        <f>AVERAGE(K112:L112)</f>
        <v>3.4462548699999997</v>
      </c>
      <c r="O112" s="540">
        <f>_xlfn.STDEV.S(K112:L112)</f>
        <v>9.415927236375099E-2</v>
      </c>
    </row>
    <row r="113" spans="3:15">
      <c r="C113" s="540"/>
      <c r="D113" s="331">
        <f>0.3*1.3</f>
        <v>0.39</v>
      </c>
      <c r="E113" s="308">
        <v>15</v>
      </c>
      <c r="F113" s="309">
        <v>133</v>
      </c>
      <c r="G113" s="404">
        <v>24.446548490000001</v>
      </c>
      <c r="H113" s="404">
        <v>28.748607109999998</v>
      </c>
      <c r="I113" s="310">
        <f>H113-G113</f>
        <v>4.3020586199999968</v>
      </c>
      <c r="J113" s="331">
        <f t="shared" ref="J113:J115" si="43">I113/$D$112</f>
        <v>272.2821911392403</v>
      </c>
      <c r="K113" s="540">
        <f>I113-0.0158*129+0.0153*129</f>
        <v>4.2375586199999962</v>
      </c>
      <c r="L113">
        <v>4.3079410450000015</v>
      </c>
      <c r="N113" s="540">
        <f>AVERAGE(K113:L113)</f>
        <v>4.2727498324999988</v>
      </c>
      <c r="O113" s="540">
        <f>_xlfn.STDEV.S(K113:L113)</f>
        <v>4.9767889993857381E-2</v>
      </c>
    </row>
    <row r="114" spans="3:15">
      <c r="C114" s="540"/>
      <c r="D114" s="536">
        <f>D112/0.026*D113</f>
        <v>0.23700000000000004</v>
      </c>
      <c r="E114" s="308">
        <v>26</v>
      </c>
      <c r="F114" s="309">
        <v>100</v>
      </c>
      <c r="G114" s="404">
        <v>23.76929067</v>
      </c>
      <c r="H114" s="404">
        <v>27.819985320000001</v>
      </c>
      <c r="I114" s="310">
        <f>H114-G114</f>
        <v>4.0506946500000005</v>
      </c>
      <c r="J114" s="331">
        <f t="shared" si="43"/>
        <v>256.37307911392406</v>
      </c>
    </row>
    <row r="115" spans="3:15">
      <c r="C115" s="540"/>
      <c r="D115" s="331"/>
      <c r="E115" s="311">
        <v>20</v>
      </c>
      <c r="F115" s="312">
        <v>130</v>
      </c>
      <c r="G115" s="332">
        <v>24.103635499999999</v>
      </c>
      <c r="H115" s="332">
        <v>28.87666398</v>
      </c>
      <c r="I115" s="314">
        <f t="shared" ref="I115" si="44">H115-G115</f>
        <v>4.7730284800000007</v>
      </c>
      <c r="J115" s="331">
        <f t="shared" si="43"/>
        <v>302.0904101265823</v>
      </c>
    </row>
    <row r="123" spans="3:15">
      <c r="F123" t="s">
        <v>112</v>
      </c>
    </row>
    <row r="124" spans="3:15">
      <c r="E124" s="566">
        <v>0</v>
      </c>
      <c r="F124">
        <v>2.1643478260869564</v>
      </c>
      <c r="G124">
        <v>2.220831943799972</v>
      </c>
      <c r="H124">
        <v>2.2951514896840557</v>
      </c>
    </row>
    <row r="125" spans="3:15">
      <c r="E125" s="566">
        <v>7.4999999999999997E-2</v>
      </c>
      <c r="F125">
        <v>3.2865572799999976</v>
      </c>
      <c r="G125">
        <v>3.1394756300000011</v>
      </c>
      <c r="I125">
        <v>0</v>
      </c>
      <c r="J125">
        <v>1.97</v>
      </c>
    </row>
    <row r="126" spans="3:15">
      <c r="E126" s="566">
        <v>0.15</v>
      </c>
      <c r="F126">
        <v>3.7381271200000006</v>
      </c>
      <c r="G126">
        <v>3.7028936999999988</v>
      </c>
      <c r="H126">
        <v>3.6949086100000006</v>
      </c>
      <c r="I126">
        <v>7.4999999999999997E-2</v>
      </c>
      <c r="J126">
        <v>2.606716454999999</v>
      </c>
    </row>
    <row r="127" spans="3:15">
      <c r="E127" s="566">
        <v>0.24</v>
      </c>
      <c r="F127">
        <v>3.9866913000000004</v>
      </c>
      <c r="G127">
        <v>3.6013414199999998</v>
      </c>
      <c r="H127">
        <v>4.17149751</v>
      </c>
      <c r="I127">
        <v>0.15</v>
      </c>
      <c r="J127">
        <v>3.1403431433333338</v>
      </c>
    </row>
    <row r="128" spans="3:15">
      <c r="E128" s="566">
        <v>0.39</v>
      </c>
      <c r="F128">
        <v>4.8438586199999971</v>
      </c>
      <c r="G128">
        <v>4.6142410450000009</v>
      </c>
      <c r="H128">
        <v>4.1227498324999985</v>
      </c>
      <c r="I128">
        <v>0.24</v>
      </c>
      <c r="J128">
        <v>3.3135434099999999</v>
      </c>
    </row>
    <row r="129" spans="5:10">
      <c r="E129" s="566">
        <v>0.54</v>
      </c>
      <c r="F129">
        <v>5.5188613400000044</v>
      </c>
      <c r="G129">
        <v>5.568569369999997</v>
      </c>
      <c r="H129">
        <v>5.33646815</v>
      </c>
      <c r="I129">
        <v>0.3</v>
      </c>
      <c r="J129">
        <v>3.8958018002690151</v>
      </c>
    </row>
    <row r="130" spans="5:10">
      <c r="I130" s="566">
        <v>0.39</v>
      </c>
      <c r="J130">
        <v>4.2727498324999988</v>
      </c>
    </row>
    <row r="131" spans="5:10">
      <c r="I131" s="566">
        <v>0.54</v>
      </c>
      <c r="J131">
        <v>5.4009681500000006</v>
      </c>
    </row>
  </sheetData>
  <mergeCells count="2">
    <mergeCell ref="N99:Q99"/>
    <mergeCell ref="R99:T99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5"/>
  <sheetViews>
    <sheetView topLeftCell="A13" workbookViewId="0">
      <selection activeCell="G46" sqref="G46:G47"/>
    </sheetView>
  </sheetViews>
  <sheetFormatPr defaultRowHeight="15"/>
  <cols>
    <col min="5" max="5" width="12.42578125" customWidth="1"/>
  </cols>
  <sheetData>
    <row r="5" spans="1:17">
      <c r="E5" t="s">
        <v>49</v>
      </c>
      <c r="M5" t="s">
        <v>50</v>
      </c>
    </row>
    <row r="6" spans="1:17" ht="15.75">
      <c r="A6" t="s">
        <v>54</v>
      </c>
      <c r="E6" s="278"/>
      <c r="F6" s="723" t="s">
        <v>4</v>
      </c>
      <c r="G6" s="725"/>
      <c r="H6" s="726"/>
      <c r="I6" s="723" t="s">
        <v>48</v>
      </c>
      <c r="J6" s="725"/>
      <c r="K6" s="726"/>
      <c r="M6" s="283"/>
      <c r="N6" s="725" t="s">
        <v>47</v>
      </c>
      <c r="O6" s="727"/>
      <c r="P6" s="725" t="s">
        <v>51</v>
      </c>
      <c r="Q6" s="727"/>
    </row>
    <row r="7" spans="1:17">
      <c r="A7" s="279" t="s">
        <v>43</v>
      </c>
      <c r="B7" s="725" t="s">
        <v>47</v>
      </c>
      <c r="C7" s="727"/>
      <c r="E7" s="279" t="s">
        <v>43</v>
      </c>
      <c r="F7" s="280" t="s">
        <v>44</v>
      </c>
      <c r="G7" s="280" t="s">
        <v>45</v>
      </c>
      <c r="H7" s="281" t="s">
        <v>46</v>
      </c>
      <c r="I7" s="280" t="s">
        <v>44</v>
      </c>
      <c r="J7" s="280" t="s">
        <v>45</v>
      </c>
      <c r="K7" s="281" t="s">
        <v>46</v>
      </c>
      <c r="M7" s="284" t="s">
        <v>42</v>
      </c>
      <c r="N7" s="279" t="s">
        <v>52</v>
      </c>
      <c r="O7" s="281" t="s">
        <v>53</v>
      </c>
      <c r="P7" s="279" t="s">
        <v>52</v>
      </c>
      <c r="Q7" s="281" t="s">
        <v>53</v>
      </c>
    </row>
    <row r="8" spans="1:17">
      <c r="A8" s="5">
        <v>2.1399999999999999E-2</v>
      </c>
      <c r="B8" s="5">
        <v>0.67</v>
      </c>
      <c r="E8" s="278">
        <v>0</v>
      </c>
      <c r="F8" s="98">
        <v>0.63985612811835635</v>
      </c>
      <c r="G8" s="98">
        <v>0.87536197890300094</v>
      </c>
      <c r="H8" s="100">
        <v>1.2676990004861164</v>
      </c>
      <c r="I8" s="12">
        <v>0</v>
      </c>
      <c r="J8" s="12">
        <v>0</v>
      </c>
      <c r="K8" s="282">
        <v>0</v>
      </c>
      <c r="M8" s="284">
        <v>0</v>
      </c>
      <c r="N8" s="7">
        <v>1.1736471028352085</v>
      </c>
      <c r="O8" s="8">
        <v>1.4993391400660521</v>
      </c>
      <c r="P8" s="273">
        <v>0</v>
      </c>
      <c r="Q8" s="274">
        <v>0</v>
      </c>
    </row>
    <row r="9" spans="1:17">
      <c r="A9" s="5">
        <v>5.5320000000000001E-2</v>
      </c>
      <c r="B9" s="5">
        <v>1.3614074207191109</v>
      </c>
      <c r="E9" s="6">
        <f>0.3*0.75</f>
        <v>0.22499999999999998</v>
      </c>
      <c r="F9" s="321">
        <v>2.6186944563090675</v>
      </c>
      <c r="G9" s="7">
        <v>3.5884804309543692</v>
      </c>
      <c r="H9" s="8">
        <v>4.0223682728235275</v>
      </c>
      <c r="I9" s="7">
        <f>F9-$F$8</f>
        <v>1.9788383281907111</v>
      </c>
      <c r="J9" s="7">
        <f>G9-$Q$76</f>
        <v>3.5884804309543692</v>
      </c>
      <c r="K9" s="8">
        <f>H9-$R$76</f>
        <v>4.0223682728235275</v>
      </c>
      <c r="M9" s="284">
        <v>1.3300000000000001E-2</v>
      </c>
      <c r="N9" s="7">
        <v>1.2375178335492907</v>
      </c>
      <c r="O9" s="5">
        <v>1.7521904975705793</v>
      </c>
      <c r="P9" s="275">
        <f>N9-$E$9</f>
        <v>1.0125178335492908</v>
      </c>
      <c r="Q9" s="276">
        <f>O9-$F$9</f>
        <v>-0.86650395873848818</v>
      </c>
    </row>
    <row r="10" spans="1:17">
      <c r="A10" s="5">
        <v>0.1148</v>
      </c>
      <c r="B10" s="5">
        <v>3.4894560867223801</v>
      </c>
      <c r="E10" s="6">
        <f>0.3*0.5</f>
        <v>0.15</v>
      </c>
      <c r="F10" s="7">
        <v>1.8526754983480354</v>
      </c>
      <c r="G10" s="7">
        <v>2.3403668305951073</v>
      </c>
      <c r="H10" s="8">
        <v>2.8075146112082363</v>
      </c>
      <c r="I10" s="7">
        <f t="shared" ref="I10:I13" si="0">F10-$F$8</f>
        <v>1.212819370229679</v>
      </c>
      <c r="J10" s="7">
        <f t="shared" ref="J10:K11" si="1">G10-$Q$76</f>
        <v>2.3403668305951073</v>
      </c>
      <c r="K10" s="8">
        <f t="shared" si="1"/>
        <v>2.8075146112082363</v>
      </c>
      <c r="M10" s="284">
        <v>2.8700000000000003E-2</v>
      </c>
      <c r="N10" s="7">
        <v>1.7249762758929506</v>
      </c>
      <c r="O10" s="8">
        <v>2.3285353820369998</v>
      </c>
      <c r="P10" s="275">
        <f t="shared" ref="P10:P15" si="2">N10-$E$9</f>
        <v>1.4999762758929505</v>
      </c>
      <c r="Q10" s="276">
        <f t="shared" ref="Q10:Q15" si="3">O10-$F$9</f>
        <v>-0.29015907427206766</v>
      </c>
    </row>
    <row r="11" spans="1:17">
      <c r="A11" s="5">
        <v>0.26200000000000001</v>
      </c>
      <c r="B11" s="5">
        <v>8.0103059417191709</v>
      </c>
      <c r="E11" s="9">
        <f>0.3*0.25</f>
        <v>7.4999999999999997E-2</v>
      </c>
      <c r="F11" s="10">
        <v>1.2311093387179992</v>
      </c>
      <c r="G11" s="10">
        <v>1.6525708782838606</v>
      </c>
      <c r="H11" s="11">
        <v>1.9210219407909139</v>
      </c>
      <c r="I11" s="7">
        <f t="shared" si="0"/>
        <v>0.59125321059964286</v>
      </c>
      <c r="J11" s="10">
        <f t="shared" si="1"/>
        <v>1.6525708782838606</v>
      </c>
      <c r="K11" s="11">
        <f t="shared" si="1"/>
        <v>1.9210219407909139</v>
      </c>
      <c r="M11" s="284">
        <v>4.2350000000000006E-2</v>
      </c>
      <c r="N11" s="7">
        <v>2.1662460608207272</v>
      </c>
      <c r="O11" s="5">
        <v>2.8326086997830493</v>
      </c>
      <c r="P11" s="275">
        <f t="shared" si="2"/>
        <v>1.9412460608207271</v>
      </c>
      <c r="Q11" s="276">
        <f t="shared" si="3"/>
        <v>0.2139142434739818</v>
      </c>
    </row>
    <row r="12" spans="1:17">
      <c r="A12" s="5">
        <v>0.37890000000000001</v>
      </c>
      <c r="B12" s="5">
        <v>11.033379199110207</v>
      </c>
      <c r="E12">
        <v>0.24</v>
      </c>
      <c r="F12" s="12">
        <v>7</v>
      </c>
      <c r="I12" s="7">
        <f t="shared" si="0"/>
        <v>6.3601438718816432</v>
      </c>
      <c r="M12" s="284">
        <v>5.5024875621890554E-2</v>
      </c>
      <c r="N12" s="7">
        <v>2.3988182980577211</v>
      </c>
      <c r="O12" s="276">
        <v>3.1814624149689981</v>
      </c>
      <c r="P12" s="275">
        <f t="shared" si="2"/>
        <v>2.173818298057721</v>
      </c>
      <c r="Q12" s="276">
        <f t="shared" si="3"/>
        <v>0.56276795865993057</v>
      </c>
    </row>
    <row r="13" spans="1:17">
      <c r="A13" s="5">
        <v>0.51200000000000001</v>
      </c>
      <c r="B13" s="5">
        <v>14.654214212549601</v>
      </c>
      <c r="E13">
        <v>0.39</v>
      </c>
      <c r="F13" s="12">
        <v>11</v>
      </c>
      <c r="I13" s="7">
        <f t="shared" si="0"/>
        <v>10.360143871881643</v>
      </c>
      <c r="M13" s="284">
        <v>6.8950000000000011E-2</v>
      </c>
      <c r="N13" s="7">
        <v>2.8044557578362701</v>
      </c>
      <c r="O13" s="5">
        <v>3.490519607495433</v>
      </c>
      <c r="P13" s="275">
        <f t="shared" si="2"/>
        <v>2.57945575783627</v>
      </c>
      <c r="Q13" s="276">
        <f t="shared" si="3"/>
        <v>0.8718251511863655</v>
      </c>
    </row>
    <row r="14" spans="1:17">
      <c r="A14" s="5">
        <v>0.65700000000000003</v>
      </c>
      <c r="B14" s="5">
        <v>17.46</v>
      </c>
      <c r="M14" s="6">
        <v>0.14180000000000001</v>
      </c>
      <c r="N14" s="275">
        <v>4.2696936291273504</v>
      </c>
      <c r="O14" s="5">
        <v>5.6210908663922972</v>
      </c>
      <c r="P14" s="275">
        <f t="shared" si="2"/>
        <v>4.0446936291273508</v>
      </c>
      <c r="Q14" s="276">
        <f t="shared" si="3"/>
        <v>3.0023964100832297</v>
      </c>
    </row>
    <row r="15" spans="1:17">
      <c r="M15" s="285">
        <v>0.23040000000000002</v>
      </c>
      <c r="N15" s="10">
        <v>6.2949027892889404</v>
      </c>
      <c r="O15" s="277">
        <v>8.3696102124220317</v>
      </c>
      <c r="P15" s="275">
        <f t="shared" si="2"/>
        <v>6.0699027892889408</v>
      </c>
      <c r="Q15" s="276">
        <f t="shared" si="3"/>
        <v>5.7509157561129642</v>
      </c>
    </row>
  </sheetData>
  <mergeCells count="5">
    <mergeCell ref="F6:H6"/>
    <mergeCell ref="I6:K6"/>
    <mergeCell ref="N6:O6"/>
    <mergeCell ref="P6:Q6"/>
    <mergeCell ref="B7:C7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Sludge</vt:lpstr>
      <vt:lpstr>10mgMWCNT</vt:lpstr>
      <vt:lpstr>20mgSWCNTCTAB</vt:lpstr>
      <vt:lpstr>MWCNT</vt:lpstr>
      <vt:lpstr>Mass</vt:lpstr>
      <vt:lpstr>SWCNT</vt:lpstr>
      <vt:lpstr>COOH</vt:lpstr>
      <vt:lpstr>plot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CHLabData</cp:lastModifiedBy>
  <dcterms:created xsi:type="dcterms:W3CDTF">2015-08-27T14:24:58Z</dcterms:created>
  <dcterms:modified xsi:type="dcterms:W3CDTF">2016-03-11T16:51:41Z</dcterms:modified>
</cp:coreProperties>
</file>