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pdatedFiles\"/>
    </mc:Choice>
  </mc:AlternateContent>
  <bookViews>
    <workbookView xWindow="0" yWindow="0" windowWidth="20490" windowHeight="7755"/>
  </bookViews>
  <sheets>
    <sheet name="ReadMe" sheetId="12" r:id="rId1"/>
    <sheet name="Stock 1" sheetId="1" r:id="rId2"/>
    <sheet name="Stock2" sheetId="2" r:id="rId3"/>
    <sheet name="Stock3" sheetId="4" r:id="rId4"/>
    <sheet name="Stock4" sheetId="5" r:id="rId5"/>
    <sheet name="Stock5" sheetId="6" r:id="rId6"/>
    <sheet name="plot" sheetId="3" r:id="rId7"/>
    <sheet name="LowConc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  <c r="M37" i="6"/>
  <c r="M38" i="6"/>
  <c r="M39" i="6"/>
  <c r="M40" i="6"/>
  <c r="M41" i="6"/>
  <c r="M42" i="6"/>
  <c r="M43" i="6"/>
  <c r="M35" i="6"/>
  <c r="M26" i="6"/>
  <c r="M27" i="6"/>
  <c r="M28" i="6"/>
  <c r="M29" i="6"/>
  <c r="M30" i="6"/>
  <c r="M31" i="6"/>
  <c r="M25" i="6"/>
  <c r="M16" i="6"/>
  <c r="M17" i="6"/>
  <c r="M18" i="6"/>
  <c r="M19" i="6"/>
  <c r="M20" i="6"/>
  <c r="M15" i="6"/>
  <c r="M6" i="6"/>
  <c r="M7" i="6"/>
  <c r="M8" i="6"/>
  <c r="M9" i="6"/>
  <c r="M10" i="6"/>
  <c r="M11" i="6"/>
  <c r="M12" i="6"/>
  <c r="M5" i="6"/>
  <c r="C37" i="6"/>
  <c r="C38" i="6"/>
  <c r="C36" i="6"/>
  <c r="C26" i="6"/>
  <c r="C27" i="6"/>
  <c r="C28" i="6"/>
  <c r="C25" i="6"/>
  <c r="C16" i="6"/>
  <c r="C17" i="6"/>
  <c r="C18" i="6"/>
  <c r="C19" i="6"/>
  <c r="C20" i="6"/>
  <c r="C15" i="6"/>
  <c r="C6" i="6"/>
  <c r="C7" i="6"/>
  <c r="C8" i="6"/>
  <c r="C9" i="6"/>
  <c r="C10" i="6"/>
  <c r="C11" i="6"/>
  <c r="C5" i="6"/>
  <c r="U14" i="5"/>
  <c r="U13" i="5"/>
  <c r="U5" i="5"/>
  <c r="U6" i="5"/>
  <c r="U4" i="5"/>
  <c r="N30" i="5"/>
  <c r="N31" i="5"/>
  <c r="N32" i="5"/>
  <c r="N8" i="5"/>
  <c r="N22" i="5"/>
  <c r="N23" i="5"/>
  <c r="N24" i="5"/>
  <c r="N25" i="5"/>
  <c r="N26" i="5"/>
  <c r="N21" i="5"/>
  <c r="N14" i="5"/>
  <c r="N15" i="5"/>
  <c r="N16" i="5"/>
  <c r="N17" i="5"/>
  <c r="N18" i="5"/>
  <c r="N13" i="5"/>
  <c r="N5" i="5"/>
  <c r="N6" i="5"/>
  <c r="N7" i="5"/>
  <c r="N4" i="5"/>
  <c r="E30" i="5"/>
  <c r="E31" i="5"/>
  <c r="E29" i="5"/>
  <c r="E22" i="5"/>
  <c r="E23" i="5"/>
  <c r="E24" i="5"/>
  <c r="E25" i="5"/>
  <c r="E26" i="5"/>
  <c r="E21" i="5"/>
  <c r="E14" i="5"/>
  <c r="E15" i="5"/>
  <c r="E16" i="5"/>
  <c r="E17" i="5"/>
  <c r="E18" i="5"/>
  <c r="E13" i="5"/>
  <c r="E5" i="5"/>
  <c r="E6" i="5"/>
  <c r="E7" i="5"/>
  <c r="E8" i="5"/>
  <c r="E9" i="5"/>
  <c r="E10" i="5"/>
  <c r="E4" i="5"/>
  <c r="V6" i="5"/>
  <c r="U15" i="4"/>
  <c r="U16" i="4"/>
  <c r="U17" i="4"/>
  <c r="U18" i="4"/>
  <c r="U14" i="4"/>
  <c r="N28" i="4"/>
  <c r="N29" i="4"/>
  <c r="N27" i="4"/>
  <c r="N22" i="4"/>
  <c r="N23" i="4"/>
  <c r="N24" i="4"/>
  <c r="N21" i="4"/>
  <c r="N15" i="4"/>
  <c r="N16" i="4"/>
  <c r="N17" i="4"/>
  <c r="N18" i="4"/>
  <c r="N14" i="4"/>
  <c r="E28" i="4"/>
  <c r="E27" i="4"/>
  <c r="E22" i="4"/>
  <c r="E21" i="4"/>
  <c r="E15" i="4"/>
  <c r="E16" i="4"/>
  <c r="E14" i="4"/>
  <c r="N10" i="4"/>
  <c r="N11" i="4"/>
  <c r="N9" i="4"/>
  <c r="N8" i="4"/>
  <c r="N7" i="4"/>
  <c r="N6" i="4"/>
  <c r="E8" i="4"/>
  <c r="E9" i="4"/>
  <c r="E10" i="4"/>
  <c r="E7" i="4"/>
  <c r="R18" i="2"/>
  <c r="R17" i="2"/>
  <c r="R16" i="2"/>
  <c r="R15" i="2"/>
  <c r="R10" i="2"/>
  <c r="R9" i="2"/>
  <c r="R8" i="2"/>
  <c r="B27" i="2"/>
  <c r="B22" i="2"/>
  <c r="B26" i="2"/>
  <c r="B21" i="2"/>
  <c r="B16" i="2"/>
  <c r="B15" i="2"/>
  <c r="K23" i="2"/>
  <c r="K22" i="2"/>
  <c r="K21" i="2"/>
  <c r="K18" i="2"/>
  <c r="K17" i="2"/>
  <c r="K16" i="2"/>
  <c r="K15" i="2"/>
  <c r="K10" i="2"/>
  <c r="K9" i="2"/>
  <c r="K8" i="2"/>
  <c r="B9" i="2"/>
  <c r="B10" i="2"/>
  <c r="B8" i="2"/>
  <c r="R16" i="1"/>
  <c r="R15" i="1"/>
  <c r="R14" i="1"/>
  <c r="B22" i="1"/>
  <c r="B21" i="1"/>
  <c r="B27" i="1"/>
  <c r="B26" i="1"/>
  <c r="K27" i="1"/>
  <c r="K26" i="1"/>
  <c r="K22" i="1"/>
  <c r="K21" i="1"/>
  <c r="K16" i="1"/>
  <c r="K15" i="1"/>
  <c r="B18" i="1"/>
  <c r="B17" i="1"/>
  <c r="B16" i="1"/>
  <c r="B15" i="1"/>
  <c r="B10" i="1"/>
  <c r="B9" i="1"/>
  <c r="B8" i="1"/>
  <c r="R10" i="1"/>
  <c r="R9" i="1"/>
  <c r="R8" i="1"/>
  <c r="K9" i="1"/>
  <c r="K10" i="1"/>
  <c r="K8" i="1"/>
  <c r="N36" i="11" l="1"/>
  <c r="M36" i="11"/>
  <c r="O36" i="11" l="1"/>
  <c r="AA6" i="5"/>
  <c r="O11" i="4"/>
  <c r="T11" i="4"/>
  <c r="S9" i="2"/>
  <c r="Q11" i="2"/>
  <c r="L9" i="1"/>
  <c r="L10" i="1"/>
  <c r="L29" i="11" l="1"/>
  <c r="M29" i="11"/>
  <c r="L28" i="11"/>
  <c r="M28" i="11"/>
  <c r="L27" i="11"/>
  <c r="M27" i="11"/>
  <c r="L26" i="11"/>
  <c r="M26" i="11"/>
  <c r="L25" i="11"/>
  <c r="M25" i="11"/>
  <c r="M24" i="11"/>
  <c r="L24" i="11"/>
  <c r="M23" i="11"/>
  <c r="L23" i="11"/>
  <c r="T7" i="11" l="1"/>
  <c r="T9" i="11"/>
  <c r="T8" i="11"/>
  <c r="L13" i="11"/>
  <c r="L10" i="11"/>
  <c r="L7" i="11"/>
  <c r="O2" i="11" l="1"/>
  <c r="L4" i="11"/>
  <c r="Q15" i="11"/>
  <c r="R15" i="11" s="1"/>
  <c r="Q14" i="11"/>
  <c r="R14" i="11" s="1"/>
  <c r="Q13" i="11"/>
  <c r="R13" i="11" s="1"/>
  <c r="Q12" i="11"/>
  <c r="R12" i="11" s="1"/>
  <c r="Q11" i="11"/>
  <c r="R11" i="11" s="1"/>
  <c r="Q10" i="11"/>
  <c r="R10" i="11" s="1"/>
  <c r="Q9" i="11"/>
  <c r="R9" i="11" s="1"/>
  <c r="Q8" i="11"/>
  <c r="R8" i="11" s="1"/>
  <c r="Q7" i="11"/>
  <c r="R7" i="11" s="1"/>
  <c r="Q6" i="11"/>
  <c r="R6" i="11" s="1"/>
  <c r="Q5" i="11"/>
  <c r="R5" i="11" s="1"/>
  <c r="Q4" i="11"/>
  <c r="R4" i="11" s="1"/>
  <c r="K12" i="11" l="1"/>
  <c r="K11" i="11"/>
  <c r="K10" i="11"/>
  <c r="C13" i="11"/>
  <c r="C10" i="11" l="1"/>
  <c r="C7" i="11"/>
  <c r="H15" i="11"/>
  <c r="I15" i="11" s="1"/>
  <c r="H14" i="11"/>
  <c r="I14" i="11" s="1"/>
  <c r="H13" i="11"/>
  <c r="I13" i="11" s="1"/>
  <c r="H12" i="11"/>
  <c r="H11" i="11"/>
  <c r="H10" i="11"/>
  <c r="H9" i="11"/>
  <c r="H8" i="11"/>
  <c r="I8" i="11" s="1"/>
  <c r="H7" i="11"/>
  <c r="F2" i="11"/>
  <c r="C4" i="11"/>
  <c r="H6" i="11"/>
  <c r="H5" i="11"/>
  <c r="H4" i="11"/>
  <c r="I9" i="11" l="1"/>
  <c r="I10" i="11"/>
  <c r="I7" i="11"/>
  <c r="I4" i="11"/>
  <c r="I5" i="11"/>
  <c r="I11" i="11"/>
  <c r="I6" i="11"/>
  <c r="I12" i="11"/>
  <c r="S10" i="2" l="1"/>
  <c r="S8" i="2"/>
  <c r="X10" i="2" l="1"/>
  <c r="X9" i="2"/>
  <c r="X8" i="2"/>
  <c r="S8" i="1" l="1"/>
  <c r="X10" i="1"/>
  <c r="S10" i="1"/>
  <c r="X9" i="1"/>
  <c r="S9" i="1"/>
  <c r="X8" i="1"/>
  <c r="V18" i="4" l="1"/>
  <c r="AA18" i="4"/>
  <c r="V17" i="4"/>
  <c r="V16" i="4" l="1"/>
  <c r="V15" i="4" l="1"/>
  <c r="V14" i="4"/>
  <c r="AA17" i="4"/>
  <c r="AA16" i="4"/>
  <c r="AA15" i="4"/>
  <c r="AA14" i="4"/>
  <c r="S18" i="2" l="1"/>
  <c r="X18" i="2"/>
  <c r="S17" i="2"/>
  <c r="S16" i="2"/>
  <c r="S15" i="2"/>
  <c r="X17" i="2"/>
  <c r="X16" i="2"/>
  <c r="X15" i="2"/>
  <c r="J36" i="6" l="1"/>
  <c r="L27" i="4"/>
  <c r="L22" i="4"/>
  <c r="H26" i="1"/>
  <c r="S36" i="3"/>
  <c r="J26" i="6"/>
  <c r="J15" i="6"/>
  <c r="L14" i="4"/>
  <c r="M36" i="3"/>
  <c r="N29" i="5"/>
  <c r="S16" i="1" l="1"/>
  <c r="S15" i="1"/>
  <c r="X16" i="1"/>
  <c r="S14" i="1"/>
  <c r="X15" i="1"/>
  <c r="X14" i="1"/>
  <c r="N20" i="6"/>
  <c r="N19" i="6"/>
  <c r="N18" i="6"/>
  <c r="N17" i="6"/>
  <c r="S16" i="6"/>
  <c r="D37" i="6" l="1"/>
  <c r="D36" i="6"/>
  <c r="D28" i="6"/>
  <c r="D27" i="6"/>
  <c r="I27" i="6"/>
  <c r="D26" i="6"/>
  <c r="D25" i="6"/>
  <c r="D20" i="6"/>
  <c r="D19" i="6"/>
  <c r="D18" i="6"/>
  <c r="D17" i="6"/>
  <c r="D16" i="6"/>
  <c r="I38" i="6"/>
  <c r="D38" i="6"/>
  <c r="I37" i="6"/>
  <c r="I36" i="6"/>
  <c r="I28" i="6"/>
  <c r="I26" i="6"/>
  <c r="I25" i="6"/>
  <c r="I16" i="6"/>
  <c r="D15" i="6"/>
  <c r="I20" i="6" l="1"/>
  <c r="I19" i="6"/>
  <c r="I18" i="6"/>
  <c r="I17" i="6"/>
  <c r="I15" i="6"/>
  <c r="N15" i="6"/>
  <c r="N43" i="6"/>
  <c r="S42" i="6"/>
  <c r="N42" i="6"/>
  <c r="N41" i="6"/>
  <c r="S43" i="6"/>
  <c r="S41" i="6"/>
  <c r="N40" i="6"/>
  <c r="N39" i="6"/>
  <c r="N38" i="6"/>
  <c r="N37" i="6"/>
  <c r="S40" i="6"/>
  <c r="S39" i="6"/>
  <c r="N36" i="6"/>
  <c r="N31" i="6"/>
  <c r="S31" i="6"/>
  <c r="N30" i="6"/>
  <c r="N29" i="6"/>
  <c r="N28" i="6"/>
  <c r="N27" i="6"/>
  <c r="N12" i="6"/>
  <c r="S12" i="6"/>
  <c r="I11" i="6" l="1"/>
  <c r="D11" i="6"/>
  <c r="D10" i="6"/>
  <c r="D9" i="6"/>
  <c r="D8" i="6"/>
  <c r="D7" i="6"/>
  <c r="D6" i="6"/>
  <c r="D5" i="6" l="1"/>
  <c r="I10" i="6"/>
  <c r="I9" i="6"/>
  <c r="I8" i="6"/>
  <c r="I7" i="6"/>
  <c r="I6" i="6"/>
  <c r="I5" i="6"/>
  <c r="S27" i="6" l="1"/>
  <c r="S35" i="6"/>
  <c r="N35" i="6"/>
  <c r="N26" i="6"/>
  <c r="S25" i="6"/>
  <c r="N25" i="6"/>
  <c r="N11" i="6"/>
  <c r="N10" i="6"/>
  <c r="N9" i="6"/>
  <c r="N8" i="6" l="1"/>
  <c r="N7" i="6"/>
  <c r="N6" i="6"/>
  <c r="N5" i="6"/>
  <c r="S38" i="6"/>
  <c r="S37" i="6"/>
  <c r="S36" i="6"/>
  <c r="S30" i="6"/>
  <c r="S29" i="6"/>
  <c r="S28" i="6"/>
  <c r="S26" i="6"/>
  <c r="S20" i="6"/>
  <c r="S19" i="6"/>
  <c r="S18" i="6"/>
  <c r="S17" i="6"/>
  <c r="N16" i="6"/>
  <c r="S15" i="6"/>
  <c r="S11" i="6"/>
  <c r="S10" i="6"/>
  <c r="S9" i="6"/>
  <c r="S8" i="6"/>
  <c r="S7" i="6"/>
  <c r="S6" i="6"/>
  <c r="S5" i="6"/>
  <c r="F31" i="5" l="1"/>
  <c r="F30" i="5"/>
  <c r="F29" i="5"/>
  <c r="F26" i="5"/>
  <c r="F25" i="5"/>
  <c r="F24" i="5" l="1"/>
  <c r="F23" i="5"/>
  <c r="F22" i="5"/>
  <c r="F21" i="5"/>
  <c r="K31" i="5"/>
  <c r="K26" i="5"/>
  <c r="K25" i="5"/>
  <c r="K24" i="5"/>
  <c r="K23" i="5"/>
  <c r="F18" i="5"/>
  <c r="K18" i="5"/>
  <c r="F10" i="5"/>
  <c r="K10" i="5"/>
  <c r="V14" i="5" l="1"/>
  <c r="V13" i="5"/>
  <c r="AA14" i="5"/>
  <c r="AA13" i="5"/>
  <c r="F17" i="5" l="1"/>
  <c r="K17" i="5"/>
  <c r="F16" i="5"/>
  <c r="K16" i="5"/>
  <c r="F15" i="5"/>
  <c r="F14" i="5"/>
  <c r="F13" i="5"/>
  <c r="F9" i="5" l="1"/>
  <c r="K9" i="5"/>
  <c r="F8" i="5"/>
  <c r="K8" i="5"/>
  <c r="F7" i="5"/>
  <c r="F6" i="5"/>
  <c r="F5" i="5" l="1"/>
  <c r="F4" i="5"/>
  <c r="O32" i="5" l="1"/>
  <c r="T32" i="5" l="1"/>
  <c r="O31" i="5"/>
  <c r="T29" i="5"/>
  <c r="O30" i="5"/>
  <c r="O29" i="5"/>
  <c r="O26" i="5"/>
  <c r="T26" i="5"/>
  <c r="T25" i="5"/>
  <c r="O25" i="5"/>
  <c r="O24" i="5"/>
  <c r="O23" i="5"/>
  <c r="O22" i="5"/>
  <c r="T21" i="5" l="1"/>
  <c r="O21" i="5" l="1"/>
  <c r="T18" i="5" l="1"/>
  <c r="O18" i="5"/>
  <c r="O16" i="5"/>
  <c r="O17" i="5"/>
  <c r="T16" i="5"/>
  <c r="O15" i="5" l="1"/>
  <c r="O14" i="5"/>
  <c r="O13" i="5"/>
  <c r="O8" i="5"/>
  <c r="T8" i="5"/>
  <c r="V5" i="5"/>
  <c r="AA5" i="5"/>
  <c r="V4" i="5" l="1"/>
  <c r="O7" i="5"/>
  <c r="O6" i="5" l="1"/>
  <c r="O5" i="5"/>
  <c r="O4" i="5"/>
  <c r="T31" i="5"/>
  <c r="T30" i="5"/>
  <c r="K30" i="5"/>
  <c r="K29" i="5"/>
  <c r="T24" i="5"/>
  <c r="T23" i="5"/>
  <c r="T22" i="5"/>
  <c r="K22" i="5"/>
  <c r="K21" i="5"/>
  <c r="T17" i="5"/>
  <c r="T15" i="5"/>
  <c r="K15" i="5"/>
  <c r="T14" i="5"/>
  <c r="K14" i="5"/>
  <c r="T13" i="5"/>
  <c r="K13" i="5"/>
  <c r="AA4" i="5"/>
  <c r="T7" i="5"/>
  <c r="K7" i="5"/>
  <c r="T6" i="5"/>
  <c r="K6" i="5"/>
  <c r="T5" i="5"/>
  <c r="K5" i="5"/>
  <c r="T4" i="5"/>
  <c r="K4" i="5"/>
  <c r="F28" i="4" l="1"/>
  <c r="F27" i="4"/>
  <c r="F22" i="4"/>
  <c r="F21" i="4"/>
  <c r="F14" i="4"/>
  <c r="F16" i="4"/>
  <c r="K16" i="4"/>
  <c r="F15" i="4"/>
  <c r="F10" i="4"/>
  <c r="K10" i="4"/>
  <c r="O29" i="4" l="1"/>
  <c r="T29" i="4"/>
  <c r="O28" i="4"/>
  <c r="O27" i="4"/>
  <c r="O24" i="4"/>
  <c r="T24" i="4"/>
  <c r="O23" i="4"/>
  <c r="O22" i="4"/>
  <c r="O21" i="4"/>
  <c r="T18" i="4"/>
  <c r="O18" i="4"/>
  <c r="O17" i="4"/>
  <c r="O10" i="4"/>
  <c r="T10" i="4"/>
  <c r="T9" i="4" l="1"/>
  <c r="O9" i="4"/>
  <c r="O16" i="4" l="1"/>
  <c r="O15" i="4"/>
  <c r="O14" i="4" l="1"/>
  <c r="F9" i="4"/>
  <c r="F8" i="4"/>
  <c r="F7" i="4"/>
  <c r="T28" i="4" l="1"/>
  <c r="K28" i="4"/>
  <c r="T27" i="4"/>
  <c r="K27" i="4"/>
  <c r="T23" i="4"/>
  <c r="T22" i="4"/>
  <c r="K22" i="4"/>
  <c r="T21" i="4"/>
  <c r="K21" i="4"/>
  <c r="T17" i="4"/>
  <c r="T16" i="4"/>
  <c r="T15" i="4"/>
  <c r="K15" i="4"/>
  <c r="T14" i="4"/>
  <c r="K14" i="4"/>
  <c r="T8" i="4"/>
  <c r="O8" i="4"/>
  <c r="K9" i="4"/>
  <c r="T7" i="4"/>
  <c r="O7" i="4"/>
  <c r="K8" i="4"/>
  <c r="T6" i="4"/>
  <c r="O6" i="4"/>
  <c r="K7" i="4"/>
  <c r="Q27" i="2"/>
  <c r="L27" i="2"/>
  <c r="H27" i="2"/>
  <c r="C27" i="2"/>
  <c r="Q26" i="2"/>
  <c r="L26" i="2"/>
  <c r="H26" i="2"/>
  <c r="C26" i="2"/>
  <c r="I26" i="2" s="1"/>
  <c r="Q23" i="2"/>
  <c r="L23" i="2"/>
  <c r="Q22" i="2"/>
  <c r="L22" i="2"/>
  <c r="H22" i="2"/>
  <c r="C22" i="2"/>
  <c r="I22" i="2" s="1"/>
  <c r="Q21" i="2"/>
  <c r="L21" i="2"/>
  <c r="H21" i="2"/>
  <c r="C21" i="2"/>
  <c r="Q18" i="2"/>
  <c r="L18" i="2"/>
  <c r="Q17" i="2"/>
  <c r="L17" i="2"/>
  <c r="Q16" i="2"/>
  <c r="L16" i="2"/>
  <c r="H16" i="2"/>
  <c r="C16" i="2"/>
  <c r="Q15" i="2"/>
  <c r="L15" i="2"/>
  <c r="H15" i="2"/>
  <c r="C15" i="2"/>
  <c r="Q10" i="2"/>
  <c r="L10" i="2"/>
  <c r="H10" i="2"/>
  <c r="C10" i="2"/>
  <c r="Q9" i="2"/>
  <c r="L9" i="2"/>
  <c r="H9" i="2"/>
  <c r="C9" i="2"/>
  <c r="Q8" i="2"/>
  <c r="L8" i="2"/>
  <c r="H8" i="2"/>
  <c r="C8" i="2"/>
  <c r="Q27" i="1"/>
  <c r="L27" i="1"/>
  <c r="H27" i="1"/>
  <c r="C27" i="1"/>
  <c r="Q26" i="1"/>
  <c r="L26" i="1"/>
  <c r="C26" i="1"/>
  <c r="Q22" i="1"/>
  <c r="L22" i="1"/>
  <c r="H22" i="1"/>
  <c r="C22" i="1"/>
  <c r="Q21" i="1"/>
  <c r="L21" i="1"/>
  <c r="H21" i="1"/>
  <c r="C21" i="1"/>
  <c r="H18" i="1"/>
  <c r="C18" i="1"/>
  <c r="H17" i="1"/>
  <c r="C17" i="1"/>
  <c r="Q16" i="1"/>
  <c r="L16" i="1"/>
  <c r="H16" i="1"/>
  <c r="C16" i="1"/>
  <c r="Q15" i="1"/>
  <c r="L15" i="1"/>
  <c r="H15" i="1"/>
  <c r="C15" i="1"/>
  <c r="Q10" i="1"/>
  <c r="H10" i="1"/>
  <c r="C10" i="1"/>
  <c r="Q9" i="1"/>
  <c r="H9" i="1"/>
  <c r="C9" i="1"/>
  <c r="Q8" i="1"/>
  <c r="L8" i="1"/>
  <c r="H8" i="1"/>
  <c r="C8" i="1"/>
</calcChain>
</file>

<file path=xl/sharedStrings.xml><?xml version="1.0" encoding="utf-8"?>
<sst xmlns="http://schemas.openxmlformats.org/spreadsheetml/2006/main" count="458" uniqueCount="81">
  <si>
    <t>Time (s)</t>
  </si>
  <si>
    <t>Power (W)</t>
  </si>
  <si>
    <r>
      <t>T</t>
    </r>
    <r>
      <rPr>
        <vertAlign val="subscript"/>
        <sz val="11"/>
        <color theme="1"/>
        <rFont val="宋体"/>
        <family val="2"/>
        <scheme val="minor"/>
      </rPr>
      <t>o</t>
    </r>
  </si>
  <si>
    <t>T</t>
  </si>
  <si>
    <t>∆T</t>
  </si>
  <si>
    <t>Crystal (20mg/20g)</t>
  </si>
  <si>
    <t>SDBS</t>
  </si>
  <si>
    <t>CTAB</t>
  </si>
  <si>
    <t>Sil250 (20mg/20g)</t>
  </si>
  <si>
    <t>Sil90 (20mg/20g)</t>
  </si>
  <si>
    <t>Sil40 (20mg/20g)</t>
  </si>
  <si>
    <t>Crystal (40mg/20g)</t>
  </si>
  <si>
    <t>Sil250 (40mg/20g)</t>
  </si>
  <si>
    <t>Sil90 (40mg/20g)</t>
  </si>
  <si>
    <t>Sil40 (40mg/20g)</t>
  </si>
  <si>
    <t>CRYSTAL</t>
  </si>
  <si>
    <t>Crystal</t>
  </si>
  <si>
    <t>Mass</t>
  </si>
  <si>
    <t>delta T</t>
  </si>
  <si>
    <t>Crystal (60mg/20g)</t>
  </si>
  <si>
    <t>Sil250 (60mg/20g)</t>
  </si>
  <si>
    <t>Sil90 (60mg/20g)</t>
  </si>
  <si>
    <t>Sil40 (60mg/20g)</t>
  </si>
  <si>
    <t>dry</t>
  </si>
  <si>
    <t>CTAB-SiL250</t>
  </si>
  <si>
    <t>Crystal (80mg/20g)</t>
  </si>
  <si>
    <t>Sil250 (80mg/20g)</t>
  </si>
  <si>
    <t>Sil90 (80mg/20g)</t>
  </si>
  <si>
    <t>Sil40 (80mg/20g)</t>
  </si>
  <si>
    <t>SIL40</t>
  </si>
  <si>
    <t>SIL90</t>
  </si>
  <si>
    <t>SDBS 250</t>
  </si>
  <si>
    <t>Crystal (100mg/20g)</t>
  </si>
  <si>
    <t>Sil90 (100mg/20g)</t>
  </si>
  <si>
    <t>Sil40 (100mg/20g)</t>
  </si>
  <si>
    <t>Sil250 (100mg/20g)</t>
  </si>
  <si>
    <t>SIL90</t>
    <phoneticPr fontId="3" type="noConversion"/>
  </si>
  <si>
    <t>SIL40</t>
    <phoneticPr fontId="3" type="noConversion"/>
  </si>
  <si>
    <t>SWCNT/CTAB</t>
  </si>
  <si>
    <t>4mgSWCNT</t>
  </si>
  <si>
    <r>
      <t>T</t>
    </r>
    <r>
      <rPr>
        <vertAlign val="subscript"/>
        <sz val="11"/>
        <color rgb="FF7030A0"/>
        <rFont val="Times New Roman"/>
        <family val="1"/>
      </rPr>
      <t>o</t>
    </r>
  </si>
  <si>
    <t>CNT Mass(mg)</t>
  </si>
  <si>
    <t>8mgSWCNT</t>
  </si>
  <si>
    <t>Mass added (mg)</t>
  </si>
  <si>
    <t>Microwave</t>
  </si>
  <si>
    <r>
      <t>∆T (</t>
    </r>
    <r>
      <rPr>
        <sz val="12"/>
        <color theme="1"/>
        <rFont val="宋体"/>
        <family val="3"/>
        <charset val="134"/>
      </rPr>
      <t>℃</t>
    </r>
    <r>
      <rPr>
        <sz val="12"/>
        <color theme="1"/>
        <rFont val="Times New Roman"/>
        <family val="1"/>
      </rPr>
      <t>)</t>
    </r>
  </si>
  <si>
    <t>Reading from curve (mg)</t>
  </si>
  <si>
    <t>%</t>
  </si>
  <si>
    <t>133W, 15s</t>
  </si>
  <si>
    <t>ave</t>
    <phoneticPr fontId="3" type="noConversion"/>
  </si>
  <si>
    <t>std</t>
    <phoneticPr fontId="3" type="noConversion"/>
  </si>
  <si>
    <t xml:space="preserve">WA 16 </t>
    <phoneticPr fontId="1" type="noConversion"/>
  </si>
  <si>
    <t>QAPP: L19953-QP-1</t>
    <phoneticPr fontId="1" type="noConversion"/>
  </si>
  <si>
    <t>Title: Quantitative detection of carbon nanotubes in environmental samples by microwave induced heating</t>
    <phoneticPr fontId="1" type="noConversion"/>
  </si>
  <si>
    <t>Analyst:</t>
    <phoneticPr fontId="1" type="noConversion"/>
  </si>
  <si>
    <t>Yang He</t>
  </si>
  <si>
    <t>Balances: AB54, used for weighing CNTs and environmental samples in nanohood</t>
    <phoneticPr fontId="1" type="noConversion"/>
  </si>
  <si>
    <t>Microwave induced heating system: Lab 131. Microwave condition: Power /Time</t>
  </si>
  <si>
    <t>Abbreviations</t>
    <phoneticPr fontId="1" type="noConversion"/>
  </si>
  <si>
    <t>CNT: Carbon nanotubes</t>
    <phoneticPr fontId="1" type="noConversion"/>
  </si>
  <si>
    <t>MWCNT:Multi walled CNT</t>
    <phoneticPr fontId="1" type="noConversion"/>
  </si>
  <si>
    <r>
      <t>T</t>
    </r>
    <r>
      <rPr>
        <vertAlign val="subscript"/>
        <sz val="11"/>
        <color theme="1"/>
        <rFont val="宋体"/>
        <family val="2"/>
        <scheme val="minor"/>
      </rPr>
      <t xml:space="preserve">0 </t>
    </r>
    <r>
      <rPr>
        <sz val="11"/>
        <color theme="1"/>
        <rFont val="宋体"/>
        <family val="2"/>
        <scheme val="minor"/>
      </rPr>
      <t>: initial temperature of the sample before the microwave irradiation</t>
    </r>
  </si>
  <si>
    <t>T: final temperature of the sample after the microwave irradiation</t>
  </si>
  <si>
    <r>
      <rPr>
        <sz val="11"/>
        <color theme="1"/>
        <rFont val="Calibri"/>
        <family val="2"/>
      </rPr>
      <t>∆T: temperautre changes between the T</t>
    </r>
    <r>
      <rPr>
        <vertAlign val="sub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 and T</t>
    </r>
  </si>
  <si>
    <t>Power: microwave energy power</t>
  </si>
  <si>
    <t>Time: microwave exposure time</t>
  </si>
  <si>
    <t>CTAB: Cetyltrimethylammonium bromide</t>
    <phoneticPr fontId="3" type="noConversion"/>
  </si>
  <si>
    <t>SDBS: Sodium dodecylbenzenesulfonate</t>
    <phoneticPr fontId="3" type="noConversion"/>
  </si>
  <si>
    <t>6/1/2015 Microwave response of SWCNT in sand (dispersed by CTAB or SDBS) Stock1</t>
    <phoneticPr fontId="3" type="noConversion"/>
  </si>
  <si>
    <t>To(◦C)</t>
  </si>
  <si>
    <t>T (◦C)</t>
  </si>
  <si>
    <t>∆T (◦C)</t>
  </si>
  <si>
    <t>Sample mass(g)</t>
    <phoneticPr fontId="3" type="noConversion"/>
  </si>
  <si>
    <t>MWCNT mass (mg)</t>
    <phoneticPr fontId="3" type="noConversion"/>
  </si>
  <si>
    <t>Replicate 1</t>
    <phoneticPr fontId="3" type="noConversion"/>
  </si>
  <si>
    <t>Replicate 2</t>
    <phoneticPr fontId="3" type="noConversion"/>
  </si>
  <si>
    <t>6/9/2015 Microwave response of SWCNT in sand (dispersed by CTAB or SDBS) Stock2</t>
    <phoneticPr fontId="3" type="noConversion"/>
  </si>
  <si>
    <r>
      <t>T</t>
    </r>
    <r>
      <rPr>
        <vertAlign val="subscript"/>
        <sz val="11"/>
        <rFont val="宋体"/>
        <family val="2"/>
        <scheme val="minor"/>
      </rPr>
      <t>o</t>
    </r>
  </si>
  <si>
    <t>6/15/2015 Microwave response of SWCNT in sand (dispersed by CTAB or SDBS) Stock3</t>
    <phoneticPr fontId="3" type="noConversion"/>
  </si>
  <si>
    <t>7/8/2015 Microwave response of SWCNT in sand (dispersed by CTAB or SDBS) Stock4</t>
    <phoneticPr fontId="3" type="noConversion"/>
  </si>
  <si>
    <t>7/27/2015  Microwave response of SWCNT in sand (dispersed by CTAB or SDBS) Stock5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</si>
</sst>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scheme val="minor"/>
    </font>
    <font>
      <vertAlign val="subscript"/>
      <sz val="11"/>
      <color theme="1"/>
      <name val="宋体"/>
      <family val="2"/>
      <scheme val="minor"/>
    </font>
    <font>
      <sz val="11"/>
      <color theme="1"/>
      <name val="Calibri"/>
      <family val="2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name val="宋体"/>
      <family val="2"/>
      <scheme val="minor"/>
    </font>
    <font>
      <sz val="11"/>
      <color theme="1"/>
      <name val="Times New Roman"/>
      <family val="1"/>
    </font>
    <font>
      <sz val="11"/>
      <color rgb="FF7030A0"/>
      <name val="Times New Roman"/>
      <family val="1"/>
    </font>
    <font>
      <vertAlign val="subscript"/>
      <sz val="11"/>
      <color rgb="FF7030A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vertAlign val="subscript"/>
      <sz val="11"/>
      <color theme="1"/>
      <name val="Calibri"/>
      <family val="2"/>
    </font>
    <font>
      <sz val="11"/>
      <color rgb="FF7030A0"/>
      <name val="宋体"/>
      <family val="2"/>
      <scheme val="minor"/>
    </font>
    <font>
      <vertAlign val="subscript"/>
      <sz val="11"/>
      <name val="宋体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16" fontId="0" fillId="0" borderId="0" xfId="0" applyNumberFormat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0" xfId="0"/>
    <xf numFmtId="0" fontId="0" fillId="0" borderId="7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7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5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7" xfId="0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" fontId="6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0" xfId="0"/>
    <xf numFmtId="0" fontId="7" fillId="0" borderId="0" xfId="0" applyFont="1"/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6" fillId="2" borderId="0" xfId="0" applyFont="1" applyFill="1"/>
    <xf numFmtId="0" fontId="6" fillId="0" borderId="9" xfId="0" applyFont="1" applyBorder="1" applyAlignment="1"/>
    <xf numFmtId="0" fontId="6" fillId="0" borderId="0" xfId="0" applyFont="1" applyAlignment="1"/>
    <xf numFmtId="0" fontId="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0" xfId="0" applyFont="1"/>
    <xf numFmtId="0" fontId="13" fillId="0" borderId="0" xfId="0" applyFont="1"/>
    <xf numFmtId="16" fontId="13" fillId="0" borderId="0" xfId="0" applyNumberFormat="1" applyFont="1"/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6" fontId="0" fillId="3" borderId="0" xfId="0" applyNumberFormat="1" applyFill="1"/>
    <xf numFmtId="0" fontId="0" fillId="3" borderId="0" xfId="0" applyFill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50"/>
              <a:t>SWCNT-Crystal sand</a:t>
            </a:r>
            <a:endParaRPr lang="zh-CN" altLang="en-US" sz="1050"/>
          </a:p>
        </c:rich>
      </c:tx>
      <c:layout>
        <c:manualLayout>
          <c:xMode val="edge"/>
          <c:yMode val="edge"/>
          <c:x val="0.4196947531091324"/>
          <c:y val="2.4205752709964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281714785651793"/>
          <c:y val="3.5103169796083189E-2"/>
          <c:w val="0.85294321387396665"/>
          <c:h val="0.83597711825749077"/>
        </c:manualLayout>
      </c:layout>
      <c:scatterChart>
        <c:scatterStyle val="lineMarker"/>
        <c:varyColors val="0"/>
        <c:ser>
          <c:idx val="2"/>
          <c:order val="0"/>
          <c:tx>
            <c:v>DryMix (no surfactant)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0608335173056638"/>
                  <c:y val="0.210241574682688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plot!$E$4:$E$8</c:f>
              <c:numCache>
                <c:formatCode>General</c:formatCode>
                <c:ptCount val="5"/>
                <c:pt idx="0">
                  <c:v>0.1174</c:v>
                </c:pt>
                <c:pt idx="1">
                  <c:v>0.251</c:v>
                </c:pt>
                <c:pt idx="2">
                  <c:v>0.3765</c:v>
                </c:pt>
                <c:pt idx="3">
                  <c:v>0.52879999999999994</c:v>
                </c:pt>
                <c:pt idx="4">
                  <c:v>0.6825</c:v>
                </c:pt>
              </c:numCache>
            </c:numRef>
          </c:xVal>
          <c:yVal>
            <c:numRef>
              <c:f>plot!$F$4:$F$8</c:f>
              <c:numCache>
                <c:formatCode>General</c:formatCode>
                <c:ptCount val="5"/>
                <c:pt idx="0">
                  <c:v>1.8698164445052292</c:v>
                </c:pt>
                <c:pt idx="1">
                  <c:v>2.8319146830983999</c:v>
                </c:pt>
                <c:pt idx="2">
                  <c:v>3.6845917215699902</c:v>
                </c:pt>
                <c:pt idx="3">
                  <c:v>4.4130000000000003</c:v>
                </c:pt>
                <c:pt idx="4">
                  <c:v>5.83</c:v>
                </c:pt>
              </c:numCache>
            </c:numRef>
          </c:yVal>
          <c:smooth val="0"/>
        </c:ser>
        <c:ser>
          <c:idx val="1"/>
          <c:order val="1"/>
          <c:tx>
            <c:v>SWCNT/CTAB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8507684973616293"/>
                  <c:y val="7.570993646085057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plot!$P$4:$P$7</c:f>
              <c:numCache>
                <c:formatCode>General</c:formatCode>
                <c:ptCount val="4"/>
                <c:pt idx="0">
                  <c:v>0.27279999999999999</c:v>
                </c:pt>
                <c:pt idx="1">
                  <c:v>0.37380000000000002</c:v>
                </c:pt>
                <c:pt idx="2">
                  <c:v>0.48559999999999998</c:v>
                </c:pt>
                <c:pt idx="3">
                  <c:v>0.68149999999999988</c:v>
                </c:pt>
              </c:numCache>
            </c:numRef>
          </c:xVal>
          <c:yVal>
            <c:numRef>
              <c:f>plot!$Q$4:$Q$7</c:f>
              <c:numCache>
                <c:formatCode>General</c:formatCode>
                <c:ptCount val="4"/>
                <c:pt idx="0">
                  <c:v>2.3983420369999999</c:v>
                </c:pt>
                <c:pt idx="1">
                  <c:v>5.6230466440000004</c:v>
                </c:pt>
                <c:pt idx="2">
                  <c:v>7.2549101564234775</c:v>
                </c:pt>
                <c:pt idx="3">
                  <c:v>10.219682617168576</c:v>
                </c:pt>
              </c:numCache>
            </c:numRef>
          </c:yVal>
          <c:smooth val="0"/>
        </c:ser>
        <c:ser>
          <c:idx val="0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926682761849158"/>
                  <c:y val="0.104904935663529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2267706015705952"/>
                  <c:y val="7.343960053773765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plot!$S$3:$S$12</c:f>
              <c:numCache>
                <c:formatCode>General</c:formatCode>
                <c:ptCount val="10"/>
                <c:pt idx="0">
                  <c:v>0</c:v>
                </c:pt>
                <c:pt idx="1">
                  <c:v>2.6000000000000002E-2</c:v>
                </c:pt>
                <c:pt idx="2">
                  <c:v>5.1999999999999998E-2</c:v>
                </c:pt>
                <c:pt idx="5">
                  <c:v>0.1353</c:v>
                </c:pt>
                <c:pt idx="6">
                  <c:v>0.29099999999999998</c:v>
                </c:pt>
                <c:pt idx="7">
                  <c:v>0.3987</c:v>
                </c:pt>
                <c:pt idx="8">
                  <c:v>0.54600000000000004</c:v>
                </c:pt>
                <c:pt idx="9">
                  <c:v>0.69</c:v>
                </c:pt>
              </c:numCache>
            </c:numRef>
          </c:xVal>
          <c:yVal>
            <c:numRef>
              <c:f>plot!$T$3:$T$12</c:f>
              <c:numCache>
                <c:formatCode>General</c:formatCode>
                <c:ptCount val="10"/>
                <c:pt idx="0">
                  <c:v>0</c:v>
                </c:pt>
                <c:pt idx="1">
                  <c:v>0.47553333494266781</c:v>
                </c:pt>
                <c:pt idx="2">
                  <c:v>0.66063524000000129</c:v>
                </c:pt>
                <c:pt idx="5">
                  <c:v>3.5869891099327411</c:v>
                </c:pt>
                <c:pt idx="6">
                  <c:v>6.3096176868449199</c:v>
                </c:pt>
                <c:pt idx="7">
                  <c:v>7.8025278629379073</c:v>
                </c:pt>
                <c:pt idx="8">
                  <c:v>10.497309893209341</c:v>
                </c:pt>
                <c:pt idx="9">
                  <c:v>15.1551337632617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873360"/>
        <c:axId val="806872968"/>
      </c:scatterChart>
      <c:valAx>
        <c:axId val="806873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/>
                  <a:t>SWCNT Mass (mg)</a:t>
                </a:r>
              </a:p>
            </c:rich>
          </c:tx>
          <c:layout>
            <c:manualLayout>
              <c:xMode val="edge"/>
              <c:yMode val="edge"/>
              <c:x val="0.3754942968577526"/>
              <c:y val="0.93127186300433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806872968"/>
        <c:crosses val="autoZero"/>
        <c:crossBetween val="midCat"/>
      </c:valAx>
      <c:valAx>
        <c:axId val="8068729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 altLang="zh-CN">
                    <a:ea typeface="宋体" panose="02010600030101010101" pitchFamily="2" charset="-122"/>
                  </a:rPr>
                  <a:t>Δ</a:t>
                </a:r>
                <a:r>
                  <a:rPr lang="en-US" altLang="zh-CN">
                    <a:ea typeface="宋体" panose="02010600030101010101" pitchFamily="2" charset="-122"/>
                  </a:rPr>
                  <a:t>T </a:t>
                </a:r>
                <a:r>
                  <a:rPr lang="en-US" altLang="zh-CN" baseline="0">
                    <a:ea typeface="Arial Unicode MS" panose="020B0604020202020204" pitchFamily="34" charset="-122"/>
                  </a:rPr>
                  <a:t>(</a:t>
                </a:r>
                <a:r>
                  <a:rPr lang="en-US" altLang="zh-CN" baseline="0">
                    <a:latin typeface="Arial Unicode MS" panose="020B0604020202020204" pitchFamily="34" charset="-122"/>
                    <a:ea typeface="Arial Unicode MS" panose="020B0604020202020204" pitchFamily="34" charset="-122"/>
                  </a:rPr>
                  <a:t>℃)</a:t>
                </a:r>
                <a:endParaRPr lang="zh-CN" baseline="0">
                  <a:ea typeface="Arial Unicode MS" panose="020B0604020202020204" pitchFamily="34" charset="-122"/>
                </a:endParaRPr>
              </a:p>
            </c:rich>
          </c:tx>
          <c:layout>
            <c:manualLayout>
              <c:xMode val="edge"/>
              <c:yMode val="edge"/>
              <c:x val="8.3989501312335636E-5"/>
              <c:y val="0.433230559476901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806873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1546044594892933"/>
          <c:y val="2.7178422445657768E-2"/>
          <c:w val="0.32379189049966878"/>
          <c:h val="0.42000597157462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158923884514436"/>
                  <c:y val="-0.213173665791776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plot!$E$4:$E$8</c:f>
              <c:numCache>
                <c:formatCode>General</c:formatCode>
                <c:ptCount val="5"/>
                <c:pt idx="0">
                  <c:v>0.1174</c:v>
                </c:pt>
                <c:pt idx="1">
                  <c:v>0.251</c:v>
                </c:pt>
                <c:pt idx="2">
                  <c:v>0.3765</c:v>
                </c:pt>
                <c:pt idx="3">
                  <c:v>0.52879999999999994</c:v>
                </c:pt>
                <c:pt idx="4">
                  <c:v>0.6825</c:v>
                </c:pt>
              </c:numCache>
            </c:numRef>
          </c:xVal>
          <c:yVal>
            <c:numRef>
              <c:f>plot!$F$4:$F$8</c:f>
              <c:numCache>
                <c:formatCode>General</c:formatCode>
                <c:ptCount val="5"/>
                <c:pt idx="0">
                  <c:v>1.8698164445052292</c:v>
                </c:pt>
                <c:pt idx="1">
                  <c:v>2.8319146830983999</c:v>
                </c:pt>
                <c:pt idx="2">
                  <c:v>3.6845917215699902</c:v>
                </c:pt>
                <c:pt idx="3">
                  <c:v>4.4130000000000003</c:v>
                </c:pt>
                <c:pt idx="4">
                  <c:v>5.83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874144"/>
        <c:axId val="473638936"/>
      </c:scatterChart>
      <c:valAx>
        <c:axId val="80687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3638936"/>
        <c:crosses val="autoZero"/>
        <c:crossBetween val="midCat"/>
      </c:valAx>
      <c:valAx>
        <c:axId val="47363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06874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/>
              <a:t>SWCNT/CTAB Dispersion</a:t>
            </a:r>
            <a:r>
              <a:rPr lang="en-US" altLang="zh-CN" sz="1200" baseline="0"/>
              <a:t> with 3 types of sands</a:t>
            </a:r>
            <a:endParaRPr lang="zh-CN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252770487022456"/>
          <c:y val="3.5023293963254591E-2"/>
          <c:w val="0.82358027121609811"/>
          <c:h val="0.771828521434820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0334086711383298"/>
                  <c:y val="0.19947801837270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plot!$M$30:$M$32</c:f>
              <c:numCache>
                <c:formatCode>General</c:formatCode>
                <c:ptCount val="3"/>
                <c:pt idx="0">
                  <c:v>0.1318</c:v>
                </c:pt>
                <c:pt idx="1">
                  <c:v>0.16830000000000001</c:v>
                </c:pt>
                <c:pt idx="2">
                  <c:v>0.24839999999999998</c:v>
                </c:pt>
              </c:numCache>
            </c:numRef>
          </c:xVal>
          <c:yVal>
            <c:numRef>
              <c:f>plot!$N$30:$N$32</c:f>
              <c:numCache>
                <c:formatCode>General</c:formatCode>
                <c:ptCount val="3"/>
                <c:pt idx="0">
                  <c:v>0.68424273635402955</c:v>
                </c:pt>
                <c:pt idx="1">
                  <c:v>0.87507074326699197</c:v>
                </c:pt>
                <c:pt idx="2">
                  <c:v>1.5285798328268427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741907261592301"/>
                  <c:y val="0.30189862204724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plot!$P$31:$P$34</c:f>
              <c:numCache>
                <c:formatCode>General</c:formatCode>
                <c:ptCount val="4"/>
                <c:pt idx="0">
                  <c:v>0.16469999999999999</c:v>
                </c:pt>
                <c:pt idx="1">
                  <c:v>0.20759999999999998</c:v>
                </c:pt>
                <c:pt idx="2">
                  <c:v>0.40670000000000001</c:v>
                </c:pt>
                <c:pt idx="3">
                  <c:v>0.4536</c:v>
                </c:pt>
              </c:numCache>
            </c:numRef>
          </c:xVal>
          <c:yVal>
            <c:numRef>
              <c:f>plot!$Q$31:$Q$34</c:f>
              <c:numCache>
                <c:formatCode>General</c:formatCode>
                <c:ptCount val="4"/>
                <c:pt idx="0">
                  <c:v>1.5448779788540601</c:v>
                </c:pt>
                <c:pt idx="1">
                  <c:v>1.8284723720321274</c:v>
                </c:pt>
                <c:pt idx="2">
                  <c:v>2.3839065363351288</c:v>
                </c:pt>
                <c:pt idx="3">
                  <c:v>2.9</c:v>
                </c:pt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529867794303489"/>
                  <c:y val="-3.2890748031496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plot!$S$31:$S$34</c:f>
              <c:numCache>
                <c:formatCode>General</c:formatCode>
                <c:ptCount val="4"/>
                <c:pt idx="0">
                  <c:v>0.14280000000000001</c:v>
                </c:pt>
                <c:pt idx="1">
                  <c:v>0.1996</c:v>
                </c:pt>
                <c:pt idx="2">
                  <c:v>0.28200000000000003</c:v>
                </c:pt>
                <c:pt idx="3">
                  <c:v>0.44159999999999999</c:v>
                </c:pt>
              </c:numCache>
            </c:numRef>
          </c:xVal>
          <c:yVal>
            <c:numRef>
              <c:f>plot!$T$31:$T$34</c:f>
              <c:numCache>
                <c:formatCode>General</c:formatCode>
                <c:ptCount val="4"/>
                <c:pt idx="0">
                  <c:v>0.86845835259308402</c:v>
                </c:pt>
                <c:pt idx="1">
                  <c:v>1.5692453702408677</c:v>
                </c:pt>
                <c:pt idx="2">
                  <c:v>1.8724241478695909</c:v>
                </c:pt>
                <c:pt idx="3">
                  <c:v>3.7615189708184609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898672"/>
        <c:axId val="805899064"/>
      </c:scatterChart>
      <c:valAx>
        <c:axId val="80589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/>
                  <a:t>SWCNT Mass (mg)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805899064"/>
        <c:crosses val="autoZero"/>
        <c:crossBetween val="midCat"/>
      </c:valAx>
      <c:valAx>
        <c:axId val="805899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∆T(°C)</a:t>
                </a:r>
                <a:endParaRPr lang="zh-CN" altLang="zh-CN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805898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94128511713811"/>
          <c:y val="0.57372375328084002"/>
          <c:w val="0.27768834451249147"/>
          <c:h val="0.18273720472440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/>
              <a:t>SWCNT/SDBS Dispersion</a:t>
            </a:r>
            <a:r>
              <a:rPr lang="en-US" altLang="zh-CN" sz="1200" baseline="0"/>
              <a:t> with 3 types of sands</a:t>
            </a:r>
            <a:endParaRPr lang="zh-CN" sz="1200"/>
          </a:p>
        </c:rich>
      </c:tx>
      <c:layout>
        <c:manualLayout>
          <c:xMode val="edge"/>
          <c:yMode val="edge"/>
          <c:x val="0.2657290026246719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252777777777777"/>
          <c:y val="4.3356663750364538E-2"/>
          <c:w val="0.82358027121609811"/>
          <c:h val="0.7718285214348205"/>
        </c:manualLayout>
      </c:layout>
      <c:scatterChart>
        <c:scatterStyle val="lineMarker"/>
        <c:varyColors val="0"/>
        <c:ser>
          <c:idx val="0"/>
          <c:order val="0"/>
          <c:tx>
            <c:v>SiL250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plot!$M$36:$M$41</c:f>
              <c:numCache>
                <c:formatCode>General</c:formatCode>
                <c:ptCount val="6"/>
                <c:pt idx="0">
                  <c:v>5.3999999999999999E-2</c:v>
                </c:pt>
                <c:pt idx="1">
                  <c:v>0.11200000000000002</c:v>
                </c:pt>
                <c:pt idx="2">
                  <c:v>0.15419999999999998</c:v>
                </c:pt>
                <c:pt idx="3">
                  <c:v>0.24760000000000001</c:v>
                </c:pt>
                <c:pt idx="4">
                  <c:v>0.33</c:v>
                </c:pt>
                <c:pt idx="5">
                  <c:v>0.39900000000000002</c:v>
                </c:pt>
              </c:numCache>
            </c:numRef>
          </c:xVal>
          <c:yVal>
            <c:numRef>
              <c:f>plot!$N$36:$N$41</c:f>
              <c:numCache>
                <c:formatCode>General</c:formatCode>
                <c:ptCount val="6"/>
                <c:pt idx="0">
                  <c:v>0.34524129898793632</c:v>
                </c:pt>
                <c:pt idx="1">
                  <c:v>0.3504567057166561</c:v>
                </c:pt>
                <c:pt idx="2">
                  <c:v>0.52647668281058912</c:v>
                </c:pt>
                <c:pt idx="3">
                  <c:v>1.0244548931392927</c:v>
                </c:pt>
                <c:pt idx="4">
                  <c:v>1.0287389772378859</c:v>
                </c:pt>
                <c:pt idx="5">
                  <c:v>1.2077391867482206</c:v>
                </c:pt>
              </c:numCache>
            </c:numRef>
          </c:yVal>
          <c:smooth val="0"/>
        </c:ser>
        <c:ser>
          <c:idx val="1"/>
          <c:order val="1"/>
          <c:tx>
            <c:v>SiL90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plot!$P$36:$P$41</c:f>
              <c:numCache>
                <c:formatCode>General</c:formatCode>
                <c:ptCount val="6"/>
                <c:pt idx="0">
                  <c:v>4.9700000000000001E-2</c:v>
                </c:pt>
                <c:pt idx="1">
                  <c:v>9.8800000000000013E-2</c:v>
                </c:pt>
                <c:pt idx="2">
                  <c:v>0.14250000000000002</c:v>
                </c:pt>
                <c:pt idx="3">
                  <c:v>0.19159999999999999</c:v>
                </c:pt>
                <c:pt idx="4">
                  <c:v>0.28199999999999997</c:v>
                </c:pt>
                <c:pt idx="5">
                  <c:v>0.33479999999999999</c:v>
                </c:pt>
              </c:numCache>
            </c:numRef>
          </c:xVal>
          <c:yVal>
            <c:numRef>
              <c:f>plot!$Q$36:$Q$41</c:f>
              <c:numCache>
                <c:formatCode>General</c:formatCode>
                <c:ptCount val="6"/>
                <c:pt idx="0">
                  <c:v>0.38128348477385643</c:v>
                </c:pt>
                <c:pt idx="1">
                  <c:v>0.51837417592849278</c:v>
                </c:pt>
                <c:pt idx="2">
                  <c:v>0.84796925473032303</c:v>
                </c:pt>
                <c:pt idx="3">
                  <c:v>0.80699105900472645</c:v>
                </c:pt>
                <c:pt idx="4">
                  <c:v>0.70640821495104689</c:v>
                </c:pt>
                <c:pt idx="5">
                  <c:v>1.2255607105061586</c:v>
                </c:pt>
              </c:numCache>
            </c:numRef>
          </c:yVal>
          <c:smooth val="0"/>
        </c:ser>
        <c:ser>
          <c:idx val="2"/>
          <c:order val="2"/>
          <c:tx>
            <c:v>SiL40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plot!$S$36:$S$41</c:f>
              <c:numCache>
                <c:formatCode>General</c:formatCode>
                <c:ptCount val="6"/>
                <c:pt idx="0">
                  <c:v>4.9799999999999997E-2</c:v>
                </c:pt>
                <c:pt idx="1">
                  <c:v>9.3799999999999994E-2</c:v>
                </c:pt>
                <c:pt idx="2">
                  <c:v>0.13170000000000001</c:v>
                </c:pt>
                <c:pt idx="3">
                  <c:v>0.19519999999999998</c:v>
                </c:pt>
                <c:pt idx="4">
                  <c:v>0.23349999999999999</c:v>
                </c:pt>
                <c:pt idx="5">
                  <c:v>0.29159999999999997</c:v>
                </c:pt>
              </c:numCache>
            </c:numRef>
          </c:xVal>
          <c:yVal>
            <c:numRef>
              <c:f>plot!$T$36:$T$41</c:f>
              <c:numCache>
                <c:formatCode>General</c:formatCode>
                <c:ptCount val="6"/>
                <c:pt idx="0">
                  <c:v>0.34393744730576969</c:v>
                </c:pt>
                <c:pt idx="1">
                  <c:v>0.34160914073045134</c:v>
                </c:pt>
                <c:pt idx="2">
                  <c:v>0.4490597217714658</c:v>
                </c:pt>
                <c:pt idx="3">
                  <c:v>0.36859651616787659</c:v>
                </c:pt>
                <c:pt idx="4">
                  <c:v>0.35362320265907599</c:v>
                </c:pt>
                <c:pt idx="5">
                  <c:v>0.67418445194865484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899848"/>
        <c:axId val="806356840"/>
      </c:scatterChart>
      <c:valAx>
        <c:axId val="805899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/>
                  <a:t>SWCNT Mass (mg)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806356840"/>
        <c:crosses val="autoZero"/>
        <c:crossBetween val="midCat"/>
      </c:valAx>
      <c:valAx>
        <c:axId val="806356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∆T(°C)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805899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083027121609784"/>
          <c:y val="0.52372375328083987"/>
          <c:w val="0.14805861767279091"/>
          <c:h val="0.26607064741907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114299</xdr:colOff>
      <xdr:row>12</xdr:row>
      <xdr:rowOff>57150</xdr:rowOff>
    </xdr:from>
    <xdr:to>
      <xdr:col>17</xdr:col>
      <xdr:colOff>409574</xdr:colOff>
      <xdr:row>24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</xdr:colOff>
      <xdr:row>12</xdr:row>
      <xdr:rowOff>100012</xdr:rowOff>
    </xdr:from>
    <xdr:to>
      <xdr:col>9</xdr:col>
      <xdr:colOff>371475</xdr:colOff>
      <xdr:row>26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581025</xdr:colOff>
      <xdr:row>27</xdr:row>
      <xdr:rowOff>123825</xdr:rowOff>
    </xdr:from>
    <xdr:to>
      <xdr:col>9</xdr:col>
      <xdr:colOff>428625</xdr:colOff>
      <xdr:row>43</xdr:row>
      <xdr:rowOff>123825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190500</xdr:colOff>
      <xdr:row>46</xdr:row>
      <xdr:rowOff>57150</xdr:rowOff>
    </xdr:from>
    <xdr:to>
      <xdr:col>9</xdr:col>
      <xdr:colOff>647700</xdr:colOff>
      <xdr:row>62</xdr:row>
      <xdr:rowOff>57150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A19" sqref="A19:A20"/>
    </sheetView>
  </sheetViews>
  <sheetFormatPr defaultRowHeight="13.5" x14ac:dyDescent="0.15"/>
  <cols>
    <col min="1" max="16384" width="9" style="119"/>
  </cols>
  <sheetData>
    <row r="1" spans="1:7" ht="15" x14ac:dyDescent="0.25">
      <c r="A1" s="112" t="s">
        <v>51</v>
      </c>
      <c r="B1" s="112"/>
      <c r="C1" s="112"/>
      <c r="D1" s="112"/>
      <c r="E1" s="112"/>
      <c r="F1" s="112"/>
      <c r="G1" s="112"/>
    </row>
    <row r="2" spans="1:7" ht="15" x14ac:dyDescent="0.25">
      <c r="A2" s="112" t="s">
        <v>52</v>
      </c>
      <c r="B2" s="112"/>
      <c r="C2" s="112"/>
      <c r="D2" s="112"/>
      <c r="E2" s="112"/>
      <c r="F2" s="112"/>
      <c r="G2" s="112"/>
    </row>
    <row r="3" spans="1:7" ht="15" x14ac:dyDescent="0.25">
      <c r="A3" s="112" t="s">
        <v>53</v>
      </c>
      <c r="B3" s="112"/>
      <c r="C3" s="112"/>
      <c r="D3" s="112"/>
      <c r="E3" s="112"/>
      <c r="F3" s="112"/>
      <c r="G3" s="112"/>
    </row>
    <row r="4" spans="1:7" ht="15" x14ac:dyDescent="0.25">
      <c r="A4" s="112" t="s">
        <v>54</v>
      </c>
      <c r="B4" s="112" t="s">
        <v>55</v>
      </c>
      <c r="C4" s="112"/>
      <c r="D4" s="112"/>
      <c r="E4" s="112"/>
      <c r="F4" s="112"/>
      <c r="G4" s="112"/>
    </row>
    <row r="5" spans="1:7" ht="15" x14ac:dyDescent="0.25">
      <c r="A5" s="112" t="s">
        <v>56</v>
      </c>
      <c r="B5" s="112"/>
      <c r="C5" s="112"/>
      <c r="D5" s="112"/>
      <c r="E5" s="112"/>
      <c r="F5" s="112"/>
      <c r="G5" s="112"/>
    </row>
    <row r="6" spans="1:7" ht="15" x14ac:dyDescent="0.25">
      <c r="A6" s="112"/>
      <c r="B6" s="112"/>
      <c r="C6" s="112"/>
      <c r="D6" s="112"/>
      <c r="E6" s="112"/>
      <c r="F6" s="112"/>
      <c r="G6" s="112"/>
    </row>
    <row r="7" spans="1:7" ht="15" x14ac:dyDescent="0.25">
      <c r="A7" s="112" t="s">
        <v>57</v>
      </c>
      <c r="B7" s="112"/>
      <c r="C7" s="112"/>
      <c r="D7" s="112"/>
      <c r="E7" s="112"/>
      <c r="F7" s="112"/>
      <c r="G7" s="112"/>
    </row>
    <row r="11" spans="1:7" ht="15" x14ac:dyDescent="0.25">
      <c r="A11" s="120" t="s">
        <v>58</v>
      </c>
      <c r="B11" s="112"/>
      <c r="C11" s="112"/>
    </row>
    <row r="12" spans="1:7" ht="15" x14ac:dyDescent="0.25">
      <c r="A12" s="112" t="s">
        <v>59</v>
      </c>
      <c r="B12" s="112"/>
      <c r="C12" s="112"/>
    </row>
    <row r="13" spans="1:7" ht="15" x14ac:dyDescent="0.25">
      <c r="A13" s="112" t="s">
        <v>60</v>
      </c>
      <c r="B13" s="112"/>
      <c r="C13" s="112"/>
    </row>
    <row r="14" spans="1:7" ht="16.5" x14ac:dyDescent="0.25">
      <c r="A14" s="119" t="s">
        <v>61</v>
      </c>
    </row>
    <row r="15" spans="1:7" x14ac:dyDescent="0.15">
      <c r="A15" s="119" t="s">
        <v>62</v>
      </c>
    </row>
    <row r="16" spans="1:7" ht="18" x14ac:dyDescent="0.35">
      <c r="A16" s="148" t="s">
        <v>63</v>
      </c>
    </row>
    <row r="17" spans="1:1" ht="15" x14ac:dyDescent="0.25">
      <c r="A17" s="148" t="s">
        <v>64</v>
      </c>
    </row>
    <row r="18" spans="1:1" ht="15" x14ac:dyDescent="0.25">
      <c r="A18" s="148" t="s">
        <v>65</v>
      </c>
    </row>
    <row r="19" spans="1:1" ht="15" x14ac:dyDescent="0.25">
      <c r="A19" s="148" t="s">
        <v>66</v>
      </c>
    </row>
    <row r="20" spans="1:1" ht="15" x14ac:dyDescent="0.25">
      <c r="A20" s="148" t="s">
        <v>67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K32" sqref="K32"/>
    </sheetView>
  </sheetViews>
  <sheetFormatPr defaultRowHeight="13.5" x14ac:dyDescent="0.15"/>
  <cols>
    <col min="1" max="4" width="9.125" style="110"/>
    <col min="18" max="18" width="12.625" customWidth="1"/>
  </cols>
  <sheetData>
    <row r="1" spans="1:33" x14ac:dyDescent="0.15">
      <c r="A1" s="154" t="s">
        <v>68</v>
      </c>
      <c r="B1" s="155"/>
      <c r="C1" s="155"/>
      <c r="D1" s="155"/>
      <c r="E1" s="155"/>
      <c r="F1" s="155"/>
      <c r="G1" s="155"/>
      <c r="H1" s="155"/>
      <c r="I1" s="155"/>
    </row>
    <row r="2" spans="1:33" ht="15" x14ac:dyDescent="0.25">
      <c r="A2" s="112" t="s">
        <v>54</v>
      </c>
      <c r="B2" s="112" t="s">
        <v>55</v>
      </c>
    </row>
    <row r="4" spans="1:33" x14ac:dyDescent="0.15">
      <c r="A4" s="149"/>
      <c r="B4" s="1" t="s">
        <v>6</v>
      </c>
      <c r="C4"/>
      <c r="D4"/>
      <c r="J4" t="s">
        <v>7</v>
      </c>
    </row>
    <row r="5" spans="1:33" x14ac:dyDescent="0.15">
      <c r="A5" s="149"/>
      <c r="B5"/>
      <c r="C5"/>
      <c r="D5"/>
      <c r="Z5" s="119"/>
      <c r="AA5" s="119"/>
      <c r="AB5" s="119"/>
      <c r="AC5" s="119"/>
      <c r="AD5" s="119"/>
      <c r="AE5" s="119"/>
      <c r="AF5" s="119"/>
      <c r="AG5" s="119"/>
    </row>
    <row r="6" spans="1:33" x14ac:dyDescent="0.15">
      <c r="A6" s="149"/>
      <c r="B6"/>
      <c r="C6" s="2" t="s">
        <v>5</v>
      </c>
      <c r="D6"/>
      <c r="J6" s="10"/>
      <c r="L6" s="2" t="s">
        <v>5</v>
      </c>
      <c r="M6" s="10"/>
      <c r="N6" s="10"/>
      <c r="O6" s="156" t="s">
        <v>74</v>
      </c>
      <c r="P6" s="156"/>
      <c r="Q6" s="156"/>
      <c r="R6" s="119"/>
      <c r="S6" s="119"/>
      <c r="T6" s="119"/>
      <c r="U6" s="119"/>
      <c r="V6" s="157" t="s">
        <v>75</v>
      </c>
      <c r="Z6" s="119"/>
      <c r="AA6" s="119"/>
      <c r="AB6" s="119"/>
      <c r="AC6" s="119"/>
      <c r="AD6" s="119"/>
      <c r="AE6" s="119"/>
      <c r="AF6" s="119"/>
      <c r="AG6" s="119"/>
    </row>
    <row r="7" spans="1:33" ht="16.5" x14ac:dyDescent="0.25">
      <c r="A7" s="150"/>
      <c r="B7" s="119" t="s">
        <v>73</v>
      </c>
      <c r="C7" s="119" t="s">
        <v>72</v>
      </c>
      <c r="D7" s="3" t="s">
        <v>0</v>
      </c>
      <c r="E7" s="4" t="s">
        <v>1</v>
      </c>
      <c r="F7" s="4" t="s">
        <v>69</v>
      </c>
      <c r="G7" s="4" t="s">
        <v>70</v>
      </c>
      <c r="H7" s="5" t="s">
        <v>71</v>
      </c>
      <c r="J7" s="10"/>
      <c r="K7" s="119" t="s">
        <v>73</v>
      </c>
      <c r="L7" s="119" t="s">
        <v>72</v>
      </c>
      <c r="M7" s="3" t="s">
        <v>0</v>
      </c>
      <c r="N7" s="4" t="s">
        <v>1</v>
      </c>
      <c r="O7" s="4" t="s">
        <v>69</v>
      </c>
      <c r="P7" s="4" t="s">
        <v>70</v>
      </c>
      <c r="Q7" s="5" t="s">
        <v>71</v>
      </c>
      <c r="R7" s="119" t="s">
        <v>73</v>
      </c>
      <c r="S7" s="119" t="s">
        <v>72</v>
      </c>
      <c r="T7" s="3" t="s">
        <v>0</v>
      </c>
      <c r="U7" s="4" t="s">
        <v>1</v>
      </c>
      <c r="V7" s="4" t="s">
        <v>2</v>
      </c>
      <c r="W7" s="4" t="s">
        <v>3</v>
      </c>
      <c r="X7" s="5" t="s">
        <v>4</v>
      </c>
      <c r="Z7" s="119"/>
      <c r="AA7" s="119"/>
      <c r="AB7" s="119"/>
      <c r="AC7" s="119"/>
      <c r="AD7" s="119"/>
      <c r="AE7" s="119"/>
      <c r="AF7" s="119"/>
      <c r="AG7" s="119"/>
    </row>
    <row r="8" spans="1:33" x14ac:dyDescent="0.15">
      <c r="A8" s="149"/>
      <c r="B8" s="119">
        <f>C8/20*20</f>
        <v>0.12490000000000001</v>
      </c>
      <c r="C8">
        <f>0.1582-0.0333</f>
        <v>0.12490000000000001</v>
      </c>
      <c r="D8" s="6">
        <v>20</v>
      </c>
      <c r="E8" s="7">
        <v>100</v>
      </c>
      <c r="F8" s="9">
        <v>26.311428923095988</v>
      </c>
      <c r="G8" s="9">
        <v>27.603825336922732</v>
      </c>
      <c r="H8" s="8">
        <f>G8-F8</f>
        <v>1.2923964138267436</v>
      </c>
      <c r="I8" s="17"/>
      <c r="J8" s="10"/>
      <c r="K8">
        <f>L8/20*20</f>
        <v>0.13799999999999998</v>
      </c>
      <c r="L8" s="10">
        <f>0.1384-0.0004</f>
        <v>0.13799999999999998</v>
      </c>
      <c r="M8" s="6">
        <v>20</v>
      </c>
      <c r="N8" s="7">
        <v>100</v>
      </c>
      <c r="O8" s="9">
        <v>25.961717275483437</v>
      </c>
      <c r="P8" s="9">
        <v>29.548706385416178</v>
      </c>
      <c r="Q8" s="8">
        <f>P8-O8</f>
        <v>3.5869891099327411</v>
      </c>
      <c r="R8" s="119">
        <f>S8/20*20</f>
        <v>0.13389999999999999</v>
      </c>
      <c r="S8" s="105">
        <f>0.147-0.0131</f>
        <v>0.13389999999999999</v>
      </c>
      <c r="T8" s="6">
        <v>20</v>
      </c>
      <c r="U8" s="7">
        <v>100</v>
      </c>
      <c r="V8" s="107">
        <v>23.743679299573845</v>
      </c>
      <c r="W8" s="106">
        <v>26.979466645685825</v>
      </c>
      <c r="X8" s="8">
        <f>W8-V8</f>
        <v>3.2357873461119802</v>
      </c>
      <c r="Z8" s="119"/>
      <c r="AA8" s="119"/>
      <c r="AB8" s="119"/>
      <c r="AC8" s="119"/>
      <c r="AD8" s="119"/>
      <c r="AE8" s="119"/>
      <c r="AF8" s="119"/>
      <c r="AG8" s="119"/>
    </row>
    <row r="9" spans="1:33" x14ac:dyDescent="0.15">
      <c r="A9" s="149"/>
      <c r="B9" s="119">
        <f t="shared" ref="B9:B10" si="0">C9/20*20</f>
        <v>0.1174</v>
      </c>
      <c r="C9">
        <f>0.1416-0.0242</f>
        <v>0.1174</v>
      </c>
      <c r="D9" s="6">
        <v>20</v>
      </c>
      <c r="E9" s="7">
        <v>100</v>
      </c>
      <c r="F9" s="9">
        <v>26.317575652454835</v>
      </c>
      <c r="G9" s="9">
        <v>28.187392096960064</v>
      </c>
      <c r="H9" s="8">
        <f>G9-F9</f>
        <v>1.8698164445052292</v>
      </c>
      <c r="I9" s="111"/>
      <c r="J9" s="10"/>
      <c r="K9" s="119">
        <f t="shared" ref="K9:K10" si="1">L9/20*20</f>
        <v>0.12709999999999999</v>
      </c>
      <c r="L9" s="10">
        <f>0.1319-0.0048</f>
        <v>0.12709999999999999</v>
      </c>
      <c r="M9" s="6">
        <v>15</v>
      </c>
      <c r="N9" s="7">
        <v>133</v>
      </c>
      <c r="O9" s="11">
        <v>25.9691289644914</v>
      </c>
      <c r="P9" s="11">
        <v>29.71187411021436</v>
      </c>
      <c r="Q9" s="8">
        <f>P9-O9</f>
        <v>3.7427451457229601</v>
      </c>
      <c r="R9" s="119">
        <f t="shared" ref="R9:R10" si="2">S9/20*20</f>
        <v>0.12709999999999999</v>
      </c>
      <c r="S9" s="105">
        <f>0.1319-0.0048</f>
        <v>0.12709999999999999</v>
      </c>
      <c r="T9" s="6">
        <v>15</v>
      </c>
      <c r="U9" s="7">
        <v>133</v>
      </c>
      <c r="V9" s="119">
        <v>23.5738743679299</v>
      </c>
      <c r="W9" s="119">
        <v>27.196858794666401</v>
      </c>
      <c r="X9" s="8">
        <f>W9-V9</f>
        <v>3.622984426736501</v>
      </c>
      <c r="Z9" s="119"/>
      <c r="AA9" s="119"/>
      <c r="AB9" s="119"/>
      <c r="AC9" s="119"/>
      <c r="AD9" s="119"/>
      <c r="AE9" s="119"/>
      <c r="AF9" s="119"/>
      <c r="AG9" s="119"/>
    </row>
    <row r="10" spans="1:33" x14ac:dyDescent="0.15">
      <c r="A10" s="149"/>
      <c r="B10" s="119">
        <f t="shared" si="0"/>
        <v>0.11650000000000001</v>
      </c>
      <c r="C10" s="17">
        <f>0.1658-0.0493</f>
        <v>0.11650000000000001</v>
      </c>
      <c r="D10" s="6">
        <v>20</v>
      </c>
      <c r="E10" s="7">
        <v>100</v>
      </c>
      <c r="F10" s="11">
        <v>24.41767748699651</v>
      </c>
      <c r="G10" s="11">
        <v>25.622902102643366</v>
      </c>
      <c r="H10" s="8">
        <f>G10-F10</f>
        <v>1.2052246156468556</v>
      </c>
      <c r="I10" s="111"/>
      <c r="K10" s="119">
        <f t="shared" si="1"/>
        <v>0.1353</v>
      </c>
      <c r="L10" s="18">
        <f>0.1502-0.0149</f>
        <v>0.1353</v>
      </c>
      <c r="M10" s="6">
        <v>15</v>
      </c>
      <c r="N10" s="7">
        <v>133</v>
      </c>
      <c r="O10" s="11">
        <v>25.46029317142327</v>
      </c>
      <c r="P10" s="11">
        <v>29.234384997748442</v>
      </c>
      <c r="Q10" s="8">
        <f>P10-O10</f>
        <v>3.7740918263251721</v>
      </c>
      <c r="R10" s="119">
        <f t="shared" si="2"/>
        <v>0.1353</v>
      </c>
      <c r="S10" s="105">
        <f>0.1502-0.0149</f>
        <v>0.1353</v>
      </c>
      <c r="T10" s="6">
        <v>20</v>
      </c>
      <c r="U10" s="7">
        <v>100</v>
      </c>
      <c r="V10" s="9">
        <v>25.727548349617098</v>
      </c>
      <c r="W10" s="9">
        <v>29.1625385448706</v>
      </c>
      <c r="X10" s="8">
        <f>W10-V10</f>
        <v>3.4349901952535014</v>
      </c>
      <c r="Z10" s="119"/>
      <c r="AA10" s="119"/>
      <c r="AB10" s="119"/>
      <c r="AC10" s="119"/>
      <c r="AD10" s="119"/>
      <c r="AE10" s="119"/>
      <c r="AF10" s="119"/>
      <c r="AG10" s="119"/>
    </row>
    <row r="11" spans="1:33" x14ac:dyDescent="0.15">
      <c r="A11" s="149"/>
      <c r="B11"/>
      <c r="C11"/>
      <c r="D11"/>
      <c r="Z11" s="119"/>
      <c r="AA11" s="119"/>
      <c r="AB11" s="119"/>
      <c r="AC11" s="119"/>
      <c r="AD11" s="119"/>
      <c r="AE11" s="119"/>
      <c r="AF11" s="119"/>
      <c r="AG11" s="119"/>
    </row>
    <row r="12" spans="1:33" x14ac:dyDescent="0.15">
      <c r="A12" s="149"/>
      <c r="B12"/>
      <c r="C12"/>
      <c r="D12"/>
      <c r="Z12" s="119"/>
      <c r="AA12" s="119"/>
      <c r="AB12" s="119"/>
      <c r="AC12" s="119"/>
      <c r="AD12" s="119"/>
      <c r="AE12" s="119"/>
      <c r="AF12" s="119"/>
      <c r="AG12" s="119"/>
    </row>
    <row r="13" spans="1:33" ht="16.5" x14ac:dyDescent="0.25">
      <c r="A13" s="149"/>
      <c r="B13" s="10"/>
      <c r="C13" s="2" t="s">
        <v>8</v>
      </c>
      <c r="D13" s="10"/>
      <c r="E13" s="10"/>
      <c r="F13" s="10"/>
      <c r="G13" s="10"/>
      <c r="H13" s="10"/>
      <c r="K13" s="12"/>
      <c r="L13" s="2" t="s">
        <v>8</v>
      </c>
      <c r="M13" s="12"/>
      <c r="N13" s="12"/>
      <c r="O13" s="12"/>
      <c r="P13" s="12"/>
      <c r="Q13" s="12"/>
      <c r="R13" s="97" t="s">
        <v>73</v>
      </c>
      <c r="S13" s="97" t="s">
        <v>72</v>
      </c>
      <c r="T13" s="158" t="s">
        <v>0</v>
      </c>
      <c r="U13" s="159" t="s">
        <v>1</v>
      </c>
      <c r="V13" s="159" t="s">
        <v>77</v>
      </c>
      <c r="W13" s="159" t="s">
        <v>3</v>
      </c>
      <c r="X13" s="160" t="s">
        <v>4</v>
      </c>
      <c r="Z13" s="119"/>
      <c r="AA13" s="119"/>
      <c r="AB13" s="119"/>
      <c r="AC13" s="119"/>
      <c r="AD13" s="119"/>
      <c r="AE13" s="119"/>
      <c r="AF13" s="119"/>
      <c r="AG13" s="119"/>
    </row>
    <row r="14" spans="1:33" ht="15" x14ac:dyDescent="0.25">
      <c r="A14" s="149"/>
      <c r="B14" s="119" t="s">
        <v>73</v>
      </c>
      <c r="C14" s="119" t="s">
        <v>72</v>
      </c>
      <c r="D14" s="3" t="s">
        <v>0</v>
      </c>
      <c r="E14" s="4" t="s">
        <v>1</v>
      </c>
      <c r="F14" s="4" t="s">
        <v>69</v>
      </c>
      <c r="G14" s="4" t="s">
        <v>70</v>
      </c>
      <c r="H14" s="5" t="s">
        <v>71</v>
      </c>
      <c r="K14" s="119" t="s">
        <v>73</v>
      </c>
      <c r="L14" s="119" t="s">
        <v>72</v>
      </c>
      <c r="M14" s="3" t="s">
        <v>0</v>
      </c>
      <c r="N14" s="4" t="s">
        <v>1</v>
      </c>
      <c r="O14" s="4" t="s">
        <v>69</v>
      </c>
      <c r="P14" s="4" t="s">
        <v>70</v>
      </c>
      <c r="Q14" s="5" t="s">
        <v>71</v>
      </c>
      <c r="R14" s="97">
        <f>S14/20*20</f>
        <v>6.6000000000000003E-2</v>
      </c>
      <c r="S14" s="97">
        <f>0.0795-0.0135</f>
        <v>6.6000000000000003E-2</v>
      </c>
      <c r="T14" s="161">
        <v>20</v>
      </c>
      <c r="U14" s="162">
        <v>100</v>
      </c>
      <c r="V14" s="163">
        <v>25.924743767067415</v>
      </c>
      <c r="W14" s="163">
        <v>26.6936227496637</v>
      </c>
      <c r="X14" s="164">
        <f>W14-V14</f>
        <v>0.76887898259628429</v>
      </c>
      <c r="Z14" s="119"/>
      <c r="AA14" s="119"/>
      <c r="AB14" s="119"/>
      <c r="AC14" s="119"/>
      <c r="AD14" s="119"/>
      <c r="AE14" s="119"/>
      <c r="AF14" s="119"/>
      <c r="AG14" s="119"/>
    </row>
    <row r="15" spans="1:33" x14ac:dyDescent="0.15">
      <c r="A15" s="149"/>
      <c r="B15" s="119">
        <f>C15/20*20</f>
        <v>5.4000000000000006E-2</v>
      </c>
      <c r="C15" s="10">
        <f>0.0547-0.0007</f>
        <v>5.3999999999999999E-2</v>
      </c>
      <c r="D15" s="6">
        <v>20</v>
      </c>
      <c r="E15" s="7">
        <v>100</v>
      </c>
      <c r="F15" s="9">
        <v>25.965163169214929</v>
      </c>
      <c r="G15" s="9">
        <v>26.310404468202865</v>
      </c>
      <c r="H15" s="8">
        <f>G15-F15</f>
        <v>0.34524129898793632</v>
      </c>
      <c r="I15" s="17"/>
      <c r="K15" s="119">
        <f>L15/20*20</f>
        <v>6.2899999999999998E-2</v>
      </c>
      <c r="L15" s="12">
        <f>0.0636-0.0007</f>
        <v>6.2899999999999998E-2</v>
      </c>
      <c r="M15" s="6">
        <v>20</v>
      </c>
      <c r="N15" s="7">
        <v>100</v>
      </c>
      <c r="O15" s="9">
        <v>26.226678563754465</v>
      </c>
      <c r="P15" s="9">
        <v>26.98458892015152</v>
      </c>
      <c r="Q15" s="8">
        <f>P15-O15</f>
        <v>0.75791035639705484</v>
      </c>
      <c r="R15" s="97">
        <f t="shared" ref="R15:R16" si="3">S15/20*20</f>
        <v>6.6099999999999992E-2</v>
      </c>
      <c r="S15" s="97">
        <f>0.0934-0.0273</f>
        <v>6.6099999999999992E-2</v>
      </c>
      <c r="T15" s="161">
        <v>20</v>
      </c>
      <c r="U15" s="162">
        <v>100</v>
      </c>
      <c r="V15" s="165">
        <v>25.623833425273492</v>
      </c>
      <c r="W15" s="165">
        <v>26.293826925386604</v>
      </c>
      <c r="X15" s="164">
        <f>W15-V15</f>
        <v>0.66999350011311165</v>
      </c>
      <c r="Y15" s="17"/>
      <c r="Z15" s="119"/>
      <c r="AA15" s="119"/>
      <c r="AB15" s="119"/>
      <c r="AC15" s="119"/>
      <c r="AD15" s="119"/>
      <c r="AE15" s="119"/>
      <c r="AF15" s="119"/>
      <c r="AG15" s="119"/>
    </row>
    <row r="16" spans="1:33" x14ac:dyDescent="0.15">
      <c r="B16" s="119">
        <f t="shared" ref="B16:B17" si="4">C16/20*20</f>
        <v>5.5099999999999996E-2</v>
      </c>
      <c r="C16" s="10">
        <f>0.0571-0.002</f>
        <v>5.5099999999999996E-2</v>
      </c>
      <c r="D16" s="6">
        <v>20</v>
      </c>
      <c r="E16" s="7">
        <v>100</v>
      </c>
      <c r="F16" s="11">
        <v>26.443024810732886</v>
      </c>
      <c r="G16" s="11">
        <v>26.995671659450043</v>
      </c>
      <c r="H16" s="8">
        <f>G16-F16</f>
        <v>0.5526468487171563</v>
      </c>
      <c r="I16" s="17"/>
      <c r="K16" s="119">
        <f>L16/20*20</f>
        <v>5.9700000000000003E-2</v>
      </c>
      <c r="L16" s="12">
        <f>0.0606-0.0009</f>
        <v>5.9700000000000003E-2</v>
      </c>
      <c r="M16" s="6">
        <v>20</v>
      </c>
      <c r="N16" s="7">
        <v>100</v>
      </c>
      <c r="O16" s="9">
        <v>26.978721587581717</v>
      </c>
      <c r="P16" s="9">
        <v>27.500355392715655</v>
      </c>
      <c r="Q16" s="8">
        <f>P16-O16</f>
        <v>0.52163380513393776</v>
      </c>
      <c r="R16" s="97">
        <f t="shared" si="3"/>
        <v>6.2100000000000002E-2</v>
      </c>
      <c r="S16" s="97">
        <f>0.0621</f>
        <v>6.2100000000000002E-2</v>
      </c>
      <c r="T16" s="161">
        <v>20</v>
      </c>
      <c r="U16" s="162">
        <v>100</v>
      </c>
      <c r="V16" s="165">
        <v>25.617034770073587</v>
      </c>
      <c r="W16" s="165">
        <v>26.298111009485197</v>
      </c>
      <c r="X16" s="164">
        <f>W16-V16</f>
        <v>0.68107623941160966</v>
      </c>
      <c r="Z16" s="119"/>
      <c r="AA16" s="119"/>
      <c r="AB16" s="119"/>
      <c r="AC16" s="119"/>
      <c r="AD16" s="119"/>
      <c r="AE16" s="119"/>
      <c r="AF16" s="119"/>
      <c r="AG16" s="119"/>
    </row>
    <row r="17" spans="1:33" s="20" customFormat="1" x14ac:dyDescent="0.15">
      <c r="A17" s="110"/>
      <c r="B17" s="119">
        <f t="shared" si="4"/>
        <v>6.2599999999999989E-2</v>
      </c>
      <c r="C17" s="19">
        <f>0.0759-0.0133</f>
        <v>6.2599999999999989E-2</v>
      </c>
      <c r="D17" s="6">
        <v>20</v>
      </c>
      <c r="E17" s="7">
        <v>100</v>
      </c>
      <c r="F17" s="11">
        <v>25.097077345673885</v>
      </c>
      <c r="G17" s="11">
        <v>25.445764538393284</v>
      </c>
      <c r="H17" s="8">
        <f>G17-F17</f>
        <v>0.34868719271939952</v>
      </c>
      <c r="J17"/>
      <c r="K17"/>
      <c r="L17"/>
      <c r="M17"/>
      <c r="N17"/>
      <c r="O17"/>
      <c r="P17"/>
      <c r="Q17"/>
      <c r="Z17" s="119"/>
      <c r="AA17" s="119"/>
      <c r="AB17" s="119"/>
      <c r="AC17" s="119"/>
      <c r="AD17" s="119"/>
      <c r="AE17" s="119"/>
      <c r="AF17" s="119"/>
      <c r="AG17" s="119"/>
    </row>
    <row r="18" spans="1:33" x14ac:dyDescent="0.15">
      <c r="B18" s="119">
        <f>C18/20*20</f>
        <v>6.6900000000000001E-2</v>
      </c>
      <c r="C18" s="20">
        <f>0.0687-0.0018</f>
        <v>6.6900000000000001E-2</v>
      </c>
      <c r="D18" s="6">
        <v>20</v>
      </c>
      <c r="E18" s="7">
        <v>100</v>
      </c>
      <c r="F18" s="11">
        <v>25.441107925242651</v>
      </c>
      <c r="G18" s="11">
        <v>25.6291768121229</v>
      </c>
      <c r="H18" s="8">
        <f>G18-F18</f>
        <v>0.1880688868802487</v>
      </c>
      <c r="I18" s="21"/>
      <c r="J18" s="20"/>
      <c r="K18" s="20"/>
      <c r="L18" s="20"/>
      <c r="M18" s="20"/>
      <c r="N18" s="20"/>
      <c r="O18" s="20"/>
      <c r="P18" s="20"/>
      <c r="Q18" s="20"/>
      <c r="Z18" s="119"/>
      <c r="AA18" s="119"/>
      <c r="AB18" s="119"/>
      <c r="AC18" s="119"/>
      <c r="AD18" s="119"/>
      <c r="AE18" s="119"/>
      <c r="AF18" s="119"/>
      <c r="AG18" s="119"/>
    </row>
    <row r="19" spans="1:33" x14ac:dyDescent="0.15">
      <c r="B19" s="12"/>
      <c r="C19" s="2" t="s">
        <v>9</v>
      </c>
      <c r="D19" s="12"/>
      <c r="E19" s="12"/>
      <c r="F19" s="12"/>
      <c r="G19" s="12"/>
      <c r="H19" s="12"/>
      <c r="L19" s="2" t="s">
        <v>9</v>
      </c>
      <c r="M19" s="13"/>
      <c r="N19" s="13"/>
      <c r="O19" s="13"/>
      <c r="P19" s="13"/>
      <c r="Q19" s="13"/>
      <c r="Z19" s="119"/>
      <c r="AA19" s="119"/>
      <c r="AB19" s="119"/>
      <c r="AC19" s="119"/>
      <c r="AD19" s="119"/>
      <c r="AE19" s="119"/>
      <c r="AF19" s="119"/>
      <c r="AG19" s="119"/>
    </row>
    <row r="20" spans="1:33" ht="15" x14ac:dyDescent="0.25">
      <c r="B20" s="119" t="s">
        <v>73</v>
      </c>
      <c r="C20" s="119" t="s">
        <v>72</v>
      </c>
      <c r="D20" s="3" t="s">
        <v>0</v>
      </c>
      <c r="E20" s="4" t="s">
        <v>1</v>
      </c>
      <c r="F20" s="4" t="s">
        <v>69</v>
      </c>
      <c r="G20" s="4" t="s">
        <v>70</v>
      </c>
      <c r="H20" s="5" t="s">
        <v>71</v>
      </c>
      <c r="K20" s="119" t="s">
        <v>73</v>
      </c>
      <c r="L20" s="119" t="s">
        <v>72</v>
      </c>
      <c r="M20" s="3" t="s">
        <v>0</v>
      </c>
      <c r="N20" s="4" t="s">
        <v>1</v>
      </c>
      <c r="O20" s="4" t="s">
        <v>69</v>
      </c>
      <c r="P20" s="4" t="s">
        <v>70</v>
      </c>
      <c r="Q20" s="5" t="s">
        <v>71</v>
      </c>
      <c r="Y20" s="17"/>
      <c r="Z20" s="119"/>
      <c r="AA20" s="119"/>
      <c r="AB20" s="119"/>
      <c r="AC20" s="119"/>
      <c r="AD20" s="119"/>
      <c r="AE20" s="119"/>
      <c r="AF20" s="119"/>
      <c r="AG20" s="119"/>
    </row>
    <row r="21" spans="1:33" x14ac:dyDescent="0.15">
      <c r="B21" s="119">
        <f>C21/20*20</f>
        <v>5.5399999999999998E-2</v>
      </c>
      <c r="C21" s="12">
        <f>0.0576-0.0022</f>
        <v>5.5399999999999998E-2</v>
      </c>
      <c r="D21" s="6">
        <v>20</v>
      </c>
      <c r="E21" s="7">
        <v>100</v>
      </c>
      <c r="F21" s="9">
        <v>25.93359133205362</v>
      </c>
      <c r="G21" s="9">
        <v>26.655738899453823</v>
      </c>
      <c r="H21" s="8">
        <f>G21-F21</f>
        <v>0.72214756740020292</v>
      </c>
      <c r="I21" s="17"/>
      <c r="K21" s="119">
        <f>L21/20*20</f>
        <v>5.1299999999999998E-2</v>
      </c>
      <c r="L21" s="13">
        <f>0.062-0.0107</f>
        <v>5.1299999999999998E-2</v>
      </c>
      <c r="M21" s="6">
        <v>20</v>
      </c>
      <c r="N21" s="7">
        <v>100</v>
      </c>
      <c r="O21" s="9">
        <v>26.213174385617627</v>
      </c>
      <c r="P21" s="9">
        <v>26.987941681619986</v>
      </c>
      <c r="Q21" s="8">
        <f>P21-O21</f>
        <v>0.77476729600235927</v>
      </c>
      <c r="Y21" s="17"/>
      <c r="Z21" s="119"/>
      <c r="AA21" s="119"/>
      <c r="AB21" s="119"/>
      <c r="AC21" s="119"/>
      <c r="AD21" s="119"/>
      <c r="AE21" s="119"/>
      <c r="AF21" s="119"/>
      <c r="AG21" s="119"/>
    </row>
    <row r="22" spans="1:33" x14ac:dyDescent="0.15">
      <c r="B22" s="119">
        <f>C22/20*20</f>
        <v>4.9700000000000008E-2</v>
      </c>
      <c r="C22" s="12">
        <f>0.0679-0.0182</f>
        <v>4.9700000000000001E-2</v>
      </c>
      <c r="D22" s="6">
        <v>20</v>
      </c>
      <c r="E22" s="7">
        <v>100</v>
      </c>
      <c r="F22" s="9">
        <v>26.602932906325623</v>
      </c>
      <c r="G22" s="9">
        <v>26.98421639109948</v>
      </c>
      <c r="H22" s="8">
        <f>G22-F22</f>
        <v>0.38128348477385643</v>
      </c>
      <c r="I22" s="17"/>
      <c r="K22" s="119">
        <f>L22/20*20</f>
        <v>5.5500000000000001E-2</v>
      </c>
      <c r="L22" s="13">
        <f>0.0574-0.0019</f>
        <v>5.5500000000000001E-2</v>
      </c>
      <c r="M22" s="6">
        <v>20</v>
      </c>
      <c r="N22" s="7">
        <v>100</v>
      </c>
      <c r="O22" s="9">
        <v>26.997906833762336</v>
      </c>
      <c r="P22" s="9">
        <v>27.840474417237893</v>
      </c>
      <c r="Q22" s="8">
        <f>P22-O22</f>
        <v>0.8425675834755566</v>
      </c>
      <c r="Z22" s="119"/>
      <c r="AA22" s="119"/>
      <c r="AB22" s="119"/>
      <c r="AC22" s="119"/>
      <c r="AD22" s="119"/>
      <c r="AE22" s="119"/>
      <c r="AF22" s="119"/>
      <c r="AG22" s="119"/>
    </row>
    <row r="23" spans="1:33" x14ac:dyDescent="0.15">
      <c r="B23"/>
      <c r="C23"/>
      <c r="D23"/>
      <c r="Z23" s="119"/>
      <c r="AA23" s="119"/>
      <c r="AB23" s="119"/>
      <c r="AC23" s="119"/>
      <c r="AD23" s="119"/>
      <c r="AE23" s="119"/>
      <c r="AF23" s="119"/>
      <c r="AG23" s="119"/>
    </row>
    <row r="24" spans="1:33" x14ac:dyDescent="0.15">
      <c r="B24"/>
      <c r="C24" s="2" t="s">
        <v>10</v>
      </c>
      <c r="D24" s="14"/>
      <c r="E24" s="14"/>
      <c r="F24" s="14"/>
      <c r="G24" s="14"/>
      <c r="H24" s="14"/>
      <c r="L24" s="2" t="s">
        <v>10</v>
      </c>
      <c r="M24" s="15"/>
      <c r="N24" s="15"/>
      <c r="O24" s="15"/>
      <c r="P24" s="15"/>
      <c r="Q24" s="15"/>
      <c r="Z24" s="119"/>
      <c r="AA24" s="119"/>
      <c r="AB24" s="119"/>
      <c r="AC24" s="119"/>
      <c r="AD24" s="119"/>
      <c r="AE24" s="119"/>
      <c r="AF24" s="119"/>
      <c r="AG24" s="119"/>
    </row>
    <row r="25" spans="1:33" ht="15" x14ac:dyDescent="0.25">
      <c r="B25" s="119" t="s">
        <v>73</v>
      </c>
      <c r="C25" s="119" t="s">
        <v>72</v>
      </c>
      <c r="D25" s="3" t="s">
        <v>0</v>
      </c>
      <c r="E25" s="4" t="s">
        <v>1</v>
      </c>
      <c r="F25" s="4" t="s">
        <v>69</v>
      </c>
      <c r="G25" s="4" t="s">
        <v>70</v>
      </c>
      <c r="H25" s="5" t="s">
        <v>71</v>
      </c>
      <c r="K25" s="119" t="s">
        <v>73</v>
      </c>
      <c r="L25" s="119" t="s">
        <v>72</v>
      </c>
      <c r="M25" s="3" t="s">
        <v>0</v>
      </c>
      <c r="N25" s="4" t="s">
        <v>1</v>
      </c>
      <c r="O25" s="4" t="s">
        <v>69</v>
      </c>
      <c r="P25" s="4" t="s">
        <v>70</v>
      </c>
      <c r="Q25" s="5" t="s">
        <v>71</v>
      </c>
      <c r="Y25" s="17"/>
    </row>
    <row r="26" spans="1:33" x14ac:dyDescent="0.15">
      <c r="B26" s="119">
        <f>C26/20*20</f>
        <v>4.9799999999999997E-2</v>
      </c>
      <c r="C26" s="14">
        <f>0.0523-0.0025</f>
        <v>4.9799999999999997E-2</v>
      </c>
      <c r="D26" s="6">
        <v>20</v>
      </c>
      <c r="E26" s="7">
        <v>100</v>
      </c>
      <c r="F26" s="9">
        <v>25.972241221203873</v>
      </c>
      <c r="G26" s="9">
        <v>26.316178668509643</v>
      </c>
      <c r="H26" s="8">
        <f>G26-F26</f>
        <v>0.34393744730576969</v>
      </c>
      <c r="I26" s="17"/>
      <c r="K26" s="119">
        <f>L26/20*20</f>
        <v>5.11E-2</v>
      </c>
      <c r="L26" s="15">
        <f>0.0519-0.0008</f>
        <v>5.11E-2</v>
      </c>
      <c r="M26" s="6">
        <v>20</v>
      </c>
      <c r="N26" s="7">
        <v>100</v>
      </c>
      <c r="O26" s="9">
        <v>26.299787390219404</v>
      </c>
      <c r="P26" s="9">
        <v>26.823563237402638</v>
      </c>
      <c r="Q26" s="8">
        <f>P26-O26</f>
        <v>0.52377584718323433</v>
      </c>
      <c r="Y26" s="17"/>
    </row>
    <row r="27" spans="1:33" x14ac:dyDescent="0.15">
      <c r="B27" s="119">
        <f>C27/20*20</f>
        <v>5.4500000000000007E-2</v>
      </c>
      <c r="C27" s="14">
        <f>0.0675-0.013</f>
        <v>5.4500000000000007E-2</v>
      </c>
      <c r="D27" s="6">
        <v>20</v>
      </c>
      <c r="E27" s="7">
        <v>100</v>
      </c>
      <c r="F27" s="16">
        <v>26.303605813002935</v>
      </c>
      <c r="G27" s="16">
        <v>26.65583203171682</v>
      </c>
      <c r="H27" s="8">
        <f>G27-F27</f>
        <v>0.35222621871388426</v>
      </c>
      <c r="I27" s="17"/>
      <c r="K27" s="119">
        <f>L27/20*20</f>
        <v>5.3500000000000006E-2</v>
      </c>
      <c r="L27" s="15">
        <f>0.0558-0.0023</f>
        <v>5.3500000000000006E-2</v>
      </c>
      <c r="M27" s="6">
        <v>20</v>
      </c>
      <c r="N27" s="7">
        <v>100</v>
      </c>
      <c r="O27" s="11">
        <v>26.973319916327004</v>
      </c>
      <c r="P27" s="11">
        <v>27.500821054030716</v>
      </c>
      <c r="Q27" s="8">
        <f>P27-O27</f>
        <v>0.52750113770371243</v>
      </c>
    </row>
    <row r="28" spans="1:33" x14ac:dyDescent="0.15">
      <c r="B28"/>
      <c r="C28"/>
      <c r="D28"/>
    </row>
  </sheetData>
  <mergeCells count="1">
    <mergeCell ref="O6:Q6"/>
  </mergeCells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A2" sqref="A2:B2"/>
    </sheetView>
  </sheetViews>
  <sheetFormatPr defaultRowHeight="13.5" x14ac:dyDescent="0.15"/>
  <cols>
    <col min="14" max="14" width="10.75" customWidth="1"/>
  </cols>
  <sheetData>
    <row r="1" spans="1:26" x14ac:dyDescent="0.15">
      <c r="A1" s="154" t="s">
        <v>76</v>
      </c>
      <c r="B1" s="155"/>
      <c r="C1" s="155"/>
      <c r="D1" s="155"/>
      <c r="E1" s="155"/>
      <c r="F1" s="155"/>
      <c r="G1" s="155"/>
      <c r="H1" s="155"/>
      <c r="I1" s="155"/>
    </row>
    <row r="2" spans="1:26" ht="15" x14ac:dyDescent="0.25">
      <c r="A2" s="112" t="s">
        <v>54</v>
      </c>
      <c r="B2" s="112" t="s">
        <v>55</v>
      </c>
    </row>
    <row r="4" spans="1:26" x14ac:dyDescent="0.15">
      <c r="B4" s="1" t="s">
        <v>6</v>
      </c>
      <c r="C4" s="21"/>
      <c r="D4" s="21"/>
      <c r="E4" s="21"/>
      <c r="F4" s="21"/>
      <c r="G4" s="21"/>
      <c r="H4" s="21"/>
      <c r="I4" s="21"/>
      <c r="J4" s="21" t="s">
        <v>7</v>
      </c>
      <c r="K4" s="21"/>
      <c r="L4" s="21"/>
      <c r="M4" s="21"/>
      <c r="N4" s="21"/>
      <c r="O4" s="21"/>
      <c r="P4" s="21"/>
      <c r="Q4" s="21"/>
      <c r="R4" s="21"/>
    </row>
    <row r="5" spans="1:26" x14ac:dyDescent="0.15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26" x14ac:dyDescent="0.15">
      <c r="B6" s="21"/>
      <c r="C6" s="2" t="s">
        <v>11</v>
      </c>
      <c r="D6" s="21"/>
      <c r="E6" s="21"/>
      <c r="F6" s="21"/>
      <c r="G6" s="21"/>
      <c r="H6" s="21"/>
      <c r="I6" s="21"/>
      <c r="J6" s="21"/>
      <c r="K6" s="21"/>
      <c r="L6" s="2" t="s">
        <v>11</v>
      </c>
      <c r="M6" s="21"/>
      <c r="N6" s="21"/>
      <c r="O6" s="156" t="s">
        <v>74</v>
      </c>
      <c r="P6" s="156"/>
      <c r="Q6" s="156"/>
      <c r="R6" s="119"/>
      <c r="S6" s="119"/>
      <c r="T6" s="119"/>
      <c r="U6" s="119"/>
      <c r="V6" s="157" t="s">
        <v>75</v>
      </c>
      <c r="W6" s="119"/>
    </row>
    <row r="7" spans="1:26" ht="15" x14ac:dyDescent="0.25">
      <c r="B7" s="119" t="s">
        <v>73</v>
      </c>
      <c r="C7" s="119" t="s">
        <v>72</v>
      </c>
      <c r="D7" s="3" t="s">
        <v>0</v>
      </c>
      <c r="E7" s="4" t="s">
        <v>1</v>
      </c>
      <c r="F7" s="4" t="s">
        <v>69</v>
      </c>
      <c r="G7" s="4" t="s">
        <v>70</v>
      </c>
      <c r="H7" s="5" t="s">
        <v>71</v>
      </c>
      <c r="I7" s="21"/>
      <c r="J7" s="21"/>
      <c r="K7" s="119" t="s">
        <v>73</v>
      </c>
      <c r="L7" s="119" t="s">
        <v>72</v>
      </c>
      <c r="M7" s="3" t="s">
        <v>0</v>
      </c>
      <c r="N7" s="4" t="s">
        <v>1</v>
      </c>
      <c r="O7" s="4" t="s">
        <v>69</v>
      </c>
      <c r="P7" s="4" t="s">
        <v>70</v>
      </c>
      <c r="Q7" s="5" t="s">
        <v>71</v>
      </c>
      <c r="R7" s="119" t="s">
        <v>73</v>
      </c>
      <c r="S7" s="119" t="s">
        <v>72</v>
      </c>
      <c r="T7" s="3" t="s">
        <v>0</v>
      </c>
      <c r="U7" s="4" t="s">
        <v>1</v>
      </c>
      <c r="V7" s="4" t="s">
        <v>69</v>
      </c>
      <c r="W7" s="4" t="s">
        <v>70</v>
      </c>
      <c r="X7" s="5" t="s">
        <v>71</v>
      </c>
      <c r="Y7" s="108"/>
      <c r="Z7" s="108"/>
    </row>
    <row r="8" spans="1:26" x14ac:dyDescent="0.15">
      <c r="B8" s="119">
        <f>C8/20*40</f>
        <v>0.28839999999999999</v>
      </c>
      <c r="C8" s="21">
        <f>0.154-0.0098</f>
        <v>0.14419999999999999</v>
      </c>
      <c r="D8" s="6">
        <v>20</v>
      </c>
      <c r="E8" s="7">
        <v>100</v>
      </c>
      <c r="F8" s="9">
        <v>24.854933461840961</v>
      </c>
      <c r="G8" s="9">
        <v>27.086848144939431</v>
      </c>
      <c r="H8" s="8">
        <f>G8-F8</f>
        <v>2.23191468309847</v>
      </c>
      <c r="I8" s="21"/>
      <c r="J8" s="21"/>
      <c r="K8" s="119">
        <f>L8/20*40</f>
        <v>0.29099999999999998</v>
      </c>
      <c r="L8" s="21">
        <f>0.1512-0.0057</f>
        <v>0.14549999999999999</v>
      </c>
      <c r="M8" s="6">
        <v>20</v>
      </c>
      <c r="N8" s="7">
        <v>100</v>
      </c>
      <c r="O8" s="9">
        <v>23.738370760582129</v>
      </c>
      <c r="P8" s="9">
        <v>30.047988447427048</v>
      </c>
      <c r="Q8" s="8">
        <f>P8-O8</f>
        <v>6.3096176868449199</v>
      </c>
      <c r="R8" s="119">
        <f>S8/20*40</f>
        <v>0.28000000000000003</v>
      </c>
      <c r="S8" s="108">
        <f>0.1562-0.0162</f>
        <v>0.14000000000000001</v>
      </c>
      <c r="T8" s="6">
        <v>20</v>
      </c>
      <c r="U8" s="7">
        <v>100</v>
      </c>
      <c r="V8" s="9">
        <v>21.681265335158425</v>
      </c>
      <c r="W8" s="9">
        <v>28.171652744510933</v>
      </c>
      <c r="X8" s="8">
        <f>W8-V8</f>
        <v>6.4903874093525076</v>
      </c>
      <c r="Z8" s="108"/>
    </row>
    <row r="9" spans="1:26" x14ac:dyDescent="0.15">
      <c r="B9" s="119">
        <f t="shared" ref="B9:B10" si="0">C9/20*40</f>
        <v>0.251</v>
      </c>
      <c r="C9" s="21">
        <f>0.1619-0.0364</f>
        <v>0.1255</v>
      </c>
      <c r="D9" s="6">
        <v>20</v>
      </c>
      <c r="E9" s="7">
        <v>100</v>
      </c>
      <c r="F9" s="11">
        <v>24.099817073334286</v>
      </c>
      <c r="G9" s="11">
        <v>26.319438297715088</v>
      </c>
      <c r="H9" s="8">
        <f>G9-F9</f>
        <v>2.219621224380802</v>
      </c>
      <c r="I9" s="21"/>
      <c r="J9" s="21"/>
      <c r="K9" s="119">
        <f t="shared" ref="K9:K10" si="1">L9/20*40</f>
        <v>0.26039999999999996</v>
      </c>
      <c r="L9" s="21">
        <f>0.144-0.0138</f>
        <v>0.13019999999999998</v>
      </c>
      <c r="M9" s="6">
        <v>20</v>
      </c>
      <c r="N9" s="7">
        <v>100</v>
      </c>
      <c r="O9" s="11">
        <v>23.412648344793801</v>
      </c>
      <c r="P9" s="11">
        <v>29.6163204083634</v>
      </c>
      <c r="Q9" s="8">
        <f>P9-O9</f>
        <v>6.2036720635695985</v>
      </c>
      <c r="R9" s="119">
        <f t="shared" ref="R9:R10" si="2">S9/20*40</f>
        <v>0.26379999999999998</v>
      </c>
      <c r="S9" s="108">
        <f>0.1344-0.0025</f>
        <v>0.13189999999999999</v>
      </c>
      <c r="T9" s="6">
        <v>20</v>
      </c>
      <c r="U9" s="7">
        <v>100</v>
      </c>
      <c r="V9" s="11">
        <v>21.348224362625157</v>
      </c>
      <c r="W9" s="11">
        <v>27.587322508533099</v>
      </c>
      <c r="X9" s="8">
        <f>W9-V9</f>
        <v>6.239098145907942</v>
      </c>
      <c r="Z9" s="108"/>
    </row>
    <row r="10" spans="1:26" x14ac:dyDescent="0.15">
      <c r="B10" s="119">
        <f t="shared" si="0"/>
        <v>0.26380000000000003</v>
      </c>
      <c r="C10" s="21">
        <f>0.1521-0.0202</f>
        <v>0.13190000000000002</v>
      </c>
      <c r="D10" s="6">
        <v>20</v>
      </c>
      <c r="E10" s="7">
        <v>100</v>
      </c>
      <c r="F10" s="11">
        <v>24.8452717569632</v>
      </c>
      <c r="G10" s="11">
        <v>27.012528599055319</v>
      </c>
      <c r="H10" s="8">
        <f>G10-F10</f>
        <v>2.1672568420921188</v>
      </c>
      <c r="I10" s="21"/>
      <c r="J10" s="21"/>
      <c r="K10" s="119">
        <f t="shared" si="1"/>
        <v>0.27540000000000003</v>
      </c>
      <c r="L10" s="21">
        <f>0.1486-0.0109</f>
        <v>0.13770000000000002</v>
      </c>
      <c r="M10" s="6">
        <v>15</v>
      </c>
      <c r="N10" s="7">
        <v>133</v>
      </c>
      <c r="O10" s="9">
        <v>24.1720457477597</v>
      </c>
      <c r="P10" s="9">
        <v>31.719231558992298</v>
      </c>
      <c r="Q10" s="8">
        <f>P10-O10</f>
        <v>7.5471858112325982</v>
      </c>
      <c r="R10" s="119">
        <f t="shared" si="2"/>
        <v>0.2596</v>
      </c>
      <c r="S10" s="108">
        <f>0.1377-0.0079</f>
        <v>0.1298</v>
      </c>
      <c r="T10" s="6">
        <v>15</v>
      </c>
      <c r="U10" s="7">
        <v>133</v>
      </c>
      <c r="V10" s="9">
        <v>21.352601578986746</v>
      </c>
      <c r="W10" s="9">
        <v>28.887596272682899</v>
      </c>
      <c r="X10" s="8">
        <f>W10-V10</f>
        <v>7.5349946936961523</v>
      </c>
      <c r="Z10" s="109"/>
    </row>
    <row r="11" spans="1:26" x14ac:dyDescent="0.1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96"/>
      <c r="M11" s="6">
        <v>15</v>
      </c>
      <c r="N11" s="7">
        <v>133</v>
      </c>
      <c r="O11" s="9">
        <v>24.045741727759701</v>
      </c>
      <c r="P11" s="9">
        <v>31.8992371923155</v>
      </c>
      <c r="Q11" s="8">
        <f>P11-O11</f>
        <v>7.8534954645557988</v>
      </c>
      <c r="R11" s="21"/>
      <c r="Z11" s="110"/>
    </row>
    <row r="12" spans="1:26" x14ac:dyDescent="0.15">
      <c r="B12" s="1">
        <v>42165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26" x14ac:dyDescent="0.15">
      <c r="B13" s="21"/>
      <c r="C13" s="2" t="s">
        <v>12</v>
      </c>
      <c r="D13" s="21"/>
      <c r="E13" s="21"/>
      <c r="F13" s="21"/>
      <c r="G13" s="21"/>
      <c r="H13" s="21"/>
      <c r="I13" s="21"/>
      <c r="J13" s="21"/>
      <c r="K13" s="21"/>
      <c r="L13" s="2" t="s">
        <v>12</v>
      </c>
      <c r="M13" s="21"/>
      <c r="N13" s="21"/>
      <c r="O13" s="21"/>
      <c r="P13" s="21"/>
      <c r="Q13" s="21"/>
      <c r="R13" s="21"/>
    </row>
    <row r="14" spans="1:26" ht="16.5" x14ac:dyDescent="0.25">
      <c r="B14" s="119" t="s">
        <v>73</v>
      </c>
      <c r="C14" s="119" t="s">
        <v>72</v>
      </c>
      <c r="D14" s="3" t="s">
        <v>0</v>
      </c>
      <c r="E14" s="4" t="s">
        <v>1</v>
      </c>
      <c r="F14" s="4" t="s">
        <v>69</v>
      </c>
      <c r="G14" s="4" t="s">
        <v>70</v>
      </c>
      <c r="H14" s="5" t="s">
        <v>71</v>
      </c>
      <c r="I14" s="21"/>
      <c r="J14" s="21"/>
      <c r="K14" s="119" t="s">
        <v>73</v>
      </c>
      <c r="L14" s="119" t="s">
        <v>72</v>
      </c>
      <c r="M14" s="3" t="s">
        <v>0</v>
      </c>
      <c r="N14" s="4" t="s">
        <v>1</v>
      </c>
      <c r="O14" s="4" t="s">
        <v>69</v>
      </c>
      <c r="P14" s="4" t="s">
        <v>70</v>
      </c>
      <c r="Q14" s="5" t="s">
        <v>71</v>
      </c>
      <c r="R14" s="119" t="s">
        <v>73</v>
      </c>
      <c r="S14" s="97" t="s">
        <v>72</v>
      </c>
      <c r="T14" s="158" t="s">
        <v>0</v>
      </c>
      <c r="U14" s="159" t="s">
        <v>1</v>
      </c>
      <c r="V14" s="159" t="s">
        <v>77</v>
      </c>
      <c r="W14" s="159" t="s">
        <v>3</v>
      </c>
      <c r="X14" s="160" t="s">
        <v>4</v>
      </c>
    </row>
    <row r="15" spans="1:26" x14ac:dyDescent="0.15">
      <c r="B15" s="119">
        <f>C15/20*40</f>
        <v>0.11200000000000002</v>
      </c>
      <c r="C15" s="21">
        <f>0.0826-0.0266</f>
        <v>5.6000000000000008E-2</v>
      </c>
      <c r="D15" s="6">
        <v>20</v>
      </c>
      <c r="E15" s="7">
        <v>100</v>
      </c>
      <c r="F15" s="9">
        <v>24.755840733995473</v>
      </c>
      <c r="G15" s="9">
        <v>25.106297439712129</v>
      </c>
      <c r="H15" s="8">
        <f>G15-F15</f>
        <v>0.3504567057166561</v>
      </c>
      <c r="I15" s="21"/>
      <c r="J15" s="21"/>
      <c r="K15" s="119">
        <f>L15/20*40</f>
        <v>0.12640000000000001</v>
      </c>
      <c r="L15" s="21">
        <f>0.0785-0.0153</f>
        <v>6.3200000000000006E-2</v>
      </c>
      <c r="M15" s="6">
        <v>20</v>
      </c>
      <c r="N15" s="7">
        <v>100</v>
      </c>
      <c r="O15" s="9">
        <v>24.377910010690108</v>
      </c>
      <c r="P15" s="9">
        <v>25.117566443536671</v>
      </c>
      <c r="Q15" s="8">
        <f>P15-O15</f>
        <v>0.73965643284656224</v>
      </c>
      <c r="R15" s="119">
        <f>S15/20*40</f>
        <v>0.1298</v>
      </c>
      <c r="S15" s="97">
        <f>0.0803-0.0154</f>
        <v>6.4899999999999999E-2</v>
      </c>
      <c r="T15" s="161">
        <v>20</v>
      </c>
      <c r="U15" s="162">
        <v>100</v>
      </c>
      <c r="V15" s="97">
        <v>25.790447043803162</v>
      </c>
      <c r="W15" s="163">
        <v>26.805402446115167</v>
      </c>
      <c r="X15" s="164">
        <f>W15-V15</f>
        <v>1.0149554023120047</v>
      </c>
    </row>
    <row r="16" spans="1:26" x14ac:dyDescent="0.15">
      <c r="B16" s="119">
        <f t="shared" ref="B16:B17" si="3">C16/20*40</f>
        <v>0.11000000000000001</v>
      </c>
      <c r="C16" s="21">
        <f>0.0763-0.0213</f>
        <v>5.5000000000000007E-2</v>
      </c>
      <c r="D16" s="6">
        <v>20</v>
      </c>
      <c r="E16" s="7">
        <v>100</v>
      </c>
      <c r="F16" s="11">
        <v>24.755561337206455</v>
      </c>
      <c r="G16" s="11">
        <v>25.104527926714898</v>
      </c>
      <c r="H16" s="8">
        <f>G16-F16</f>
        <v>0.34896658950844284</v>
      </c>
      <c r="I16" s="21"/>
      <c r="J16" s="21"/>
      <c r="K16" s="119">
        <f t="shared" ref="K16:K17" si="4">L16/20*40</f>
        <v>0.1376</v>
      </c>
      <c r="L16" s="21">
        <f>0.0817-0.0129</f>
        <v>6.88E-2</v>
      </c>
      <c r="M16" s="6">
        <v>20</v>
      </c>
      <c r="N16" s="7">
        <v>100</v>
      </c>
      <c r="O16" s="11">
        <v>25.643484332769173</v>
      </c>
      <c r="P16" s="11">
        <v>27.338491519599639</v>
      </c>
      <c r="Q16" s="8">
        <f>P16-O16</f>
        <v>1.6950071868304661</v>
      </c>
      <c r="R16" s="119">
        <f t="shared" ref="R16:R17" si="5">S16/20*40</f>
        <v>0.1288</v>
      </c>
      <c r="S16" s="97">
        <f>0.0723-0.0079</f>
        <v>6.4399999999999999E-2</v>
      </c>
      <c r="T16" s="161">
        <v>20</v>
      </c>
      <c r="U16" s="162">
        <v>100</v>
      </c>
      <c r="V16" s="165">
        <v>25.958457646277996</v>
      </c>
      <c r="W16" s="165">
        <v>27.310272443906825</v>
      </c>
      <c r="X16" s="164">
        <f>W16-V16</f>
        <v>1.3518147976288297</v>
      </c>
    </row>
    <row r="17" spans="2:24" x14ac:dyDescent="0.15">
      <c r="B17" s="119"/>
      <c r="C17" s="21"/>
      <c r="D17" s="24"/>
      <c r="E17" s="24"/>
      <c r="F17" s="24"/>
      <c r="G17" s="24"/>
      <c r="H17" s="24"/>
      <c r="I17" s="21"/>
      <c r="J17" s="21"/>
      <c r="K17" s="119">
        <f t="shared" si="4"/>
        <v>0.1318</v>
      </c>
      <c r="L17" s="22">
        <f>0.0667-0.0008</f>
        <v>6.59E-2</v>
      </c>
      <c r="M17" s="6">
        <v>20</v>
      </c>
      <c r="N17" s="7">
        <v>100</v>
      </c>
      <c r="O17" s="11">
        <v>24.068617765225042</v>
      </c>
      <c r="P17" s="11">
        <v>24.752860501579072</v>
      </c>
      <c r="Q17" s="8">
        <f>P17-O17</f>
        <v>0.68424273635402955</v>
      </c>
      <c r="R17" s="119">
        <f t="shared" si="5"/>
        <v>0.13159999999999999</v>
      </c>
      <c r="S17" s="97">
        <f>0.0723-0.0065</f>
        <v>6.5799999999999997E-2</v>
      </c>
      <c r="T17" s="161">
        <v>20</v>
      </c>
      <c r="U17" s="162">
        <v>100</v>
      </c>
      <c r="V17" s="165">
        <v>26.301743167742682</v>
      </c>
      <c r="W17" s="165">
        <v>27.499889731400589</v>
      </c>
      <c r="X17" s="164">
        <f>W17-V17</f>
        <v>1.1981465636579074</v>
      </c>
    </row>
    <row r="18" spans="2:24" x14ac:dyDescent="0.15">
      <c r="B18" s="21"/>
      <c r="C18" s="21"/>
      <c r="D18" s="24"/>
      <c r="E18" s="24"/>
      <c r="F18" s="24"/>
      <c r="G18" s="24"/>
      <c r="H18" s="24"/>
      <c r="I18" s="21"/>
      <c r="J18" s="21"/>
      <c r="K18" s="119">
        <f>L18/20*40</f>
        <v>0.12200000000000001</v>
      </c>
      <c r="L18" s="23">
        <f>0.0723-0.0113</f>
        <v>6.1000000000000006E-2</v>
      </c>
      <c r="M18" s="6">
        <v>20</v>
      </c>
      <c r="N18" s="7">
        <v>100</v>
      </c>
      <c r="O18" s="11">
        <v>24.75481627910235</v>
      </c>
      <c r="P18" s="11">
        <v>25.450141754754874</v>
      </c>
      <c r="Q18" s="8">
        <f>P18-O18</f>
        <v>0.69532547565252401</v>
      </c>
      <c r="R18" s="119">
        <f>S18/20*40</f>
        <v>0.13039999999999999</v>
      </c>
      <c r="S18" s="97">
        <f>0.0701-0.0049</f>
        <v>6.5199999999999994E-2</v>
      </c>
      <c r="T18" s="161">
        <v>20</v>
      </c>
      <c r="U18" s="162">
        <v>100</v>
      </c>
      <c r="V18" s="165">
        <v>25.963673053006715</v>
      </c>
      <c r="W18" s="165">
        <v>27.490390240573305</v>
      </c>
      <c r="X18" s="164">
        <f>W18-V18</f>
        <v>1.5267171875665895</v>
      </c>
    </row>
    <row r="19" spans="2:24" x14ac:dyDescent="0.15">
      <c r="B19" s="21"/>
      <c r="C19" s="2" t="s">
        <v>13</v>
      </c>
      <c r="D19" s="21"/>
      <c r="E19" s="21"/>
      <c r="F19" s="21"/>
      <c r="G19" s="21"/>
      <c r="H19" s="21"/>
      <c r="I19" s="21"/>
      <c r="J19" s="21"/>
      <c r="K19" s="21"/>
      <c r="L19" s="2" t="s">
        <v>13</v>
      </c>
      <c r="M19" s="21"/>
      <c r="N19" s="21"/>
      <c r="O19" s="21"/>
      <c r="P19" s="21"/>
      <c r="Q19" s="21"/>
    </row>
    <row r="20" spans="2:24" ht="15" x14ac:dyDescent="0.25">
      <c r="B20" s="119" t="s">
        <v>73</v>
      </c>
      <c r="C20" s="119" t="s">
        <v>72</v>
      </c>
      <c r="D20" s="3" t="s">
        <v>0</v>
      </c>
      <c r="E20" s="4" t="s">
        <v>1</v>
      </c>
      <c r="F20" s="4" t="s">
        <v>69</v>
      </c>
      <c r="G20" s="4" t="s">
        <v>70</v>
      </c>
      <c r="H20" s="5" t="s">
        <v>71</v>
      </c>
      <c r="I20" s="21"/>
      <c r="J20" s="21"/>
      <c r="K20" s="119" t="s">
        <v>73</v>
      </c>
      <c r="L20" s="119" t="s">
        <v>72</v>
      </c>
      <c r="M20" s="3" t="s">
        <v>0</v>
      </c>
      <c r="N20" s="4" t="s">
        <v>1</v>
      </c>
      <c r="O20" s="4" t="s">
        <v>69</v>
      </c>
      <c r="P20" s="4" t="s">
        <v>70</v>
      </c>
      <c r="Q20" s="5" t="s">
        <v>71</v>
      </c>
      <c r="R20" s="21"/>
    </row>
    <row r="21" spans="2:24" x14ac:dyDescent="0.15">
      <c r="B21" s="119">
        <f t="shared" ref="B21:B22" si="6">C21/20*40</f>
        <v>0.11600000000000001</v>
      </c>
      <c r="C21" s="21">
        <f>0.0625-0.0045</f>
        <v>5.8000000000000003E-2</v>
      </c>
      <c r="D21" s="6">
        <v>20</v>
      </c>
      <c r="E21" s="7">
        <v>100</v>
      </c>
      <c r="F21" s="9">
        <v>24.752953633842097</v>
      </c>
      <c r="G21" s="9">
        <v>25.444740083500161</v>
      </c>
      <c r="H21" s="8">
        <f>G21-F21</f>
        <v>0.69178644965806413</v>
      </c>
      <c r="I21" s="21"/>
      <c r="J21" s="21"/>
      <c r="K21" s="119">
        <f>L21/20*40</f>
        <v>9.9599999999999994E-2</v>
      </c>
      <c r="L21" s="21">
        <f>0.0526-0.0028</f>
        <v>4.9800000000000004E-2</v>
      </c>
      <c r="M21" s="6">
        <v>20</v>
      </c>
      <c r="N21" s="7">
        <v>100</v>
      </c>
      <c r="O21" s="9">
        <v>25.09232760026023</v>
      </c>
      <c r="P21" s="9">
        <v>25.613030082764038</v>
      </c>
      <c r="Q21" s="8">
        <f>P21-O21</f>
        <v>0.52070248250380757</v>
      </c>
      <c r="R21" s="21"/>
    </row>
    <row r="22" spans="2:24" x14ac:dyDescent="0.15">
      <c r="B22" s="119">
        <f t="shared" si="6"/>
        <v>9.8800000000000013E-2</v>
      </c>
      <c r="C22" s="21">
        <f>0.0695-0.0201</f>
        <v>4.9400000000000006E-2</v>
      </c>
      <c r="D22" s="6">
        <v>20</v>
      </c>
      <c r="E22" s="7">
        <v>100</v>
      </c>
      <c r="F22" s="11">
        <v>24.414604122317087</v>
      </c>
      <c r="G22" s="11">
        <v>24.93297829824558</v>
      </c>
      <c r="H22" s="8">
        <f>G22-F22</f>
        <v>0.51837417592849278</v>
      </c>
      <c r="I22" s="26">
        <f>C22*2</f>
        <v>9.8800000000000013E-2</v>
      </c>
      <c r="J22" s="21"/>
      <c r="K22" s="119">
        <f t="shared" ref="K22:K23" si="7">L22/20*40</f>
        <v>0.12280000000000001</v>
      </c>
      <c r="L22" s="21">
        <f>0.068-0.0066</f>
        <v>6.1400000000000003E-2</v>
      </c>
      <c r="M22" s="6">
        <v>20</v>
      </c>
      <c r="N22" s="7">
        <v>100</v>
      </c>
      <c r="O22" s="11">
        <v>25.083200638484982</v>
      </c>
      <c r="P22" s="11">
        <v>26.637391843640309</v>
      </c>
      <c r="Q22" s="8">
        <f>P22-O22</f>
        <v>1.5541912051553268</v>
      </c>
      <c r="R22" s="21"/>
    </row>
    <row r="23" spans="2:24" x14ac:dyDescent="0.15">
      <c r="B23" s="21"/>
      <c r="C23" s="21"/>
      <c r="D23" s="21"/>
      <c r="E23" s="21"/>
      <c r="F23" s="21"/>
      <c r="G23" s="21"/>
      <c r="H23" s="21"/>
      <c r="I23" s="21"/>
      <c r="J23" s="21"/>
      <c r="K23" s="119">
        <f t="shared" si="7"/>
        <v>0.10700000000000001</v>
      </c>
      <c r="L23" s="25">
        <f>0.0698-0.0163</f>
        <v>5.3500000000000006E-2</v>
      </c>
      <c r="M23" s="6">
        <v>20</v>
      </c>
      <c r="N23" s="7">
        <v>100</v>
      </c>
      <c r="O23" s="11">
        <v>23.740047141316364</v>
      </c>
      <c r="P23" s="11">
        <v>24.786108719474587</v>
      </c>
      <c r="Q23" s="8">
        <f>P23-O23</f>
        <v>1.0460615781582234</v>
      </c>
      <c r="R23" s="21"/>
    </row>
    <row r="24" spans="2:24" x14ac:dyDescent="0.15">
      <c r="B24" s="21"/>
      <c r="C24" s="2" t="s">
        <v>14</v>
      </c>
      <c r="D24" s="21"/>
      <c r="E24" s="21"/>
      <c r="F24" s="21"/>
      <c r="G24" s="21"/>
      <c r="H24" s="21"/>
      <c r="I24" s="21"/>
      <c r="J24" s="21"/>
      <c r="K24" s="21"/>
      <c r="L24" s="2" t="s">
        <v>14</v>
      </c>
      <c r="M24" s="21"/>
      <c r="N24" s="21"/>
      <c r="O24" s="21"/>
      <c r="P24" s="21"/>
      <c r="Q24" s="21"/>
      <c r="R24" s="21"/>
    </row>
    <row r="25" spans="2:24" ht="15" x14ac:dyDescent="0.25">
      <c r="B25" s="119" t="s">
        <v>73</v>
      </c>
      <c r="C25" s="119" t="s">
        <v>72</v>
      </c>
      <c r="D25" s="3" t="s">
        <v>0</v>
      </c>
      <c r="E25" s="4" t="s">
        <v>1</v>
      </c>
      <c r="F25" s="4" t="s">
        <v>69</v>
      </c>
      <c r="G25" s="4" t="s">
        <v>70</v>
      </c>
      <c r="H25" s="5" t="s">
        <v>71</v>
      </c>
      <c r="I25" s="21"/>
      <c r="J25" s="21"/>
      <c r="K25" s="119" t="s">
        <v>73</v>
      </c>
      <c r="L25" s="119" t="s">
        <v>72</v>
      </c>
      <c r="M25" s="3" t="s">
        <v>0</v>
      </c>
      <c r="N25" s="4" t="s">
        <v>1</v>
      </c>
      <c r="O25" s="4" t="s">
        <v>69</v>
      </c>
      <c r="P25" s="4" t="s">
        <v>70</v>
      </c>
      <c r="Q25" s="5" t="s">
        <v>71</v>
      </c>
      <c r="R25" s="21"/>
    </row>
    <row r="26" spans="2:24" x14ac:dyDescent="0.15">
      <c r="B26" s="119">
        <f t="shared" ref="B26:B27" si="8">C26/20*40</f>
        <v>9.3799999999999994E-2</v>
      </c>
      <c r="C26" s="21">
        <f>0.0469-0</f>
        <v>4.6899999999999997E-2</v>
      </c>
      <c r="D26" s="6">
        <v>20</v>
      </c>
      <c r="E26" s="7">
        <v>100</v>
      </c>
      <c r="F26" s="9">
        <v>25.958457646277996</v>
      </c>
      <c r="G26" s="9">
        <v>26.300066787008447</v>
      </c>
      <c r="H26" s="8">
        <f>G26-F26</f>
        <v>0.34160914073045134</v>
      </c>
      <c r="I26" s="21">
        <f>C26*2</f>
        <v>9.3799999999999994E-2</v>
      </c>
      <c r="J26" s="21"/>
      <c r="K26" s="21"/>
      <c r="L26" s="21">
        <f>0.0549-0.0048</f>
        <v>5.0099999999999999E-2</v>
      </c>
      <c r="M26" s="6">
        <v>20</v>
      </c>
      <c r="N26" s="7">
        <v>100</v>
      </c>
      <c r="O26" s="9">
        <v>24.70787761854395</v>
      </c>
      <c r="P26" s="9">
        <v>25.657826701273141</v>
      </c>
      <c r="Q26" s="8">
        <f>P26-O26</f>
        <v>0.94994908272919076</v>
      </c>
      <c r="R26" s="21"/>
    </row>
    <row r="27" spans="2:24" x14ac:dyDescent="0.15">
      <c r="B27" s="119">
        <f t="shared" si="8"/>
        <v>8.9400000000000007E-2</v>
      </c>
      <c r="C27" s="21">
        <f>0.0622-0.0175</f>
        <v>4.4699999999999997E-2</v>
      </c>
      <c r="D27" s="6">
        <v>20</v>
      </c>
      <c r="E27" s="7">
        <v>100</v>
      </c>
      <c r="F27" s="9">
        <v>25.43188783120441</v>
      </c>
      <c r="G27" s="9">
        <v>25.618245489492733</v>
      </c>
      <c r="H27" s="8">
        <f>G27-F27</f>
        <v>0.18635765828832263</v>
      </c>
      <c r="I27" s="21"/>
      <c r="J27" s="21"/>
      <c r="K27" s="21"/>
      <c r="L27" s="21">
        <f>0.0691-0.0221</f>
        <v>4.6999999999999993E-2</v>
      </c>
      <c r="M27" s="6">
        <v>20</v>
      </c>
      <c r="N27" s="7">
        <v>100</v>
      </c>
      <c r="O27" s="11">
        <v>25.090837484052042</v>
      </c>
      <c r="P27" s="11">
        <v>26.326236952915018</v>
      </c>
      <c r="Q27" s="8">
        <f>P27-O27</f>
        <v>1.2353994688629761</v>
      </c>
      <c r="R27" s="21"/>
    </row>
  </sheetData>
  <mergeCells count="1">
    <mergeCell ref="O6:Q6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workbookViewId="0">
      <selection activeCell="E6" sqref="E6:K6"/>
    </sheetView>
  </sheetViews>
  <sheetFormatPr defaultRowHeight="13.5" x14ac:dyDescent="0.15"/>
  <cols>
    <col min="7" max="7" width="10.625" customWidth="1"/>
    <col min="8" max="8" width="10.75" customWidth="1"/>
  </cols>
  <sheetData>
    <row r="1" spans="1:28" x14ac:dyDescent="0.15">
      <c r="A1" s="154" t="s">
        <v>78</v>
      </c>
      <c r="B1" s="155"/>
      <c r="C1" s="155"/>
      <c r="D1" s="155"/>
      <c r="E1" s="155"/>
      <c r="F1" s="155"/>
      <c r="G1" s="155"/>
      <c r="H1" s="155"/>
      <c r="I1" s="155"/>
    </row>
    <row r="2" spans="1:28" ht="15" x14ac:dyDescent="0.25">
      <c r="A2" s="112" t="s">
        <v>54</v>
      </c>
      <c r="B2" s="112" t="s">
        <v>55</v>
      </c>
    </row>
    <row r="3" spans="1:28" x14ac:dyDescent="0.15">
      <c r="E3" s="1" t="s">
        <v>6</v>
      </c>
      <c r="F3" s="26"/>
      <c r="G3" s="26"/>
      <c r="H3" s="26"/>
      <c r="I3" s="26"/>
      <c r="J3" s="26"/>
      <c r="K3" s="26"/>
      <c r="L3" s="26"/>
      <c r="M3" s="26" t="s">
        <v>7</v>
      </c>
      <c r="N3" s="26"/>
      <c r="O3" s="26"/>
      <c r="P3" s="26"/>
      <c r="Q3" s="26"/>
      <c r="R3" s="26"/>
      <c r="S3" s="26"/>
      <c r="T3" s="26"/>
    </row>
    <row r="4" spans="1:28" x14ac:dyDescent="0.15">
      <c r="F4" s="26"/>
      <c r="G4" s="26"/>
      <c r="H4" s="26"/>
      <c r="I4" s="26"/>
      <c r="J4" s="26"/>
      <c r="K4" s="26"/>
      <c r="L4" s="26"/>
      <c r="M4" s="26"/>
      <c r="N4" s="26"/>
      <c r="O4" s="2" t="s">
        <v>19</v>
      </c>
      <c r="P4" s="26"/>
      <c r="Q4" s="26"/>
      <c r="R4" s="26"/>
      <c r="S4" s="26"/>
      <c r="T4" s="26"/>
    </row>
    <row r="5" spans="1:28" ht="15" x14ac:dyDescent="0.25">
      <c r="E5" s="26"/>
      <c r="F5" s="2" t="s">
        <v>19</v>
      </c>
      <c r="G5" s="26"/>
      <c r="H5" s="26"/>
      <c r="I5" s="26"/>
      <c r="J5" s="26"/>
      <c r="K5" s="26"/>
      <c r="L5" s="26"/>
      <c r="M5" s="26"/>
      <c r="N5" s="119" t="s">
        <v>73</v>
      </c>
      <c r="O5" s="119" t="s">
        <v>72</v>
      </c>
      <c r="P5" s="3" t="s">
        <v>0</v>
      </c>
      <c r="Q5" s="4" t="s">
        <v>1</v>
      </c>
      <c r="R5" s="4" t="s">
        <v>69</v>
      </c>
      <c r="S5" s="4" t="s">
        <v>70</v>
      </c>
      <c r="T5" s="5" t="s">
        <v>71</v>
      </c>
    </row>
    <row r="6" spans="1:28" ht="15" x14ac:dyDescent="0.25">
      <c r="E6" s="119" t="s">
        <v>73</v>
      </c>
      <c r="F6" s="119" t="s">
        <v>72</v>
      </c>
      <c r="G6" s="3" t="s">
        <v>0</v>
      </c>
      <c r="H6" s="4" t="s">
        <v>1</v>
      </c>
      <c r="I6" s="4" t="s">
        <v>69</v>
      </c>
      <c r="J6" s="4" t="s">
        <v>70</v>
      </c>
      <c r="K6" s="5" t="s">
        <v>71</v>
      </c>
      <c r="L6" s="26"/>
      <c r="M6" s="26"/>
      <c r="N6" s="119">
        <f>O6/20*60</f>
        <v>0.3987</v>
      </c>
      <c r="O6" s="26">
        <f>0.1391-0.0062</f>
        <v>0.13289999999999999</v>
      </c>
      <c r="P6" s="6">
        <v>20</v>
      </c>
      <c r="Q6" s="7">
        <v>100</v>
      </c>
      <c r="R6" s="9">
        <v>25.106856233290216</v>
      </c>
      <c r="S6" s="9">
        <v>33.909384096228102</v>
      </c>
      <c r="T6" s="8">
        <f t="shared" ref="T6:T11" si="0">S6-R6</f>
        <v>8.802527862937886</v>
      </c>
      <c r="U6" s="30"/>
    </row>
    <row r="7" spans="1:28" x14ac:dyDescent="0.15">
      <c r="E7" s="119">
        <f>F7/20*60</f>
        <v>0.36270000000000002</v>
      </c>
      <c r="F7" s="26">
        <f>0.1593-0.0384</f>
        <v>0.12090000000000001</v>
      </c>
      <c r="G7" s="6">
        <v>20</v>
      </c>
      <c r="H7" s="7">
        <v>100</v>
      </c>
      <c r="I7" s="9">
        <v>25.537406685197762</v>
      </c>
      <c r="J7" s="9">
        <v>29.221998406767753</v>
      </c>
      <c r="K7" s="8">
        <f>J7-I7</f>
        <v>3.6845917215699906</v>
      </c>
      <c r="L7" s="28"/>
      <c r="M7" s="26"/>
      <c r="N7" s="119">
        <f t="shared" ref="N7:N11" si="1">O7/20*60</f>
        <v>0.43830000000000002</v>
      </c>
      <c r="O7" s="26">
        <f>0.1802-0.0341</f>
        <v>0.14610000000000001</v>
      </c>
      <c r="P7" s="6">
        <v>20</v>
      </c>
      <c r="Q7" s="7">
        <v>100</v>
      </c>
      <c r="R7" s="9">
        <v>25.3701923114176</v>
      </c>
      <c r="S7" s="9">
        <v>34.127779252992802</v>
      </c>
      <c r="T7" s="8">
        <f t="shared" si="0"/>
        <v>8.7575869415752017</v>
      </c>
      <c r="U7" s="111"/>
    </row>
    <row r="8" spans="1:28" x14ac:dyDescent="0.15">
      <c r="E8" s="119">
        <f t="shared" ref="E8:E10" si="2">F8/20*60</f>
        <v>0.3711000000000001</v>
      </c>
      <c r="F8" s="26">
        <f>0.1269-0.0032</f>
        <v>0.12370000000000002</v>
      </c>
      <c r="G8" s="6">
        <v>20</v>
      </c>
      <c r="H8" s="7">
        <v>100</v>
      </c>
      <c r="I8" s="11">
        <v>25.635381825887077</v>
      </c>
      <c r="J8" s="11">
        <v>29.378088079576987</v>
      </c>
      <c r="K8" s="8">
        <f>J8-I8</f>
        <v>3.7427062536899101</v>
      </c>
      <c r="L8" s="34"/>
      <c r="M8" s="26"/>
      <c r="N8" s="119">
        <f t="shared" si="1"/>
        <v>0.3906</v>
      </c>
      <c r="O8" s="26">
        <f>0.1332-0.003</f>
        <v>0.13020000000000001</v>
      </c>
      <c r="P8" s="6">
        <v>20</v>
      </c>
      <c r="Q8" s="7">
        <v>100</v>
      </c>
      <c r="R8" s="11">
        <v>26.30155690321666</v>
      </c>
      <c r="S8" s="11">
        <v>34.956881550364599</v>
      </c>
      <c r="T8" s="8">
        <f t="shared" si="0"/>
        <v>8.655324647147939</v>
      </c>
      <c r="U8" s="111"/>
    </row>
    <row r="9" spans="1:28" x14ac:dyDescent="0.15">
      <c r="E9" s="119">
        <f t="shared" si="2"/>
        <v>0.36329999999999996</v>
      </c>
      <c r="F9" s="26">
        <f>0.1306-0.0095</f>
        <v>0.1211</v>
      </c>
      <c r="G9" s="6">
        <v>20</v>
      </c>
      <c r="H9" s="7">
        <v>100</v>
      </c>
      <c r="I9" s="9">
        <v>25.673917601938101</v>
      </c>
      <c r="J9" s="9">
        <v>29.05193889450662</v>
      </c>
      <c r="K9" s="8">
        <f>J9-I9</f>
        <v>3.3780212925685191</v>
      </c>
      <c r="L9" s="34"/>
      <c r="M9" s="26"/>
      <c r="N9" s="119">
        <f t="shared" si="1"/>
        <v>0.39389999999999997</v>
      </c>
      <c r="O9" s="26">
        <f>0.1344-0.0031</f>
        <v>0.1313</v>
      </c>
      <c r="P9" s="6">
        <v>15</v>
      </c>
      <c r="Q9" s="7">
        <v>133</v>
      </c>
      <c r="R9" s="11">
        <v>24.095160460183653</v>
      </c>
      <c r="S9" s="11">
        <v>34.746294155496003</v>
      </c>
      <c r="T9" s="8">
        <f t="shared" si="0"/>
        <v>10.65113369531235</v>
      </c>
      <c r="U9" s="111"/>
    </row>
    <row r="10" spans="1:28" x14ac:dyDescent="0.15">
      <c r="E10" s="119">
        <f t="shared" si="2"/>
        <v>0.34860000000000008</v>
      </c>
      <c r="F10" s="26">
        <f>0.1345-0.0183</f>
        <v>0.11620000000000001</v>
      </c>
      <c r="G10" s="6">
        <v>20</v>
      </c>
      <c r="H10" s="7">
        <v>100</v>
      </c>
      <c r="I10" s="11">
        <v>25.091210013104082</v>
      </c>
      <c r="J10" s="11">
        <v>28.177333812554718</v>
      </c>
      <c r="K10" s="8">
        <f>J10-I10</f>
        <v>3.0861237994506361</v>
      </c>
      <c r="L10" s="34"/>
      <c r="M10" s="26"/>
      <c r="N10" s="119">
        <f>O10/20*60</f>
        <v>0.40200000000000002</v>
      </c>
      <c r="O10" s="26">
        <f>0.1643-0.0303</f>
        <v>0.13400000000000001</v>
      </c>
      <c r="P10" s="6">
        <v>15</v>
      </c>
      <c r="Q10" s="7">
        <v>133</v>
      </c>
      <c r="R10" s="11">
        <v>24.5687861185542</v>
      </c>
      <c r="S10" s="11">
        <v>35.068997446834899</v>
      </c>
      <c r="T10" s="8">
        <f t="shared" si="0"/>
        <v>10.500211328280699</v>
      </c>
      <c r="U10" s="111"/>
    </row>
    <row r="11" spans="1:28" x14ac:dyDescent="0.15">
      <c r="E11" s="1"/>
      <c r="F11" s="26"/>
      <c r="G11" s="26"/>
      <c r="H11" s="26"/>
      <c r="I11" s="26"/>
      <c r="J11" s="26"/>
      <c r="K11" s="26"/>
      <c r="L11" s="26"/>
      <c r="M11" s="26"/>
      <c r="N11" s="119">
        <f t="shared" si="1"/>
        <v>0.39900000000000002</v>
      </c>
      <c r="O11" s="119">
        <f>0.1433-0.0103</f>
        <v>0.13300000000000001</v>
      </c>
      <c r="P11" s="6">
        <v>15</v>
      </c>
      <c r="Q11" s="7">
        <v>133</v>
      </c>
      <c r="R11" s="11">
        <v>24.542568786118501</v>
      </c>
      <c r="S11" s="11">
        <v>35.349997446806803</v>
      </c>
      <c r="T11" s="8">
        <f t="shared" si="0"/>
        <v>10.807428660688302</v>
      </c>
      <c r="U11" s="119"/>
    </row>
    <row r="12" spans="1:28" x14ac:dyDescent="0.15">
      <c r="E12" s="26"/>
      <c r="F12" s="2" t="s">
        <v>20</v>
      </c>
      <c r="G12" s="26"/>
      <c r="H12" s="26"/>
      <c r="I12" s="26"/>
      <c r="J12" s="26"/>
      <c r="K12" s="26"/>
      <c r="L12" s="26"/>
      <c r="M12" s="26"/>
      <c r="N12" s="26"/>
      <c r="O12" s="2" t="s">
        <v>20</v>
      </c>
      <c r="P12" s="26"/>
      <c r="Q12" s="26"/>
      <c r="R12" s="26"/>
      <c r="S12" s="26"/>
      <c r="T12" s="26"/>
    </row>
    <row r="13" spans="1:28" ht="16.5" x14ac:dyDescent="0.25">
      <c r="E13" s="119" t="s">
        <v>73</v>
      </c>
      <c r="F13" s="119" t="s">
        <v>72</v>
      </c>
      <c r="G13" s="3" t="s">
        <v>0</v>
      </c>
      <c r="H13" s="4" t="s">
        <v>1</v>
      </c>
      <c r="I13" s="4" t="s">
        <v>69</v>
      </c>
      <c r="J13" s="4" t="s">
        <v>70</v>
      </c>
      <c r="K13" s="5" t="s">
        <v>71</v>
      </c>
      <c r="L13" s="26"/>
      <c r="M13" s="26"/>
      <c r="N13" s="119" t="s">
        <v>73</v>
      </c>
      <c r="O13" s="119" t="s">
        <v>72</v>
      </c>
      <c r="P13" s="3" t="s">
        <v>0</v>
      </c>
      <c r="Q13" s="4" t="s">
        <v>1</v>
      </c>
      <c r="R13" s="4" t="s">
        <v>69</v>
      </c>
      <c r="S13" s="4" t="s">
        <v>70</v>
      </c>
      <c r="T13" s="5" t="s">
        <v>71</v>
      </c>
      <c r="U13" s="97" t="s">
        <v>73</v>
      </c>
      <c r="V13" s="97" t="s">
        <v>72</v>
      </c>
      <c r="W13" s="158" t="s">
        <v>0</v>
      </c>
      <c r="X13" s="159" t="s">
        <v>1</v>
      </c>
      <c r="Y13" s="159" t="s">
        <v>77</v>
      </c>
      <c r="Z13" s="159" t="s">
        <v>3</v>
      </c>
      <c r="AA13" s="160" t="s">
        <v>4</v>
      </c>
    </row>
    <row r="14" spans="1:28" x14ac:dyDescent="0.15">
      <c r="E14" s="119">
        <f t="shared" ref="E14:E16" si="3">F14/20*60</f>
        <v>0.15419999999999998</v>
      </c>
      <c r="F14" s="26">
        <f>0.086-0.0346</f>
        <v>5.1399999999999994E-2</v>
      </c>
      <c r="G14" s="6">
        <v>20</v>
      </c>
      <c r="H14" s="7">
        <v>100</v>
      </c>
      <c r="I14" s="9">
        <v>25.101640826561496</v>
      </c>
      <c r="J14" s="9">
        <v>25.628117509372085</v>
      </c>
      <c r="K14" s="8">
        <f>J14-I14</f>
        <v>0.52647668281058912</v>
      </c>
      <c r="L14" s="26">
        <f>F14*3</f>
        <v>0.15419999999999998</v>
      </c>
      <c r="M14" s="26"/>
      <c r="N14" s="119">
        <f>O14/20*60</f>
        <v>0.17549999999999999</v>
      </c>
      <c r="O14" s="26">
        <f>0.0705-0.012</f>
        <v>5.8499999999999996E-2</v>
      </c>
      <c r="P14" s="6">
        <v>20</v>
      </c>
      <c r="Q14" s="7">
        <v>100</v>
      </c>
      <c r="R14" s="9">
        <v>25.461317626316394</v>
      </c>
      <c r="S14" s="9">
        <v>26.312267113463118</v>
      </c>
      <c r="T14" s="8">
        <f>S14-R14</f>
        <v>0.85094948714672469</v>
      </c>
      <c r="U14" s="97">
        <f>V14/20*60</f>
        <v>0.1875</v>
      </c>
      <c r="V14" s="97">
        <f>0.0712-0.0087</f>
        <v>6.25E-2</v>
      </c>
      <c r="W14" s="161">
        <v>20</v>
      </c>
      <c r="X14" s="162">
        <v>100</v>
      </c>
      <c r="Y14" s="163">
        <v>25.125668950418767</v>
      </c>
      <c r="Z14" s="163">
        <v>29.257854328027626</v>
      </c>
      <c r="AA14" s="164">
        <f>Z14-Y14</f>
        <v>4.1321853776088595</v>
      </c>
    </row>
    <row r="15" spans="1:28" x14ac:dyDescent="0.15">
      <c r="E15" s="119">
        <f t="shared" si="3"/>
        <v>0.16350000000000001</v>
      </c>
      <c r="F15" s="26">
        <f>0.078-0.0235</f>
        <v>5.45E-2</v>
      </c>
      <c r="G15" s="6">
        <v>20</v>
      </c>
      <c r="H15" s="7">
        <v>100</v>
      </c>
      <c r="I15" s="11">
        <v>25.109370804391553</v>
      </c>
      <c r="J15" s="11">
        <v>25.974848924568235</v>
      </c>
      <c r="K15" s="8">
        <f>J15-I15</f>
        <v>0.86547812017668235</v>
      </c>
      <c r="L15" s="36"/>
      <c r="M15" s="26"/>
      <c r="N15" s="119">
        <f t="shared" ref="N15:N18" si="4">O15/20*60</f>
        <v>0.16829999999999998</v>
      </c>
      <c r="O15" s="26">
        <f>0.0602-0.0041</f>
        <v>5.6099999999999997E-2</v>
      </c>
      <c r="P15" s="6">
        <v>20</v>
      </c>
      <c r="Q15" s="7">
        <v>100</v>
      </c>
      <c r="R15" s="11">
        <v>26.318413842821936</v>
      </c>
      <c r="S15" s="11">
        <v>27.193484586088928</v>
      </c>
      <c r="T15" s="8">
        <f>S15-R15</f>
        <v>0.87507074326699197</v>
      </c>
      <c r="U15" s="97">
        <f t="shared" ref="U15:U18" si="5">V15/20*60</f>
        <v>0.18</v>
      </c>
      <c r="V15" s="97">
        <f>0.0687-0.0087</f>
        <v>0.06</v>
      </c>
      <c r="W15" s="161">
        <v>20</v>
      </c>
      <c r="X15" s="162">
        <v>100</v>
      </c>
      <c r="Y15" s="165">
        <v>24.784339206477359</v>
      </c>
      <c r="Z15" s="165">
        <v>25.986769854233859</v>
      </c>
      <c r="AA15" s="164">
        <f>Z15-Y15</f>
        <v>1.2024306477565005</v>
      </c>
    </row>
    <row r="16" spans="1:28" x14ac:dyDescent="0.15">
      <c r="E16" s="119">
        <f t="shared" si="3"/>
        <v>0.1686</v>
      </c>
      <c r="F16" s="35">
        <f>0.0566-0.0004</f>
        <v>5.62E-2</v>
      </c>
      <c r="G16" s="6">
        <v>20</v>
      </c>
      <c r="H16" s="7">
        <v>100</v>
      </c>
      <c r="I16" s="11">
        <v>25.445019480289179</v>
      </c>
      <c r="J16" s="11">
        <v>26.314967949090473</v>
      </c>
      <c r="K16" s="8">
        <f>J16-I16</f>
        <v>0.86994846880129373</v>
      </c>
      <c r="L16" s="36"/>
      <c r="M16" s="26"/>
      <c r="N16" s="119">
        <f t="shared" si="4"/>
        <v>0.15839999999999999</v>
      </c>
      <c r="O16" s="26">
        <f>0.0534-0.0006</f>
        <v>5.28E-2</v>
      </c>
      <c r="P16" s="6">
        <v>20</v>
      </c>
      <c r="Q16" s="7">
        <v>100</v>
      </c>
      <c r="R16" s="11">
        <v>26.303326416213892</v>
      </c>
      <c r="S16" s="11">
        <v>26.652293005722335</v>
      </c>
      <c r="T16" s="8">
        <f>S16-R16</f>
        <v>0.34896658950844284</v>
      </c>
      <c r="U16" s="97">
        <f t="shared" si="5"/>
        <v>0.21119999999999997</v>
      </c>
      <c r="V16" s="97">
        <f>0.0749-0.0045</f>
        <v>7.039999999999999E-2</v>
      </c>
      <c r="W16" s="161">
        <v>20</v>
      </c>
      <c r="X16" s="162">
        <v>100</v>
      </c>
      <c r="Y16" s="165">
        <v>24.411158228585624</v>
      </c>
      <c r="Z16" s="165">
        <v>25.614892728024291</v>
      </c>
      <c r="AA16" s="164">
        <f>Z16-Y16</f>
        <v>1.2037344994386672</v>
      </c>
      <c r="AB16" s="103"/>
    </row>
    <row r="17" spans="5:28" x14ac:dyDescent="0.15">
      <c r="E17" s="26"/>
      <c r="F17" s="26"/>
      <c r="G17" s="26"/>
      <c r="H17" s="26"/>
      <c r="I17" s="26"/>
      <c r="J17" s="26"/>
      <c r="K17" s="26"/>
      <c r="L17" s="26"/>
      <c r="M17" s="26"/>
      <c r="N17" s="119">
        <f t="shared" si="4"/>
        <v>0.19230000000000003</v>
      </c>
      <c r="O17" s="26">
        <f>0.065-0.0009</f>
        <v>6.4100000000000004E-2</v>
      </c>
      <c r="P17" s="6">
        <v>20</v>
      </c>
      <c r="Q17" s="7">
        <v>100</v>
      </c>
      <c r="R17" s="9">
        <v>25.115051872435334</v>
      </c>
      <c r="S17" s="9">
        <v>25.636965074358287</v>
      </c>
      <c r="T17" s="8">
        <f>S17-R17</f>
        <v>0.52191320192295265</v>
      </c>
      <c r="U17" s="97">
        <f t="shared" si="5"/>
        <v>0.2064</v>
      </c>
      <c r="V17" s="97">
        <f>0.0755-0.0067</f>
        <v>6.88E-2</v>
      </c>
      <c r="W17" s="161">
        <v>20</v>
      </c>
      <c r="X17" s="162">
        <v>100</v>
      </c>
      <c r="Y17" s="165">
        <v>24.077837859263287</v>
      </c>
      <c r="Z17" s="165">
        <v>25.801157254049617</v>
      </c>
      <c r="AA17" s="164">
        <f>Z17-Y17</f>
        <v>1.7233193947863299</v>
      </c>
    </row>
    <row r="18" spans="5:28" s="31" customFormat="1" x14ac:dyDescent="0.15">
      <c r="N18" s="119">
        <f t="shared" si="4"/>
        <v>0.16980000000000001</v>
      </c>
      <c r="O18" s="31">
        <f>0.0569-0.0003</f>
        <v>5.6599999999999998E-2</v>
      </c>
      <c r="P18" s="6">
        <v>20</v>
      </c>
      <c r="Q18" s="7">
        <v>100</v>
      </c>
      <c r="R18" s="11">
        <v>25.216541988643499</v>
      </c>
      <c r="S18" s="11">
        <v>25.694055151585054</v>
      </c>
      <c r="T18" s="8">
        <f>S18-R18</f>
        <v>0.47751316294155544</v>
      </c>
      <c r="U18" s="97">
        <f t="shared" si="5"/>
        <v>0.19619999999999999</v>
      </c>
      <c r="V18" s="97">
        <f>0.0847-0.0193</f>
        <v>6.54E-2</v>
      </c>
      <c r="W18" s="161">
        <v>20</v>
      </c>
      <c r="X18" s="162">
        <v>100</v>
      </c>
      <c r="Y18" s="165">
        <v>24.419167603204695</v>
      </c>
      <c r="Z18" s="165">
        <v>25.610142982610636</v>
      </c>
      <c r="AA18" s="164">
        <f>Z18-Y18</f>
        <v>1.1909753794059412</v>
      </c>
      <c r="AB18" s="103"/>
    </row>
    <row r="19" spans="5:28" x14ac:dyDescent="0.15">
      <c r="E19" s="26"/>
      <c r="F19" s="2" t="s">
        <v>21</v>
      </c>
      <c r="G19" s="26"/>
      <c r="H19" s="26"/>
      <c r="I19" s="26"/>
      <c r="J19" s="26"/>
      <c r="K19" s="26"/>
      <c r="L19" s="26"/>
      <c r="M19" s="26"/>
      <c r="N19" s="26"/>
      <c r="O19" s="2" t="s">
        <v>21</v>
      </c>
      <c r="P19" s="26"/>
      <c r="Q19" s="26"/>
      <c r="R19" s="26"/>
      <c r="S19" s="26"/>
      <c r="T19" s="26"/>
      <c r="AB19" s="103"/>
    </row>
    <row r="20" spans="5:28" ht="15" x14ac:dyDescent="0.25">
      <c r="E20" s="119" t="s">
        <v>73</v>
      </c>
      <c r="F20" s="119" t="s">
        <v>72</v>
      </c>
      <c r="G20" s="3" t="s">
        <v>0</v>
      </c>
      <c r="H20" s="4" t="s">
        <v>1</v>
      </c>
      <c r="I20" s="4" t="s">
        <v>69</v>
      </c>
      <c r="J20" s="4" t="s">
        <v>70</v>
      </c>
      <c r="K20" s="5" t="s">
        <v>71</v>
      </c>
      <c r="L20" s="26"/>
      <c r="M20" s="26"/>
      <c r="N20" s="119" t="s">
        <v>73</v>
      </c>
      <c r="O20" s="119" t="s">
        <v>72</v>
      </c>
      <c r="P20" s="3" t="s">
        <v>0</v>
      </c>
      <c r="Q20" s="4" t="s">
        <v>1</v>
      </c>
      <c r="R20" s="4" t="s">
        <v>69</v>
      </c>
      <c r="S20" s="4" t="s">
        <v>70</v>
      </c>
      <c r="T20" s="5" t="s">
        <v>71</v>
      </c>
      <c r="V20" s="99"/>
      <c r="W20" s="103"/>
      <c r="X20" s="103"/>
      <c r="Y20" s="103"/>
      <c r="Z20" s="103"/>
      <c r="AA20" s="103"/>
    </row>
    <row r="21" spans="5:28" x14ac:dyDescent="0.15">
      <c r="E21" s="119">
        <f t="shared" ref="E21:E22" si="6">F21/20*60</f>
        <v>0.14219999999999999</v>
      </c>
      <c r="F21" s="26">
        <f>0.0578-0.0104</f>
        <v>4.7399999999999998E-2</v>
      </c>
      <c r="G21" s="6">
        <v>20</v>
      </c>
      <c r="H21" s="7">
        <v>100</v>
      </c>
      <c r="I21" s="9">
        <v>25.455729690535634</v>
      </c>
      <c r="J21" s="9">
        <v>26.303698945265957</v>
      </c>
      <c r="K21" s="8">
        <f>J21-I21</f>
        <v>0.84796925473032303</v>
      </c>
      <c r="L21" s="26"/>
      <c r="M21" s="26"/>
      <c r="N21" s="119">
        <f t="shared" ref="N21:N24" si="7">O21/20*60</f>
        <v>0.1482</v>
      </c>
      <c r="O21" s="26">
        <f>0.0617-0.0123</f>
        <v>4.9399999999999999E-2</v>
      </c>
      <c r="P21" s="6">
        <v>20</v>
      </c>
      <c r="Q21" s="7">
        <v>100</v>
      </c>
      <c r="R21" s="9">
        <v>25.117380179010652</v>
      </c>
      <c r="S21" s="9">
        <v>26.658160338292138</v>
      </c>
      <c r="T21" s="8">
        <f>S21-R21</f>
        <v>1.5407801592814856</v>
      </c>
      <c r="U21" s="43"/>
    </row>
    <row r="22" spans="5:28" x14ac:dyDescent="0.15">
      <c r="E22" s="119">
        <f t="shared" si="6"/>
        <v>0.14249999999999999</v>
      </c>
      <c r="F22" s="26">
        <f>0.0495-0.002</f>
        <v>4.7500000000000001E-2</v>
      </c>
      <c r="G22" s="6">
        <v>20</v>
      </c>
      <c r="H22" s="7">
        <v>100</v>
      </c>
      <c r="I22" s="11">
        <v>25.113841153016164</v>
      </c>
      <c r="J22" s="11">
        <v>25.979412405455843</v>
      </c>
      <c r="K22" s="8">
        <f>J22-I22</f>
        <v>0.86557125243967903</v>
      </c>
      <c r="L22" s="26">
        <f>F22*3</f>
        <v>0.14250000000000002</v>
      </c>
      <c r="M22" s="26"/>
      <c r="N22" s="119">
        <f t="shared" si="7"/>
        <v>0.15810000000000002</v>
      </c>
      <c r="O22" s="26">
        <f>0.0529-0.0002</f>
        <v>5.2700000000000004E-2</v>
      </c>
      <c r="P22" s="6">
        <v>20</v>
      </c>
      <c r="Q22" s="7">
        <v>100</v>
      </c>
      <c r="R22" s="11">
        <v>24.775025980176093</v>
      </c>
      <c r="S22" s="11">
        <v>26.947615411735498</v>
      </c>
      <c r="T22" s="8">
        <f>S22-R22</f>
        <v>2.1725894315594054</v>
      </c>
      <c r="U22" s="51"/>
    </row>
    <row r="23" spans="5:28" x14ac:dyDescent="0.15">
      <c r="E23" s="26"/>
      <c r="F23" s="26"/>
      <c r="G23" s="26"/>
      <c r="H23" s="26"/>
      <c r="I23" s="26"/>
      <c r="J23" s="26"/>
      <c r="K23" s="26"/>
      <c r="L23" s="26"/>
      <c r="M23" s="26"/>
      <c r="N23" s="119">
        <f t="shared" si="7"/>
        <v>0.16470000000000001</v>
      </c>
      <c r="O23" s="26">
        <f>0.055-0.0001</f>
        <v>5.4899999999999997E-2</v>
      </c>
      <c r="P23" s="6">
        <v>20</v>
      </c>
      <c r="Q23" s="7">
        <v>100</v>
      </c>
      <c r="R23" s="11">
        <v>25.117845840325714</v>
      </c>
      <c r="S23" s="11">
        <v>26.662723819179774</v>
      </c>
      <c r="T23" s="8">
        <f>S23-R23</f>
        <v>1.5448779788540605</v>
      </c>
      <c r="U23" s="51"/>
    </row>
    <row r="24" spans="5:28" s="32" customFormat="1" x14ac:dyDescent="0.15">
      <c r="N24" s="119">
        <f t="shared" si="7"/>
        <v>0.14279999999999998</v>
      </c>
      <c r="O24" s="32">
        <f>0.0549-0.0073</f>
        <v>4.7599999999999996E-2</v>
      </c>
      <c r="P24" s="6">
        <v>20</v>
      </c>
      <c r="Q24" s="7">
        <v>100</v>
      </c>
      <c r="R24" s="11">
        <v>25.116169459591482</v>
      </c>
      <c r="S24" s="11">
        <v>26.658625999607199</v>
      </c>
      <c r="T24" s="8">
        <f>S24-R24</f>
        <v>1.5424565400157171</v>
      </c>
      <c r="U24" s="51"/>
    </row>
    <row r="25" spans="5:28" x14ac:dyDescent="0.15">
      <c r="E25" s="26"/>
      <c r="F25" s="2" t="s">
        <v>22</v>
      </c>
      <c r="G25" s="26"/>
      <c r="H25" s="26"/>
      <c r="I25" s="26"/>
      <c r="J25" s="26"/>
      <c r="K25" s="26"/>
      <c r="L25" s="26"/>
      <c r="M25" s="26"/>
      <c r="N25" s="26"/>
      <c r="O25" s="2" t="s">
        <v>22</v>
      </c>
      <c r="P25" s="26"/>
      <c r="Q25" s="26"/>
      <c r="R25" s="26"/>
      <c r="S25" s="26"/>
      <c r="T25" s="26"/>
    </row>
    <row r="26" spans="5:28" ht="15" x14ac:dyDescent="0.25">
      <c r="E26" s="119" t="s">
        <v>73</v>
      </c>
      <c r="F26" s="119" t="s">
        <v>72</v>
      </c>
      <c r="G26" s="3" t="s">
        <v>0</v>
      </c>
      <c r="H26" s="4" t="s">
        <v>1</v>
      </c>
      <c r="I26" s="4" t="s">
        <v>69</v>
      </c>
      <c r="J26" s="4" t="s">
        <v>70</v>
      </c>
      <c r="K26" s="5" t="s">
        <v>71</v>
      </c>
      <c r="L26" s="26"/>
      <c r="M26" s="26"/>
      <c r="N26" s="119" t="s">
        <v>73</v>
      </c>
      <c r="O26" s="119" t="s">
        <v>72</v>
      </c>
      <c r="P26" s="3" t="s">
        <v>0</v>
      </c>
      <c r="Q26" s="4" t="s">
        <v>1</v>
      </c>
      <c r="R26" s="4" t="s">
        <v>69</v>
      </c>
      <c r="S26" s="4" t="s">
        <v>70</v>
      </c>
      <c r="T26" s="5" t="s">
        <v>71</v>
      </c>
    </row>
    <row r="27" spans="5:28" x14ac:dyDescent="0.15">
      <c r="E27" s="119">
        <f t="shared" ref="E27:E28" si="8">F27/20*60</f>
        <v>0.13169999999999998</v>
      </c>
      <c r="F27" s="26">
        <f>0.0592-0.0153</f>
        <v>4.3900000000000002E-2</v>
      </c>
      <c r="G27" s="6">
        <v>20</v>
      </c>
      <c r="H27" s="7">
        <v>100</v>
      </c>
      <c r="I27" s="9">
        <v>25.862182936798501</v>
      </c>
      <c r="J27" s="9">
        <v>26.311242658569967</v>
      </c>
      <c r="K27" s="8">
        <f>J27-I27</f>
        <v>0.4490597217714658</v>
      </c>
      <c r="L27" s="98">
        <f>F27*3</f>
        <v>0.13170000000000001</v>
      </c>
      <c r="M27" s="26"/>
      <c r="N27" s="119">
        <f t="shared" ref="N27:N29" si="9">O27/20*60</f>
        <v>0.15090000000000001</v>
      </c>
      <c r="O27" s="26">
        <f>0.0627-0.0124</f>
        <v>5.0300000000000004E-2</v>
      </c>
      <c r="P27" s="6">
        <v>20</v>
      </c>
      <c r="Q27" s="7">
        <v>100</v>
      </c>
      <c r="R27" s="9">
        <v>25.464204726469799</v>
      </c>
      <c r="S27" s="9">
        <v>26.325678159336931</v>
      </c>
      <c r="T27" s="8">
        <f>S27-R27</f>
        <v>0.86147343286713252</v>
      </c>
    </row>
    <row r="28" spans="5:28" x14ac:dyDescent="0.15">
      <c r="E28" s="119">
        <f t="shared" si="8"/>
        <v>0.14579999999999999</v>
      </c>
      <c r="F28" s="26">
        <f>0.0639-0.0153</f>
        <v>4.8599999999999997E-2</v>
      </c>
      <c r="G28" s="6">
        <v>20</v>
      </c>
      <c r="H28" s="7">
        <v>100</v>
      </c>
      <c r="I28" s="11">
        <v>25.108179852555999</v>
      </c>
      <c r="J28" s="11">
        <v>25.684276263968727</v>
      </c>
      <c r="K28" s="8">
        <f>J28-I28</f>
        <v>0.5760964114127276</v>
      </c>
      <c r="L28" s="37"/>
      <c r="M28" s="26"/>
      <c r="N28" s="119">
        <f t="shared" si="9"/>
        <v>0.14280000000000001</v>
      </c>
      <c r="O28" s="26">
        <f>0.0517-0.0041</f>
        <v>4.7600000000000003E-2</v>
      </c>
      <c r="P28" s="6">
        <v>20</v>
      </c>
      <c r="Q28" s="7">
        <v>100</v>
      </c>
      <c r="R28" s="9">
        <v>25.106111175186108</v>
      </c>
      <c r="S28" s="9">
        <v>25.974569527779192</v>
      </c>
      <c r="T28" s="8">
        <f>S28-R28</f>
        <v>0.86845835259308402</v>
      </c>
    </row>
    <row r="29" spans="5:28" x14ac:dyDescent="0.15">
      <c r="N29" s="119">
        <f t="shared" si="9"/>
        <v>0.15390000000000001</v>
      </c>
      <c r="O29" s="33">
        <f>0.0584-0.0071</f>
        <v>5.1299999999999998E-2</v>
      </c>
      <c r="P29" s="6">
        <v>20</v>
      </c>
      <c r="Q29" s="7">
        <v>100</v>
      </c>
      <c r="R29" s="11">
        <v>24.809857446542818</v>
      </c>
      <c r="S29" s="11">
        <v>25.629700757843295</v>
      </c>
      <c r="T29" s="8">
        <f>S29-R29</f>
        <v>0.8198433113004775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workbookViewId="0">
      <selection activeCell="A2" sqref="A2:B2"/>
    </sheetView>
  </sheetViews>
  <sheetFormatPr defaultRowHeight="13.5" x14ac:dyDescent="0.15"/>
  <sheetData>
    <row r="1" spans="1:28" x14ac:dyDescent="0.15">
      <c r="A1" s="154" t="s">
        <v>79</v>
      </c>
      <c r="B1" s="155"/>
      <c r="C1" s="155"/>
      <c r="D1" s="155"/>
      <c r="E1" s="155"/>
      <c r="F1" s="155"/>
      <c r="G1" s="155"/>
      <c r="H1" s="155"/>
      <c r="I1" s="155"/>
      <c r="AA1" s="67"/>
    </row>
    <row r="2" spans="1:28" ht="15" x14ac:dyDescent="0.25">
      <c r="A2" s="112" t="s">
        <v>54</v>
      </c>
      <c r="B2" s="112" t="s">
        <v>55</v>
      </c>
      <c r="E2" s="37"/>
      <c r="F2" s="2" t="s">
        <v>25</v>
      </c>
      <c r="G2" s="37"/>
      <c r="H2" s="37"/>
      <c r="I2" s="37"/>
      <c r="J2" s="37"/>
      <c r="K2" s="37"/>
      <c r="L2" s="37"/>
      <c r="M2" s="37"/>
      <c r="N2" s="37"/>
      <c r="O2" s="2" t="s">
        <v>25</v>
      </c>
      <c r="P2" s="37"/>
      <c r="Q2" s="37"/>
      <c r="R2" s="37"/>
      <c r="S2" s="37"/>
      <c r="T2" s="37"/>
    </row>
    <row r="3" spans="1:28" ht="16.5" x14ac:dyDescent="0.25">
      <c r="D3" s="1"/>
      <c r="E3" s="119" t="s">
        <v>73</v>
      </c>
      <c r="F3" s="119" t="s">
        <v>72</v>
      </c>
      <c r="G3" s="3" t="s">
        <v>0</v>
      </c>
      <c r="H3" s="4" t="s">
        <v>1</v>
      </c>
      <c r="I3" s="4" t="s">
        <v>69</v>
      </c>
      <c r="J3" s="4" t="s">
        <v>70</v>
      </c>
      <c r="K3" s="5" t="s">
        <v>71</v>
      </c>
      <c r="L3" s="37"/>
      <c r="M3" s="37"/>
      <c r="N3" s="119" t="s">
        <v>73</v>
      </c>
      <c r="O3" s="119" t="s">
        <v>72</v>
      </c>
      <c r="P3" s="3" t="s">
        <v>0</v>
      </c>
      <c r="Q3" s="4" t="s">
        <v>1</v>
      </c>
      <c r="R3" s="4" t="s">
        <v>69</v>
      </c>
      <c r="S3" s="4" t="s">
        <v>70</v>
      </c>
      <c r="T3" s="5" t="s">
        <v>71</v>
      </c>
      <c r="U3" s="119" t="s">
        <v>73</v>
      </c>
      <c r="V3" s="119" t="s">
        <v>72</v>
      </c>
      <c r="W3" s="3" t="s">
        <v>0</v>
      </c>
      <c r="X3" s="4" t="s">
        <v>1</v>
      </c>
      <c r="Y3" s="4" t="s">
        <v>2</v>
      </c>
      <c r="Z3" s="4" t="s">
        <v>3</v>
      </c>
      <c r="AA3" s="5" t="s">
        <v>4</v>
      </c>
    </row>
    <row r="4" spans="1:28" x14ac:dyDescent="0.15">
      <c r="E4" s="119">
        <f>F4/20*80</f>
        <v>0.52559999999999996</v>
      </c>
      <c r="F4" s="37">
        <f>0.1457-0.0143</f>
        <v>0.13139999999999999</v>
      </c>
      <c r="G4" s="6">
        <v>20</v>
      </c>
      <c r="H4" s="7">
        <v>100</v>
      </c>
      <c r="I4" s="9">
        <v>25.475101201242275</v>
      </c>
      <c r="J4" s="9">
        <v>30.069595132446008</v>
      </c>
      <c r="K4" s="8">
        <f t="shared" ref="K4:K9" si="0">J4-I4</f>
        <v>4.5944939312037327</v>
      </c>
      <c r="L4" s="37"/>
      <c r="M4" s="37"/>
      <c r="N4" s="119">
        <f t="shared" ref="N4:N8" si="1">O4/20*80</f>
        <v>0.54600000000000004</v>
      </c>
      <c r="O4" s="37">
        <f>0.1378-0.0013</f>
        <v>0.13650000000000001</v>
      </c>
      <c r="P4" s="6">
        <v>20</v>
      </c>
      <c r="Q4" s="7">
        <v>100</v>
      </c>
      <c r="R4" s="9">
        <v>25.21004678070825</v>
      </c>
      <c r="S4" s="9">
        <v>36.662373790882498</v>
      </c>
      <c r="T4" s="8">
        <f t="shared" ref="T4:T10" si="2">S4-R4</f>
        <v>11.452327010174248</v>
      </c>
      <c r="U4" s="119">
        <f t="shared" ref="U4:U6" si="3">V4/20*80</f>
        <v>0.52839999999999998</v>
      </c>
      <c r="V4" s="37">
        <f>0.1486-0.0165</f>
        <v>0.1321</v>
      </c>
      <c r="W4" s="6">
        <v>15</v>
      </c>
      <c r="X4" s="7">
        <v>133</v>
      </c>
      <c r="Y4" s="9">
        <v>25.435799386250935</v>
      </c>
      <c r="Z4" s="9">
        <v>39.968018529893101</v>
      </c>
      <c r="AA4" s="8">
        <f>Z4-Y4</f>
        <v>14.532219143642166</v>
      </c>
    </row>
    <row r="5" spans="1:28" x14ac:dyDescent="0.15">
      <c r="E5" s="119">
        <f t="shared" ref="E5:E10" si="4">F5/20*80</f>
        <v>0.51919999999999999</v>
      </c>
      <c r="F5" s="37">
        <f>0.1483-0.0185</f>
        <v>0.1298</v>
      </c>
      <c r="G5" s="6">
        <v>20</v>
      </c>
      <c r="H5" s="7">
        <v>100</v>
      </c>
      <c r="I5" s="11">
        <v>26.262813881803382</v>
      </c>
      <c r="J5" s="11">
        <v>29.32621340907891</v>
      </c>
      <c r="K5" s="8">
        <f t="shared" si="0"/>
        <v>3.0633995272755286</v>
      </c>
      <c r="L5" s="61"/>
      <c r="M5" s="37"/>
      <c r="N5" s="119">
        <f t="shared" si="1"/>
        <v>0.55840000000000001</v>
      </c>
      <c r="O5" s="37">
        <f>0.1496-0.01</f>
        <v>0.1396</v>
      </c>
      <c r="P5" s="6">
        <v>20</v>
      </c>
      <c r="Q5" s="7">
        <v>100</v>
      </c>
      <c r="R5" s="11">
        <v>25.083200638484982</v>
      </c>
      <c r="S5" s="11">
        <v>36.580510531694301</v>
      </c>
      <c r="T5" s="8">
        <f t="shared" si="2"/>
        <v>11.497309893209319</v>
      </c>
      <c r="U5" s="119">
        <f t="shared" si="3"/>
        <v>0.53039999999999998</v>
      </c>
      <c r="V5" s="40">
        <f>0.1466-0.014</f>
        <v>0.1326</v>
      </c>
      <c r="W5" s="6">
        <v>15</v>
      </c>
      <c r="X5" s="7">
        <v>133</v>
      </c>
      <c r="Y5" s="11">
        <v>24.945085492437226</v>
      </c>
      <c r="Z5" s="11">
        <v>39.466408161306902</v>
      </c>
      <c r="AA5" s="8">
        <f>Z5-Y5</f>
        <v>14.521322668869676</v>
      </c>
    </row>
    <row r="6" spans="1:28" x14ac:dyDescent="0.15">
      <c r="D6" s="1"/>
      <c r="E6" s="119">
        <f t="shared" si="4"/>
        <v>0.5272</v>
      </c>
      <c r="F6" s="37">
        <f>0.1365-0.0047</f>
        <v>0.1318</v>
      </c>
      <c r="G6" s="6">
        <v>20</v>
      </c>
      <c r="H6" s="7">
        <v>100</v>
      </c>
      <c r="I6" s="11">
        <v>25.091582542156122</v>
      </c>
      <c r="J6" s="11">
        <v>29.702002090335007</v>
      </c>
      <c r="K6" s="8">
        <f t="shared" si="0"/>
        <v>4.6104195481788857</v>
      </c>
      <c r="L6" s="61"/>
      <c r="M6" s="37"/>
      <c r="N6" s="119">
        <f t="shared" si="1"/>
        <v>0.53160000000000007</v>
      </c>
      <c r="O6" s="37">
        <f>0.1519-0.019</f>
        <v>0.13290000000000002</v>
      </c>
      <c r="P6" s="6">
        <v>20</v>
      </c>
      <c r="Q6" s="7">
        <v>100</v>
      </c>
      <c r="R6" s="11">
        <v>25.397615158415743</v>
      </c>
      <c r="S6" s="11">
        <v>37.062881413869903</v>
      </c>
      <c r="T6" s="8">
        <f t="shared" si="2"/>
        <v>11.66526625545416</v>
      </c>
      <c r="U6" s="119">
        <f t="shared" si="3"/>
        <v>0.52639999999999998</v>
      </c>
      <c r="V6" s="119">
        <f>0.1426-0.011</f>
        <v>0.13159999999999999</v>
      </c>
      <c r="W6" s="6">
        <v>15</v>
      </c>
      <c r="X6" s="7">
        <v>133</v>
      </c>
      <c r="Y6" s="11">
        <v>24.854924372945</v>
      </c>
      <c r="Z6" s="11">
        <v>39.613069466408099</v>
      </c>
      <c r="AA6" s="8">
        <f>Z6-Y6</f>
        <v>14.758145093463099</v>
      </c>
    </row>
    <row r="7" spans="1:28" x14ac:dyDescent="0.15">
      <c r="E7" s="119">
        <f t="shared" si="4"/>
        <v>0.52879999999999994</v>
      </c>
      <c r="F7" s="37">
        <f>0.1402-0.008</f>
        <v>0.13219999999999998</v>
      </c>
      <c r="G7" s="6">
        <v>20</v>
      </c>
      <c r="H7" s="7">
        <v>100</v>
      </c>
      <c r="I7" s="11">
        <v>25.506952435192598</v>
      </c>
      <c r="J7" s="11">
        <v>30.699076098148588</v>
      </c>
      <c r="K7" s="8">
        <f t="shared" si="0"/>
        <v>5.1921236629559893</v>
      </c>
      <c r="L7" s="61"/>
      <c r="M7" s="37"/>
      <c r="N7" s="119">
        <f t="shared" si="1"/>
        <v>0.54360000000000008</v>
      </c>
      <c r="O7" s="37">
        <f>0.1393-0.0034</f>
        <v>0.13590000000000002</v>
      </c>
      <c r="P7" s="6">
        <v>20</v>
      </c>
      <c r="Q7" s="7">
        <v>100</v>
      </c>
      <c r="R7" s="11">
        <v>25.430770244048261</v>
      </c>
      <c r="S7" s="11">
        <v>36.665167758772803</v>
      </c>
      <c r="T7" s="8">
        <f t="shared" si="2"/>
        <v>11.234397514724542</v>
      </c>
      <c r="U7" s="111"/>
    </row>
    <row r="8" spans="1:28" x14ac:dyDescent="0.15">
      <c r="E8" s="119">
        <f t="shared" si="4"/>
        <v>0.5464</v>
      </c>
      <c r="F8" s="56">
        <f>0.1482-0.0116</f>
        <v>0.1366</v>
      </c>
      <c r="G8" s="6">
        <v>20</v>
      </c>
      <c r="H8" s="7">
        <v>100</v>
      </c>
      <c r="I8" s="11">
        <v>25.515427471126763</v>
      </c>
      <c r="J8" s="11">
        <v>30.26796685266298</v>
      </c>
      <c r="K8" s="8">
        <f t="shared" si="0"/>
        <v>4.7525393815362165</v>
      </c>
      <c r="L8" s="61"/>
      <c r="M8" s="37"/>
      <c r="N8" s="119">
        <f t="shared" si="1"/>
        <v>0.5272</v>
      </c>
      <c r="O8" s="41">
        <f>0.1558-0.024</f>
        <v>0.1318</v>
      </c>
      <c r="P8" s="6">
        <v>20</v>
      </c>
      <c r="Q8" s="7">
        <v>100</v>
      </c>
      <c r="R8" s="11">
        <v>25.111605978703846</v>
      </c>
      <c r="S8" s="11">
        <v>34.994801729607694</v>
      </c>
      <c r="T8" s="8">
        <f>S8-R8</f>
        <v>9.8831957509038482</v>
      </c>
    </row>
    <row r="9" spans="1:28" s="40" customFormat="1" x14ac:dyDescent="0.15">
      <c r="E9" s="119">
        <f t="shared" si="4"/>
        <v>0.52639999999999998</v>
      </c>
      <c r="F9" s="57">
        <f>0.1371-0.0055</f>
        <v>0.13159999999999999</v>
      </c>
      <c r="G9" s="6">
        <v>20</v>
      </c>
      <c r="H9" s="7">
        <v>100</v>
      </c>
      <c r="I9" s="11">
        <v>25.647489020078723</v>
      </c>
      <c r="J9" s="11">
        <v>30.072016571284323</v>
      </c>
      <c r="K9" s="8">
        <f t="shared" si="0"/>
        <v>4.4245275512055997</v>
      </c>
      <c r="L9" s="61"/>
      <c r="N9" s="1"/>
      <c r="AB9" s="42"/>
    </row>
    <row r="10" spans="1:28" s="42" customFormat="1" x14ac:dyDescent="0.15">
      <c r="D10" s="1"/>
      <c r="E10" s="119">
        <f t="shared" si="4"/>
        <v>0.54039999999999999</v>
      </c>
      <c r="F10" s="61">
        <f>0.1547-0.0196</f>
        <v>0.1351</v>
      </c>
      <c r="G10" s="6">
        <v>20</v>
      </c>
      <c r="H10" s="7">
        <v>100</v>
      </c>
      <c r="I10" s="11">
        <v>25.450607416069939</v>
      </c>
      <c r="J10" s="11">
        <v>29.704516661436369</v>
      </c>
      <c r="K10" s="8">
        <f t="shared" ref="K10" si="5">J10-I10</f>
        <v>4.2539092453664296</v>
      </c>
      <c r="L10" s="61"/>
      <c r="N10" s="1"/>
      <c r="U10" s="67"/>
      <c r="V10" s="38"/>
      <c r="W10" s="38"/>
      <c r="Z10" s="38"/>
    </row>
    <row r="11" spans="1:28" x14ac:dyDescent="0.15">
      <c r="E11" s="37"/>
      <c r="F11" s="2" t="s">
        <v>26</v>
      </c>
      <c r="G11" s="37"/>
      <c r="H11" s="37"/>
      <c r="I11" s="37"/>
      <c r="J11" s="37"/>
      <c r="K11" s="37"/>
      <c r="L11" s="37"/>
      <c r="M11" s="37"/>
      <c r="N11" s="97"/>
      <c r="O11" s="55" t="s">
        <v>26</v>
      </c>
      <c r="P11" s="37"/>
      <c r="Q11" s="37"/>
      <c r="R11" s="37"/>
      <c r="S11" s="37"/>
      <c r="T11" s="37"/>
    </row>
    <row r="12" spans="1:28" ht="16.5" x14ac:dyDescent="0.25">
      <c r="E12" s="119" t="s">
        <v>73</v>
      </c>
      <c r="F12" s="119" t="s">
        <v>72</v>
      </c>
      <c r="G12" s="3" t="s">
        <v>0</v>
      </c>
      <c r="H12" s="4" t="s">
        <v>1</v>
      </c>
      <c r="I12" s="4" t="s">
        <v>69</v>
      </c>
      <c r="J12" s="4" t="s">
        <v>70</v>
      </c>
      <c r="K12" s="5" t="s">
        <v>71</v>
      </c>
      <c r="L12" s="37"/>
      <c r="M12" s="37"/>
      <c r="N12" s="119" t="s">
        <v>73</v>
      </c>
      <c r="O12" s="119" t="s">
        <v>72</v>
      </c>
      <c r="P12" s="3" t="s">
        <v>0</v>
      </c>
      <c r="Q12" s="4" t="s">
        <v>1</v>
      </c>
      <c r="R12" s="4" t="s">
        <v>69</v>
      </c>
      <c r="S12" s="4" t="s">
        <v>70</v>
      </c>
      <c r="T12" s="5" t="s">
        <v>71</v>
      </c>
      <c r="U12" s="119" t="s">
        <v>73</v>
      </c>
      <c r="V12" s="119" t="s">
        <v>72</v>
      </c>
      <c r="W12" s="3" t="s">
        <v>0</v>
      </c>
      <c r="X12" s="4" t="s">
        <v>1</v>
      </c>
      <c r="Y12" s="4" t="s">
        <v>2</v>
      </c>
      <c r="Z12" s="4" t="s">
        <v>3</v>
      </c>
      <c r="AA12" s="5" t="s">
        <v>4</v>
      </c>
    </row>
    <row r="13" spans="1:28" x14ac:dyDescent="0.15">
      <c r="E13" s="119">
        <f t="shared" ref="E13:E18" si="6">F13/20*80</f>
        <v>0.24760000000000001</v>
      </c>
      <c r="F13" s="37">
        <f>0.0732-0.0113</f>
        <v>6.1900000000000004E-2</v>
      </c>
      <c r="G13" s="6">
        <v>20</v>
      </c>
      <c r="H13" s="7">
        <v>100</v>
      </c>
      <c r="I13" s="9">
        <v>25.618897415333841</v>
      </c>
      <c r="J13" s="9">
        <v>26.646053144100492</v>
      </c>
      <c r="K13" s="8">
        <f t="shared" ref="K13:K18" si="7">J13-I13</f>
        <v>1.0271557287666511</v>
      </c>
      <c r="L13" s="37"/>
      <c r="M13" s="37"/>
      <c r="N13" s="119">
        <f t="shared" ref="N13:N18" si="8">O13/20*80</f>
        <v>0.24360000000000004</v>
      </c>
      <c r="O13" s="37">
        <f>0.0729-0.012</f>
        <v>6.090000000000001E-2</v>
      </c>
      <c r="P13" s="6">
        <v>20</v>
      </c>
      <c r="Q13" s="7">
        <v>100</v>
      </c>
      <c r="R13" s="9">
        <v>25.104248529925854</v>
      </c>
      <c r="S13" s="9">
        <v>25.970192311417602</v>
      </c>
      <c r="T13" s="8">
        <f t="shared" ref="T13:T18" si="9">S13-R13</f>
        <v>0.86594378149174744</v>
      </c>
      <c r="U13" s="119">
        <f t="shared" ref="U13:U18" si="10">V13/20*80</f>
        <v>0.2676</v>
      </c>
      <c r="V13" s="59">
        <f>0.073-0.0061</f>
        <v>6.6900000000000001E-2</v>
      </c>
      <c r="W13" s="6">
        <v>20</v>
      </c>
      <c r="X13" s="7">
        <v>100</v>
      </c>
      <c r="Y13" s="9">
        <v>24.781731503112997</v>
      </c>
      <c r="Z13" s="9">
        <v>26.324001778602696</v>
      </c>
      <c r="AA13" s="8">
        <f t="shared" ref="AA13:AA18" si="11">Z13-Y13</f>
        <v>1.5422702754896989</v>
      </c>
    </row>
    <row r="14" spans="1:28" x14ac:dyDescent="0.15">
      <c r="E14" s="119">
        <f t="shared" si="6"/>
        <v>0.24760000000000001</v>
      </c>
      <c r="F14" s="37">
        <f>0.0767-0.0148</f>
        <v>6.1900000000000004E-2</v>
      </c>
      <c r="G14" s="6">
        <v>20</v>
      </c>
      <c r="H14" s="7">
        <v>100</v>
      </c>
      <c r="I14" s="11">
        <v>25.633053519311762</v>
      </c>
      <c r="J14" s="11">
        <v>26.657508412451055</v>
      </c>
      <c r="K14" s="8">
        <f t="shared" si="7"/>
        <v>1.0244548931392927</v>
      </c>
      <c r="L14" s="63"/>
      <c r="M14" s="37"/>
      <c r="N14" s="119">
        <f t="shared" si="8"/>
        <v>0.24999999999999997</v>
      </c>
      <c r="O14" s="37">
        <f>0.0715-0.009</f>
        <v>6.2499999999999993E-2</v>
      </c>
      <c r="P14" s="6">
        <v>20</v>
      </c>
      <c r="Q14" s="7">
        <v>100</v>
      </c>
      <c r="R14" s="11">
        <v>25.455264029220572</v>
      </c>
      <c r="S14" s="11">
        <v>26.307051706734399</v>
      </c>
      <c r="T14" s="8">
        <f t="shared" si="9"/>
        <v>0.85178767751382622</v>
      </c>
      <c r="U14" s="119">
        <f t="shared" si="10"/>
        <v>0.25240000000000001</v>
      </c>
      <c r="V14" s="59">
        <f>0.0757-0.0126</f>
        <v>6.3100000000000003E-2</v>
      </c>
      <c r="W14" s="6">
        <v>20</v>
      </c>
      <c r="X14" s="7">
        <v>100</v>
      </c>
      <c r="Y14" s="61">
        <v>25.129487373202299</v>
      </c>
      <c r="Z14" s="60">
        <v>25.998877048425506</v>
      </c>
      <c r="AA14" s="8">
        <f t="shared" si="11"/>
        <v>0.86938967522320709</v>
      </c>
    </row>
    <row r="15" spans="1:28" x14ac:dyDescent="0.15">
      <c r="E15" s="119">
        <f t="shared" si="6"/>
        <v>0.24399999999999999</v>
      </c>
      <c r="F15" s="37">
        <f>0.0872-0.0262</f>
        <v>6.0999999999999999E-2</v>
      </c>
      <c r="G15" s="6">
        <v>20</v>
      </c>
      <c r="H15" s="7">
        <v>100</v>
      </c>
      <c r="I15" s="9">
        <v>25.650376120232128</v>
      </c>
      <c r="J15" s="9">
        <v>26.667380432330408</v>
      </c>
      <c r="K15" s="8">
        <f t="shared" si="7"/>
        <v>1.0170043120982797</v>
      </c>
      <c r="L15" s="63"/>
      <c r="M15" s="37"/>
      <c r="N15" s="119">
        <f t="shared" si="8"/>
        <v>0.24359999999999998</v>
      </c>
      <c r="O15" s="37">
        <f>0.0742-0.0133</f>
        <v>6.0900000000000003E-2</v>
      </c>
      <c r="P15" s="6">
        <v>20</v>
      </c>
      <c r="Q15" s="7">
        <v>100</v>
      </c>
      <c r="R15" s="11">
        <v>25.455170896957576</v>
      </c>
      <c r="S15" s="11">
        <v>26.312173981200093</v>
      </c>
      <c r="T15" s="8">
        <f t="shared" si="9"/>
        <v>0.85700308424251759</v>
      </c>
      <c r="U15" s="119"/>
      <c r="V15" s="119"/>
      <c r="W15" s="119"/>
      <c r="X15" s="119"/>
      <c r="Y15" s="119"/>
      <c r="Z15" s="119"/>
      <c r="AA15" s="119"/>
    </row>
    <row r="16" spans="1:28" x14ac:dyDescent="0.15">
      <c r="E16" s="119">
        <f t="shared" si="6"/>
        <v>0.2596</v>
      </c>
      <c r="F16" s="58">
        <f>0.0699-0.005</f>
        <v>6.4899999999999999E-2</v>
      </c>
      <c r="G16" s="6">
        <v>20</v>
      </c>
      <c r="H16" s="7">
        <v>100</v>
      </c>
      <c r="I16" s="11">
        <v>25.979226140929825</v>
      </c>
      <c r="J16" s="11">
        <v>27.009455234375896</v>
      </c>
      <c r="K16" s="8">
        <f t="shared" si="7"/>
        <v>1.0302290934460707</v>
      </c>
      <c r="L16" s="63"/>
      <c r="M16" s="37"/>
      <c r="N16" s="119">
        <f t="shared" si="8"/>
        <v>0.24359999999999998</v>
      </c>
      <c r="O16" s="37">
        <f>0.0673-0.0064</f>
        <v>6.0899999999999996E-2</v>
      </c>
      <c r="P16" s="6">
        <v>20</v>
      </c>
      <c r="Q16" s="7">
        <v>100</v>
      </c>
      <c r="R16" s="11">
        <v>24.417304957944442</v>
      </c>
      <c r="S16" s="11">
        <v>25.451259341911047</v>
      </c>
      <c r="T16" s="8">
        <f t="shared" si="9"/>
        <v>1.0339543839666057</v>
      </c>
      <c r="U16" s="119"/>
      <c r="V16" s="119"/>
      <c r="W16" s="119"/>
      <c r="X16" s="119"/>
      <c r="Y16" s="119"/>
      <c r="Z16" s="119"/>
      <c r="AA16" s="119"/>
    </row>
    <row r="17" spans="5:27" x14ac:dyDescent="0.15">
      <c r="E17" s="119">
        <f t="shared" si="6"/>
        <v>0.2636</v>
      </c>
      <c r="F17" s="59">
        <f>0.0728-0.0069</f>
        <v>6.59E-2</v>
      </c>
      <c r="G17" s="6">
        <v>20</v>
      </c>
      <c r="H17" s="7">
        <v>100</v>
      </c>
      <c r="I17" s="11">
        <v>26.669895003431744</v>
      </c>
      <c r="J17" s="11">
        <v>27.724711014313176</v>
      </c>
      <c r="K17" s="8">
        <f t="shared" si="7"/>
        <v>1.0548160108814315</v>
      </c>
      <c r="L17" s="63"/>
      <c r="M17" s="37"/>
      <c r="N17" s="119">
        <f t="shared" si="8"/>
        <v>0.23879999999999998</v>
      </c>
      <c r="O17" s="37">
        <f>0.0639-0.0042</f>
        <v>5.9699999999999996E-2</v>
      </c>
      <c r="P17" s="6">
        <v>20</v>
      </c>
      <c r="Q17" s="7">
        <v>100</v>
      </c>
      <c r="R17" s="11">
        <v>25.6663834581604</v>
      </c>
      <c r="S17" s="11">
        <v>26.647915789360745</v>
      </c>
      <c r="T17" s="8">
        <f t="shared" si="9"/>
        <v>0.981532331200345</v>
      </c>
      <c r="U17" s="119"/>
      <c r="V17" s="119"/>
      <c r="W17" s="119"/>
      <c r="X17" s="119"/>
      <c r="Y17" s="119"/>
      <c r="Z17" s="119"/>
      <c r="AA17" s="119"/>
    </row>
    <row r="18" spans="5:27" s="44" customFormat="1" x14ac:dyDescent="0.15">
      <c r="E18" s="119">
        <f t="shared" si="6"/>
        <v>0.24879999999999999</v>
      </c>
      <c r="F18" s="62">
        <f>0.0667-0.0045</f>
        <v>6.2199999999999998E-2</v>
      </c>
      <c r="G18" s="6">
        <v>20</v>
      </c>
      <c r="H18" s="7">
        <v>100</v>
      </c>
      <c r="I18" s="11">
        <v>24.768041060450141</v>
      </c>
      <c r="J18" s="11">
        <v>25.63920024867058</v>
      </c>
      <c r="K18" s="8">
        <f t="shared" si="7"/>
        <v>0.87115918822043881</v>
      </c>
      <c r="L18" s="63"/>
      <c r="N18" s="119">
        <f t="shared" si="8"/>
        <v>0.23759999999999998</v>
      </c>
      <c r="O18" s="44">
        <f>0.0739-0.0145</f>
        <v>5.9399999999999994E-2</v>
      </c>
      <c r="P18" s="6">
        <v>20</v>
      </c>
      <c r="Q18" s="7">
        <v>100</v>
      </c>
      <c r="R18" s="11">
        <v>25.109464824763801</v>
      </c>
      <c r="S18" s="11">
        <v>26.161299715119579</v>
      </c>
      <c r="T18" s="8">
        <f t="shared" si="9"/>
        <v>1.0518348903557779</v>
      </c>
      <c r="U18" s="119"/>
      <c r="V18" s="119"/>
      <c r="W18" s="119"/>
      <c r="X18" s="119"/>
      <c r="Y18" s="119"/>
      <c r="Z18" s="119"/>
      <c r="AA18" s="119"/>
    </row>
    <row r="19" spans="5:27" x14ac:dyDescent="0.15">
      <c r="E19" s="37"/>
      <c r="F19" s="2" t="s">
        <v>27</v>
      </c>
      <c r="G19" s="37"/>
      <c r="H19" s="37"/>
      <c r="I19" s="37"/>
      <c r="J19" s="37"/>
      <c r="K19" s="37"/>
      <c r="L19" s="37"/>
      <c r="M19" s="37"/>
      <c r="N19" s="37"/>
      <c r="O19" s="2" t="s">
        <v>27</v>
      </c>
      <c r="P19" s="37"/>
      <c r="Q19" s="37"/>
      <c r="R19" s="37"/>
      <c r="S19" s="37"/>
      <c r="T19" s="37"/>
    </row>
    <row r="20" spans="5:27" ht="15" x14ac:dyDescent="0.25">
      <c r="E20" s="119" t="s">
        <v>73</v>
      </c>
      <c r="F20" s="119" t="s">
        <v>72</v>
      </c>
      <c r="G20" s="3" t="s">
        <v>0</v>
      </c>
      <c r="H20" s="4" t="s">
        <v>1</v>
      </c>
      <c r="I20" s="4" t="s">
        <v>69</v>
      </c>
      <c r="J20" s="4" t="s">
        <v>70</v>
      </c>
      <c r="K20" s="5" t="s">
        <v>71</v>
      </c>
      <c r="L20" s="37"/>
      <c r="M20" s="37"/>
      <c r="N20" s="119" t="s">
        <v>73</v>
      </c>
      <c r="O20" s="119" t="s">
        <v>72</v>
      </c>
      <c r="P20" s="3" t="s">
        <v>0</v>
      </c>
      <c r="Q20" s="4" t="s">
        <v>1</v>
      </c>
      <c r="R20" s="4" t="s">
        <v>69</v>
      </c>
      <c r="S20" s="4" t="s">
        <v>70</v>
      </c>
      <c r="T20" s="5" t="s">
        <v>71</v>
      </c>
    </row>
    <row r="21" spans="5:27" x14ac:dyDescent="0.15">
      <c r="E21" s="119">
        <f t="shared" ref="E21:E26" si="12">F21/20*80</f>
        <v>0.24160000000000004</v>
      </c>
      <c r="F21" s="37">
        <f>0.0889-0.0285</f>
        <v>6.0400000000000009E-2</v>
      </c>
      <c r="G21" s="6">
        <v>20</v>
      </c>
      <c r="H21" s="7">
        <v>100</v>
      </c>
      <c r="I21" s="9">
        <v>25.634264238730932</v>
      </c>
      <c r="J21" s="9">
        <v>26.655273238138761</v>
      </c>
      <c r="K21" s="8">
        <f>J21-I21</f>
        <v>1.0210089994078295</v>
      </c>
      <c r="N21" s="119">
        <f t="shared" ref="N21:N26" si="13">O21/20*80</f>
        <v>0.20759999999999998</v>
      </c>
      <c r="O21" s="37">
        <f>0.0532-0.0013</f>
        <v>5.1899999999999995E-2</v>
      </c>
      <c r="P21" s="6">
        <v>20</v>
      </c>
      <c r="Q21" s="7">
        <v>100</v>
      </c>
      <c r="R21" s="9">
        <v>23.763416687028041</v>
      </c>
      <c r="S21" s="9">
        <v>25.591889059060168</v>
      </c>
      <c r="T21" s="45">
        <f t="shared" ref="T21:T26" si="14">S21-R21</f>
        <v>1.8284723720321274</v>
      </c>
      <c r="U21" s="47"/>
    </row>
    <row r="22" spans="5:27" x14ac:dyDescent="0.15">
      <c r="E22" s="119">
        <f t="shared" si="12"/>
        <v>0.19520000000000004</v>
      </c>
      <c r="F22" s="37">
        <f>0.0599-0.0111</f>
        <v>4.8800000000000003E-2</v>
      </c>
      <c r="G22" s="6">
        <v>20</v>
      </c>
      <c r="H22" s="7">
        <v>100</v>
      </c>
      <c r="I22" s="11">
        <v>25.603530591936753</v>
      </c>
      <c r="J22" s="11">
        <v>26.311987716674075</v>
      </c>
      <c r="K22" s="8">
        <f>J22-I22</f>
        <v>0.70845712473732192</v>
      </c>
      <c r="L22" s="65"/>
      <c r="M22" s="37"/>
      <c r="N22" s="119">
        <f t="shared" si="13"/>
        <v>0.2036</v>
      </c>
      <c r="O22" s="37">
        <f>0.0522-0.0013</f>
        <v>5.0900000000000001E-2</v>
      </c>
      <c r="P22" s="6">
        <v>20</v>
      </c>
      <c r="Q22" s="7">
        <v>100</v>
      </c>
      <c r="R22" s="11">
        <v>25.468209413779348</v>
      </c>
      <c r="S22" s="11">
        <v>27.287082510416656</v>
      </c>
      <c r="T22" s="8">
        <f t="shared" si="14"/>
        <v>1.8188730966373079</v>
      </c>
      <c r="U22" s="49"/>
    </row>
    <row r="23" spans="5:27" x14ac:dyDescent="0.15">
      <c r="E23" s="119">
        <f t="shared" si="12"/>
        <v>0.18240000000000001</v>
      </c>
      <c r="F23" s="64">
        <f>0.0522-0.0066</f>
        <v>4.5600000000000002E-2</v>
      </c>
      <c r="G23" s="6">
        <v>20</v>
      </c>
      <c r="H23" s="7">
        <v>100</v>
      </c>
      <c r="I23" s="11">
        <v>25.630632080473422</v>
      </c>
      <c r="J23" s="11">
        <v>26.311708319885032</v>
      </c>
      <c r="K23" s="8">
        <f t="shared" ref="K23:K26" si="15">J23-I23</f>
        <v>0.68107623941160966</v>
      </c>
      <c r="L23" s="65"/>
      <c r="M23" s="37"/>
      <c r="N23" s="119">
        <f t="shared" si="13"/>
        <v>0.2016</v>
      </c>
      <c r="O23" s="37">
        <f>0.0613-0.0109</f>
        <v>5.04E-2</v>
      </c>
      <c r="P23" s="6">
        <v>20</v>
      </c>
      <c r="Q23" s="7">
        <v>100</v>
      </c>
      <c r="R23" s="11">
        <v>25.430526667360372</v>
      </c>
      <c r="S23" s="11">
        <v>27.2106449729589</v>
      </c>
      <c r="T23" s="8">
        <f t="shared" si="14"/>
        <v>1.7801183055985277</v>
      </c>
      <c r="U23" s="49"/>
    </row>
    <row r="24" spans="5:27" x14ac:dyDescent="0.15">
      <c r="E24" s="119">
        <f t="shared" si="12"/>
        <v>0.19159999999999999</v>
      </c>
      <c r="F24" s="64">
        <f>0.0565-0.0086</f>
        <v>4.7899999999999998E-2</v>
      </c>
      <c r="G24" s="6">
        <v>20</v>
      </c>
      <c r="H24" s="7">
        <v>100</v>
      </c>
      <c r="I24" s="11">
        <v>25.986211060655773</v>
      </c>
      <c r="J24" s="11">
        <v>26.793202119660499</v>
      </c>
      <c r="K24" s="8">
        <f t="shared" si="15"/>
        <v>0.80699105900472645</v>
      </c>
      <c r="L24" s="65"/>
      <c r="M24" s="37"/>
      <c r="N24" s="119">
        <f t="shared" si="13"/>
        <v>0.20359999999999995</v>
      </c>
      <c r="O24" s="37">
        <f>0.051-0.0001</f>
        <v>5.0899999999999994E-2</v>
      </c>
      <c r="P24" s="6">
        <v>20</v>
      </c>
      <c r="Q24" s="7">
        <v>100</v>
      </c>
      <c r="R24" s="11">
        <v>26.4171170831988</v>
      </c>
      <c r="S24" s="11">
        <v>28.192980032740824</v>
      </c>
      <c r="T24" s="8">
        <f t="shared" si="14"/>
        <v>1.7758629495420237</v>
      </c>
      <c r="U24" s="49"/>
    </row>
    <row r="25" spans="5:27" s="39" customFormat="1" x14ac:dyDescent="0.15">
      <c r="E25" s="119">
        <f t="shared" si="12"/>
        <v>0.19999999999999996</v>
      </c>
      <c r="F25" s="64">
        <f>0.0515-0.0015</f>
        <v>4.9999999999999996E-2</v>
      </c>
      <c r="G25" s="6">
        <v>20</v>
      </c>
      <c r="H25" s="7">
        <v>100</v>
      </c>
      <c r="I25" s="11">
        <v>26.612525529415933</v>
      </c>
      <c r="J25" s="11">
        <v>27.347432216848865</v>
      </c>
      <c r="K25" s="8">
        <f t="shared" si="15"/>
        <v>0.73490668743293242</v>
      </c>
      <c r="L25" s="65"/>
      <c r="N25" s="119">
        <f t="shared" si="13"/>
        <v>0.20200000000000001</v>
      </c>
      <c r="O25" s="48">
        <f>0.0586-0.0081</f>
        <v>5.0500000000000003E-2</v>
      </c>
      <c r="P25" s="6">
        <v>20</v>
      </c>
      <c r="Q25" s="7">
        <v>100</v>
      </c>
      <c r="R25" s="11">
        <v>25.634470460170455</v>
      </c>
      <c r="S25" s="11">
        <v>27.5826747436926</v>
      </c>
      <c r="T25" s="46">
        <f t="shared" si="14"/>
        <v>1.9482042835221449</v>
      </c>
      <c r="U25" s="49"/>
      <c r="V25" s="51"/>
      <c r="W25" s="50"/>
    </row>
    <row r="26" spans="5:27" s="49" customFormat="1" x14ac:dyDescent="0.15">
      <c r="E26" s="119">
        <f t="shared" si="12"/>
        <v>0.17880000000000001</v>
      </c>
      <c r="F26" s="64">
        <f>0.0593-0.0146</f>
        <v>4.4699999999999997E-2</v>
      </c>
      <c r="G26" s="6">
        <v>20</v>
      </c>
      <c r="H26" s="7">
        <v>100</v>
      </c>
      <c r="I26" s="11">
        <v>25.976339040776448</v>
      </c>
      <c r="J26" s="11">
        <v>26.665145258018086</v>
      </c>
      <c r="K26" s="8">
        <f t="shared" si="15"/>
        <v>0.6888062172416376</v>
      </c>
      <c r="L26" s="65"/>
      <c r="N26" s="119">
        <f t="shared" si="13"/>
        <v>0.1976</v>
      </c>
      <c r="O26" s="51">
        <f>0.0577-0.0083</f>
        <v>4.9399999999999999E-2</v>
      </c>
      <c r="P26" s="6">
        <v>20</v>
      </c>
      <c r="Q26" s="7">
        <v>100</v>
      </c>
      <c r="R26" s="11">
        <v>25.522825665269828</v>
      </c>
      <c r="S26" s="11">
        <v>27.324894209199808</v>
      </c>
      <c r="T26" s="46">
        <f t="shared" si="14"/>
        <v>1.8020685439299804</v>
      </c>
    </row>
    <row r="27" spans="5:27" x14ac:dyDescent="0.15">
      <c r="E27" s="37"/>
      <c r="F27" s="2" t="s">
        <v>28</v>
      </c>
      <c r="G27" s="37"/>
      <c r="H27" s="37"/>
      <c r="I27" s="37"/>
      <c r="J27" s="37"/>
      <c r="K27" s="37"/>
      <c r="L27" s="37"/>
      <c r="M27" s="37"/>
      <c r="N27" s="37"/>
      <c r="O27" s="2" t="s">
        <v>28</v>
      </c>
      <c r="P27" s="37"/>
      <c r="Q27" s="37"/>
    </row>
    <row r="28" spans="5:27" ht="15" x14ac:dyDescent="0.25">
      <c r="E28" s="119" t="s">
        <v>73</v>
      </c>
      <c r="F28" s="119" t="s">
        <v>72</v>
      </c>
      <c r="G28" s="3" t="s">
        <v>0</v>
      </c>
      <c r="H28" s="4" t="s">
        <v>1</v>
      </c>
      <c r="I28" s="4" t="s">
        <v>69</v>
      </c>
      <c r="J28" s="4" t="s">
        <v>70</v>
      </c>
      <c r="K28" s="5" t="s">
        <v>71</v>
      </c>
      <c r="L28" s="37"/>
      <c r="M28" s="37"/>
      <c r="N28" s="119" t="s">
        <v>73</v>
      </c>
      <c r="O28" s="119" t="s">
        <v>72</v>
      </c>
      <c r="P28" s="3" t="s">
        <v>0</v>
      </c>
      <c r="Q28" s="4" t="s">
        <v>1</v>
      </c>
      <c r="R28" s="4" t="s">
        <v>69</v>
      </c>
      <c r="S28" s="4" t="s">
        <v>70</v>
      </c>
      <c r="T28" s="5" t="s">
        <v>71</v>
      </c>
    </row>
    <row r="29" spans="5:27" x14ac:dyDescent="0.15">
      <c r="E29" s="119">
        <f t="shared" ref="E29:E31" si="16">F29/20*80</f>
        <v>0.18440000000000001</v>
      </c>
      <c r="F29" s="37">
        <f>0.0736-0.0275</f>
        <v>4.6100000000000002E-2</v>
      </c>
      <c r="G29" s="6">
        <v>20</v>
      </c>
      <c r="H29" s="7">
        <v>100</v>
      </c>
      <c r="I29" s="9">
        <v>25.972241221203873</v>
      </c>
      <c r="J29" s="9">
        <v>26.32148720750136</v>
      </c>
      <c r="K29" s="8">
        <f>J29-I29</f>
        <v>0.34924598629748616</v>
      </c>
      <c r="L29" s="37"/>
      <c r="M29" s="37"/>
      <c r="N29" s="37">
        <f>O31*4</f>
        <v>0.1996</v>
      </c>
      <c r="O29" s="37">
        <f>0.058-0.0079</f>
        <v>5.0100000000000006E-2</v>
      </c>
      <c r="P29" s="6">
        <v>20</v>
      </c>
      <c r="Q29" s="7">
        <v>100</v>
      </c>
      <c r="R29" s="9">
        <v>25.460572568212314</v>
      </c>
      <c r="S29" s="9">
        <v>26.991946368929536</v>
      </c>
      <c r="T29" s="8">
        <f>S29-R29</f>
        <v>1.5313738007172226</v>
      </c>
    </row>
    <row r="30" spans="5:27" x14ac:dyDescent="0.15">
      <c r="E30" s="119">
        <f t="shared" si="16"/>
        <v>0.19519999999999998</v>
      </c>
      <c r="F30" s="37">
        <f>0.0489-0.0001</f>
        <v>4.8799999999999996E-2</v>
      </c>
      <c r="G30" s="6">
        <v>20</v>
      </c>
      <c r="H30" s="7">
        <v>100</v>
      </c>
      <c r="I30" s="11">
        <v>25.647489020078723</v>
      </c>
      <c r="J30" s="11">
        <v>26.016085536246599</v>
      </c>
      <c r="K30" s="8">
        <f>J30-I30</f>
        <v>0.36859651616787659</v>
      </c>
      <c r="L30" s="98"/>
      <c r="M30" s="37"/>
      <c r="N30" s="119">
        <f t="shared" ref="N30:N32" si="17">O32*4</f>
        <v>0.20080000000000001</v>
      </c>
      <c r="O30" s="37">
        <f>0.058-0.0066</f>
        <v>5.1400000000000001E-2</v>
      </c>
      <c r="P30" s="6">
        <v>20</v>
      </c>
      <c r="Q30" s="7">
        <v>100</v>
      </c>
      <c r="R30" s="11">
        <v>25.636965074358287</v>
      </c>
      <c r="S30" s="11">
        <v>27.510134280331982</v>
      </c>
      <c r="T30" s="8">
        <f>S30-R30</f>
        <v>1.8731692059736957</v>
      </c>
      <c r="U30" s="53"/>
    </row>
    <row r="31" spans="5:27" x14ac:dyDescent="0.15">
      <c r="E31" s="119">
        <f t="shared" si="16"/>
        <v>0.17559999999999998</v>
      </c>
      <c r="F31" s="64">
        <f t="shared" ref="F31" si="18">0.0592-0.0153</f>
        <v>4.3900000000000002E-2</v>
      </c>
      <c r="G31" s="87">
        <v>20</v>
      </c>
      <c r="H31" s="80">
        <v>100</v>
      </c>
      <c r="I31" s="11">
        <v>25.974290130990148</v>
      </c>
      <c r="J31" s="11">
        <v>26.317389387928813</v>
      </c>
      <c r="K31" s="46">
        <f t="shared" ref="K31" si="19">J31-I31</f>
        <v>0.34309925693866461</v>
      </c>
      <c r="L31" s="66"/>
      <c r="M31" s="37"/>
      <c r="N31" s="119">
        <f t="shared" si="17"/>
        <v>0</v>
      </c>
      <c r="O31" s="37">
        <f>0.0548-0.0049</f>
        <v>4.99E-2</v>
      </c>
      <c r="P31" s="6">
        <v>20</v>
      </c>
      <c r="Q31" s="7">
        <v>100</v>
      </c>
      <c r="R31" s="11">
        <v>25.631689796889074</v>
      </c>
      <c r="S31" s="11">
        <v>27.200935167129941</v>
      </c>
      <c r="T31" s="8">
        <f>S31-R31</f>
        <v>1.5692453702408677</v>
      </c>
      <c r="U31" s="54"/>
    </row>
    <row r="32" spans="5:27" x14ac:dyDescent="0.15">
      <c r="F32" s="64"/>
      <c r="G32" s="38"/>
      <c r="H32" s="38"/>
      <c r="I32" s="71"/>
      <c r="J32" s="71"/>
      <c r="K32" s="38"/>
      <c r="N32" s="119">
        <f t="shared" si="17"/>
        <v>0</v>
      </c>
      <c r="O32" s="54">
        <f>0.062-0.0118</f>
        <v>5.0200000000000002E-2</v>
      </c>
      <c r="P32" s="6">
        <v>20</v>
      </c>
      <c r="Q32" s="7">
        <v>100</v>
      </c>
      <c r="R32" s="11">
        <v>25.602386395562583</v>
      </c>
      <c r="S32" s="11">
        <v>27.685109149522098</v>
      </c>
      <c r="T32" s="8">
        <f>S32-R32</f>
        <v>2.0827227539595157</v>
      </c>
      <c r="U32" s="54"/>
    </row>
    <row r="33" spans="6:11" x14ac:dyDescent="0.15">
      <c r="F33" s="64"/>
      <c r="G33" s="38"/>
      <c r="H33" s="38"/>
      <c r="I33" s="71"/>
      <c r="J33" s="71"/>
      <c r="K33" s="38"/>
    </row>
    <row r="34" spans="6:11" x14ac:dyDescent="0.15">
      <c r="F34" s="64"/>
      <c r="G34" s="38"/>
      <c r="H34" s="38"/>
      <c r="I34" s="71"/>
      <c r="J34" s="71"/>
      <c r="K34" s="38"/>
    </row>
  </sheetData>
  <phoneticPr fontId="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activeCell="A2" sqref="A2:B2"/>
    </sheetView>
  </sheetViews>
  <sheetFormatPr defaultRowHeight="13.5" x14ac:dyDescent="0.15"/>
  <sheetData>
    <row r="1" spans="1:20" x14ac:dyDescent="0.15">
      <c r="A1" s="154" t="s">
        <v>80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20" ht="15" x14ac:dyDescent="0.25">
      <c r="A2" s="112" t="s">
        <v>54</v>
      </c>
      <c r="B2" s="112" t="s">
        <v>55</v>
      </c>
      <c r="N2" t="s">
        <v>7</v>
      </c>
    </row>
    <row r="3" spans="1:20" x14ac:dyDescent="0.15">
      <c r="D3" t="s">
        <v>6</v>
      </c>
      <c r="M3" s="66"/>
      <c r="N3" s="2" t="s">
        <v>32</v>
      </c>
      <c r="O3" s="66"/>
      <c r="P3" s="66"/>
      <c r="Q3" s="66"/>
      <c r="R3" s="66"/>
      <c r="S3" s="66"/>
    </row>
    <row r="4" spans="1:20" ht="15" x14ac:dyDescent="0.25">
      <c r="C4" s="119" t="s">
        <v>73</v>
      </c>
      <c r="D4" s="119" t="s">
        <v>72</v>
      </c>
      <c r="E4" s="3" t="s">
        <v>0</v>
      </c>
      <c r="F4" s="4" t="s">
        <v>1</v>
      </c>
      <c r="G4" s="4" t="s">
        <v>69</v>
      </c>
      <c r="H4" s="4" t="s">
        <v>70</v>
      </c>
      <c r="I4" s="5" t="s">
        <v>71</v>
      </c>
      <c r="M4" s="119" t="s">
        <v>73</v>
      </c>
      <c r="N4" s="119" t="s">
        <v>72</v>
      </c>
      <c r="O4" s="3" t="s">
        <v>0</v>
      </c>
      <c r="P4" s="4" t="s">
        <v>1</v>
      </c>
      <c r="Q4" s="4" t="s">
        <v>69</v>
      </c>
      <c r="R4" s="4" t="s">
        <v>70</v>
      </c>
      <c r="S4" s="5" t="s">
        <v>71</v>
      </c>
    </row>
    <row r="5" spans="1:20" x14ac:dyDescent="0.15">
      <c r="C5" s="119">
        <f>5*D5</f>
        <v>0.68249999999999988</v>
      </c>
      <c r="D5" s="69">
        <f>0.1425-0.006</f>
        <v>0.13649999999999998</v>
      </c>
      <c r="E5" s="6">
        <v>20</v>
      </c>
      <c r="F5" s="7">
        <v>100</v>
      </c>
      <c r="G5" s="9">
        <v>26.588963066873724</v>
      </c>
      <c r="H5" s="9">
        <v>31.952356961510013</v>
      </c>
      <c r="I5" s="8">
        <f t="shared" ref="I5:I11" si="0">H5-G5</f>
        <v>5.3633938946362889</v>
      </c>
      <c r="M5" s="119">
        <f t="shared" ref="M5:M12" si="1">5*N5</f>
        <v>0.69000000000000006</v>
      </c>
      <c r="N5" s="66">
        <f>0.1549-0.0169</f>
        <v>0.13800000000000001</v>
      </c>
      <c r="O5" s="6">
        <v>20</v>
      </c>
      <c r="P5" s="7">
        <v>100</v>
      </c>
      <c r="Q5" s="9">
        <v>26.313012171567223</v>
      </c>
      <c r="R5" s="9">
        <v>36.368782005833516</v>
      </c>
      <c r="S5" s="8">
        <f t="shared" ref="S5:S11" si="2">R5-Q5</f>
        <v>10.055769834266293</v>
      </c>
    </row>
    <row r="6" spans="1:20" x14ac:dyDescent="0.15">
      <c r="C6" s="119">
        <f t="shared" ref="C6:C11" si="3">5*D6</f>
        <v>0.69099999999999995</v>
      </c>
      <c r="D6" s="69">
        <f>0.1382</f>
        <v>0.13819999999999999</v>
      </c>
      <c r="E6" s="6">
        <v>20</v>
      </c>
      <c r="F6" s="7">
        <v>100</v>
      </c>
      <c r="G6" s="11">
        <v>26.660954306182518</v>
      </c>
      <c r="H6" s="11">
        <v>32.327586849188023</v>
      </c>
      <c r="I6" s="8">
        <f t="shared" si="0"/>
        <v>5.6666325430055053</v>
      </c>
      <c r="J6" s="70"/>
      <c r="M6" s="119">
        <f t="shared" si="1"/>
        <v>0.6915</v>
      </c>
      <c r="N6" s="66">
        <f>0.1438-0.0055</f>
        <v>0.13830000000000001</v>
      </c>
      <c r="O6" s="6">
        <v>20</v>
      </c>
      <c r="P6" s="7">
        <v>100</v>
      </c>
      <c r="Q6" s="11">
        <v>26.652386137985356</v>
      </c>
      <c r="R6" s="11">
        <v>37.214422953988496</v>
      </c>
      <c r="S6" s="8">
        <f t="shared" si="2"/>
        <v>10.56203681600314</v>
      </c>
      <c r="T6" s="68"/>
    </row>
    <row r="7" spans="1:20" x14ac:dyDescent="0.15">
      <c r="C7" s="119">
        <f t="shared" si="3"/>
        <v>0.67799999999999994</v>
      </c>
      <c r="D7" s="69">
        <f>0.1451-0.0095</f>
        <v>0.1356</v>
      </c>
      <c r="E7" s="6">
        <v>20</v>
      </c>
      <c r="F7" s="7">
        <v>100</v>
      </c>
      <c r="G7" s="11">
        <v>26.319810826767128</v>
      </c>
      <c r="H7" s="11">
        <v>31.549187394928179</v>
      </c>
      <c r="I7" s="8">
        <f t="shared" si="0"/>
        <v>5.2293765681610509</v>
      </c>
      <c r="J7" s="70"/>
      <c r="M7" s="119">
        <f t="shared" si="1"/>
        <v>0.66799999999999993</v>
      </c>
      <c r="N7" s="66">
        <f>0.1402-0.0066</f>
        <v>0.1336</v>
      </c>
      <c r="O7" s="6">
        <v>20</v>
      </c>
      <c r="P7" s="7">
        <v>100</v>
      </c>
      <c r="Q7" s="11">
        <v>26.305375326000163</v>
      </c>
      <c r="R7" s="11">
        <v>36.882499568611351</v>
      </c>
      <c r="S7" s="8">
        <f t="shared" si="2"/>
        <v>10.577124242611188</v>
      </c>
      <c r="T7" s="68"/>
    </row>
    <row r="8" spans="1:20" x14ac:dyDescent="0.15">
      <c r="C8" s="119">
        <f t="shared" si="3"/>
        <v>0.74749999999999994</v>
      </c>
      <c r="D8" s="69">
        <f>0.1616-0.0121</f>
        <v>0.14949999999999999</v>
      </c>
      <c r="E8" s="6">
        <v>20</v>
      </c>
      <c r="F8" s="7">
        <v>100</v>
      </c>
      <c r="G8" s="11">
        <v>26.668032358171491</v>
      </c>
      <c r="H8" s="11">
        <v>32.756554052624359</v>
      </c>
      <c r="I8" s="8">
        <f t="shared" si="0"/>
        <v>6.0885216944528686</v>
      </c>
      <c r="J8" s="70"/>
      <c r="M8" s="119">
        <f t="shared" si="1"/>
        <v>0.67199999999999993</v>
      </c>
      <c r="N8" s="66">
        <f>0.141-0.0066</f>
        <v>0.13439999999999999</v>
      </c>
      <c r="O8" s="6">
        <v>20</v>
      </c>
      <c r="P8" s="7">
        <v>100</v>
      </c>
      <c r="Q8" s="11">
        <v>26.300066787008447</v>
      </c>
      <c r="R8" s="11">
        <v>36.560820732165624</v>
      </c>
      <c r="S8" s="8">
        <f t="shared" si="2"/>
        <v>10.260753945157177</v>
      </c>
      <c r="T8" s="68"/>
    </row>
    <row r="9" spans="1:20" x14ac:dyDescent="0.15">
      <c r="C9" s="119">
        <f t="shared" si="3"/>
        <v>0.67549999999999999</v>
      </c>
      <c r="D9" s="69">
        <f>0.1563-0.0212</f>
        <v>0.1351</v>
      </c>
      <c r="E9" s="6">
        <v>20</v>
      </c>
      <c r="F9" s="7">
        <v>100</v>
      </c>
      <c r="G9" s="11">
        <v>27.003122240491056</v>
      </c>
      <c r="H9" s="11">
        <v>32.673365960917799</v>
      </c>
      <c r="I9" s="8">
        <f t="shared" si="0"/>
        <v>5.6702437204267433</v>
      </c>
      <c r="J9" s="70"/>
      <c r="M9" s="119">
        <f t="shared" si="1"/>
        <v>0.68700000000000006</v>
      </c>
      <c r="N9" s="66">
        <f>0.1385-0.0011</f>
        <v>0.13740000000000002</v>
      </c>
      <c r="O9" s="6">
        <v>20</v>
      </c>
      <c r="P9" s="7">
        <v>100</v>
      </c>
      <c r="Q9" s="11">
        <v>26.324094910865721</v>
      </c>
      <c r="R9" s="11">
        <v>37.824904938036504</v>
      </c>
      <c r="S9" s="8">
        <f t="shared" si="2"/>
        <v>11.500810027170782</v>
      </c>
      <c r="T9" s="68"/>
    </row>
    <row r="10" spans="1:20" x14ac:dyDescent="0.15">
      <c r="C10" s="119">
        <f t="shared" si="3"/>
        <v>0.69650000000000001</v>
      </c>
      <c r="D10" s="69">
        <f>0.1393</f>
        <v>0.13930000000000001</v>
      </c>
      <c r="E10" s="6">
        <v>20</v>
      </c>
      <c r="F10" s="7">
        <v>100</v>
      </c>
      <c r="G10" s="11">
        <v>26.577787195312204</v>
      </c>
      <c r="H10" s="11">
        <v>32.605541622969</v>
      </c>
      <c r="I10" s="8">
        <f t="shared" si="0"/>
        <v>6.0277544276567951</v>
      </c>
      <c r="J10" s="70"/>
      <c r="M10" s="119">
        <f t="shared" si="1"/>
        <v>0.68100000000000005</v>
      </c>
      <c r="N10" s="66">
        <f>0.1388-0.0026</f>
        <v>0.13620000000000002</v>
      </c>
      <c r="O10" s="6">
        <v>20</v>
      </c>
      <c r="P10" s="7">
        <v>100</v>
      </c>
      <c r="Q10" s="11">
        <v>26.665610919333151</v>
      </c>
      <c r="R10" s="11">
        <v>37.49251589134429</v>
      </c>
      <c r="S10" s="8">
        <f t="shared" si="2"/>
        <v>10.826904972011139</v>
      </c>
      <c r="T10" s="68"/>
    </row>
    <row r="11" spans="1:20" x14ac:dyDescent="0.15">
      <c r="C11" s="119">
        <f t="shared" si="3"/>
        <v>0.67749999999999999</v>
      </c>
      <c r="D11" s="69">
        <f>0.1386-0.0031</f>
        <v>0.13550000000000001</v>
      </c>
      <c r="E11" s="6">
        <v>20</v>
      </c>
      <c r="F11" s="7">
        <v>100</v>
      </c>
      <c r="G11" s="11">
        <v>26.667380432330408</v>
      </c>
      <c r="H11" s="11">
        <v>32.623747445568291</v>
      </c>
      <c r="I11" s="8">
        <f t="shared" si="0"/>
        <v>5.9563670132378839</v>
      </c>
      <c r="J11" s="70"/>
      <c r="M11" s="119">
        <f t="shared" si="1"/>
        <v>0.69599999999999995</v>
      </c>
      <c r="N11" s="66">
        <f>0.1508-0.0116</f>
        <v>0.13919999999999999</v>
      </c>
      <c r="O11" s="6">
        <v>20</v>
      </c>
      <c r="P11" s="7">
        <v>100</v>
      </c>
      <c r="Q11" s="11">
        <v>26.670267532483784</v>
      </c>
      <c r="R11" s="11">
        <v>36.872441284206005</v>
      </c>
      <c r="S11" s="8">
        <f t="shared" si="2"/>
        <v>10.202173751722221</v>
      </c>
      <c r="T11" s="68"/>
    </row>
    <row r="12" spans="1:20" s="70" customFormat="1" x14ac:dyDescent="0.15">
      <c r="C12" s="1"/>
      <c r="E12" s="38"/>
      <c r="F12" s="38"/>
      <c r="G12" s="71"/>
      <c r="H12" s="71"/>
      <c r="I12" s="38"/>
      <c r="M12" s="119">
        <f t="shared" si="1"/>
        <v>0.68799999999999994</v>
      </c>
      <c r="N12" s="70">
        <f>0.155-0.0174</f>
        <v>0.1376</v>
      </c>
      <c r="O12" s="6">
        <v>20</v>
      </c>
      <c r="P12" s="7">
        <v>100</v>
      </c>
      <c r="Q12" s="11">
        <v>26.48325794835435</v>
      </c>
      <c r="R12" s="11">
        <v>36.369992725252686</v>
      </c>
      <c r="S12" s="8">
        <f t="shared" ref="S12" si="4">R12-Q12</f>
        <v>9.8867347768983365</v>
      </c>
    </row>
    <row r="13" spans="1:20" x14ac:dyDescent="0.15">
      <c r="D13" s="79"/>
      <c r="E13" s="72" t="s">
        <v>35</v>
      </c>
      <c r="F13" s="79"/>
      <c r="G13" s="79"/>
      <c r="H13" s="79"/>
      <c r="I13" s="79"/>
      <c r="J13" s="79"/>
      <c r="M13" s="66"/>
      <c r="N13" s="55" t="s">
        <v>26</v>
      </c>
      <c r="O13" s="66"/>
      <c r="P13" s="66"/>
      <c r="Q13" s="66"/>
      <c r="R13" s="66"/>
      <c r="S13" s="66"/>
    </row>
    <row r="14" spans="1:20" ht="15" x14ac:dyDescent="0.25">
      <c r="C14" s="119" t="s">
        <v>73</v>
      </c>
      <c r="D14" s="119" t="s">
        <v>72</v>
      </c>
      <c r="E14" s="3" t="s">
        <v>0</v>
      </c>
      <c r="F14" s="4" t="s">
        <v>1</v>
      </c>
      <c r="G14" s="4" t="s">
        <v>69</v>
      </c>
      <c r="H14" s="4" t="s">
        <v>70</v>
      </c>
      <c r="I14" s="5" t="s">
        <v>71</v>
      </c>
      <c r="M14" s="119" t="s">
        <v>73</v>
      </c>
      <c r="N14" s="119" t="s">
        <v>72</v>
      </c>
      <c r="O14" s="3" t="s">
        <v>0</v>
      </c>
      <c r="P14" s="4" t="s">
        <v>1</v>
      </c>
      <c r="Q14" s="4" t="s">
        <v>69</v>
      </c>
      <c r="R14" s="4" t="s">
        <v>70</v>
      </c>
      <c r="S14" s="5" t="s">
        <v>71</v>
      </c>
    </row>
    <row r="15" spans="1:20" x14ac:dyDescent="0.15">
      <c r="C15" s="119">
        <f t="shared" ref="C15:C20" si="5">5*D15</f>
        <v>0.33</v>
      </c>
      <c r="D15" s="79">
        <f>0.0846-0.0186</f>
        <v>6.6000000000000003E-2</v>
      </c>
      <c r="E15" s="6">
        <v>20</v>
      </c>
      <c r="F15" s="7">
        <v>100</v>
      </c>
      <c r="G15" s="9">
        <v>25.624671615640622</v>
      </c>
      <c r="H15" s="9">
        <v>26.653410592878508</v>
      </c>
      <c r="I15" s="8">
        <f>H15-G15</f>
        <v>1.0287389772378859</v>
      </c>
      <c r="J15">
        <f>D15*5</f>
        <v>0.33</v>
      </c>
      <c r="M15" s="119">
        <f t="shared" ref="M15:M20" si="6">5*N15</f>
        <v>0.25900000000000001</v>
      </c>
      <c r="N15" s="66">
        <f>0.063-0.0112</f>
        <v>5.1799999999999999E-2</v>
      </c>
      <c r="O15" s="6">
        <v>20</v>
      </c>
      <c r="P15" s="7">
        <v>100</v>
      </c>
      <c r="Q15" s="9">
        <v>26.660954306182518</v>
      </c>
      <c r="R15" s="9">
        <v>27.006195605170454</v>
      </c>
      <c r="S15" s="8">
        <f t="shared" ref="S15:S20" si="7">R15-Q15</f>
        <v>0.34524129898793632</v>
      </c>
    </row>
    <row r="16" spans="1:20" x14ac:dyDescent="0.15">
      <c r="C16" s="119">
        <f t="shared" si="5"/>
        <v>0.29150000000000004</v>
      </c>
      <c r="D16" s="79">
        <f>0.0661-0.0078</f>
        <v>5.8300000000000005E-2</v>
      </c>
      <c r="E16" s="6">
        <v>20</v>
      </c>
      <c r="F16" s="7">
        <v>100</v>
      </c>
      <c r="G16" s="11">
        <v>25.964511243373817</v>
      </c>
      <c r="H16" s="11">
        <v>26.987662284830943</v>
      </c>
      <c r="I16" s="8">
        <f>H16-G16</f>
        <v>1.0231510414571261</v>
      </c>
      <c r="M16" s="119">
        <f t="shared" si="6"/>
        <v>0.31249999999999994</v>
      </c>
      <c r="N16" s="66">
        <f>0.0715-0.009</f>
        <v>6.2499999999999993E-2</v>
      </c>
      <c r="O16" s="6">
        <v>20</v>
      </c>
      <c r="P16" s="7">
        <v>100</v>
      </c>
      <c r="Q16" s="11">
        <v>26.300998109638574</v>
      </c>
      <c r="R16" s="11">
        <v>27.330295880454546</v>
      </c>
      <c r="S16" s="8">
        <f t="shared" si="7"/>
        <v>1.0292977708159725</v>
      </c>
    </row>
    <row r="17" spans="3:21" x14ac:dyDescent="0.15">
      <c r="C17" s="119">
        <f t="shared" si="5"/>
        <v>0.30099999999999999</v>
      </c>
      <c r="D17" s="79">
        <f>0.0602</f>
        <v>6.0199999999999997E-2</v>
      </c>
      <c r="E17" s="6">
        <v>20</v>
      </c>
      <c r="F17" s="7">
        <v>100</v>
      </c>
      <c r="G17" s="11">
        <v>25.621318854172156</v>
      </c>
      <c r="H17" s="11">
        <v>26.648102053886763</v>
      </c>
      <c r="I17" s="8">
        <f t="shared" ref="I17:I20" si="8">H17-G17</f>
        <v>1.0267831997146075</v>
      </c>
      <c r="M17" s="119">
        <f t="shared" si="6"/>
        <v>0.3105</v>
      </c>
      <c r="N17" s="66">
        <f>0.0691-0.007</f>
        <v>6.2099999999999995E-2</v>
      </c>
      <c r="O17" s="6">
        <v>20</v>
      </c>
      <c r="P17" s="7">
        <v>100</v>
      </c>
      <c r="Q17" s="11">
        <v>26.298111009485197</v>
      </c>
      <c r="R17" s="11">
        <v>27.82669084231204</v>
      </c>
      <c r="S17" s="8">
        <f t="shared" si="7"/>
        <v>1.5285798328268427</v>
      </c>
      <c r="T17" s="95"/>
      <c r="U17" s="1"/>
    </row>
    <row r="18" spans="3:21" x14ac:dyDescent="0.15">
      <c r="C18" s="119">
        <f t="shared" si="5"/>
        <v>0.3105</v>
      </c>
      <c r="D18" s="79">
        <f>0.0726-0.0105</f>
        <v>6.2099999999999995E-2</v>
      </c>
      <c r="E18" s="6">
        <v>20</v>
      </c>
      <c r="F18" s="7">
        <v>100</v>
      </c>
      <c r="G18" s="11">
        <v>25.623181499432409</v>
      </c>
      <c r="H18" s="11">
        <v>26.484841196825588</v>
      </c>
      <c r="I18" s="8">
        <f t="shared" si="8"/>
        <v>0.86165969739317916</v>
      </c>
      <c r="M18" s="119">
        <f t="shared" si="6"/>
        <v>0.30749999999999994</v>
      </c>
      <c r="N18" s="66">
        <f>0.0773-0.0158</f>
        <v>6.1499999999999992E-2</v>
      </c>
      <c r="O18" s="6">
        <v>20</v>
      </c>
      <c r="P18" s="7">
        <v>100</v>
      </c>
      <c r="Q18" s="11">
        <v>26.125164397070662</v>
      </c>
      <c r="R18" s="11">
        <v>27.322379638098472</v>
      </c>
      <c r="S18" s="8">
        <f t="shared" si="7"/>
        <v>1.1972152410278092</v>
      </c>
      <c r="T18" s="95"/>
    </row>
    <row r="19" spans="3:21" x14ac:dyDescent="0.15">
      <c r="C19" s="119">
        <f t="shared" si="5"/>
        <v>0.29699999999999999</v>
      </c>
      <c r="D19" s="79">
        <f>0.064-0.0046</f>
        <v>5.9400000000000001E-2</v>
      </c>
      <c r="E19" s="6">
        <v>20</v>
      </c>
      <c r="F19" s="7">
        <v>100</v>
      </c>
      <c r="G19" s="11">
        <v>25.635474958150073</v>
      </c>
      <c r="H19" s="11">
        <v>26.652386137985356</v>
      </c>
      <c r="I19" s="8">
        <f t="shared" si="8"/>
        <v>1.016911179835283</v>
      </c>
      <c r="M19" s="119">
        <f t="shared" si="6"/>
        <v>0.30849999999999994</v>
      </c>
      <c r="N19" s="66">
        <f>0.0681-0.0064</f>
        <v>6.1699999999999991E-2</v>
      </c>
      <c r="O19" s="6">
        <v>20</v>
      </c>
      <c r="P19" s="7">
        <v>100</v>
      </c>
      <c r="Q19" s="11">
        <v>24.088268672720698</v>
      </c>
      <c r="R19" s="11">
        <v>25.107135630079259</v>
      </c>
      <c r="S19" s="8">
        <f t="shared" si="7"/>
        <v>1.0188669573585614</v>
      </c>
      <c r="T19" s="95"/>
    </row>
    <row r="20" spans="3:21" x14ac:dyDescent="0.15">
      <c r="C20" s="119">
        <f t="shared" si="5"/>
        <v>0.29149999999999998</v>
      </c>
      <c r="D20" s="79">
        <f>0.0583</f>
        <v>5.8299999999999998E-2</v>
      </c>
      <c r="E20" s="6">
        <v>20</v>
      </c>
      <c r="F20" s="7">
        <v>100</v>
      </c>
      <c r="G20" s="85">
        <v>25.113282359438077</v>
      </c>
      <c r="H20" s="84">
        <v>25.974569527779192</v>
      </c>
      <c r="I20" s="8">
        <f t="shared" si="8"/>
        <v>0.8612871683411143</v>
      </c>
      <c r="M20" s="119">
        <f t="shared" si="6"/>
        <v>0.29199999999999998</v>
      </c>
      <c r="N20" s="66">
        <f>0.0805-0.0221</f>
        <v>5.8400000000000001E-2</v>
      </c>
      <c r="O20" s="6">
        <v>20</v>
      </c>
      <c r="P20" s="7">
        <v>100</v>
      </c>
      <c r="Q20" s="11">
        <v>25.965908227319009</v>
      </c>
      <c r="R20" s="11">
        <v>27.355627855993987</v>
      </c>
      <c r="S20" s="8">
        <f t="shared" si="7"/>
        <v>1.3897196286749782</v>
      </c>
      <c r="T20" s="95"/>
    </row>
    <row r="21" spans="3:21" x14ac:dyDescent="0.15">
      <c r="D21" s="81"/>
      <c r="E21" s="4"/>
      <c r="F21" s="4"/>
      <c r="G21" s="82"/>
      <c r="H21" s="82"/>
      <c r="I21" s="4"/>
    </row>
    <row r="22" spans="3:21" x14ac:dyDescent="0.15">
      <c r="D22" s="81"/>
      <c r="E22" s="38"/>
      <c r="F22" s="38"/>
      <c r="G22" s="71"/>
      <c r="H22" s="71"/>
      <c r="I22" s="38"/>
    </row>
    <row r="23" spans="3:21" x14ac:dyDescent="0.15">
      <c r="C23" s="81"/>
      <c r="D23" s="2" t="s">
        <v>33</v>
      </c>
      <c r="E23" s="81"/>
      <c r="F23" s="81"/>
      <c r="G23" s="81"/>
      <c r="H23" s="81"/>
      <c r="I23" s="81"/>
      <c r="M23" s="66"/>
      <c r="N23" s="2" t="s">
        <v>33</v>
      </c>
      <c r="O23" s="66"/>
      <c r="P23" s="66"/>
      <c r="Q23" s="66"/>
      <c r="R23" s="66"/>
      <c r="S23" s="66"/>
    </row>
    <row r="24" spans="3:21" ht="15" x14ac:dyDescent="0.25">
      <c r="C24" s="119" t="s">
        <v>73</v>
      </c>
      <c r="D24" s="119" t="s">
        <v>72</v>
      </c>
      <c r="E24" s="3" t="s">
        <v>0</v>
      </c>
      <c r="F24" s="4" t="s">
        <v>1</v>
      </c>
      <c r="G24" s="4" t="s">
        <v>69</v>
      </c>
      <c r="H24" s="4" t="s">
        <v>70</v>
      </c>
      <c r="I24" s="5" t="s">
        <v>71</v>
      </c>
      <c r="M24" s="119" t="s">
        <v>73</v>
      </c>
      <c r="N24" s="119" t="s">
        <v>72</v>
      </c>
      <c r="O24" s="3" t="s">
        <v>0</v>
      </c>
      <c r="P24" s="4" t="s">
        <v>1</v>
      </c>
      <c r="Q24" s="4" t="s">
        <v>69</v>
      </c>
      <c r="R24" s="4" t="s">
        <v>70</v>
      </c>
      <c r="S24" s="5" t="s">
        <v>71</v>
      </c>
      <c r="T24" s="73"/>
    </row>
    <row r="25" spans="3:21" x14ac:dyDescent="0.15">
      <c r="C25" s="119">
        <f t="shared" ref="C25:C28" si="9">5*D25</f>
        <v>0.28900000000000003</v>
      </c>
      <c r="D25" s="81">
        <f>0.0724-0.0146</f>
        <v>5.7800000000000004E-2</v>
      </c>
      <c r="E25" s="6">
        <v>20</v>
      </c>
      <c r="F25" s="7">
        <v>100</v>
      </c>
      <c r="G25" s="9">
        <v>25.279989110230744</v>
      </c>
      <c r="H25" s="9">
        <v>25.942066367987781</v>
      </c>
      <c r="I25" s="8">
        <f>H25-G25</f>
        <v>0.66207725775703707</v>
      </c>
      <c r="M25" s="119">
        <f t="shared" ref="M25:M31" si="10">5*N25</f>
        <v>0.27549999999999997</v>
      </c>
      <c r="N25" s="66">
        <f>0.0639-0.0088</f>
        <v>5.5099999999999996E-2</v>
      </c>
      <c r="O25" s="6">
        <v>20</v>
      </c>
      <c r="P25" s="7">
        <v>100</v>
      </c>
      <c r="Q25" s="9">
        <v>25.64720962328968</v>
      </c>
      <c r="R25" s="9">
        <v>26.672316442270056</v>
      </c>
      <c r="S25" s="8">
        <f t="shared" ref="S25" si="11">R25-Q25</f>
        <v>1.025106818980376</v>
      </c>
      <c r="T25" s="73"/>
    </row>
    <row r="26" spans="3:21" x14ac:dyDescent="0.15">
      <c r="C26" s="119">
        <f t="shared" si="9"/>
        <v>0.28199999999999997</v>
      </c>
      <c r="D26" s="81">
        <f>0.0579-0.0015</f>
        <v>5.6399999999999999E-2</v>
      </c>
      <c r="E26" s="6">
        <v>20</v>
      </c>
      <c r="F26" s="7">
        <v>100</v>
      </c>
      <c r="G26" s="11">
        <v>24.776888625436346</v>
      </c>
      <c r="H26" s="11">
        <v>25.483296840387393</v>
      </c>
      <c r="I26" s="8">
        <f>H26-G26</f>
        <v>0.70640821495104689</v>
      </c>
      <c r="J26" s="89">
        <f>D26*5</f>
        <v>0.28199999999999997</v>
      </c>
      <c r="M26" s="119">
        <f t="shared" si="10"/>
        <v>0.26900000000000002</v>
      </c>
      <c r="N26" s="66">
        <f>0.0581-0.0043</f>
        <v>5.3800000000000001E-2</v>
      </c>
      <c r="O26" s="6">
        <v>20</v>
      </c>
      <c r="P26" s="7">
        <v>100</v>
      </c>
      <c r="Q26" s="11">
        <v>26.60749638721326</v>
      </c>
      <c r="R26" s="11">
        <v>27.534255536452278</v>
      </c>
      <c r="S26" s="8">
        <f t="shared" ref="S26:S30" si="12">R26-Q26</f>
        <v>0.92675914923901814</v>
      </c>
      <c r="T26" s="73"/>
    </row>
    <row r="27" spans="3:21" x14ac:dyDescent="0.15">
      <c r="C27" s="119">
        <f t="shared" si="9"/>
        <v>0.27900000000000003</v>
      </c>
      <c r="D27" s="81">
        <f>0.0606-0.0048</f>
        <v>5.5800000000000002E-2</v>
      </c>
      <c r="E27" s="6">
        <v>20</v>
      </c>
      <c r="F27" s="7">
        <v>100</v>
      </c>
      <c r="G27" s="11">
        <v>25.632122196681635</v>
      </c>
      <c r="H27" s="11">
        <v>26.316178668509643</v>
      </c>
      <c r="I27" s="8">
        <f>H27-G27</f>
        <v>0.68405647182800777</v>
      </c>
      <c r="J27" s="90"/>
      <c r="M27" s="119">
        <f t="shared" si="10"/>
        <v>0.27500000000000002</v>
      </c>
      <c r="N27" s="66">
        <f>0.055</f>
        <v>5.5E-2</v>
      </c>
      <c r="O27" s="6">
        <v>20</v>
      </c>
      <c r="P27" s="7">
        <v>100</v>
      </c>
      <c r="Q27" s="11">
        <v>26.3836064269308</v>
      </c>
      <c r="R27" s="11">
        <v>27.349387994372144</v>
      </c>
      <c r="S27" s="8">
        <f t="shared" si="12"/>
        <v>0.96578156744134347</v>
      </c>
      <c r="T27" s="73"/>
    </row>
    <row r="28" spans="3:21" x14ac:dyDescent="0.15">
      <c r="C28" s="119">
        <f t="shared" si="9"/>
        <v>0.27500000000000002</v>
      </c>
      <c r="D28" s="81">
        <f>0.0593-0.0043</f>
        <v>5.5E-2</v>
      </c>
      <c r="E28" s="6">
        <v>20</v>
      </c>
      <c r="F28" s="7">
        <v>100</v>
      </c>
      <c r="G28" s="92">
        <v>25.454798367905507</v>
      </c>
      <c r="H28" s="91">
        <v>26.04609510577292</v>
      </c>
      <c r="I28" s="8">
        <f t="shared" ref="I28" si="13">H28-G28</f>
        <v>0.59129673786741321</v>
      </c>
      <c r="J28" s="92"/>
      <c r="M28" s="119">
        <f t="shared" si="10"/>
        <v>0.27500000000000002</v>
      </c>
      <c r="N28" s="66">
        <f>0.0551-0.0001</f>
        <v>5.5E-2</v>
      </c>
      <c r="O28" s="6">
        <v>20</v>
      </c>
      <c r="P28" s="7">
        <v>100</v>
      </c>
      <c r="Q28" s="11">
        <v>25.654567072067696</v>
      </c>
      <c r="R28" s="11">
        <v>26.676693658631674</v>
      </c>
      <c r="S28" s="8">
        <f t="shared" si="12"/>
        <v>1.0221265865639779</v>
      </c>
      <c r="T28" s="73"/>
    </row>
    <row r="29" spans="3:21" s="74" customFormat="1" x14ac:dyDescent="0.15">
      <c r="C29" s="81"/>
      <c r="D29" s="71"/>
      <c r="E29" s="38"/>
      <c r="F29" s="38"/>
      <c r="G29" s="82"/>
      <c r="H29" s="82"/>
      <c r="I29" s="4"/>
      <c r="M29" s="119">
        <f t="shared" si="10"/>
        <v>0.27900000000000003</v>
      </c>
      <c r="N29" s="66">
        <f>0.0558</f>
        <v>5.5800000000000002E-2</v>
      </c>
      <c r="O29" s="6">
        <v>20</v>
      </c>
      <c r="P29" s="7">
        <v>100</v>
      </c>
      <c r="Q29" s="11">
        <v>26.154687324445696</v>
      </c>
      <c r="R29" s="11">
        <v>27.189666163305425</v>
      </c>
      <c r="S29" s="46">
        <f t="shared" si="12"/>
        <v>1.034978838859729</v>
      </c>
    </row>
    <row r="30" spans="3:21" s="74" customFormat="1" x14ac:dyDescent="0.15">
      <c r="C30" s="81"/>
      <c r="D30" s="71"/>
      <c r="E30" s="38"/>
      <c r="F30" s="38"/>
      <c r="G30" s="71"/>
      <c r="H30" s="71"/>
      <c r="I30" s="38"/>
      <c r="M30" s="119">
        <f t="shared" si="10"/>
        <v>0.27349999999999997</v>
      </c>
      <c r="N30" s="66">
        <f>0.0547</f>
        <v>5.4699999999999999E-2</v>
      </c>
      <c r="O30" s="6">
        <v>20</v>
      </c>
      <c r="P30" s="7">
        <v>100</v>
      </c>
      <c r="Q30" s="9">
        <v>26.667846093645469</v>
      </c>
      <c r="R30" s="9">
        <v>27.869345418771818</v>
      </c>
      <c r="S30" s="46">
        <f t="shared" si="12"/>
        <v>1.201499325126349</v>
      </c>
    </row>
    <row r="31" spans="3:21" x14ac:dyDescent="0.15">
      <c r="C31" s="81"/>
      <c r="D31" s="71"/>
      <c r="E31" s="38"/>
      <c r="F31" s="38"/>
      <c r="G31" s="71"/>
      <c r="H31" s="71"/>
      <c r="I31" s="38"/>
      <c r="M31" s="119">
        <f t="shared" si="10"/>
        <v>0.2545</v>
      </c>
      <c r="N31" s="74">
        <f>0.0509</f>
        <v>5.0900000000000001E-2</v>
      </c>
      <c r="O31" s="6">
        <v>20</v>
      </c>
      <c r="P31" s="7">
        <v>100</v>
      </c>
      <c r="Q31" s="11">
        <v>26.669801871168719</v>
      </c>
      <c r="R31" s="11">
        <v>27.869438551034843</v>
      </c>
      <c r="S31" s="46">
        <f t="shared" ref="S31" si="14">R31-Q31</f>
        <v>1.1996366798661242</v>
      </c>
    </row>
    <row r="32" spans="3:21" x14ac:dyDescent="0.15">
      <c r="M32" s="74"/>
      <c r="N32" s="74"/>
      <c r="O32" s="74"/>
      <c r="P32" s="74"/>
      <c r="Q32" s="74"/>
      <c r="R32" s="74"/>
      <c r="S32" s="74"/>
    </row>
    <row r="33" spans="3:21" x14ac:dyDescent="0.15">
      <c r="L33" s="1">
        <v>42213</v>
      </c>
      <c r="M33" s="66"/>
      <c r="N33" s="2" t="s">
        <v>34</v>
      </c>
      <c r="O33" s="66"/>
      <c r="P33" s="66"/>
      <c r="Q33" s="66"/>
      <c r="R33" s="66"/>
      <c r="S33" s="66"/>
    </row>
    <row r="34" spans="3:21" ht="15" x14ac:dyDescent="0.25">
      <c r="C34" s="81"/>
      <c r="D34" s="2" t="s">
        <v>34</v>
      </c>
      <c r="E34" s="81"/>
      <c r="F34" s="81"/>
      <c r="G34" s="81"/>
      <c r="H34" s="81"/>
      <c r="I34" s="81"/>
      <c r="M34" s="119" t="s">
        <v>73</v>
      </c>
      <c r="N34" s="119" t="s">
        <v>72</v>
      </c>
      <c r="O34" s="3" t="s">
        <v>0</v>
      </c>
      <c r="P34" s="4" t="s">
        <v>1</v>
      </c>
      <c r="Q34" s="4" t="s">
        <v>69</v>
      </c>
      <c r="R34" s="4" t="s">
        <v>70</v>
      </c>
      <c r="S34" s="5" t="s">
        <v>71</v>
      </c>
      <c r="T34" s="75"/>
      <c r="U34" s="78"/>
    </row>
    <row r="35" spans="3:21" ht="15" x14ac:dyDescent="0.25">
      <c r="C35" s="119" t="s">
        <v>73</v>
      </c>
      <c r="D35" s="119" t="s">
        <v>72</v>
      </c>
      <c r="E35" s="3" t="s">
        <v>0</v>
      </c>
      <c r="F35" s="4" t="s">
        <v>1</v>
      </c>
      <c r="G35" s="4" t="s">
        <v>69</v>
      </c>
      <c r="H35" s="4" t="s">
        <v>70</v>
      </c>
      <c r="I35" s="5" t="s">
        <v>71</v>
      </c>
      <c r="M35" s="119">
        <f t="shared" ref="M35:M43" si="15">5*N35</f>
        <v>0.2555</v>
      </c>
      <c r="N35" s="66">
        <f>0.0574-0.0063</f>
        <v>5.11E-2</v>
      </c>
      <c r="O35" s="6">
        <v>20</v>
      </c>
      <c r="P35" s="7">
        <v>100</v>
      </c>
      <c r="Q35" s="9">
        <v>26.506168485055476</v>
      </c>
      <c r="R35" s="9">
        <v>27.865526995988315</v>
      </c>
      <c r="S35" s="8">
        <f t="shared" ref="S35:S43" si="16">R35-Q35</f>
        <v>1.3593585109328394</v>
      </c>
      <c r="T35" s="75"/>
      <c r="U35" s="78"/>
    </row>
    <row r="36" spans="3:21" x14ac:dyDescent="0.15">
      <c r="C36" s="119">
        <f t="shared" ref="C36:C38" si="17">5*D36</f>
        <v>0.23349999999999999</v>
      </c>
      <c r="D36" s="81">
        <f>0.0467</f>
        <v>4.6699999999999998E-2</v>
      </c>
      <c r="E36" s="6">
        <v>20</v>
      </c>
      <c r="F36" s="7">
        <v>100</v>
      </c>
      <c r="G36" s="9">
        <v>25.629980154632339</v>
      </c>
      <c r="H36" s="9">
        <v>25.983603357291415</v>
      </c>
      <c r="I36" s="8">
        <f t="shared" ref="I36:I38" si="18">H36-G36</f>
        <v>0.35362320265907599</v>
      </c>
      <c r="J36" s="98">
        <f>D36*5</f>
        <v>0.23349999999999999</v>
      </c>
      <c r="M36" s="119">
        <f t="shared" si="15"/>
        <v>0.249</v>
      </c>
      <c r="N36" s="66">
        <f>0.0498</f>
        <v>4.9799999999999997E-2</v>
      </c>
      <c r="O36" s="6">
        <v>20</v>
      </c>
      <c r="P36" s="7">
        <v>100</v>
      </c>
      <c r="Q36" s="11">
        <v>26.663003215968789</v>
      </c>
      <c r="R36" s="11">
        <v>27.857331356843197</v>
      </c>
      <c r="S36" s="8">
        <f t="shared" si="16"/>
        <v>1.1943281408744078</v>
      </c>
      <c r="T36" s="75"/>
      <c r="U36" s="78"/>
    </row>
    <row r="37" spans="3:21" x14ac:dyDescent="0.15">
      <c r="C37" s="119">
        <f t="shared" si="17"/>
        <v>0.22499999999999998</v>
      </c>
      <c r="D37" s="81">
        <f>0.0468-0.0018</f>
        <v>4.4999999999999998E-2</v>
      </c>
      <c r="E37" s="6">
        <v>20</v>
      </c>
      <c r="F37" s="7">
        <v>100</v>
      </c>
      <c r="G37" s="94">
        <v>26.311056394043948</v>
      </c>
      <c r="H37" s="93">
        <v>26.659743586763348</v>
      </c>
      <c r="I37" s="8">
        <f t="shared" si="18"/>
        <v>0.34868719271939952</v>
      </c>
      <c r="M37" s="119">
        <f t="shared" si="15"/>
        <v>0.247</v>
      </c>
      <c r="N37" s="66">
        <f>0.0494</f>
        <v>4.9399999999999999E-2</v>
      </c>
      <c r="O37" s="6">
        <v>20</v>
      </c>
      <c r="P37" s="7">
        <v>100</v>
      </c>
      <c r="Q37" s="11">
        <v>26.666914771015342</v>
      </c>
      <c r="R37" s="11">
        <v>27.863664350728062</v>
      </c>
      <c r="S37" s="8">
        <f t="shared" si="16"/>
        <v>1.1967495797127192</v>
      </c>
      <c r="T37" s="76"/>
      <c r="U37" s="78"/>
    </row>
    <row r="38" spans="3:21" x14ac:dyDescent="0.15">
      <c r="C38" s="119">
        <f t="shared" si="17"/>
        <v>0.247</v>
      </c>
      <c r="D38" s="88">
        <f>0.0494</f>
        <v>4.9399999999999999E-2</v>
      </c>
      <c r="E38" s="83">
        <v>20</v>
      </c>
      <c r="F38" s="38">
        <v>100</v>
      </c>
      <c r="G38" s="82"/>
      <c r="H38" s="82"/>
      <c r="I38" s="86">
        <f t="shared" si="18"/>
        <v>0</v>
      </c>
      <c r="M38" s="119">
        <f t="shared" si="15"/>
        <v>0.2515</v>
      </c>
      <c r="N38" s="66">
        <f>0.0503</f>
        <v>5.0299999999999997E-2</v>
      </c>
      <c r="O38" s="6">
        <v>20</v>
      </c>
      <c r="P38" s="7">
        <v>100</v>
      </c>
      <c r="Q38" s="11">
        <v>26.664307067650984</v>
      </c>
      <c r="R38" s="11">
        <v>28.207415533507785</v>
      </c>
      <c r="S38" s="8">
        <f t="shared" si="16"/>
        <v>1.5431084658568004</v>
      </c>
      <c r="U38" s="78"/>
    </row>
    <row r="39" spans="3:21" x14ac:dyDescent="0.15">
      <c r="C39" s="81"/>
      <c r="D39" s="71"/>
      <c r="E39" s="4"/>
      <c r="F39" s="4"/>
      <c r="G39" s="82"/>
      <c r="H39" s="82"/>
      <c r="I39" s="4"/>
      <c r="M39" s="119">
        <f t="shared" si="15"/>
        <v>0.249</v>
      </c>
      <c r="N39" s="75">
        <f>0.0498</f>
        <v>4.9799999999999997E-2</v>
      </c>
      <c r="O39" s="6">
        <v>20</v>
      </c>
      <c r="P39" s="7">
        <v>100</v>
      </c>
      <c r="Q39" s="11">
        <v>26.664958993492068</v>
      </c>
      <c r="R39" s="11">
        <v>28.202386391305112</v>
      </c>
      <c r="S39" s="8">
        <f t="shared" si="16"/>
        <v>1.5374273978130439</v>
      </c>
      <c r="U39" s="78"/>
    </row>
    <row r="40" spans="3:21" x14ac:dyDescent="0.15">
      <c r="C40" s="81"/>
      <c r="D40" s="71"/>
      <c r="E40" s="38"/>
      <c r="F40" s="38"/>
      <c r="G40" s="71"/>
      <c r="H40" s="71"/>
      <c r="I40" s="38"/>
      <c r="M40" s="119">
        <f t="shared" si="15"/>
        <v>0.249</v>
      </c>
      <c r="N40" s="75">
        <f>0.0498</f>
        <v>4.9799999999999997E-2</v>
      </c>
      <c r="O40" s="6">
        <v>20</v>
      </c>
      <c r="P40" s="7">
        <v>100</v>
      </c>
      <c r="Q40" s="11">
        <v>26.671664516428972</v>
      </c>
      <c r="R40" s="11">
        <v>28.201361936411963</v>
      </c>
      <c r="S40" s="8">
        <f t="shared" si="16"/>
        <v>1.5296974199829911</v>
      </c>
      <c r="U40" s="78"/>
    </row>
    <row r="41" spans="3:21" x14ac:dyDescent="0.15">
      <c r="C41" s="81"/>
      <c r="D41" s="71"/>
      <c r="E41" s="38"/>
      <c r="F41" s="38"/>
      <c r="G41" s="71"/>
      <c r="H41" s="71"/>
      <c r="I41" s="38"/>
      <c r="M41" s="119">
        <f t="shared" si="15"/>
        <v>0.249</v>
      </c>
      <c r="N41" s="77">
        <f>0.0498</f>
        <v>4.9799999999999997E-2</v>
      </c>
      <c r="O41" s="6">
        <v>20</v>
      </c>
      <c r="P41" s="7">
        <v>100</v>
      </c>
      <c r="Q41" s="11">
        <v>25.64478818445134</v>
      </c>
      <c r="R41" s="11">
        <v>27.008896440797837</v>
      </c>
      <c r="S41" s="8">
        <f t="shared" si="16"/>
        <v>1.3641082563464977</v>
      </c>
      <c r="U41" s="78"/>
    </row>
    <row r="42" spans="3:21" x14ac:dyDescent="0.15">
      <c r="C42" s="81"/>
      <c r="D42" s="71"/>
      <c r="E42" s="38"/>
      <c r="F42" s="38"/>
      <c r="G42" s="71"/>
      <c r="H42" s="71"/>
      <c r="I42" s="38"/>
      <c r="M42" s="119">
        <f t="shared" si="15"/>
        <v>0.2485</v>
      </c>
      <c r="N42" s="77">
        <f>0.0524-0.0027</f>
        <v>4.9700000000000001E-2</v>
      </c>
      <c r="O42" s="6">
        <v>20</v>
      </c>
      <c r="P42" s="7">
        <v>100</v>
      </c>
      <c r="Q42" s="11">
        <v>26.669522474379676</v>
      </c>
      <c r="R42" s="11">
        <v>28.199406158888713</v>
      </c>
      <c r="S42" s="8">
        <f t="shared" si="16"/>
        <v>1.5298836845090378</v>
      </c>
    </row>
    <row r="43" spans="3:21" x14ac:dyDescent="0.15">
      <c r="C43" s="81"/>
      <c r="D43" s="71"/>
      <c r="E43" s="38"/>
      <c r="F43" s="38"/>
      <c r="G43" s="71"/>
      <c r="H43" s="71"/>
      <c r="I43" s="38"/>
      <c r="M43" s="119">
        <f t="shared" si="15"/>
        <v>0.24749999999999997</v>
      </c>
      <c r="N43" s="77">
        <f>0.0525-0.003</f>
        <v>4.9499999999999995E-2</v>
      </c>
      <c r="O43" s="6">
        <v>20</v>
      </c>
      <c r="P43" s="7">
        <v>100</v>
      </c>
      <c r="Q43" s="9">
        <v>26.670919458324867</v>
      </c>
      <c r="R43" s="9">
        <v>27.861708573204787</v>
      </c>
      <c r="S43" s="8">
        <f t="shared" si="16"/>
        <v>1.1907891148799195</v>
      </c>
    </row>
    <row r="44" spans="3:21" x14ac:dyDescent="0.15">
      <c r="C44" s="81"/>
      <c r="D44" s="71"/>
      <c r="E44" s="38"/>
      <c r="F44" s="38"/>
      <c r="G44" s="71"/>
      <c r="H44" s="71"/>
      <c r="I44" s="38"/>
    </row>
  </sheetData>
  <phoneticPr fontId="3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V41"/>
  <sheetViews>
    <sheetView topLeftCell="D1" workbookViewId="0">
      <selection activeCell="U21" sqref="U21"/>
    </sheetView>
  </sheetViews>
  <sheetFormatPr defaultRowHeight="13.5" x14ac:dyDescent="0.15"/>
  <cols>
    <col min="17" max="17" width="12" bestFit="1" customWidth="1"/>
  </cols>
  <sheetData>
    <row r="1" spans="4:22" x14ac:dyDescent="0.15">
      <c r="P1" t="s">
        <v>23</v>
      </c>
      <c r="S1" s="102" t="s">
        <v>38</v>
      </c>
      <c r="T1" s="102"/>
      <c r="U1" s="102" t="s">
        <v>38</v>
      </c>
      <c r="V1" s="102"/>
    </row>
    <row r="2" spans="4:22" x14ac:dyDescent="0.15">
      <c r="E2" t="s">
        <v>6</v>
      </c>
      <c r="M2" t="s">
        <v>7</v>
      </c>
      <c r="P2" s="27" t="s">
        <v>17</v>
      </c>
      <c r="Q2" s="27" t="s">
        <v>18</v>
      </c>
      <c r="S2" s="102" t="s">
        <v>17</v>
      </c>
      <c r="T2" s="102" t="s">
        <v>18</v>
      </c>
      <c r="U2" s="102" t="s">
        <v>17</v>
      </c>
      <c r="V2" s="102" t="s">
        <v>18</v>
      </c>
    </row>
    <row r="3" spans="4:22" x14ac:dyDescent="0.15">
      <c r="E3" t="s">
        <v>17</v>
      </c>
      <c r="F3" t="s">
        <v>18</v>
      </c>
      <c r="M3" s="23" t="s">
        <v>17</v>
      </c>
      <c r="N3" s="23" t="s">
        <v>18</v>
      </c>
      <c r="P3">
        <v>0.1358</v>
      </c>
      <c r="Q3">
        <v>0.50989914000000003</v>
      </c>
      <c r="S3">
        <v>0</v>
      </c>
      <c r="T3">
        <v>0</v>
      </c>
    </row>
    <row r="4" spans="4:22" x14ac:dyDescent="0.15">
      <c r="D4" t="s">
        <v>15</v>
      </c>
      <c r="E4">
        <v>0.1174</v>
      </c>
      <c r="F4">
        <v>1.8698164445052292</v>
      </c>
      <c r="J4" s="100">
        <v>0.1353</v>
      </c>
      <c r="K4" s="100">
        <v>3.5869891099327411</v>
      </c>
      <c r="L4" t="s">
        <v>16</v>
      </c>
      <c r="M4">
        <v>0.1353</v>
      </c>
      <c r="N4">
        <v>3.5869891099327411</v>
      </c>
      <c r="P4">
        <v>0.27279999999999999</v>
      </c>
      <c r="Q4">
        <v>2.3983420369999999</v>
      </c>
      <c r="S4">
        <v>2.6000000000000002E-2</v>
      </c>
      <c r="T4">
        <v>0.47553333494266781</v>
      </c>
    </row>
    <row r="5" spans="4:22" x14ac:dyDescent="0.15">
      <c r="E5">
        <v>0.251</v>
      </c>
      <c r="F5">
        <v>2.8319146830983999</v>
      </c>
      <c r="J5" s="100">
        <v>0.29099999999999998</v>
      </c>
      <c r="K5" s="100">
        <v>6.8096176868449199</v>
      </c>
      <c r="M5">
        <v>0.29099999999999998</v>
      </c>
      <c r="N5">
        <v>6.3096176868449199</v>
      </c>
      <c r="P5">
        <v>0.37380000000000002</v>
      </c>
      <c r="Q5">
        <v>5.6230466440000004</v>
      </c>
      <c r="S5">
        <v>5.1999999999999998E-2</v>
      </c>
      <c r="T5">
        <v>0.66063524000000129</v>
      </c>
      <c r="U5" s="102">
        <v>0.1353</v>
      </c>
      <c r="V5" s="102">
        <v>3.5869891099327411</v>
      </c>
    </row>
    <row r="6" spans="4:22" x14ac:dyDescent="0.15">
      <c r="E6">
        <v>0.3765</v>
      </c>
      <c r="F6">
        <v>3.6845917215699902</v>
      </c>
      <c r="J6" s="100">
        <v>0.3987</v>
      </c>
      <c r="K6" s="100">
        <v>10.9973098932093</v>
      </c>
      <c r="M6">
        <v>0.3987</v>
      </c>
      <c r="N6">
        <v>8.5</v>
      </c>
      <c r="P6">
        <v>0.48559999999999998</v>
      </c>
      <c r="Q6">
        <v>7.2549101564234775</v>
      </c>
      <c r="U6" s="102">
        <v>0.29099999999999998</v>
      </c>
      <c r="V6" s="102">
        <v>6.3096176868449199</v>
      </c>
    </row>
    <row r="7" spans="4:22" x14ac:dyDescent="0.15">
      <c r="E7">
        <v>0.52879999999999994</v>
      </c>
      <c r="F7">
        <v>4.4130000000000003</v>
      </c>
      <c r="J7" s="100">
        <v>0.54600000000000004</v>
      </c>
      <c r="K7" s="100">
        <v>12.542313626695501</v>
      </c>
      <c r="M7">
        <v>0.54600000000000004</v>
      </c>
      <c r="N7">
        <v>10.497309893209341</v>
      </c>
      <c r="P7">
        <v>0.68149999999999988</v>
      </c>
      <c r="Q7">
        <v>10.219682617168576</v>
      </c>
      <c r="U7" s="102">
        <v>0.3987</v>
      </c>
      <c r="V7" s="102">
        <v>7.8</v>
      </c>
    </row>
    <row r="8" spans="4:22" x14ac:dyDescent="0.15">
      <c r="E8">
        <v>0.6825</v>
      </c>
      <c r="F8">
        <v>5.83</v>
      </c>
      <c r="M8">
        <v>0.69</v>
      </c>
      <c r="N8" s="100">
        <v>13.542313626695501</v>
      </c>
      <c r="S8" s="102">
        <v>0.1353</v>
      </c>
      <c r="T8" s="102">
        <v>3.5869891099327411</v>
      </c>
      <c r="U8" s="102">
        <v>0.54600000000000004</v>
      </c>
      <c r="V8" s="102">
        <v>10.497309893209341</v>
      </c>
    </row>
    <row r="9" spans="4:22" x14ac:dyDescent="0.15">
      <c r="E9">
        <v>0.81479999999999997</v>
      </c>
      <c r="F9">
        <v>4.9371275268273056</v>
      </c>
      <c r="M9">
        <v>0.78202000000000005</v>
      </c>
      <c r="N9" s="101">
        <v>15.155133763261652</v>
      </c>
      <c r="S9" s="102">
        <v>0.29099999999999998</v>
      </c>
      <c r="T9" s="102">
        <v>6.3096176868449199</v>
      </c>
      <c r="U9" s="102">
        <v>0.69</v>
      </c>
      <c r="V9" s="102">
        <v>15.918670947472499</v>
      </c>
    </row>
    <row r="10" spans="4:22" x14ac:dyDescent="0.15">
      <c r="M10">
        <v>0.92819999999999991</v>
      </c>
      <c r="N10" s="101">
        <v>15.155133763261652</v>
      </c>
      <c r="S10" s="102">
        <v>0.3987</v>
      </c>
      <c r="T10" s="102">
        <v>7.8025278629379073</v>
      </c>
    </row>
    <row r="11" spans="4:22" x14ac:dyDescent="0.15">
      <c r="M11">
        <v>1.0608</v>
      </c>
      <c r="N11">
        <v>15.155133763261652</v>
      </c>
      <c r="S11" s="102">
        <v>0.54600000000000004</v>
      </c>
      <c r="T11" s="102">
        <v>10.497309893209341</v>
      </c>
    </row>
    <row r="12" spans="4:22" x14ac:dyDescent="0.15">
      <c r="S12" s="102">
        <v>0.69</v>
      </c>
      <c r="T12" s="111">
        <v>15.1551337632617</v>
      </c>
    </row>
    <row r="13" spans="4:22" x14ac:dyDescent="0.15">
      <c r="S13" s="102">
        <v>0.78202000000000005</v>
      </c>
      <c r="T13" s="102">
        <v>14.1551337632617</v>
      </c>
    </row>
    <row r="14" spans="4:22" x14ac:dyDescent="0.15">
      <c r="S14" s="102">
        <v>0.92819999999999991</v>
      </c>
      <c r="T14" s="102">
        <v>15.155133763261652</v>
      </c>
    </row>
    <row r="15" spans="4:22" x14ac:dyDescent="0.15">
      <c r="S15" s="102">
        <v>1.0608</v>
      </c>
      <c r="T15" s="102">
        <v>15.155133763261652</v>
      </c>
    </row>
    <row r="28" spans="5:20" x14ac:dyDescent="0.15">
      <c r="M28" t="s">
        <v>24</v>
      </c>
      <c r="P28" t="s">
        <v>30</v>
      </c>
      <c r="S28" t="s">
        <v>29</v>
      </c>
    </row>
    <row r="29" spans="5:20" x14ac:dyDescent="0.15">
      <c r="M29">
        <v>6.6099999999999992E-2</v>
      </c>
      <c r="N29">
        <v>0.66999350011311165</v>
      </c>
      <c r="P29">
        <v>5.1299999999999998E-2</v>
      </c>
      <c r="Q29">
        <v>0.52070248250380757</v>
      </c>
      <c r="S29">
        <v>5.11E-2</v>
      </c>
      <c r="T29">
        <v>0.52377584718323433</v>
      </c>
    </row>
    <row r="30" spans="5:20" x14ac:dyDescent="0.15">
      <c r="L30" s="29"/>
      <c r="M30">
        <v>0.1318</v>
      </c>
      <c r="N30">
        <v>0.68424273635402955</v>
      </c>
      <c r="P30">
        <v>0.1482</v>
      </c>
      <c r="Q30">
        <v>0.77476729600235927</v>
      </c>
      <c r="S30">
        <v>9.3799999999999994E-2</v>
      </c>
      <c r="T30">
        <v>0.34160914073045134</v>
      </c>
    </row>
    <row r="31" spans="5:20" x14ac:dyDescent="0.15">
      <c r="E31" s="29"/>
      <c r="L31" s="29"/>
      <c r="M31">
        <v>0.16830000000000001</v>
      </c>
      <c r="N31">
        <v>0.87507074326699197</v>
      </c>
      <c r="P31" s="52">
        <v>0.16469999999999999</v>
      </c>
      <c r="Q31">
        <v>1.5448779788540601</v>
      </c>
      <c r="S31">
        <v>0.14280000000000001</v>
      </c>
      <c r="T31">
        <v>0.86845835259308402</v>
      </c>
    </row>
    <row r="32" spans="5:20" x14ac:dyDescent="0.15">
      <c r="E32" s="29"/>
      <c r="M32">
        <v>0.24839999999999998</v>
      </c>
      <c r="N32">
        <v>1.5285798328268427</v>
      </c>
      <c r="P32">
        <v>0.20759999999999998</v>
      </c>
      <c r="Q32">
        <v>1.8284723720321274</v>
      </c>
      <c r="S32">
        <v>0.1996</v>
      </c>
      <c r="T32">
        <v>1.5692453702408677</v>
      </c>
    </row>
    <row r="33" spans="13:20" x14ac:dyDescent="0.15">
      <c r="P33">
        <v>0.40670000000000001</v>
      </c>
      <c r="Q33" s="104">
        <v>2.3839065363351288</v>
      </c>
      <c r="S33">
        <v>0.28200000000000003</v>
      </c>
      <c r="T33">
        <v>1.8724241478695909</v>
      </c>
    </row>
    <row r="34" spans="13:20" x14ac:dyDescent="0.15">
      <c r="P34">
        <v>0.4536</v>
      </c>
      <c r="Q34">
        <v>2.9</v>
      </c>
      <c r="S34">
        <v>0.44159999999999999</v>
      </c>
      <c r="T34">
        <v>3.7615189708184609</v>
      </c>
    </row>
    <row r="35" spans="13:20" x14ac:dyDescent="0.15">
      <c r="M35" t="s">
        <v>31</v>
      </c>
      <c r="P35" s="65" t="s">
        <v>36</v>
      </c>
      <c r="Q35" s="65"/>
      <c r="R35" s="65"/>
      <c r="S35" s="65" t="s">
        <v>37</v>
      </c>
    </row>
    <row r="36" spans="13:20" x14ac:dyDescent="0.15">
      <c r="M36" s="98">
        <f>0.0547-0.0007</f>
        <v>5.3999999999999999E-2</v>
      </c>
      <c r="N36">
        <v>0.34524129898793632</v>
      </c>
      <c r="P36">
        <v>4.9700000000000001E-2</v>
      </c>
      <c r="Q36">
        <v>0.38128348477385643</v>
      </c>
      <c r="S36" s="98">
        <f>0.0523-0.0025</f>
        <v>4.9799999999999997E-2</v>
      </c>
      <c r="T36">
        <v>0.34393744730576969</v>
      </c>
    </row>
    <row r="37" spans="13:20" x14ac:dyDescent="0.15">
      <c r="M37">
        <v>0.11200000000000002</v>
      </c>
      <c r="N37">
        <v>0.3504567057166561</v>
      </c>
      <c r="P37">
        <v>9.8800000000000013E-2</v>
      </c>
      <c r="Q37">
        <v>0.51837417592849278</v>
      </c>
      <c r="S37">
        <v>9.3799999999999994E-2</v>
      </c>
      <c r="T37">
        <v>0.34160914073045134</v>
      </c>
    </row>
    <row r="38" spans="13:20" x14ac:dyDescent="0.15">
      <c r="M38">
        <v>0.15419999999999998</v>
      </c>
      <c r="N38">
        <v>0.52647668281058912</v>
      </c>
      <c r="P38">
        <v>0.14250000000000002</v>
      </c>
      <c r="Q38">
        <v>0.84796925473032303</v>
      </c>
      <c r="S38">
        <v>0.13170000000000001</v>
      </c>
      <c r="T38">
        <v>0.4490597217714658</v>
      </c>
    </row>
    <row r="39" spans="13:20" x14ac:dyDescent="0.15">
      <c r="M39">
        <v>0.24760000000000001</v>
      </c>
      <c r="N39">
        <v>1.0244548931392927</v>
      </c>
      <c r="P39">
        <v>0.19159999999999999</v>
      </c>
      <c r="Q39">
        <v>0.80699105900472645</v>
      </c>
      <c r="S39">
        <v>0.19519999999999998</v>
      </c>
      <c r="T39">
        <v>0.36859651616787659</v>
      </c>
    </row>
    <row r="40" spans="13:20" x14ac:dyDescent="0.15">
      <c r="M40">
        <v>0.33</v>
      </c>
      <c r="N40">
        <v>1.0287389772378859</v>
      </c>
      <c r="P40">
        <v>0.28199999999999997</v>
      </c>
      <c r="Q40">
        <v>0.70640821495104689</v>
      </c>
      <c r="S40">
        <v>0.23349999999999999</v>
      </c>
      <c r="T40">
        <v>0.35362320265907599</v>
      </c>
    </row>
    <row r="41" spans="13:20" x14ac:dyDescent="0.15">
      <c r="M41" s="98">
        <v>0.39900000000000002</v>
      </c>
      <c r="N41">
        <v>1.2077391867482206</v>
      </c>
      <c r="P41">
        <v>0.33479999999999999</v>
      </c>
      <c r="Q41">
        <v>1.2255607105061586</v>
      </c>
      <c r="S41">
        <v>0.29159999999999997</v>
      </c>
      <c r="T41">
        <v>0.67418445194865484</v>
      </c>
    </row>
  </sheetData>
  <phoneticPr fontId="3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37"/>
  <sheetViews>
    <sheetView topLeftCell="B1" workbookViewId="0">
      <selection activeCell="H34" sqref="H34:O37"/>
    </sheetView>
  </sheetViews>
  <sheetFormatPr defaultColWidth="9.125" defaultRowHeight="15" x14ac:dyDescent="0.25"/>
  <cols>
    <col min="1" max="6" width="9.125" style="112"/>
    <col min="7" max="7" width="8.125" style="112" customWidth="1"/>
    <col min="8" max="8" width="16.25" style="112" customWidth="1"/>
    <col min="9" max="16384" width="9.125" style="112"/>
  </cols>
  <sheetData>
    <row r="2" spans="3:20" x14ac:dyDescent="0.25">
      <c r="C2" s="116">
        <v>42332</v>
      </c>
      <c r="D2" s="112" t="s">
        <v>39</v>
      </c>
      <c r="F2" s="112">
        <f>0.13/20*4</f>
        <v>2.6000000000000002E-2</v>
      </c>
      <c r="L2" s="116">
        <v>42338</v>
      </c>
      <c r="M2" s="112" t="s">
        <v>42</v>
      </c>
      <c r="O2" s="112">
        <f>0.13/20*8</f>
        <v>5.2000000000000005E-2</v>
      </c>
    </row>
    <row r="3" spans="3:20" ht="16.5" x14ac:dyDescent="0.3">
      <c r="C3" s="120"/>
      <c r="D3" s="121" t="s">
        <v>0</v>
      </c>
      <c r="E3" s="122" t="s">
        <v>1</v>
      </c>
      <c r="F3" s="122" t="s">
        <v>40</v>
      </c>
      <c r="G3" s="122" t="s">
        <v>3</v>
      </c>
      <c r="H3" s="123" t="s">
        <v>4</v>
      </c>
      <c r="I3" s="120"/>
      <c r="L3" s="120"/>
      <c r="M3" s="121" t="s">
        <v>0</v>
      </c>
      <c r="N3" s="122" t="s">
        <v>1</v>
      </c>
      <c r="O3" s="122" t="s">
        <v>40</v>
      </c>
      <c r="P3" s="122" t="s">
        <v>3</v>
      </c>
      <c r="Q3" s="123" t="s">
        <v>4</v>
      </c>
      <c r="R3" s="120"/>
    </row>
    <row r="4" spans="3:20" x14ac:dyDescent="0.25">
      <c r="C4" s="120">
        <f>0.1322</f>
        <v>0.13220000000000001</v>
      </c>
      <c r="D4" s="124">
        <v>20</v>
      </c>
      <c r="E4" s="125">
        <v>100</v>
      </c>
      <c r="F4" s="126">
        <v>22.720621390379744</v>
      </c>
      <c r="G4" s="126">
        <v>23.196154725322412</v>
      </c>
      <c r="H4" s="127">
        <f t="shared" ref="H4:H6" si="0">G4-F4</f>
        <v>0.47553333494266781</v>
      </c>
      <c r="I4" s="120">
        <f>H4/$C$4</f>
        <v>3.5970751508522523</v>
      </c>
      <c r="J4" s="120"/>
      <c r="L4" s="120">
        <f>0.1322-0.0022</f>
        <v>0.13</v>
      </c>
      <c r="M4" s="124">
        <v>20</v>
      </c>
      <c r="N4" s="125">
        <v>100</v>
      </c>
      <c r="O4" s="126">
        <v>22.86572146</v>
      </c>
      <c r="P4" s="126">
        <v>23.526356700000001</v>
      </c>
      <c r="Q4" s="127">
        <f t="shared" ref="Q4:Q15" si="1">P4-O4</f>
        <v>0.66063524000000129</v>
      </c>
      <c r="R4" s="120">
        <f>Q4/$L$4</f>
        <v>5.081809538461548</v>
      </c>
    </row>
    <row r="5" spans="3:20" x14ac:dyDescent="0.25">
      <c r="C5" s="120"/>
      <c r="D5" s="128">
        <v>20</v>
      </c>
      <c r="E5" s="129">
        <v>130</v>
      </c>
      <c r="F5" s="130">
        <v>22.887793800000001</v>
      </c>
      <c r="G5" s="130">
        <v>23.40300148</v>
      </c>
      <c r="H5" s="131">
        <f t="shared" si="0"/>
        <v>0.51520767999999961</v>
      </c>
      <c r="I5" s="120">
        <f t="shared" ref="I5:I6" si="2">H5/$C$4</f>
        <v>3.8971836611195125</v>
      </c>
      <c r="J5" s="120"/>
      <c r="L5" s="120"/>
      <c r="M5" s="128">
        <v>20</v>
      </c>
      <c r="N5" s="129">
        <v>130</v>
      </c>
      <c r="O5" s="130">
        <v>22.901763639999999</v>
      </c>
      <c r="P5" s="130">
        <v>23.801328170000001</v>
      </c>
      <c r="Q5" s="131">
        <f t="shared" si="1"/>
        <v>0.8995645300000028</v>
      </c>
      <c r="R5" s="120">
        <f t="shared" ref="R5:R6" si="3">Q5/$L$4</f>
        <v>6.9197271538461749</v>
      </c>
    </row>
    <row r="6" spans="3:20" x14ac:dyDescent="0.25">
      <c r="C6" s="120"/>
      <c r="D6" s="132">
        <v>15</v>
      </c>
      <c r="E6" s="133">
        <v>133</v>
      </c>
      <c r="F6" s="120">
        <v>22.799621599999998</v>
      </c>
      <c r="G6" s="134">
        <v>23.58814842</v>
      </c>
      <c r="H6" s="135">
        <f t="shared" si="0"/>
        <v>0.78852682000000129</v>
      </c>
      <c r="I6" s="120">
        <f t="shared" si="2"/>
        <v>5.9646506807866961</v>
      </c>
      <c r="J6" s="120"/>
      <c r="L6" s="120"/>
      <c r="M6" s="132">
        <v>15</v>
      </c>
      <c r="N6" s="133">
        <v>133</v>
      </c>
      <c r="O6" s="120">
        <v>23.207516859999998</v>
      </c>
      <c r="P6" s="134">
        <v>24.583053270000001</v>
      </c>
      <c r="Q6" s="135">
        <f t="shared" si="1"/>
        <v>1.3755364100000023</v>
      </c>
      <c r="R6" s="120">
        <f t="shared" si="3"/>
        <v>10.581049307692325</v>
      </c>
    </row>
    <row r="7" spans="3:20" x14ac:dyDescent="0.25">
      <c r="C7" s="120">
        <f>0.1268</f>
        <v>0.1268</v>
      </c>
      <c r="D7" s="124">
        <v>20</v>
      </c>
      <c r="E7" s="125">
        <v>100</v>
      </c>
      <c r="F7" s="126">
        <v>22.8912397</v>
      </c>
      <c r="G7" s="120">
        <v>23.3476568667684</v>
      </c>
      <c r="H7" s="127">
        <f t="shared" ref="H7:H15" si="4">G7-F7</f>
        <v>0.45641716676840005</v>
      </c>
      <c r="I7" s="120">
        <f>H7/$C$7</f>
        <v>3.5995044697823348</v>
      </c>
      <c r="K7" s="119"/>
      <c r="L7" s="120">
        <f>0.1379-0.0023</f>
        <v>0.1356</v>
      </c>
      <c r="M7" s="124">
        <v>20</v>
      </c>
      <c r="N7" s="125">
        <v>100</v>
      </c>
      <c r="O7" s="126">
        <v>22.539758540000001</v>
      </c>
      <c r="P7" s="120">
        <v>23.223442479999999</v>
      </c>
      <c r="Q7" s="127">
        <f t="shared" si="1"/>
        <v>0.6836839399999981</v>
      </c>
      <c r="R7" s="120">
        <f>Q7/$L$7</f>
        <v>5.0419169616519035</v>
      </c>
      <c r="S7" s="136">
        <v>5.2358432022438972</v>
      </c>
      <c r="T7" s="112">
        <f>S7*0.13</f>
        <v>0.68065961629170668</v>
      </c>
    </row>
    <row r="8" spans="3:20" x14ac:dyDescent="0.25">
      <c r="C8" s="120"/>
      <c r="D8" s="128">
        <v>20</v>
      </c>
      <c r="E8" s="129">
        <v>130</v>
      </c>
      <c r="F8" s="120">
        <v>22.754659697691199</v>
      </c>
      <c r="G8" s="130">
        <v>23.236760390000001</v>
      </c>
      <c r="H8" s="131">
        <f t="shared" si="4"/>
        <v>0.48210069230880137</v>
      </c>
      <c r="I8" s="120">
        <f t="shared" ref="I8:I9" si="5">H8/$C$7</f>
        <v>3.8020559330347115</v>
      </c>
      <c r="L8" s="120"/>
      <c r="M8" s="128">
        <v>20</v>
      </c>
      <c r="N8" s="129">
        <v>130</v>
      </c>
      <c r="O8" s="120">
        <v>22.769608959999999</v>
      </c>
      <c r="P8" s="130">
        <v>23.67259533</v>
      </c>
      <c r="Q8" s="131">
        <f t="shared" si="1"/>
        <v>0.9029863700000007</v>
      </c>
      <c r="R8" s="120">
        <f t="shared" ref="R8:R9" si="6">Q8/$L$7</f>
        <v>6.6591915191740467</v>
      </c>
      <c r="S8" s="136">
        <v>6.7302041419151148</v>
      </c>
      <c r="T8" s="112">
        <f>S8*0.13</f>
        <v>0.87492653844896495</v>
      </c>
    </row>
    <row r="9" spans="3:20" x14ac:dyDescent="0.25">
      <c r="C9" s="120"/>
      <c r="D9" s="132">
        <v>15</v>
      </c>
      <c r="E9" s="133">
        <v>133</v>
      </c>
      <c r="F9" s="120">
        <v>22.7961757061586</v>
      </c>
      <c r="G9" s="130">
        <v>23.58880035</v>
      </c>
      <c r="H9" s="135">
        <f t="shared" si="4"/>
        <v>0.79262464384139975</v>
      </c>
      <c r="I9" s="120">
        <f t="shared" si="5"/>
        <v>6.2509829955946357</v>
      </c>
      <c r="L9" s="120"/>
      <c r="M9" s="132">
        <v>15</v>
      </c>
      <c r="N9" s="133">
        <v>133</v>
      </c>
      <c r="O9" s="120">
        <v>22.57205445</v>
      </c>
      <c r="P9" s="130">
        <v>23.944144959999999</v>
      </c>
      <c r="Q9" s="135">
        <f t="shared" si="1"/>
        <v>1.3720905099999996</v>
      </c>
      <c r="R9" s="120">
        <f t="shared" si="6"/>
        <v>10.118661578171089</v>
      </c>
      <c r="S9" s="136">
        <v>7.9878951533269795</v>
      </c>
      <c r="T9" s="112">
        <f>S9*0.13</f>
        <v>1.0384263699325074</v>
      </c>
    </row>
    <row r="10" spans="3:20" x14ac:dyDescent="0.25">
      <c r="C10" s="120">
        <f>0.1446</f>
        <v>0.14460000000000001</v>
      </c>
      <c r="D10" s="124">
        <v>20</v>
      </c>
      <c r="E10" s="125">
        <v>100</v>
      </c>
      <c r="F10" s="126">
        <v>22.893195469999998</v>
      </c>
      <c r="G10" s="126">
        <v>23.365934840000001</v>
      </c>
      <c r="H10" s="127">
        <f t="shared" si="4"/>
        <v>0.47273937000000288</v>
      </c>
      <c r="I10" s="120">
        <f>H10/$C$10</f>
        <v>3.2692902489626752</v>
      </c>
      <c r="J10" s="136">
        <v>3.5277302987689771</v>
      </c>
      <c r="K10" s="136">
        <f>J10*0.13</f>
        <v>0.45860493883996706</v>
      </c>
      <c r="L10" s="120">
        <f>0.1285-0.0007</f>
        <v>0.1278</v>
      </c>
      <c r="M10" s="124">
        <v>20</v>
      </c>
      <c r="N10" s="125">
        <v>100</v>
      </c>
      <c r="O10" s="126">
        <v>22.533891199999999</v>
      </c>
      <c r="P10" s="126">
        <v>23.223535609999999</v>
      </c>
      <c r="Q10" s="127">
        <f t="shared" si="1"/>
        <v>0.68964440999999965</v>
      </c>
      <c r="R10" s="120">
        <f>Q10/$L$10</f>
        <v>5.39627863849765</v>
      </c>
    </row>
    <row r="11" spans="3:20" x14ac:dyDescent="0.25">
      <c r="C11" s="120"/>
      <c r="D11" s="128">
        <v>20</v>
      </c>
      <c r="E11" s="129">
        <v>130</v>
      </c>
      <c r="F11" s="130">
        <v>23.241603269999999</v>
      </c>
      <c r="G11" s="130">
        <v>23.754668909999999</v>
      </c>
      <c r="H11" s="131">
        <f t="shared" si="4"/>
        <v>0.51306564000000066</v>
      </c>
      <c r="I11" s="120">
        <f t="shared" ref="I11:I12" si="7">H11/$C$10</f>
        <v>3.5481717842323697</v>
      </c>
      <c r="J11" s="136">
        <v>3.786895517645251</v>
      </c>
      <c r="K11" s="136">
        <f>J11*0.13</f>
        <v>0.49229641729388263</v>
      </c>
      <c r="L11" s="120"/>
      <c r="M11" s="128">
        <v>20</v>
      </c>
      <c r="N11" s="129">
        <v>130</v>
      </c>
      <c r="O11" s="130">
        <v>22.738409650000001</v>
      </c>
      <c r="P11" s="130">
        <v>23.57082582</v>
      </c>
      <c r="Q11" s="131">
        <f t="shared" si="1"/>
        <v>0.83241616999999835</v>
      </c>
      <c r="R11" s="120">
        <f t="shared" ref="R11:R12" si="8">Q11/$L$10</f>
        <v>6.5134285602503788</v>
      </c>
    </row>
    <row r="12" spans="3:20" x14ac:dyDescent="0.25">
      <c r="C12" s="120"/>
      <c r="D12" s="132">
        <v>15</v>
      </c>
      <c r="E12" s="133">
        <v>133</v>
      </c>
      <c r="F12" s="120">
        <v>23.22023218</v>
      </c>
      <c r="G12" s="134">
        <v>23.962398879999999</v>
      </c>
      <c r="H12" s="135">
        <f t="shared" si="4"/>
        <v>0.74216669999999851</v>
      </c>
      <c r="I12" s="120">
        <f t="shared" si="7"/>
        <v>5.1325497925311101</v>
      </c>
      <c r="J12" s="136">
        <v>5.2222536202739986</v>
      </c>
      <c r="K12" s="136">
        <f>J12*0.13</f>
        <v>0.67889297063561982</v>
      </c>
      <c r="L12" s="120"/>
      <c r="M12" s="132">
        <v>15</v>
      </c>
      <c r="N12" s="133">
        <v>133</v>
      </c>
      <c r="O12" s="120">
        <v>22.477083589999999</v>
      </c>
      <c r="P12" s="134">
        <v>23.791909789999998</v>
      </c>
      <c r="Q12" s="135">
        <f t="shared" si="1"/>
        <v>1.3148261999999988</v>
      </c>
      <c r="R12" s="120">
        <f t="shared" si="8"/>
        <v>10.288154929577455</v>
      </c>
    </row>
    <row r="13" spans="3:20" x14ac:dyDescent="0.25">
      <c r="C13" s="120">
        <f>0.1358</f>
        <v>0.1358</v>
      </c>
      <c r="D13" s="124">
        <v>20</v>
      </c>
      <c r="E13" s="125">
        <v>100</v>
      </c>
      <c r="F13" s="126">
        <v>22.56080643</v>
      </c>
      <c r="G13" s="126">
        <v>23.0558044</v>
      </c>
      <c r="H13" s="127">
        <f t="shared" si="4"/>
        <v>0.49499797000000001</v>
      </c>
      <c r="I13" s="120">
        <f>H13/$C$13</f>
        <v>3.645051325478645</v>
      </c>
      <c r="L13" s="120">
        <f>0.1262</f>
        <v>0.12620000000000001</v>
      </c>
      <c r="M13" s="124">
        <v>20</v>
      </c>
      <c r="N13" s="125">
        <v>100</v>
      </c>
      <c r="O13" s="126">
        <v>22.537616490000001</v>
      </c>
      <c r="P13" s="126">
        <v>23.222045489999999</v>
      </c>
      <c r="Q13" s="127">
        <f t="shared" si="1"/>
        <v>0.68442899999999796</v>
      </c>
      <c r="R13" s="120">
        <f>Q13/$L$13</f>
        <v>5.4233676703644846</v>
      </c>
    </row>
    <row r="14" spans="3:20" x14ac:dyDescent="0.25">
      <c r="C14" s="120"/>
      <c r="D14" s="128">
        <v>20</v>
      </c>
      <c r="E14" s="129">
        <v>130</v>
      </c>
      <c r="F14" s="130">
        <v>23.224746329999999</v>
      </c>
      <c r="G14" s="130">
        <v>23.754389509999999</v>
      </c>
      <c r="H14" s="131">
        <f t="shared" si="4"/>
        <v>0.52964318000000077</v>
      </c>
      <c r="I14" s="120">
        <f t="shared" ref="I14:I15" si="9">H14/$C$13</f>
        <v>3.900170692194409</v>
      </c>
      <c r="L14" s="120"/>
      <c r="M14" s="128">
        <v>20</v>
      </c>
      <c r="N14" s="129">
        <v>130</v>
      </c>
      <c r="O14" s="130">
        <v>22.883509719999999</v>
      </c>
      <c r="P14" s="130">
        <v>23.74526255</v>
      </c>
      <c r="Q14" s="131">
        <f t="shared" si="1"/>
        <v>0.86175283000000036</v>
      </c>
      <c r="R14" s="120">
        <f t="shared" ref="R14:R15" si="10">Q14/$L$13</f>
        <v>6.8284693343898599</v>
      </c>
    </row>
    <row r="15" spans="3:20" x14ac:dyDescent="0.25">
      <c r="C15" s="120"/>
      <c r="D15" s="132">
        <v>15</v>
      </c>
      <c r="E15" s="133">
        <v>133</v>
      </c>
      <c r="F15" s="134">
        <v>23.165772629999999</v>
      </c>
      <c r="G15" s="134">
        <v>23.956438420000001</v>
      </c>
      <c r="H15" s="135">
        <f t="shared" si="4"/>
        <v>0.79066579000000203</v>
      </c>
      <c r="I15" s="120">
        <f t="shared" si="9"/>
        <v>5.8222812223858762</v>
      </c>
      <c r="L15" s="120"/>
      <c r="M15" s="132">
        <v>15</v>
      </c>
      <c r="N15" s="133">
        <v>133</v>
      </c>
      <c r="O15" s="134">
        <v>22.558639681999999</v>
      </c>
      <c r="P15" s="134">
        <v>23.84693893</v>
      </c>
      <c r="Q15" s="135">
        <f t="shared" si="1"/>
        <v>1.2882992480000013</v>
      </c>
      <c r="R15" s="120">
        <f t="shared" si="10"/>
        <v>10.208393407290025</v>
      </c>
    </row>
    <row r="21" spans="8:13" x14ac:dyDescent="0.25">
      <c r="H21" s="113" t="s">
        <v>41</v>
      </c>
      <c r="I21" s="114">
        <v>1</v>
      </c>
      <c r="J21" s="114">
        <v>2</v>
      </c>
      <c r="K21" s="115">
        <v>3</v>
      </c>
    </row>
    <row r="22" spans="8:13" x14ac:dyDescent="0.25">
      <c r="H22" s="112">
        <v>0</v>
      </c>
      <c r="I22" s="119">
        <v>3.1256895260000001E-3</v>
      </c>
      <c r="J22" s="119">
        <v>3.1256895260000001E-3</v>
      </c>
      <c r="K22" s="119">
        <v>3.1256895260000001E-3</v>
      </c>
    </row>
    <row r="23" spans="8:13" x14ac:dyDescent="0.25">
      <c r="H23" s="138">
        <v>2.76E-2</v>
      </c>
      <c r="I23" s="117">
        <v>0.78852681999999996</v>
      </c>
      <c r="J23" s="117">
        <v>0.74216669999999851</v>
      </c>
      <c r="K23" s="118">
        <v>0.79066579000000103</v>
      </c>
      <c r="L23" s="112">
        <f t="shared" ref="L23:L29" si="11">AVERAGE(I23:K23)</f>
        <v>0.77378643666666658</v>
      </c>
      <c r="M23" s="112">
        <f t="shared" ref="M23:M29" si="12">_xlfn.STDEV.S(I23:K23)</f>
        <v>2.74043720657361E-2</v>
      </c>
    </row>
    <row r="24" spans="8:13" x14ac:dyDescent="0.25">
      <c r="H24" s="137">
        <v>5.1999999999999998E-2</v>
      </c>
      <c r="I24" s="135">
        <v>1.27553641</v>
      </c>
      <c r="J24" s="135">
        <v>1.37209051</v>
      </c>
      <c r="K24" s="135">
        <v>1.2148262000000001</v>
      </c>
      <c r="L24" s="112">
        <f t="shared" si="11"/>
        <v>1.2874843733333334</v>
      </c>
      <c r="M24" s="112">
        <f t="shared" si="12"/>
        <v>7.9310031968251232E-2</v>
      </c>
    </row>
    <row r="25" spans="8:13" x14ac:dyDescent="0.25">
      <c r="H25" s="137">
        <v>0.1353</v>
      </c>
      <c r="I25" s="112">
        <v>3.7740918263251721</v>
      </c>
      <c r="J25" s="8">
        <v>3.9182632517773999</v>
      </c>
      <c r="K25" s="112">
        <v>3.8263251777409102</v>
      </c>
      <c r="L25" s="112">
        <f t="shared" si="11"/>
        <v>3.8395600852811609</v>
      </c>
      <c r="M25" s="112">
        <f t="shared" si="12"/>
        <v>7.2991246478129476E-2</v>
      </c>
    </row>
    <row r="26" spans="8:13" x14ac:dyDescent="0.25">
      <c r="H26" s="138">
        <v>0.29099999999999998</v>
      </c>
      <c r="I26" s="112">
        <v>7.86844923096176</v>
      </c>
      <c r="J26" s="112">
        <v>7.9352510387399997</v>
      </c>
      <c r="K26" s="112">
        <v>7.9469369618134902</v>
      </c>
      <c r="L26" s="112">
        <f t="shared" si="11"/>
        <v>7.9168790771717497</v>
      </c>
      <c r="M26" s="112">
        <f t="shared" si="12"/>
        <v>4.2346519366558873E-2</v>
      </c>
    </row>
    <row r="27" spans="8:13" x14ac:dyDescent="0.25">
      <c r="H27" s="138">
        <v>0.3987</v>
      </c>
      <c r="I27" s="112">
        <v>10.452327010174219</v>
      </c>
      <c r="J27" s="112">
        <v>10.497309893209341</v>
      </c>
      <c r="K27" s="112">
        <v>10.234397514724584</v>
      </c>
      <c r="L27" s="112">
        <f t="shared" si="11"/>
        <v>10.394678139369381</v>
      </c>
      <c r="M27" s="112">
        <f t="shared" si="12"/>
        <v>0.14061747373257927</v>
      </c>
    </row>
    <row r="28" spans="8:13" x14ac:dyDescent="0.25">
      <c r="H28" s="138">
        <v>0.54600000000000004</v>
      </c>
      <c r="I28" s="112">
        <v>14.995411932194937</v>
      </c>
      <c r="J28" s="112">
        <v>14.153496274560467</v>
      </c>
      <c r="K28" s="112">
        <v>14.694222193611996</v>
      </c>
      <c r="L28" s="112">
        <f t="shared" si="11"/>
        <v>14.614376800122466</v>
      </c>
      <c r="M28" s="112">
        <f t="shared" si="12"/>
        <v>0.42659929534475755</v>
      </c>
    </row>
    <row r="29" spans="8:13" x14ac:dyDescent="0.25">
      <c r="H29" s="138">
        <v>0.69</v>
      </c>
      <c r="I29" s="112">
        <v>17.155133763261698</v>
      </c>
      <c r="J29" s="112">
        <v>17.301258283928501</v>
      </c>
      <c r="K29" s="112">
        <v>17.7012582839285</v>
      </c>
      <c r="L29" s="112">
        <f t="shared" si="11"/>
        <v>17.385883443706234</v>
      </c>
      <c r="M29" s="112">
        <f t="shared" si="12"/>
        <v>0.28272612413595744</v>
      </c>
    </row>
    <row r="33" spans="8:15" ht="15.75" thickBot="1" x14ac:dyDescent="0.3"/>
    <row r="34" spans="8:15" ht="16.5" thickBot="1" x14ac:dyDescent="0.3">
      <c r="H34" s="139" t="s">
        <v>43</v>
      </c>
      <c r="I34" s="140" t="s">
        <v>44</v>
      </c>
      <c r="J34" s="140" t="s">
        <v>45</v>
      </c>
      <c r="K34" s="141" t="s">
        <v>46</v>
      </c>
      <c r="L34" s="142" t="s">
        <v>47</v>
      </c>
      <c r="M34" s="119"/>
      <c r="N34" s="119"/>
      <c r="O34" s="119"/>
    </row>
    <row r="35" spans="8:15" x14ac:dyDescent="0.25">
      <c r="H35" s="151">
        <v>0.125</v>
      </c>
      <c r="I35" s="143" t="s">
        <v>48</v>
      </c>
      <c r="J35" s="143">
        <v>3.3169432799999998</v>
      </c>
      <c r="K35" s="143"/>
      <c r="L35" s="144"/>
      <c r="M35" s="119" t="s">
        <v>49</v>
      </c>
      <c r="N35" s="119" t="s">
        <v>50</v>
      </c>
      <c r="O35" s="119"/>
    </row>
    <row r="36" spans="8:15" x14ac:dyDescent="0.25">
      <c r="H36" s="152"/>
      <c r="I36" s="143" t="s">
        <v>48</v>
      </c>
      <c r="J36" s="143">
        <v>3.2804308999999998</v>
      </c>
      <c r="K36" s="143"/>
      <c r="L36" s="144"/>
      <c r="M36" s="119">
        <f>AVERAGE(J35:J37)</f>
        <v>3.2970677299999998</v>
      </c>
      <c r="N36" s="119">
        <f>_xlfn.STDEV.S(J35:J37)</f>
        <v>1.847039397914672E-2</v>
      </c>
      <c r="O36" s="119">
        <f>N36/M36</f>
        <v>5.6020668944968023E-3</v>
      </c>
    </row>
    <row r="37" spans="8:15" ht="15.75" thickBot="1" x14ac:dyDescent="0.3">
      <c r="H37" s="153"/>
      <c r="I37" s="145" t="s">
        <v>48</v>
      </c>
      <c r="J37" s="146">
        <v>3.2938290100000001</v>
      </c>
      <c r="K37" s="146"/>
      <c r="L37" s="147"/>
      <c r="M37" s="119"/>
      <c r="N37" s="119"/>
      <c r="O37" s="119"/>
    </row>
  </sheetData>
  <mergeCells count="1">
    <mergeCell ref="H35:H3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ReadMe</vt:lpstr>
      <vt:lpstr>Stock 1</vt:lpstr>
      <vt:lpstr>Stock2</vt:lpstr>
      <vt:lpstr>Stock3</vt:lpstr>
      <vt:lpstr>Stock4</vt:lpstr>
      <vt:lpstr>Stock5</vt:lpstr>
      <vt:lpstr>plot</vt:lpstr>
      <vt:lpstr>LowConc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CHLabData</dc:creator>
  <cp:lastModifiedBy>YangHe</cp:lastModifiedBy>
  <dcterms:created xsi:type="dcterms:W3CDTF">2015-05-30T13:34:22Z</dcterms:created>
  <dcterms:modified xsi:type="dcterms:W3CDTF">2017-07-11T05:33:36Z</dcterms:modified>
</cp:coreProperties>
</file>