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crowave\Data\"/>
    </mc:Choice>
  </mc:AlternateContent>
  <bookViews>
    <workbookView xWindow="0" yWindow="0" windowWidth="20490" windowHeight="7755" activeTab="7"/>
  </bookViews>
  <sheets>
    <sheet name="stock1" sheetId="1" r:id="rId1"/>
    <sheet name="stock2" sheetId="2" r:id="rId2"/>
    <sheet name="Stock3" sheetId="3" r:id="rId3"/>
    <sheet name="Stock 4" sheetId="4" r:id="rId4"/>
    <sheet name="Stock5" sheetId="5" r:id="rId5"/>
    <sheet name="Stock 6" sheetId="7" r:id="rId6"/>
    <sheet name="Stock7" sheetId="8" r:id="rId7"/>
    <sheet name="Plot" sheetId="6" r:id="rId8"/>
  </sheets>
  <externalReferences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" l="1"/>
  <c r="Q23" i="3"/>
  <c r="Y24" i="3" l="1"/>
  <c r="Y26" i="3"/>
  <c r="Y25" i="3"/>
  <c r="Y21" i="3"/>
  <c r="S20" i="3"/>
  <c r="S18" i="3"/>
  <c r="X21" i="3"/>
  <c r="Y19" i="3"/>
  <c r="Y17" i="3"/>
  <c r="S17" i="3"/>
  <c r="X19" i="3"/>
  <c r="X17" i="3"/>
  <c r="S16" i="3"/>
  <c r="G26" i="2" l="1"/>
  <c r="L29" i="2"/>
  <c r="L28" i="2"/>
  <c r="K31" i="2"/>
  <c r="E31" i="2"/>
  <c r="K30" i="2" l="1"/>
  <c r="E30" i="2"/>
  <c r="L30" i="2" l="1"/>
  <c r="K28" i="2"/>
  <c r="E29" i="2"/>
  <c r="R26" i="1"/>
  <c r="E28" i="2"/>
  <c r="J31" i="2"/>
  <c r="J30" i="2"/>
  <c r="J29" i="2"/>
  <c r="K29" i="2" s="1"/>
  <c r="J28" i="2"/>
  <c r="R27" i="1" l="1"/>
  <c r="R28" i="1"/>
  <c r="Q28" i="1"/>
  <c r="K28" i="1"/>
  <c r="Q27" i="1"/>
  <c r="K27" i="1"/>
  <c r="Q26" i="1"/>
  <c r="Q25" i="1"/>
  <c r="K26" i="1"/>
  <c r="K25" i="1" l="1"/>
  <c r="P30" i="1"/>
  <c r="K30" i="1"/>
  <c r="P29" i="1"/>
  <c r="K29" i="1"/>
  <c r="P28" i="1"/>
  <c r="P27" i="1"/>
  <c r="P26" i="1"/>
  <c r="P25" i="1"/>
  <c r="N33" i="2" l="1"/>
  <c r="S33" i="2"/>
  <c r="S32" i="2"/>
  <c r="N32" i="2"/>
  <c r="N31" i="2" l="1"/>
  <c r="N30" i="2"/>
  <c r="S31" i="2"/>
  <c r="S30" i="2"/>
  <c r="N29" i="2"/>
  <c r="N28" i="2"/>
  <c r="N27" i="2" l="1"/>
  <c r="N26" i="2"/>
  <c r="N25" i="2" l="1"/>
  <c r="N24" i="2" l="1"/>
  <c r="S29" i="2"/>
  <c r="S28" i="2"/>
  <c r="S27" i="2"/>
  <c r="S26" i="2"/>
  <c r="S25" i="2"/>
  <c r="S24" i="2"/>
  <c r="P20" i="1" l="1"/>
  <c r="K20" i="1"/>
  <c r="K19" i="1"/>
  <c r="P19" i="1"/>
  <c r="K18" i="1"/>
  <c r="K17" i="1" l="1"/>
  <c r="K16" i="1"/>
  <c r="K15" i="1"/>
  <c r="P15" i="1" l="1"/>
  <c r="K11" i="1"/>
  <c r="P11" i="1"/>
  <c r="K10" i="1"/>
  <c r="P10" i="1"/>
  <c r="P18" i="1"/>
  <c r="P17" i="1"/>
  <c r="P16" i="1"/>
  <c r="K9" i="1"/>
  <c r="P9" i="1"/>
  <c r="G5" i="8" l="1"/>
  <c r="G4" i="8"/>
  <c r="G7" i="8"/>
  <c r="L6" i="8"/>
  <c r="G6" i="8"/>
  <c r="L5" i="8"/>
  <c r="K7" i="1"/>
  <c r="P7" i="1"/>
  <c r="K6" i="1" l="1"/>
  <c r="P6" i="1"/>
  <c r="K5" i="1"/>
  <c r="P5" i="1"/>
  <c r="H17" i="7" l="1"/>
  <c r="M17" i="7"/>
  <c r="H16" i="7"/>
  <c r="H18" i="5" l="1"/>
  <c r="M18" i="5"/>
  <c r="H19" i="5"/>
  <c r="F19" i="4"/>
  <c r="H16" i="5"/>
  <c r="H14" i="5"/>
  <c r="M16" i="5"/>
  <c r="H17" i="5"/>
  <c r="M15" i="5"/>
  <c r="H15" i="5"/>
  <c r="F20" i="4" l="1"/>
  <c r="K19" i="4"/>
  <c r="F15" i="4" l="1"/>
  <c r="F17" i="4"/>
  <c r="F18" i="4" s="1"/>
  <c r="K17" i="4"/>
  <c r="K16" i="4"/>
  <c r="F16" i="4"/>
  <c r="S19" i="2" l="1"/>
  <c r="N19" i="2"/>
  <c r="K19" i="2"/>
  <c r="F19" i="2"/>
  <c r="S18" i="2"/>
  <c r="N18" i="2"/>
  <c r="K18" i="2"/>
  <c r="F18" i="2"/>
  <c r="I17" i="1"/>
  <c r="I16" i="1"/>
  <c r="D16" i="1"/>
  <c r="D17" i="1" s="1"/>
  <c r="I15" i="1"/>
  <c r="D15" i="1"/>
  <c r="M12" i="7"/>
  <c r="H11" i="7"/>
  <c r="N5" i="7" l="1"/>
  <c r="N6" i="7"/>
  <c r="H6" i="7"/>
  <c r="H7" i="7"/>
  <c r="H5" i="7"/>
  <c r="H4" i="7"/>
  <c r="M6" i="7"/>
  <c r="M5" i="7"/>
  <c r="H8" i="5" l="1"/>
  <c r="H6" i="5"/>
  <c r="H7" i="5" s="1"/>
  <c r="H9" i="5"/>
  <c r="M8" i="5"/>
  <c r="M7" i="5"/>
  <c r="E7" i="4" l="1"/>
  <c r="E8" i="4"/>
  <c r="J7" i="4"/>
  <c r="E6" i="4"/>
  <c r="J6" i="4"/>
  <c r="E6" i="3" l="1"/>
  <c r="E6" i="2"/>
  <c r="D5" i="1"/>
  <c r="J6" i="3"/>
  <c r="J6" i="2" l="1"/>
  <c r="I5" i="1" l="1"/>
</calcChain>
</file>

<file path=xl/sharedStrings.xml><?xml version="1.0" encoding="utf-8"?>
<sst xmlns="http://schemas.openxmlformats.org/spreadsheetml/2006/main" count="162" uniqueCount="30">
  <si>
    <t>Time (s)</t>
  </si>
  <si>
    <t>Power (W)</t>
  </si>
  <si>
    <r>
      <t>T</t>
    </r>
    <r>
      <rPr>
        <vertAlign val="subscript"/>
        <sz val="11"/>
        <color theme="1"/>
        <rFont val="Calibri"/>
        <family val="2"/>
        <scheme val="minor"/>
      </rPr>
      <t>o</t>
    </r>
  </si>
  <si>
    <t>T</t>
  </si>
  <si>
    <t>∆T</t>
  </si>
  <si>
    <t>Crystal (20mg/20g)</t>
  </si>
  <si>
    <t>SWCNT Stock1</t>
  </si>
  <si>
    <t>SWCNT Stock2</t>
  </si>
  <si>
    <t>Crystal (40mg/20g)</t>
  </si>
  <si>
    <t>SWCNT Stock3</t>
  </si>
  <si>
    <t>Crystal (60mg/20g)</t>
  </si>
  <si>
    <t>Crystal (80mg/20g)</t>
  </si>
  <si>
    <t>Crystal (100mg/20g)</t>
  </si>
  <si>
    <t>Mass (mg)</t>
  </si>
  <si>
    <t>delta T</t>
  </si>
  <si>
    <t>Crystal (120mg/20g)</t>
  </si>
  <si>
    <t>MWCNT (mg)</t>
  </si>
  <si>
    <t>mwcnt</t>
    <phoneticPr fontId="3" type="noConversion"/>
  </si>
  <si>
    <t>COOH</t>
    <phoneticPr fontId="3" type="noConversion"/>
  </si>
  <si>
    <t>To</t>
  </si>
  <si>
    <t>r</t>
  </si>
  <si>
    <t>t</t>
  </si>
  <si>
    <t>after 1 overnight rotation</t>
  </si>
  <si>
    <t>60rpm</t>
  </si>
  <si>
    <t xml:space="preserve">t </t>
  </si>
  <si>
    <t>30rpm</t>
  </si>
  <si>
    <t>Crystal (140mg/20g)</t>
  </si>
  <si>
    <t>2days</t>
  </si>
  <si>
    <t>mass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</si>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</sst>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name val="Calibri"/>
      <family val="3"/>
      <charset val="134"/>
      <scheme val="minor"/>
    </font>
    <font>
      <sz val="11"/>
      <color theme="1"/>
      <name val="宋体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0" xfId="0"/>
    <xf numFmtId="0" fontId="0" fillId="0" borderId="0" xfId="0"/>
    <xf numFmtId="0" fontId="0" fillId="0" borderId="5" xfId="0" applyFont="1" applyBorder="1"/>
    <xf numFmtId="0" fontId="0" fillId="0" borderId="0" xfId="0"/>
    <xf numFmtId="0" fontId="0" fillId="0" borderId="7" xfId="0" applyBorder="1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6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3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Stock3!$N$20:$N$24</c:f>
              <c:numCache>
                <c:formatCode>General</c:formatCode>
                <c:ptCount val="5"/>
                <c:pt idx="0">
                  <c:v>0.1358</c:v>
                </c:pt>
                <c:pt idx="1">
                  <c:v>0.27279999999999999</c:v>
                </c:pt>
                <c:pt idx="2">
                  <c:v>0.37380000000000002</c:v>
                </c:pt>
                <c:pt idx="3">
                  <c:v>0.48559999999999998</c:v>
                </c:pt>
                <c:pt idx="4">
                  <c:v>0.68149999999999988</c:v>
                </c:pt>
              </c:numCache>
            </c:numRef>
          </c:xVal>
          <c:yVal>
            <c:numRef>
              <c:f>Stock3!$O$20:$O$24</c:f>
              <c:numCache>
                <c:formatCode>General</c:formatCode>
                <c:ptCount val="5"/>
                <c:pt idx="0">
                  <c:v>0.50989914000000003</c:v>
                </c:pt>
                <c:pt idx="1">
                  <c:v>2.3983420369999999</c:v>
                </c:pt>
                <c:pt idx="2">
                  <c:v>5.6230466440000004</c:v>
                </c:pt>
                <c:pt idx="3">
                  <c:v>7.2549101564234775</c:v>
                </c:pt>
                <c:pt idx="4">
                  <c:v>10.219682617168576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Stock3!$Q$20:$Q$23</c:f>
              <c:numCache>
                <c:formatCode>General</c:formatCode>
                <c:ptCount val="4"/>
                <c:pt idx="0">
                  <c:v>0.1366</c:v>
                </c:pt>
                <c:pt idx="1">
                  <c:v>0.27560000000000001</c:v>
                </c:pt>
                <c:pt idx="2">
                  <c:v>0.41969999999999996</c:v>
                </c:pt>
                <c:pt idx="3">
                  <c:v>0.53239999999999998</c:v>
                </c:pt>
              </c:numCache>
            </c:numRef>
          </c:xVal>
          <c:yVal>
            <c:numRef>
              <c:f>Stock3!$P$20:$P$23</c:f>
              <c:numCache>
                <c:formatCode>General</c:formatCode>
                <c:ptCount val="4"/>
                <c:pt idx="0">
                  <c:v>2.9013493896335234</c:v>
                </c:pt>
                <c:pt idx="1">
                  <c:v>4.4181945573207315</c:v>
                </c:pt>
                <c:pt idx="2">
                  <c:v>8.0821419605896079</c:v>
                </c:pt>
                <c:pt idx="3">
                  <c:v>13.616029984714402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952368"/>
        <c:axId val="387953544"/>
      </c:scatterChart>
      <c:valAx>
        <c:axId val="38795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953544"/>
        <c:crosses val="autoZero"/>
        <c:crossBetween val="midCat"/>
      </c:valAx>
      <c:valAx>
        <c:axId val="38795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952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CNTs-Crystal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99659764751628"/>
          <c:y val="0.13935185185185187"/>
          <c:w val="0.82719548945270738"/>
          <c:h val="0.7272608632254300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5797709061201785"/>
                  <c:y val="0.22995260484525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Plot!$L$9:$L$14</c:f>
              <c:numCache>
                <c:formatCode>General</c:formatCode>
                <c:ptCount val="6"/>
                <c:pt idx="0">
                  <c:v>0.40169999999999995</c:v>
                </c:pt>
                <c:pt idx="1">
                  <c:v>0.26479999999999998</c:v>
                </c:pt>
                <c:pt idx="2">
                  <c:v>0.13400000000000001</c:v>
                </c:pt>
                <c:pt idx="3">
                  <c:v>0.43599999999999994</c:v>
                </c:pt>
                <c:pt idx="4">
                  <c:v>0.54649999999999999</c:v>
                </c:pt>
                <c:pt idx="5">
                  <c:v>0.61139999999999994</c:v>
                </c:pt>
              </c:numCache>
            </c:numRef>
          </c:xVal>
          <c:yVal>
            <c:numRef>
              <c:f>Plot!$M$9:$M$14</c:f>
              <c:numCache>
                <c:formatCode>General</c:formatCode>
                <c:ptCount val="6"/>
                <c:pt idx="0">
                  <c:v>26.805514204830786</c:v>
                </c:pt>
                <c:pt idx="1">
                  <c:v>9.5367437324966993</c:v>
                </c:pt>
                <c:pt idx="2">
                  <c:v>2.8967859087458834</c:v>
                </c:pt>
                <c:pt idx="3">
                  <c:v>33.576788519429499</c:v>
                </c:pt>
                <c:pt idx="4">
                  <c:v>39.452409860635385</c:v>
                </c:pt>
                <c:pt idx="5">
                  <c:v>40.79425950612184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EC32B7"/>
              </a:solidFill>
              <a:ln w="9525">
                <a:solidFill>
                  <a:srgbClr val="EC32B7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EC32B7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8152532257971064E-2"/>
                  <c:y val="0.211880511338960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Plot!$H$11:$H$15</c:f>
              <c:numCache>
                <c:formatCode>General</c:formatCode>
                <c:ptCount val="5"/>
                <c:pt idx="0">
                  <c:v>0.13500000000000001</c:v>
                </c:pt>
                <c:pt idx="1">
                  <c:v>0.26800000000000002</c:v>
                </c:pt>
                <c:pt idx="2">
                  <c:v>0.39929999999999999</c:v>
                </c:pt>
                <c:pt idx="3">
                  <c:v>0.53359999999999996</c:v>
                </c:pt>
                <c:pt idx="4">
                  <c:v>0.66500000000000004</c:v>
                </c:pt>
              </c:numCache>
            </c:numRef>
          </c:xVal>
          <c:yVal>
            <c:numRef>
              <c:f>Plot!$I$11:$I$15</c:f>
              <c:numCache>
                <c:formatCode>General</c:formatCode>
                <c:ptCount val="5"/>
                <c:pt idx="0">
                  <c:v>3.7367457888571067</c:v>
                </c:pt>
                <c:pt idx="1">
                  <c:v>8.2934280212776663</c:v>
                </c:pt>
                <c:pt idx="2">
                  <c:v>11.895970219133513</c:v>
                </c:pt>
                <c:pt idx="3">
                  <c:v>20.463952151772489</c:v>
                </c:pt>
                <c:pt idx="4">
                  <c:v>30.359068832341961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954328"/>
        <c:axId val="160309808"/>
      </c:scatterChart>
      <c:valAx>
        <c:axId val="38795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 Mass (mg)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309808"/>
        <c:crosses val="autoZero"/>
        <c:crossBetween val="midCat"/>
      </c:valAx>
      <c:valAx>
        <c:axId val="16030980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aseline="0"/>
                  <a:t>∆ T (</a:t>
                </a:r>
                <a:r>
                  <a:rPr lang="en-US" sz="1000" b="0" i="0" u="none" strike="noStrike" baseline="0">
                    <a:effectLst/>
                  </a:rPr>
                  <a:t>°C)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795432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1817767812136067"/>
          <c:y val="0.15760078551332166"/>
          <c:w val="0.36340210267012713"/>
          <c:h val="0.1521856530523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MWCNT-COOH-Crystal</a:t>
            </a:r>
          </a:p>
        </c:rich>
      </c:tx>
      <c:layout>
        <c:manualLayout>
          <c:xMode val="edge"/>
          <c:yMode val="edge"/>
          <c:x val="0.3441814304461942"/>
          <c:y val="9.5751029229321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6343986413462"/>
          <c:y val="0.12117933602315818"/>
          <c:w val="0.83046150995831403"/>
          <c:h val="0.72603934160989148"/>
        </c:manualLayout>
      </c:layout>
      <c:scatterChart>
        <c:scatterStyle val="lineMarker"/>
        <c:varyColors val="0"/>
        <c:ser>
          <c:idx val="0"/>
          <c:order val="0"/>
          <c:tx>
            <c:v>DryMix (no surfactants)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1905293088363954E-2"/>
                  <c:y val="0.341515383493729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[1]Plot!$J$5:$J$9</c:f>
              <c:numCache>
                <c:formatCode>General</c:formatCode>
                <c:ptCount val="5"/>
                <c:pt idx="0">
                  <c:v>0.27579999999999999</c:v>
                </c:pt>
                <c:pt idx="1">
                  <c:v>0.39029999999999998</c:v>
                </c:pt>
                <c:pt idx="2">
                  <c:v>0.53280000000000005</c:v>
                </c:pt>
                <c:pt idx="3">
                  <c:v>0.63</c:v>
                </c:pt>
                <c:pt idx="4">
                  <c:v>0</c:v>
                </c:pt>
              </c:numCache>
            </c:numRef>
          </c:xVal>
          <c:yVal>
            <c:numRef>
              <c:f>[1]Plot!$K$5:$K$9</c:f>
              <c:numCache>
                <c:formatCode>General</c:formatCode>
                <c:ptCount val="5"/>
                <c:pt idx="0">
                  <c:v>1.8738211318147791</c:v>
                </c:pt>
                <c:pt idx="1">
                  <c:v>2.2208319439999999</c:v>
                </c:pt>
                <c:pt idx="2">
                  <c:v>2.5568531487496386</c:v>
                </c:pt>
                <c:pt idx="3">
                  <c:v>2.9047952833649866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10592"/>
        <c:axId val="160310984"/>
      </c:scatterChart>
      <c:valAx>
        <c:axId val="16031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MWCNT-COOH (mg)</a:t>
                </a:r>
              </a:p>
            </c:rich>
          </c:tx>
          <c:layout>
            <c:manualLayout>
              <c:xMode val="edge"/>
              <c:yMode val="edge"/>
              <c:x val="0.41380446194225717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310984"/>
        <c:crosses val="autoZero"/>
        <c:crossBetween val="midCat"/>
      </c:valAx>
      <c:valAx>
        <c:axId val="160310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Delta T </a:t>
                </a:r>
                <a:r>
                  <a:rPr lang="en-US" sz="1000" b="0" i="0" u="none" strike="noStrike" baseline="0">
                    <a:effectLst/>
                  </a:rPr>
                  <a:t>(°C)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407388086905803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31059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718851320055578"/>
          <c:y val="0.16303912258883643"/>
          <c:w val="0.32134531418866757"/>
          <c:h val="7.5956200312661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/>
              <a:t>MWCNT-Crystal</a:t>
            </a:r>
          </a:p>
        </c:rich>
      </c:tx>
      <c:layout>
        <c:manualLayout>
          <c:xMode val="edge"/>
          <c:yMode val="edge"/>
          <c:x val="0.34342393668707005"/>
          <c:y val="1.2461059190031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48381452318461"/>
          <c:y val="9.4060391983712313E-2"/>
          <c:w val="0.83896832267070853"/>
          <c:h val="0.77051831137930171"/>
        </c:manualLayout>
      </c:layout>
      <c:scatterChart>
        <c:scatterStyle val="lineMarker"/>
        <c:varyColors val="0"/>
        <c:ser>
          <c:idx val="1"/>
          <c:order val="0"/>
          <c:tx>
            <c:v>DryMix (no surfactant)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0288756651514165"/>
                  <c:y val="0.163311501950106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[2]Plot!$E$4:$E$9</c:f>
              <c:numCache>
                <c:formatCode>General</c:formatCode>
                <c:ptCount val="6"/>
                <c:pt idx="0">
                  <c:v>6.7449999999999996E-2</c:v>
                </c:pt>
                <c:pt idx="1">
                  <c:v>0.13500000000000001</c:v>
                </c:pt>
                <c:pt idx="2">
                  <c:v>0.26800000000000002</c:v>
                </c:pt>
                <c:pt idx="3">
                  <c:v>0.39929999999999999</c:v>
                </c:pt>
                <c:pt idx="4">
                  <c:v>0.53359999999999996</c:v>
                </c:pt>
                <c:pt idx="5">
                  <c:v>0.66500000000000004</c:v>
                </c:pt>
              </c:numCache>
            </c:numRef>
          </c:xVal>
          <c:yVal>
            <c:numRef>
              <c:f>[2]Plot!$F$4:$F$9</c:f>
              <c:numCache>
                <c:formatCode>General</c:formatCode>
                <c:ptCount val="6"/>
                <c:pt idx="0">
                  <c:v>0.43613838768833446</c:v>
                </c:pt>
                <c:pt idx="1">
                  <c:v>3.7367457888571067</c:v>
                </c:pt>
                <c:pt idx="2">
                  <c:v>8.2934280212776663</c:v>
                </c:pt>
                <c:pt idx="3">
                  <c:v>11.895970219133513</c:v>
                </c:pt>
                <c:pt idx="4">
                  <c:v>20.463952151772489</c:v>
                </c:pt>
                <c:pt idx="5">
                  <c:v>30.359068832341961</c:v>
                </c:pt>
              </c:numCache>
            </c:numRef>
          </c:yVal>
          <c:smooth val="0"/>
        </c:ser>
        <c:ser>
          <c:idx val="0"/>
          <c:order val="1"/>
          <c:tx>
            <c:v>SDBS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5.0778098282269174E-2"/>
                  <c:y val="0.129229687410569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[2]Plot!$B$4:$B$11</c:f>
              <c:numCache>
                <c:formatCode>General</c:formatCode>
                <c:ptCount val="8"/>
                <c:pt idx="0">
                  <c:v>0.46970297029702979</c:v>
                </c:pt>
                <c:pt idx="1">
                  <c:v>0.34957816377171219</c:v>
                </c:pt>
                <c:pt idx="2">
                  <c:v>0.25970149253731345</c:v>
                </c:pt>
                <c:pt idx="3">
                  <c:v>0.12698254364089775</c:v>
                </c:pt>
                <c:pt idx="4">
                  <c:v>0.65876543209876537</c:v>
                </c:pt>
                <c:pt idx="5">
                  <c:v>0.59085095917363506</c:v>
                </c:pt>
                <c:pt idx="6">
                  <c:v>0.71598622725036898</c:v>
                </c:pt>
                <c:pt idx="7">
                  <c:v>0.91177042801556429</c:v>
                </c:pt>
              </c:numCache>
            </c:numRef>
          </c:xVal>
          <c:yVal>
            <c:numRef>
              <c:f>[2]Plot!$C$4:$C$11</c:f>
              <c:numCache>
                <c:formatCode>General</c:formatCode>
                <c:ptCount val="8"/>
                <c:pt idx="0">
                  <c:v>8.6475168852518074</c:v>
                </c:pt>
                <c:pt idx="1">
                  <c:v>7.5051565471384691</c:v>
                </c:pt>
                <c:pt idx="2">
                  <c:v>6.6314827878166938</c:v>
                </c:pt>
                <c:pt idx="3">
                  <c:v>4.4333751161918009</c:v>
                </c:pt>
                <c:pt idx="4">
                  <c:v>9.3220585180555897</c:v>
                </c:pt>
                <c:pt idx="5">
                  <c:v>9.507500201910748</c:v>
                </c:pt>
                <c:pt idx="6">
                  <c:v>9.7085727577550749</c:v>
                </c:pt>
                <c:pt idx="7">
                  <c:v>10.499917596573699</c:v>
                </c:pt>
              </c:numCache>
            </c:numRef>
          </c:yVal>
          <c:smooth val="0"/>
        </c:ser>
        <c:ser>
          <c:idx val="3"/>
          <c:order val="2"/>
          <c:tx>
            <c:v>CTAB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9759965358844387"/>
                  <c:y val="-2.31798595269049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[3]Plot!$D$3:$D$7</c:f>
              <c:numCache>
                <c:formatCode>General</c:formatCode>
                <c:ptCount val="5"/>
                <c:pt idx="0">
                  <c:v>0.1148</c:v>
                </c:pt>
                <c:pt idx="1">
                  <c:v>0.26200000000000001</c:v>
                </c:pt>
                <c:pt idx="2">
                  <c:v>0.40674937965260549</c:v>
                </c:pt>
                <c:pt idx="3">
                  <c:v>0.51200000000000001</c:v>
                </c:pt>
                <c:pt idx="4">
                  <c:v>0.65700000000000003</c:v>
                </c:pt>
              </c:numCache>
            </c:numRef>
          </c:xVal>
          <c:yVal>
            <c:numRef>
              <c:f>[3]Plot!$E$3:$E$7</c:f>
              <c:numCache>
                <c:formatCode>General</c:formatCode>
                <c:ptCount val="5"/>
                <c:pt idx="0">
                  <c:v>3.4894560867223801</c:v>
                </c:pt>
                <c:pt idx="1">
                  <c:v>8.5324985404311668</c:v>
                </c:pt>
                <c:pt idx="2">
                  <c:v>11.719857109776587</c:v>
                </c:pt>
                <c:pt idx="3">
                  <c:v>13.654214212549569</c:v>
                </c:pt>
                <c:pt idx="4">
                  <c:v>15.46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13336"/>
        <c:axId val="392293816"/>
        <c:extLst/>
      </c:scatterChart>
      <c:valAx>
        <c:axId val="160313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33215271937352137"/>
              <c:y val="0.9379138355369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2293816"/>
        <c:crosses val="autoZero"/>
        <c:crossBetween val="midCat"/>
      </c:valAx>
      <c:valAx>
        <c:axId val="3922938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Delta T (°C)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31333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596790475632231"/>
          <c:y val="0.10352364261677321"/>
          <c:w val="0.3991840722142983"/>
          <c:h val="0.19917590238524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MWCNT-SIL250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0048118985128"/>
          <c:y val="0.12541666666666668"/>
          <c:w val="0.84328018372703406"/>
          <c:h val="0.71993839311752694"/>
        </c:manualLayout>
      </c:layout>
      <c:scatterChart>
        <c:scatterStyle val="lineMarker"/>
        <c:varyColors val="0"/>
        <c:ser>
          <c:idx val="1"/>
          <c:order val="0"/>
          <c:tx>
            <c:v>DryMix (no surfactants)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[2]Plot!$Q$4:$Q$5</c:f>
              <c:numCache>
                <c:formatCode>General</c:formatCode>
                <c:ptCount val="2"/>
                <c:pt idx="0">
                  <c:v>8.1699999999999995E-2</c:v>
                </c:pt>
                <c:pt idx="1">
                  <c:v>0.29199999999999998</c:v>
                </c:pt>
              </c:numCache>
            </c:numRef>
          </c:xVal>
          <c:yVal>
            <c:numRef>
              <c:f>[2]Plot!$R$4:$R$5</c:f>
              <c:numCache>
                <c:formatCode>General</c:formatCode>
                <c:ptCount val="2"/>
                <c:pt idx="0">
                  <c:v>0.15851111164754528</c:v>
                </c:pt>
                <c:pt idx="1">
                  <c:v>0.33397229516339522</c:v>
                </c:pt>
              </c:numCache>
            </c:numRef>
          </c:yVal>
          <c:smooth val="0"/>
        </c:ser>
        <c:ser>
          <c:idx val="0"/>
          <c:order val="1"/>
          <c:tx>
            <c:v>SDBS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[2]Plot!$N$4:$N$12</c:f>
              <c:numCache>
                <c:formatCode>General</c:formatCode>
                <c:ptCount val="9"/>
                <c:pt idx="0">
                  <c:v>4.6215139442231087E-2</c:v>
                </c:pt>
                <c:pt idx="1">
                  <c:v>0.10800000000000001</c:v>
                </c:pt>
                <c:pt idx="2">
                  <c:v>0.123</c:v>
                </c:pt>
                <c:pt idx="3">
                  <c:v>0.16320000000000001</c:v>
                </c:pt>
                <c:pt idx="4">
                  <c:v>0.16289999999999999</c:v>
                </c:pt>
                <c:pt idx="5">
                  <c:v>0.22600000000000003</c:v>
                </c:pt>
                <c:pt idx="6">
                  <c:v>0.22960000000000003</c:v>
                </c:pt>
                <c:pt idx="7">
                  <c:v>0.24215686274509807</c:v>
                </c:pt>
                <c:pt idx="8">
                  <c:v>0.42354085603112834</c:v>
                </c:pt>
              </c:numCache>
            </c:numRef>
          </c:xVal>
          <c:yVal>
            <c:numRef>
              <c:f>[2]Plot!$O$4:$O$12</c:f>
              <c:numCache>
                <c:formatCode>General</c:formatCode>
                <c:ptCount val="9"/>
                <c:pt idx="0">
                  <c:v>0.90310355443381596</c:v>
                </c:pt>
                <c:pt idx="1">
                  <c:v>1.0202639413037211</c:v>
                </c:pt>
                <c:pt idx="2">
                  <c:v>0.68033118130750481</c:v>
                </c:pt>
                <c:pt idx="3">
                  <c:v>1.2064353350660539</c:v>
                </c:pt>
                <c:pt idx="4">
                  <c:v>1.1897646599867713</c:v>
                </c:pt>
                <c:pt idx="5">
                  <c:v>0.6726012034774449</c:v>
                </c:pt>
                <c:pt idx="6">
                  <c:v>0.6761402294719332</c:v>
                </c:pt>
                <c:pt idx="7">
                  <c:v>1.6270206348312222</c:v>
                </c:pt>
                <c:pt idx="8">
                  <c:v>0.68005178451848636</c:v>
                </c:pt>
              </c:numCache>
            </c:numRef>
          </c:yVal>
          <c:smooth val="0"/>
        </c:ser>
        <c:ser>
          <c:idx val="2"/>
          <c:order val="2"/>
          <c:tx>
            <c:v>CTAB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685069818708855"/>
                  <c:y val="0.32843008188645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[3]Plot!$Q$3:$Q$6</c:f>
              <c:numCache>
                <c:formatCode>General</c:formatCode>
                <c:ptCount val="4"/>
                <c:pt idx="1">
                  <c:v>0.1148</c:v>
                </c:pt>
                <c:pt idx="2">
                  <c:v>0.1653</c:v>
                </c:pt>
                <c:pt idx="3">
                  <c:v>0.29399999999999998</c:v>
                </c:pt>
              </c:numCache>
            </c:numRef>
          </c:xVal>
          <c:yVal>
            <c:numRef>
              <c:f>[3]Plot!$R$3:$R$6</c:f>
              <c:numCache>
                <c:formatCode>General</c:formatCode>
                <c:ptCount val="4"/>
                <c:pt idx="1">
                  <c:v>0.85383658730010126</c:v>
                </c:pt>
                <c:pt idx="2">
                  <c:v>4.0879475526778464</c:v>
                </c:pt>
                <c:pt idx="3">
                  <c:v>5.68233352496227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294992"/>
        <c:axId val="392295384"/>
      </c:scatterChart>
      <c:valAx>
        <c:axId val="39229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42629046369203855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2295384"/>
        <c:crosses val="autoZero"/>
        <c:crossBetween val="midCat"/>
      </c:valAx>
      <c:valAx>
        <c:axId val="392295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Delta T (</a:t>
                </a:r>
                <a:r>
                  <a:rPr lang="en-US" sz="1000" b="0" i="0" u="none" strike="noStrike" baseline="0">
                    <a:effectLst/>
                  </a:rPr>
                  <a:t>°C)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9E-3"/>
              <c:y val="0.3472029017206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9229499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1951769369896045"/>
          <c:y val="0.14009885988226237"/>
          <c:w val="0.32602273903697071"/>
          <c:h val="0.20493405201321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20</xdr:row>
      <xdr:rowOff>104775</xdr:rowOff>
    </xdr:from>
    <xdr:to>
      <xdr:col>10</xdr:col>
      <xdr:colOff>361950</xdr:colOff>
      <xdr:row>34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47625</xdr:rowOff>
    </xdr:from>
    <xdr:to>
      <xdr:col>5</xdr:col>
      <xdr:colOff>581026</xdr:colOff>
      <xdr:row>16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381000</xdr:colOff>
      <xdr:row>0</xdr:row>
      <xdr:rowOff>152400</xdr:rowOff>
    </xdr:from>
    <xdr:to>
      <xdr:col>20</xdr:col>
      <xdr:colOff>180975</xdr:colOff>
      <xdr:row>16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390524</xdr:colOff>
      <xdr:row>18</xdr:row>
      <xdr:rowOff>190499</xdr:rowOff>
    </xdr:from>
    <xdr:to>
      <xdr:col>9</xdr:col>
      <xdr:colOff>76200</xdr:colOff>
      <xdr:row>35</xdr:row>
      <xdr:rowOff>171448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428624</xdr:colOff>
      <xdr:row>18</xdr:row>
      <xdr:rowOff>123825</xdr:rowOff>
    </xdr:from>
    <xdr:to>
      <xdr:col>17</xdr:col>
      <xdr:colOff>200024</xdr:colOff>
      <xdr:row>34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WCNT-COOH%20Stock%2003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2015%20WetMix%20SDBS%20MWC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2015%20WetMix%20CTAB%20%20MWC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1"/>
      <sheetName val="Stock2"/>
      <sheetName val="Stock3"/>
      <sheetName val="Stock4"/>
      <sheetName val="Stock5"/>
      <sheetName val="Stock6"/>
      <sheetName val="Plo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J5">
            <v>0.27579999999999999</v>
          </cell>
          <cell r="K5">
            <v>1.8738211318147791</v>
          </cell>
        </row>
        <row r="6">
          <cell r="J6">
            <v>0.39029999999999998</v>
          </cell>
          <cell r="K6">
            <v>2.2208319439999999</v>
          </cell>
        </row>
        <row r="7">
          <cell r="J7">
            <v>0.53280000000000005</v>
          </cell>
          <cell r="K7">
            <v>2.5568531487496386</v>
          </cell>
        </row>
        <row r="8">
          <cell r="J8">
            <v>0.63</v>
          </cell>
          <cell r="K8">
            <v>2.9047952833649866</v>
          </cell>
        </row>
        <row r="9">
          <cell r="J9">
            <v>0</v>
          </cell>
          <cell r="K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1"/>
      <sheetName val="Stock2"/>
      <sheetName val="Stock3"/>
      <sheetName val="Stock 4"/>
      <sheetName val="Stock 5"/>
      <sheetName val="Stock 6"/>
      <sheetName val="Stock7"/>
      <sheetName val="Stock8"/>
      <sheetName val="Stock9"/>
      <sheetName val="Organic Solvent"/>
      <sheetName val="Pl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G2" t="str">
            <v>PureMWCNT</v>
          </cell>
        </row>
        <row r="4">
          <cell r="B4">
            <v>0.46970297029702979</v>
          </cell>
          <cell r="C4">
            <v>8.6475168852518074</v>
          </cell>
          <cell r="E4">
            <v>6.7449999999999996E-2</v>
          </cell>
          <cell r="F4">
            <v>0.43613838768833446</v>
          </cell>
          <cell r="N4">
            <v>4.6215139442231087E-2</v>
          </cell>
          <cell r="O4">
            <v>0.90310355443381596</v>
          </cell>
          <cell r="Q4">
            <v>8.1699999999999995E-2</v>
          </cell>
          <cell r="R4">
            <v>0.15851111164754528</v>
          </cell>
        </row>
        <row r="5">
          <cell r="B5">
            <v>0.34957816377171219</v>
          </cell>
          <cell r="C5">
            <v>7.5051565471384691</v>
          </cell>
          <cell r="E5">
            <v>0.13500000000000001</v>
          </cell>
          <cell r="F5">
            <v>3.7367457888571067</v>
          </cell>
          <cell r="N5">
            <v>0.10800000000000001</v>
          </cell>
          <cell r="O5">
            <v>1.0202639413037211</v>
          </cell>
          <cell r="Q5">
            <v>0.29199999999999998</v>
          </cell>
          <cell r="R5">
            <v>0.33397229516339522</v>
          </cell>
        </row>
        <row r="6">
          <cell r="B6">
            <v>0.25970149253731345</v>
          </cell>
          <cell r="C6">
            <v>6.6314827878166938</v>
          </cell>
          <cell r="E6">
            <v>0.26800000000000002</v>
          </cell>
          <cell r="F6">
            <v>8.2934280212776663</v>
          </cell>
          <cell r="N6">
            <v>0.123</v>
          </cell>
          <cell r="O6">
            <v>0.68033118130750481</v>
          </cell>
        </row>
        <row r="7">
          <cell r="B7">
            <v>0.12698254364089775</v>
          </cell>
          <cell r="C7">
            <v>4.4333751161918009</v>
          </cell>
          <cell r="E7">
            <v>0.39929999999999999</v>
          </cell>
          <cell r="F7">
            <v>11.895970219133513</v>
          </cell>
          <cell r="N7">
            <v>0.16320000000000001</v>
          </cell>
          <cell r="O7">
            <v>1.2064353350660539</v>
          </cell>
        </row>
        <row r="8">
          <cell r="B8">
            <v>0.65876543209876537</v>
          </cell>
          <cell r="C8">
            <v>9.3220585180555897</v>
          </cell>
          <cell r="E8">
            <v>0.53359999999999996</v>
          </cell>
          <cell r="F8">
            <v>20.463952151772489</v>
          </cell>
          <cell r="N8">
            <v>0.16289999999999999</v>
          </cell>
          <cell r="O8">
            <v>1.1897646599867713</v>
          </cell>
        </row>
        <row r="9">
          <cell r="B9">
            <v>0.59085095917363506</v>
          </cell>
          <cell r="C9">
            <v>9.507500201910748</v>
          </cell>
          <cell r="E9">
            <v>0.66500000000000004</v>
          </cell>
          <cell r="F9">
            <v>30.359068832341961</v>
          </cell>
          <cell r="N9">
            <v>0.22600000000000003</v>
          </cell>
          <cell r="O9">
            <v>0.6726012034774449</v>
          </cell>
        </row>
        <row r="10">
          <cell r="B10">
            <v>0.71598622725036898</v>
          </cell>
          <cell r="C10">
            <v>9.7085727577550749</v>
          </cell>
          <cell r="N10">
            <v>0.22960000000000003</v>
          </cell>
          <cell r="O10">
            <v>0.6761402294719332</v>
          </cell>
        </row>
        <row r="11">
          <cell r="B11">
            <v>0.91177042801556429</v>
          </cell>
          <cell r="C11">
            <v>10.499917596573699</v>
          </cell>
          <cell r="N11">
            <v>0.24215686274509807</v>
          </cell>
          <cell r="O11">
            <v>1.6270206348312222</v>
          </cell>
        </row>
        <row r="12">
          <cell r="N12">
            <v>0.42354085603112834</v>
          </cell>
          <cell r="O12">
            <v>0.68005178451848636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1"/>
      <sheetName val="Stock2"/>
      <sheetName val="Stock3"/>
      <sheetName val="Stock 4"/>
      <sheetName val="Stock 5"/>
      <sheetName val="Stock6"/>
      <sheetName val="Stock7"/>
      <sheetName val="Pl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D3">
            <v>0.1148</v>
          </cell>
          <cell r="E3">
            <v>3.4894560867223801</v>
          </cell>
        </row>
        <row r="4">
          <cell r="D4">
            <v>0.26200000000000001</v>
          </cell>
          <cell r="E4">
            <v>8.5324985404311668</v>
          </cell>
          <cell r="Q4">
            <v>0.1148</v>
          </cell>
          <cell r="R4">
            <v>0.85383658730010126</v>
          </cell>
        </row>
        <row r="5">
          <cell r="D5">
            <v>0.40674937965260549</v>
          </cell>
          <cell r="E5">
            <v>11.719857109776587</v>
          </cell>
          <cell r="Q5">
            <v>0.1653</v>
          </cell>
          <cell r="R5">
            <v>4.0879475526778464</v>
          </cell>
        </row>
        <row r="6">
          <cell r="D6">
            <v>0.51200000000000001</v>
          </cell>
          <cell r="E6">
            <v>13.654214212549569</v>
          </cell>
          <cell r="Q6">
            <v>0.29399999999999998</v>
          </cell>
          <cell r="R6">
            <v>5.68233352496227</v>
          </cell>
        </row>
        <row r="7">
          <cell r="D7">
            <v>0.65700000000000003</v>
          </cell>
          <cell r="E7">
            <v>15.46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topLeftCell="B13" workbookViewId="0">
      <selection activeCell="P25" sqref="P25"/>
    </sheetView>
  </sheetViews>
  <sheetFormatPr defaultRowHeight="15"/>
  <cols>
    <col min="4" max="4" width="17.42578125" customWidth="1"/>
    <col min="6" max="6" width="12.140625" customWidth="1"/>
  </cols>
  <sheetData>
    <row r="1" spans="2:17">
      <c r="B1" t="s">
        <v>20</v>
      </c>
      <c r="C1" t="s">
        <v>23</v>
      </c>
      <c r="E1" t="s">
        <v>24</v>
      </c>
      <c r="F1" t="s">
        <v>25</v>
      </c>
    </row>
    <row r="2" spans="2:17">
      <c r="D2" t="s">
        <v>6</v>
      </c>
      <c r="K2" s="15">
        <v>42192</v>
      </c>
      <c r="L2" t="s">
        <v>22</v>
      </c>
    </row>
    <row r="3" spans="2:17">
      <c r="D3" s="1" t="s">
        <v>5</v>
      </c>
      <c r="K3" s="1" t="s">
        <v>5</v>
      </c>
      <c r="L3" s="27"/>
      <c r="M3" s="27"/>
      <c r="N3" s="27"/>
      <c r="O3" s="27"/>
      <c r="P3" s="27"/>
    </row>
    <row r="4" spans="2:17" ht="18">
      <c r="C4" t="s">
        <v>20</v>
      </c>
      <c r="D4">
        <v>0.13400000000000001</v>
      </c>
      <c r="E4" s="2" t="s">
        <v>0</v>
      </c>
      <c r="F4" s="3" t="s">
        <v>1</v>
      </c>
      <c r="G4" s="3" t="s">
        <v>2</v>
      </c>
      <c r="H4" s="3" t="s">
        <v>3</v>
      </c>
      <c r="I4" s="4" t="s">
        <v>4</v>
      </c>
      <c r="L4" s="2" t="s">
        <v>0</v>
      </c>
      <c r="M4" s="3" t="s">
        <v>1</v>
      </c>
      <c r="N4" s="3" t="s">
        <v>2</v>
      </c>
      <c r="O4" s="3" t="s">
        <v>3</v>
      </c>
      <c r="P4" s="4" t="s">
        <v>4</v>
      </c>
    </row>
    <row r="5" spans="2:17">
      <c r="D5">
        <f>(D4/20)*20</f>
        <v>0.13400000000000001</v>
      </c>
      <c r="E5" s="5">
        <v>20</v>
      </c>
      <c r="F5" s="6">
        <v>100</v>
      </c>
      <c r="G5" s="6">
        <v>24.42522120030052</v>
      </c>
      <c r="H5" s="6">
        <v>27.322007109046403</v>
      </c>
      <c r="I5" s="7">
        <f>H5-G5</f>
        <v>2.8967859087458834</v>
      </c>
      <c r="J5" s="39"/>
      <c r="K5" s="27">
        <f>0.1387-0.0079</f>
        <v>0.1308</v>
      </c>
      <c r="L5" s="5">
        <v>20</v>
      </c>
      <c r="M5" s="6">
        <v>100</v>
      </c>
      <c r="N5" s="8">
        <v>25.430956508574283</v>
      </c>
      <c r="O5" s="8">
        <v>26.977604000425572</v>
      </c>
      <c r="P5" s="7">
        <f>O5-N5</f>
        <v>1.5466474918512887</v>
      </c>
      <c r="Q5" s="28"/>
    </row>
    <row r="6" spans="2:17">
      <c r="K6" s="28">
        <f>0.1414-0.0075</f>
        <v>0.13389999999999999</v>
      </c>
      <c r="L6" s="5">
        <v>20</v>
      </c>
      <c r="M6" s="6">
        <v>100</v>
      </c>
      <c r="N6" s="13">
        <v>26.305468458263199</v>
      </c>
      <c r="O6" s="13">
        <v>27.844572236810468</v>
      </c>
      <c r="P6" s="7">
        <f>O6-N6</f>
        <v>1.5391037785472683</v>
      </c>
    </row>
    <row r="7" spans="2:17">
      <c r="K7" s="29">
        <f>0.137-0.0032</f>
        <v>0.1338</v>
      </c>
      <c r="L7" s="5">
        <v>20</v>
      </c>
      <c r="M7" s="6">
        <v>100</v>
      </c>
      <c r="N7" s="13">
        <v>26.295782702909882</v>
      </c>
      <c r="O7" s="13">
        <v>29.383955412146761</v>
      </c>
      <c r="P7" s="7">
        <f>O7-N7</f>
        <v>3.0881727092368791</v>
      </c>
    </row>
    <row r="9" spans="2:17">
      <c r="J9" s="15">
        <v>42193</v>
      </c>
      <c r="K9" s="30">
        <f>0.1392-0.0087</f>
        <v>0.1305</v>
      </c>
      <c r="L9" s="31">
        <v>20</v>
      </c>
      <c r="M9" s="34">
        <v>100</v>
      </c>
      <c r="N9" s="13">
        <v>25.442598041450864</v>
      </c>
      <c r="O9" s="13">
        <v>29.195735108598186</v>
      </c>
      <c r="P9" s="35">
        <f>O9-N9</f>
        <v>3.7531370671473212</v>
      </c>
      <c r="Q9" s="37"/>
    </row>
    <row r="10" spans="2:17">
      <c r="D10" s="18"/>
      <c r="E10" s="18"/>
      <c r="F10" s="18"/>
      <c r="G10" s="18"/>
      <c r="H10" s="18"/>
      <c r="I10" s="18"/>
      <c r="K10" s="32">
        <f>0.1306-0.0003</f>
        <v>0.1303</v>
      </c>
      <c r="L10" s="5">
        <v>20</v>
      </c>
      <c r="M10" s="6">
        <v>100</v>
      </c>
      <c r="N10" s="13">
        <v>25.605113840407963</v>
      </c>
      <c r="O10" s="13">
        <v>29.126351572653753</v>
      </c>
      <c r="P10" s="7">
        <f>O10-N10</f>
        <v>3.5212377322457904</v>
      </c>
      <c r="Q10" s="37"/>
    </row>
    <row r="11" spans="2:17">
      <c r="D11" s="18"/>
      <c r="E11" s="18"/>
      <c r="F11" s="18"/>
      <c r="G11" s="18"/>
      <c r="H11" s="18"/>
      <c r="I11" s="18"/>
      <c r="K11" s="33">
        <f>0.1347</f>
        <v>0.13469999999999999</v>
      </c>
      <c r="L11" s="5">
        <v>20</v>
      </c>
      <c r="M11" s="6">
        <v>100</v>
      </c>
      <c r="N11" s="13">
        <v>25.569164786885064</v>
      </c>
      <c r="O11" s="13">
        <v>28.169324437935618</v>
      </c>
      <c r="P11" s="7">
        <f>O11-N11</f>
        <v>2.6001596510505536</v>
      </c>
    </row>
    <row r="12" spans="2:17">
      <c r="D12" s="15">
        <v>42152</v>
      </c>
      <c r="E12" s="18"/>
      <c r="F12" s="18"/>
      <c r="G12" s="18"/>
      <c r="H12" s="18"/>
      <c r="I12" s="18"/>
    </row>
    <row r="13" spans="2:17">
      <c r="C13" t="s">
        <v>21</v>
      </c>
      <c r="D13" s="1" t="s">
        <v>5</v>
      </c>
      <c r="E13" s="18"/>
      <c r="F13" s="18"/>
      <c r="G13" s="18"/>
      <c r="H13" s="18"/>
      <c r="I13" s="18"/>
      <c r="K13" s="15">
        <v>42198</v>
      </c>
    </row>
    <row r="14" spans="2:17" ht="18">
      <c r="D14" s="18"/>
      <c r="E14" s="2" t="s">
        <v>0</v>
      </c>
      <c r="F14" s="3" t="s">
        <v>1</v>
      </c>
      <c r="G14" s="3" t="s">
        <v>2</v>
      </c>
      <c r="H14" s="3" t="s">
        <v>3</v>
      </c>
      <c r="I14" s="4" t="s">
        <v>4</v>
      </c>
      <c r="K14" s="32"/>
      <c r="L14" s="2" t="s">
        <v>0</v>
      </c>
      <c r="M14" s="3" t="s">
        <v>1</v>
      </c>
      <c r="N14" s="3" t="s">
        <v>2</v>
      </c>
      <c r="O14" s="3" t="s">
        <v>3</v>
      </c>
      <c r="P14" s="4" t="s">
        <v>4</v>
      </c>
    </row>
    <row r="15" spans="2:17">
      <c r="D15" s="18">
        <f>0.1358</f>
        <v>0.1358</v>
      </c>
      <c r="E15" s="5">
        <v>20</v>
      </c>
      <c r="F15" s="6">
        <v>100</v>
      </c>
      <c r="G15" s="8">
        <v>25.441107925242651</v>
      </c>
      <c r="H15" s="8">
        <v>25.951007065236983</v>
      </c>
      <c r="I15" s="7">
        <f>H15-G15</f>
        <v>0.50989913999433156</v>
      </c>
      <c r="K15" s="32">
        <f>0.1453-0.0068</f>
        <v>0.13850000000000001</v>
      </c>
      <c r="L15" s="5">
        <v>20</v>
      </c>
      <c r="M15" s="6">
        <v>100</v>
      </c>
      <c r="N15" s="8">
        <v>25.5856491974383</v>
      </c>
      <c r="O15" s="8">
        <v>27.003029108228034</v>
      </c>
      <c r="P15" s="36">
        <f t="shared" ref="P15:P20" si="0">O15-N15</f>
        <v>1.4173799107897338</v>
      </c>
      <c r="Q15" s="38"/>
    </row>
    <row r="16" spans="2:17">
      <c r="D16" s="18">
        <f>0.1491-0.0175</f>
        <v>0.13159999999999999</v>
      </c>
      <c r="E16" s="5">
        <v>20</v>
      </c>
      <c r="F16" s="6">
        <v>100</v>
      </c>
      <c r="G16" s="13">
        <v>25.60725588245726</v>
      </c>
      <c r="H16" s="13">
        <v>25.96199667227248</v>
      </c>
      <c r="I16" s="7">
        <f>H16-G16</f>
        <v>0.35474078981522084</v>
      </c>
      <c r="J16" s="38"/>
      <c r="K16" s="32">
        <f>0.1419-0.007</f>
        <v>0.13489999999999999</v>
      </c>
      <c r="L16" s="5">
        <v>20</v>
      </c>
      <c r="M16" s="6">
        <v>100</v>
      </c>
      <c r="N16" s="13">
        <v>25.643484332769173</v>
      </c>
      <c r="O16" s="13">
        <v>26.896299534815512</v>
      </c>
      <c r="P16" s="7">
        <f t="shared" si="0"/>
        <v>1.2528152020463388</v>
      </c>
      <c r="Q16" s="41"/>
    </row>
    <row r="17" spans="4:18">
      <c r="D17" s="18">
        <f>(D16/20)*20</f>
        <v>0.13159999999999999</v>
      </c>
      <c r="E17" s="18"/>
      <c r="F17" s="18"/>
      <c r="G17" s="18">
        <v>24.422240967884118</v>
      </c>
      <c r="H17" s="18">
        <v>24.776236699595263</v>
      </c>
      <c r="I17" s="7">
        <f>H17-G17</f>
        <v>0.3539957317111444</v>
      </c>
      <c r="J17" s="28"/>
      <c r="K17" s="32">
        <f>0.177-0.0398</f>
        <v>0.13719999999999999</v>
      </c>
      <c r="L17" s="5">
        <v>20</v>
      </c>
      <c r="M17" s="6">
        <v>100</v>
      </c>
      <c r="N17" s="13">
        <v>25.473052291456</v>
      </c>
      <c r="O17" s="13">
        <v>26.90533336432776</v>
      </c>
      <c r="P17" s="7">
        <f t="shared" si="0"/>
        <v>1.4322810728717599</v>
      </c>
      <c r="Q17" s="41"/>
    </row>
    <row r="18" spans="4:18">
      <c r="D18" s="18"/>
      <c r="E18" s="18"/>
      <c r="F18" s="18"/>
      <c r="G18" s="18"/>
      <c r="H18" s="18"/>
      <c r="I18" s="18"/>
      <c r="K18" s="32">
        <f>0.1532-0.0169</f>
        <v>0.1363</v>
      </c>
      <c r="L18" s="5">
        <v>20</v>
      </c>
      <c r="M18" s="6">
        <v>100</v>
      </c>
      <c r="N18" s="13">
        <v>25.127345331153002</v>
      </c>
      <c r="O18" s="13">
        <v>26.6321314055998</v>
      </c>
      <c r="P18" s="7">
        <f t="shared" si="0"/>
        <v>1.5047860744467982</v>
      </c>
      <c r="Q18" s="41"/>
    </row>
    <row r="19" spans="4:18">
      <c r="D19" s="18"/>
      <c r="E19" s="18"/>
      <c r="F19" s="18"/>
      <c r="G19" s="18"/>
      <c r="H19" s="18"/>
      <c r="I19" s="18"/>
      <c r="K19" s="40">
        <f>0.1409-0.0229</f>
        <v>0.11799999999999999</v>
      </c>
      <c r="L19" s="5">
        <v>20</v>
      </c>
      <c r="M19" s="6">
        <v>100</v>
      </c>
      <c r="N19" s="13">
        <v>24.770369367025459</v>
      </c>
      <c r="O19" s="13">
        <v>25.983323960502396</v>
      </c>
      <c r="P19" s="7">
        <f t="shared" si="0"/>
        <v>1.2129545934769368</v>
      </c>
      <c r="Q19" s="41"/>
    </row>
    <row r="20" spans="4:18">
      <c r="K20" s="41">
        <f>0.141-0.0069</f>
        <v>0.1341</v>
      </c>
      <c r="L20" s="5">
        <v>20</v>
      </c>
      <c r="M20" s="6">
        <v>100</v>
      </c>
      <c r="N20" s="13">
        <v>25.005248934343388</v>
      </c>
      <c r="O20" s="13">
        <v>26.314222890986368</v>
      </c>
      <c r="P20" s="7">
        <f t="shared" si="0"/>
        <v>1.3089739566429799</v>
      </c>
      <c r="Q20" s="41"/>
    </row>
    <row r="23" spans="4:18">
      <c r="K23" s="47">
        <v>42230</v>
      </c>
      <c r="L23" s="46" t="s">
        <v>27</v>
      </c>
      <c r="M23" s="46"/>
      <c r="N23" s="46"/>
      <c r="O23" s="46"/>
      <c r="P23" s="46"/>
    </row>
    <row r="24" spans="4:18" ht="18">
      <c r="K24" s="46"/>
      <c r="L24" s="2" t="s">
        <v>0</v>
      </c>
      <c r="M24" s="3" t="s">
        <v>1</v>
      </c>
      <c r="N24" s="3" t="s">
        <v>2</v>
      </c>
      <c r="O24" s="3" t="s">
        <v>3</v>
      </c>
      <c r="P24" s="4" t="s">
        <v>4</v>
      </c>
    </row>
    <row r="25" spans="4:18">
      <c r="K25" s="46">
        <f>0.132</f>
        <v>0.13200000000000001</v>
      </c>
      <c r="L25" s="5">
        <v>20</v>
      </c>
      <c r="M25" s="6">
        <v>100</v>
      </c>
      <c r="N25" s="8">
        <v>25.619176812122859</v>
      </c>
      <c r="O25" s="8">
        <v>28.170907686406828</v>
      </c>
      <c r="P25" s="36">
        <f t="shared" ref="P25:P30" si="1">O25-N25</f>
        <v>2.5517308742839688</v>
      </c>
      <c r="Q25">
        <f>P25/K25</f>
        <v>19.331294502151277</v>
      </c>
    </row>
    <row r="26" spans="4:18">
      <c r="K26" s="46">
        <f>0.1436-0.0069</f>
        <v>0.13670000000000002</v>
      </c>
      <c r="L26" s="5">
        <v>20</v>
      </c>
      <c r="M26" s="6">
        <v>100</v>
      </c>
      <c r="N26" s="13">
        <v>25.119056559744859</v>
      </c>
      <c r="O26" s="13">
        <v>27.849694511276162</v>
      </c>
      <c r="P26" s="7">
        <f t="shared" si="1"/>
        <v>2.7306379515313033</v>
      </c>
      <c r="Q26" s="48">
        <f>P26/K26</f>
        <v>19.975405643974419</v>
      </c>
      <c r="R26">
        <f>AVERAGE(P25:P28)</f>
        <v>2.6899158695290142</v>
      </c>
    </row>
    <row r="27" spans="4:18">
      <c r="K27" s="46">
        <f>0.1452-0.0086</f>
        <v>0.1366</v>
      </c>
      <c r="L27" s="5">
        <v>20</v>
      </c>
      <c r="M27" s="6">
        <v>100</v>
      </c>
      <c r="N27" s="13">
        <v>25.96357992074369</v>
      </c>
      <c r="O27" s="13">
        <v>28.864929310377214</v>
      </c>
      <c r="P27" s="7">
        <f t="shared" si="1"/>
        <v>2.9013493896335234</v>
      </c>
      <c r="Q27" s="49">
        <f>P27/K27</f>
        <v>21.239746629820814</v>
      </c>
      <c r="R27">
        <f>_xlfn.STDEV.P(P25:P28)</f>
        <v>0.14004179155317756</v>
      </c>
    </row>
    <row r="28" spans="4:18">
      <c r="K28" s="46">
        <f>0.1357-0</f>
        <v>0.13569999999999999</v>
      </c>
      <c r="L28" s="5">
        <v>20</v>
      </c>
      <c r="M28" s="6">
        <v>100</v>
      </c>
      <c r="N28" s="51">
        <v>26.286562608871613</v>
      </c>
      <c r="O28" s="50">
        <v>28.862507871538874</v>
      </c>
      <c r="P28" s="7">
        <f t="shared" si="1"/>
        <v>2.5759452626672612</v>
      </c>
      <c r="Q28" s="51">
        <f>P28/K28</f>
        <v>18.982647477282693</v>
      </c>
      <c r="R28">
        <f>R27/R26</f>
        <v>5.2061773804731641E-2</v>
      </c>
    </row>
    <row r="29" spans="4:18">
      <c r="K29" s="46">
        <f>0.1409-0.0229</f>
        <v>0.11799999999999999</v>
      </c>
      <c r="L29" s="5">
        <v>20</v>
      </c>
      <c r="M29" s="6">
        <v>100</v>
      </c>
      <c r="N29" s="13"/>
      <c r="O29" s="13"/>
      <c r="P29" s="7">
        <f t="shared" si="1"/>
        <v>0</v>
      </c>
    </row>
    <row r="30" spans="4:18">
      <c r="K30" s="46">
        <f>0.141-0.0069</f>
        <v>0.1341</v>
      </c>
      <c r="L30" s="5">
        <v>20</v>
      </c>
      <c r="M30" s="6">
        <v>100</v>
      </c>
      <c r="N30" s="13"/>
      <c r="O30" s="13"/>
      <c r="P30" s="7">
        <f t="shared" si="1"/>
        <v>0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33"/>
  <sheetViews>
    <sheetView topLeftCell="B19" workbookViewId="0">
      <selection activeCell="F38" sqref="F38"/>
    </sheetView>
  </sheetViews>
  <sheetFormatPr defaultRowHeight="15"/>
  <cols>
    <col min="7" max="7" width="11.140625" customWidth="1"/>
  </cols>
  <sheetData>
    <row r="3" spans="5:20">
      <c r="E3" t="s">
        <v>7</v>
      </c>
    </row>
    <row r="4" spans="5:20">
      <c r="E4" s="1" t="s">
        <v>8</v>
      </c>
    </row>
    <row r="5" spans="5:20" ht="18">
      <c r="E5">
        <v>0.13239999999999999</v>
      </c>
      <c r="F5" s="2" t="s">
        <v>0</v>
      </c>
      <c r="G5" s="3" t="s">
        <v>1</v>
      </c>
      <c r="H5" s="3" t="s">
        <v>2</v>
      </c>
      <c r="I5" s="3" t="s">
        <v>3</v>
      </c>
      <c r="J5" s="4" t="s">
        <v>4</v>
      </c>
    </row>
    <row r="6" spans="5:20">
      <c r="E6">
        <f>(E5/20)*40</f>
        <v>0.26479999999999998</v>
      </c>
      <c r="F6" s="5">
        <v>20</v>
      </c>
      <c r="G6" s="6">
        <v>100</v>
      </c>
      <c r="H6" s="8">
        <v>23.764261529699699</v>
      </c>
      <c r="I6" s="8">
        <v>33.301005262196398</v>
      </c>
      <c r="J6" s="7">
        <f>I6-H6</f>
        <v>9.5367437324966993</v>
      </c>
    </row>
    <row r="13" spans="5:20"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5:20"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5:20">
      <c r="E15" s="18"/>
      <c r="F15" s="15">
        <v>42154</v>
      </c>
      <c r="G15" s="18"/>
      <c r="H15" s="18"/>
      <c r="I15" s="18"/>
      <c r="J15" s="18"/>
      <c r="K15" s="18"/>
      <c r="L15" s="18"/>
      <c r="M15" s="18"/>
      <c r="N15" s="15">
        <v>42156</v>
      </c>
      <c r="O15" s="18"/>
      <c r="P15" s="18"/>
      <c r="Q15" s="18"/>
      <c r="R15" s="18"/>
      <c r="S15" s="18"/>
      <c r="T15" s="18"/>
    </row>
    <row r="16" spans="5:20">
      <c r="E16" s="18"/>
      <c r="F16" s="1" t="s">
        <v>8</v>
      </c>
      <c r="G16" s="18"/>
      <c r="H16" s="18"/>
      <c r="I16" s="18"/>
      <c r="J16" s="18"/>
      <c r="K16" s="18"/>
      <c r="L16" s="18"/>
      <c r="M16" s="18"/>
      <c r="N16" s="1" t="s">
        <v>8</v>
      </c>
      <c r="O16" s="18"/>
      <c r="P16" s="18"/>
      <c r="Q16" s="18"/>
      <c r="R16" s="18"/>
      <c r="S16" s="18"/>
      <c r="T16" s="18"/>
    </row>
    <row r="17" spans="4:20" ht="18">
      <c r="E17" s="18"/>
      <c r="F17" s="18"/>
      <c r="G17" s="2" t="s">
        <v>0</v>
      </c>
      <c r="H17" s="3" t="s">
        <v>1</v>
      </c>
      <c r="I17" s="3" t="s">
        <v>2</v>
      </c>
      <c r="J17" s="3" t="s">
        <v>3</v>
      </c>
      <c r="K17" s="4" t="s">
        <v>4</v>
      </c>
      <c r="L17" s="18"/>
      <c r="M17" s="18"/>
      <c r="N17" s="18"/>
      <c r="O17" s="2" t="s">
        <v>0</v>
      </c>
      <c r="P17" s="3" t="s">
        <v>1</v>
      </c>
      <c r="Q17" s="3" t="s">
        <v>2</v>
      </c>
      <c r="R17" s="3" t="s">
        <v>3</v>
      </c>
      <c r="S17" s="4" t="s">
        <v>4</v>
      </c>
      <c r="T17" s="18"/>
    </row>
    <row r="18" spans="4:20">
      <c r="E18" s="18"/>
      <c r="F18" s="18">
        <f>0.1354</f>
        <v>0.13539999999999999</v>
      </c>
      <c r="G18" s="5">
        <v>20</v>
      </c>
      <c r="H18" s="6">
        <v>100</v>
      </c>
      <c r="I18" s="8">
        <v>25.629514493317274</v>
      </c>
      <c r="J18" s="8">
        <v>27.337746461495559</v>
      </c>
      <c r="K18" s="7">
        <f>J18-I18</f>
        <v>1.7082319681782856</v>
      </c>
      <c r="L18" s="18"/>
      <c r="M18" s="18"/>
      <c r="N18" s="18">
        <f>0.1444-0.008</f>
        <v>0.13639999999999999</v>
      </c>
      <c r="O18" s="5">
        <v>20</v>
      </c>
      <c r="P18" s="6">
        <v>100</v>
      </c>
      <c r="Q18" s="8">
        <v>26.466680405538117</v>
      </c>
      <c r="R18" s="8">
        <v>28.86502244264021</v>
      </c>
      <c r="S18" s="7">
        <f>R18-Q18</f>
        <v>2.3983420371020934</v>
      </c>
      <c r="T18" s="18"/>
    </row>
    <row r="19" spans="4:20">
      <c r="E19" s="18"/>
      <c r="F19" s="18">
        <f>0.1357-0.0019</f>
        <v>0.13379999999999997</v>
      </c>
      <c r="G19" s="5">
        <v>20</v>
      </c>
      <c r="H19" s="6">
        <v>100</v>
      </c>
      <c r="I19" s="13">
        <v>28.240943148192343</v>
      </c>
      <c r="J19" s="13">
        <v>29.515644432046685</v>
      </c>
      <c r="K19" s="7">
        <f>J19-I19</f>
        <v>1.2747012838543412</v>
      </c>
      <c r="L19" s="18"/>
      <c r="M19" s="18"/>
      <c r="N19" s="18">
        <f>0.1368-0.0009</f>
        <v>0.13589999999999999</v>
      </c>
      <c r="O19" s="5">
        <v>20</v>
      </c>
      <c r="P19" s="6">
        <v>100</v>
      </c>
      <c r="Q19" s="8">
        <v>27.052761736676786</v>
      </c>
      <c r="R19" s="8">
        <v>29.37790181505094</v>
      </c>
      <c r="S19" s="7">
        <f>R19-Q19</f>
        <v>2.3251400783741545</v>
      </c>
      <c r="T19" s="18"/>
    </row>
    <row r="20" spans="4:20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4:20">
      <c r="E21" s="18"/>
      <c r="F21" s="18"/>
      <c r="G21" s="18"/>
      <c r="H21" s="18"/>
      <c r="I21" s="18"/>
      <c r="J21" s="18"/>
      <c r="K21" s="18"/>
      <c r="L21" s="18"/>
      <c r="N21" s="18"/>
      <c r="O21" s="18"/>
      <c r="P21" s="18"/>
      <c r="Q21" s="18"/>
      <c r="R21" s="18"/>
      <c r="S21" s="18"/>
      <c r="T21" s="18"/>
    </row>
    <row r="22" spans="4:20">
      <c r="E22" s="18"/>
      <c r="F22" s="18"/>
      <c r="G22" s="18"/>
      <c r="H22" s="18"/>
      <c r="I22" s="18"/>
      <c r="J22" s="18"/>
      <c r="K22" s="18"/>
      <c r="L22" s="18"/>
      <c r="M22" s="18"/>
      <c r="N22" s="1" t="s">
        <v>8</v>
      </c>
      <c r="O22" s="41"/>
      <c r="P22" s="41"/>
      <c r="Q22" s="41"/>
      <c r="R22" s="41"/>
      <c r="S22" s="41"/>
      <c r="T22" s="18"/>
    </row>
    <row r="23" spans="4:20" ht="18">
      <c r="N23" s="41"/>
      <c r="O23" s="2" t="s">
        <v>0</v>
      </c>
      <c r="P23" s="3" t="s">
        <v>1</v>
      </c>
      <c r="Q23" s="3" t="s">
        <v>2</v>
      </c>
      <c r="R23" s="3" t="s">
        <v>3</v>
      </c>
      <c r="S23" s="4" t="s">
        <v>4</v>
      </c>
    </row>
    <row r="24" spans="4:20">
      <c r="M24" s="15">
        <v>42200</v>
      </c>
      <c r="N24" s="41">
        <f>0.14-0.0025</f>
        <v>0.13750000000000001</v>
      </c>
      <c r="O24" s="5">
        <v>20</v>
      </c>
      <c r="P24" s="6">
        <v>100</v>
      </c>
      <c r="Q24" s="8">
        <v>25.522505523115736</v>
      </c>
      <c r="R24" s="8">
        <v>31.05009159744333</v>
      </c>
      <c r="S24" s="7">
        <f>R24-Q24</f>
        <v>5.5275860743275942</v>
      </c>
    </row>
    <row r="25" spans="4:20">
      <c r="N25" s="41">
        <f>0.15-0.0145</f>
        <v>0.13549999999999998</v>
      </c>
      <c r="O25" s="5">
        <v>20</v>
      </c>
      <c r="P25" s="6">
        <v>100</v>
      </c>
      <c r="Q25" s="13">
        <v>25.887154152911471</v>
      </c>
      <c r="R25" s="13">
        <v>32.447913733000377</v>
      </c>
      <c r="S25" s="7">
        <f>R25-Q25</f>
        <v>6.5607595800889058</v>
      </c>
      <c r="T25" s="41"/>
    </row>
    <row r="26" spans="4:20">
      <c r="D26" s="51"/>
      <c r="E26" s="1" t="s">
        <v>8</v>
      </c>
      <c r="F26" s="51"/>
      <c r="G26" s="51">
        <f>E31*2</f>
        <v>0.27560000000000001</v>
      </c>
      <c r="H26" s="51"/>
      <c r="I26" s="51"/>
      <c r="J26" s="51"/>
      <c r="M26" s="15">
        <v>42205</v>
      </c>
      <c r="N26" s="41">
        <f>0.1391-0.0084</f>
        <v>0.13070000000000001</v>
      </c>
      <c r="O26" s="5">
        <v>20</v>
      </c>
      <c r="P26" s="6">
        <v>100</v>
      </c>
      <c r="Q26" s="13">
        <v>26.299042332115324</v>
      </c>
      <c r="R26" s="13">
        <v>35.668613652504312</v>
      </c>
      <c r="S26" s="7">
        <f t="shared" ref="S26:S29" si="0">R26-Q26</f>
        <v>9.3695713203889888</v>
      </c>
      <c r="T26" s="42"/>
    </row>
    <row r="27" spans="4:20" ht="18">
      <c r="D27" s="51"/>
      <c r="E27" s="51"/>
      <c r="F27" s="2" t="s">
        <v>0</v>
      </c>
      <c r="G27" s="3" t="s">
        <v>1</v>
      </c>
      <c r="H27" s="3" t="s">
        <v>2</v>
      </c>
      <c r="I27" s="3" t="s">
        <v>3</v>
      </c>
      <c r="J27" s="4" t="s">
        <v>4</v>
      </c>
      <c r="N27" s="41">
        <f>0.1405-0.0093</f>
        <v>0.13120000000000001</v>
      </c>
      <c r="O27" s="5">
        <v>20</v>
      </c>
      <c r="P27" s="6">
        <v>100</v>
      </c>
      <c r="Q27" s="13">
        <v>26.309752542361782</v>
      </c>
      <c r="R27" s="13">
        <v>35.682676624219205</v>
      </c>
      <c r="S27" s="7">
        <f t="shared" si="0"/>
        <v>9.3729240818574233</v>
      </c>
      <c r="T27" s="43"/>
    </row>
    <row r="28" spans="4:20">
      <c r="D28" s="47">
        <v>42235</v>
      </c>
      <c r="E28" s="51">
        <f>0.144-0.0118</f>
        <v>0.13219999999999998</v>
      </c>
      <c r="F28" s="5">
        <v>20</v>
      </c>
      <c r="G28" s="6">
        <v>100</v>
      </c>
      <c r="H28" s="8">
        <v>26.296062099698897</v>
      </c>
      <c r="I28" s="8">
        <v>30.38615169442604</v>
      </c>
      <c r="J28" s="7">
        <f>I28-H28</f>
        <v>4.090089594727143</v>
      </c>
      <c r="K28">
        <f>J28/E28</f>
        <v>30.938650489615306</v>
      </c>
      <c r="L28">
        <f>AVERAGE(J28:J31)</f>
        <v>4.1312773380444892</v>
      </c>
      <c r="N28" s="41">
        <f>0.1378-0.0025</f>
        <v>0.1353</v>
      </c>
      <c r="O28" s="5">
        <v>20</v>
      </c>
      <c r="P28" s="6">
        <v>100</v>
      </c>
      <c r="Q28" s="13">
        <v>26.306958574471402</v>
      </c>
      <c r="R28" s="13">
        <v>34.7941948350784</v>
      </c>
      <c r="S28" s="7">
        <f t="shared" si="0"/>
        <v>8.4872362606069984</v>
      </c>
      <c r="T28" s="44"/>
    </row>
    <row r="29" spans="4:20">
      <c r="D29" s="51" t="s">
        <v>27</v>
      </c>
      <c r="E29" s="51">
        <f>0.1474-0.0145</f>
        <v>0.13289999999999999</v>
      </c>
      <c r="F29" s="5">
        <v>20</v>
      </c>
      <c r="G29" s="6">
        <v>100</v>
      </c>
      <c r="H29" s="13">
        <v>25.455077764694551</v>
      </c>
      <c r="I29" s="13">
        <v>29.38274469272762</v>
      </c>
      <c r="J29" s="7">
        <f>I29-H29</f>
        <v>3.9276669280330694</v>
      </c>
      <c r="K29" s="52">
        <f>J29/E29</f>
        <v>29.553551001001278</v>
      </c>
      <c r="L29">
        <f>_xlfn.STDEV.P(J28:J31)</f>
        <v>0.17835998408982692</v>
      </c>
      <c r="N29" s="41">
        <f>0.1405-0.0066</f>
        <v>0.13390000000000002</v>
      </c>
      <c r="O29" s="5">
        <v>20</v>
      </c>
      <c r="P29" s="6">
        <v>100</v>
      </c>
      <c r="Q29" s="13">
        <v>26.300532448323512</v>
      </c>
      <c r="R29" s="13">
        <v>35.373943172332226</v>
      </c>
      <c r="S29" s="7">
        <f t="shared" si="0"/>
        <v>9.0734107240087134</v>
      </c>
      <c r="T29" s="45"/>
    </row>
    <row r="30" spans="4:20">
      <c r="D30" s="15"/>
      <c r="E30" s="51">
        <f>0.1486-0.0143</f>
        <v>0.1343</v>
      </c>
      <c r="F30" s="5">
        <v>20</v>
      </c>
      <c r="G30" s="6">
        <v>100</v>
      </c>
      <c r="H30" s="13">
        <v>25.625044144692662</v>
      </c>
      <c r="I30" s="13">
        <v>29.714202416789675</v>
      </c>
      <c r="J30" s="7">
        <f t="shared" ref="J30:J31" si="1">I30-H30</f>
        <v>4.0891582720970128</v>
      </c>
      <c r="K30" s="54">
        <f>J30/E30</f>
        <v>30.447939479501212</v>
      </c>
      <c r="L30">
        <f>L29/L28</f>
        <v>4.3173084132437443E-2</v>
      </c>
      <c r="N30" s="45">
        <f>0.1308-0</f>
        <v>0.1308</v>
      </c>
      <c r="O30" s="5">
        <v>20</v>
      </c>
      <c r="P30" s="6">
        <v>100</v>
      </c>
      <c r="Q30" s="13">
        <v>27.01671955089089</v>
      </c>
      <c r="R30" s="13">
        <v>35.628380514882842</v>
      </c>
      <c r="S30" s="7">
        <f t="shared" ref="S30:S31" si="2">R30-Q30</f>
        <v>8.6116609639919517</v>
      </c>
      <c r="T30" s="45"/>
    </row>
    <row r="31" spans="4:20">
      <c r="D31" s="51"/>
      <c r="E31" s="51">
        <f>0.1378</f>
        <v>0.13780000000000001</v>
      </c>
      <c r="F31" s="5">
        <v>20</v>
      </c>
      <c r="G31" s="6">
        <v>100</v>
      </c>
      <c r="H31" s="13">
        <v>25.968143401631327</v>
      </c>
      <c r="I31" s="13">
        <v>30.386337958952058</v>
      </c>
      <c r="J31" s="7">
        <f t="shared" si="1"/>
        <v>4.4181945573207315</v>
      </c>
      <c r="K31" s="55">
        <f>J31/E31</f>
        <v>32.062369791877586</v>
      </c>
      <c r="N31" s="45">
        <f>0.1407-0.0052</f>
        <v>0.13549999999999998</v>
      </c>
      <c r="O31" s="5">
        <v>20</v>
      </c>
      <c r="P31" s="6">
        <v>100</v>
      </c>
      <c r="Q31" s="8">
        <v>26.309127736635698</v>
      </c>
      <c r="R31" s="8">
        <v>34.996664374867947</v>
      </c>
      <c r="S31" s="7">
        <f t="shared" si="2"/>
        <v>8.687536638232249</v>
      </c>
      <c r="T31" s="45"/>
    </row>
    <row r="32" spans="4:20">
      <c r="D32" s="51"/>
      <c r="E32" s="51"/>
      <c r="F32" s="5"/>
      <c r="G32" s="6"/>
      <c r="H32" s="8"/>
      <c r="I32" s="8"/>
      <c r="J32" s="7"/>
      <c r="K32" s="56"/>
      <c r="M32" s="15">
        <v>42207</v>
      </c>
      <c r="N32" s="46">
        <f>0.1499-0.0143</f>
        <v>0.1356</v>
      </c>
      <c r="O32" s="5">
        <v>20</v>
      </c>
      <c r="P32" s="6">
        <v>100</v>
      </c>
      <c r="Q32" s="13">
        <v>25.346764942810818</v>
      </c>
      <c r="R32" s="13">
        <v>45.23720861895135</v>
      </c>
      <c r="S32" s="7">
        <f t="shared" ref="S32" si="3">R32-Q32</f>
        <v>19.890443676140531</v>
      </c>
      <c r="T32" s="46"/>
    </row>
    <row r="33" spans="14:19">
      <c r="N33" s="46">
        <f>0.1558-0.024</f>
        <v>0.1318</v>
      </c>
      <c r="O33" s="5">
        <v>20</v>
      </c>
      <c r="P33" s="6">
        <v>100</v>
      </c>
      <c r="Q33" s="13">
        <v>25.446230199708349</v>
      </c>
      <c r="R33" s="13">
        <v>48.768132106550475</v>
      </c>
      <c r="S33" s="7">
        <f t="shared" ref="S33" si="4">R33-Q33</f>
        <v>23.321901906842125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Y28"/>
  <sheetViews>
    <sheetView topLeftCell="A13" workbookViewId="0">
      <selection activeCell="M33" sqref="M33"/>
    </sheetView>
  </sheetViews>
  <sheetFormatPr defaultRowHeight="15"/>
  <sheetData>
    <row r="3" spans="5:24">
      <c r="E3" t="s">
        <v>9</v>
      </c>
    </row>
    <row r="4" spans="5:24">
      <c r="E4" s="1" t="s">
        <v>10</v>
      </c>
    </row>
    <row r="5" spans="5:24" ht="18">
      <c r="E5">
        <v>0.13389999999999999</v>
      </c>
      <c r="F5" s="2" t="s">
        <v>0</v>
      </c>
      <c r="G5" s="3" t="s">
        <v>1</v>
      </c>
      <c r="H5" s="3" t="s">
        <v>2</v>
      </c>
      <c r="I5" s="3" t="s">
        <v>3</v>
      </c>
      <c r="J5" s="4" t="s">
        <v>4</v>
      </c>
      <c r="L5" s="9">
        <v>0.40169999999999995</v>
      </c>
      <c r="M5" s="7">
        <v>26.805514204830786</v>
      </c>
    </row>
    <row r="6" spans="5:24">
      <c r="E6">
        <f>(E5/20)*60</f>
        <v>0.40169999999999995</v>
      </c>
      <c r="F6" s="5">
        <v>20</v>
      </c>
      <c r="G6" s="6">
        <v>100</v>
      </c>
      <c r="H6" s="8">
        <v>25.117938972588711</v>
      </c>
      <c r="I6" s="8">
        <v>51.923453177419496</v>
      </c>
      <c r="J6" s="7">
        <f>I6-H6</f>
        <v>26.805514204830786</v>
      </c>
      <c r="L6" s="9">
        <v>0.26479999999999998</v>
      </c>
      <c r="M6" s="7">
        <v>9.5367437324966993</v>
      </c>
    </row>
    <row r="7" spans="5:24">
      <c r="L7" s="9">
        <v>0.13400000000000001</v>
      </c>
      <c r="M7" s="7">
        <v>2.8967859087458834</v>
      </c>
    </row>
    <row r="14" spans="5:24">
      <c r="G14" s="15">
        <v>42163</v>
      </c>
    </row>
    <row r="15" spans="5:24">
      <c r="G15" t="s">
        <v>10</v>
      </c>
      <c r="R15" s="47">
        <v>42241</v>
      </c>
      <c r="S15" s="56" t="s">
        <v>10</v>
      </c>
      <c r="T15" s="56"/>
      <c r="U15" s="56"/>
      <c r="V15" s="56"/>
      <c r="W15" s="56"/>
      <c r="X15" s="56"/>
    </row>
    <row r="16" spans="5:24">
      <c r="G16">
        <v>0.1246</v>
      </c>
      <c r="H16" t="s">
        <v>0</v>
      </c>
      <c r="I16" t="s">
        <v>1</v>
      </c>
      <c r="J16" t="s">
        <v>19</v>
      </c>
      <c r="K16" t="s">
        <v>3</v>
      </c>
      <c r="L16" t="s">
        <v>4</v>
      </c>
      <c r="S16" s="56">
        <f>0.1536-0.0137</f>
        <v>0.1399</v>
      </c>
      <c r="T16" s="56" t="s">
        <v>0</v>
      </c>
      <c r="U16" s="56" t="s">
        <v>1</v>
      </c>
      <c r="V16" s="56" t="s">
        <v>19</v>
      </c>
      <c r="W16" s="56" t="s">
        <v>3</v>
      </c>
      <c r="X16" s="56" t="s">
        <v>4</v>
      </c>
    </row>
    <row r="17" spans="7:25">
      <c r="G17">
        <v>0.37380000000000002</v>
      </c>
      <c r="H17">
        <v>20</v>
      </c>
      <c r="I17">
        <v>100</v>
      </c>
      <c r="J17">
        <v>24.42373108</v>
      </c>
      <c r="K17">
        <v>30.046777729999999</v>
      </c>
      <c r="L17">
        <v>5.6230466440000004</v>
      </c>
      <c r="S17" s="56">
        <f>S16*3</f>
        <v>0.41969999999999996</v>
      </c>
      <c r="T17" s="56">
        <v>20</v>
      </c>
      <c r="U17" s="56">
        <v>100</v>
      </c>
      <c r="V17" s="58">
        <v>25.614613331235248</v>
      </c>
      <c r="W17" s="57">
        <v>33.793209272218292</v>
      </c>
      <c r="X17" s="56">
        <f>W17-V17</f>
        <v>8.178595940983044</v>
      </c>
      <c r="Y17">
        <f>X17/S16</f>
        <v>58.460299792587875</v>
      </c>
    </row>
    <row r="18" spans="7:25">
      <c r="G18">
        <v>0.1215</v>
      </c>
      <c r="H18" t="s">
        <v>0</v>
      </c>
      <c r="I18" t="s">
        <v>1</v>
      </c>
      <c r="J18" t="s">
        <v>19</v>
      </c>
      <c r="K18" t="s">
        <v>3</v>
      </c>
      <c r="L18" t="s">
        <v>4</v>
      </c>
      <c r="P18" t="s">
        <v>29</v>
      </c>
      <c r="S18" s="56">
        <f>0.138-0.0069</f>
        <v>0.13110000000000002</v>
      </c>
      <c r="T18" s="56" t="s">
        <v>0</v>
      </c>
      <c r="U18" s="56" t="s">
        <v>1</v>
      </c>
      <c r="V18" s="56" t="s">
        <v>19</v>
      </c>
      <c r="W18" s="56" t="s">
        <v>3</v>
      </c>
      <c r="X18" s="56" t="s">
        <v>4</v>
      </c>
    </row>
    <row r="19" spans="7:25">
      <c r="G19">
        <v>0.36449999999999999</v>
      </c>
      <c r="H19">
        <v>20</v>
      </c>
      <c r="I19">
        <v>100</v>
      </c>
      <c r="J19">
        <v>24.427083849999999</v>
      </c>
      <c r="K19">
        <v>30.387828079999998</v>
      </c>
      <c r="L19">
        <v>5.9607442300000004</v>
      </c>
      <c r="N19" t="s">
        <v>28</v>
      </c>
      <c r="O19" t="s">
        <v>14</v>
      </c>
      <c r="P19" s="53" t="s">
        <v>14</v>
      </c>
      <c r="Q19" s="53" t="s">
        <v>28</v>
      </c>
      <c r="S19" s="56">
        <v>0.36449999999999999</v>
      </c>
      <c r="T19" s="56">
        <v>20</v>
      </c>
      <c r="U19" s="56">
        <v>100</v>
      </c>
      <c r="V19" s="60">
        <v>25.908166224251158</v>
      </c>
      <c r="W19" s="59">
        <v>33.794047462585425</v>
      </c>
      <c r="X19" s="58">
        <f>W19-V19</f>
        <v>7.8858812383342674</v>
      </c>
      <c r="Y19" s="60">
        <f>X19/S18</f>
        <v>60.151649415211793</v>
      </c>
    </row>
    <row r="20" spans="7:25">
      <c r="N20">
        <v>0.1358</v>
      </c>
      <c r="O20">
        <v>0.50989914000000003</v>
      </c>
      <c r="P20" s="41">
        <v>2.9013493896335234</v>
      </c>
      <c r="Q20">
        <v>0.1366</v>
      </c>
      <c r="S20" s="60">
        <f>0.1379-0.0061</f>
        <v>0.1318</v>
      </c>
      <c r="T20" s="60" t="s">
        <v>0</v>
      </c>
      <c r="U20" s="60" t="s">
        <v>1</v>
      </c>
      <c r="V20" s="60" t="s">
        <v>19</v>
      </c>
      <c r="W20" s="60" t="s">
        <v>3</v>
      </c>
      <c r="X20" s="60" t="s">
        <v>4</v>
      </c>
    </row>
    <row r="21" spans="7:25">
      <c r="N21">
        <v>0.27279999999999999</v>
      </c>
      <c r="O21">
        <v>2.3983420369999999</v>
      </c>
      <c r="P21">
        <v>4.4181945573207315</v>
      </c>
      <c r="Q21">
        <v>0.27560000000000001</v>
      </c>
      <c r="S21" s="60">
        <v>0.36449999999999999</v>
      </c>
      <c r="T21" s="60">
        <v>20</v>
      </c>
      <c r="U21" s="60">
        <v>100</v>
      </c>
      <c r="V21" s="62">
        <v>25.6244853511146</v>
      </c>
      <c r="W21" s="61">
        <v>33.806434053566115</v>
      </c>
      <c r="X21" s="60">
        <f>W21-V21</f>
        <v>8.1819487024515141</v>
      </c>
      <c r="Y21" s="62">
        <f>X21/S20</f>
        <v>62.078518228008456</v>
      </c>
    </row>
    <row r="22" spans="7:25">
      <c r="N22" s="18">
        <v>0.37380000000000002</v>
      </c>
      <c r="O22" s="18">
        <v>5.6230466440000004</v>
      </c>
      <c r="P22">
        <v>8.0821419605896079</v>
      </c>
      <c r="Q22" s="55">
        <v>0.41969999999999996</v>
      </c>
    </row>
    <row r="23" spans="7:25">
      <c r="N23">
        <v>0.48559999999999998</v>
      </c>
      <c r="O23">
        <v>7.2549101564234775</v>
      </c>
      <c r="P23">
        <v>13.616029984714402</v>
      </c>
      <c r="Q23">
        <f>0.1331*4</f>
        <v>0.53239999999999998</v>
      </c>
    </row>
    <row r="24" spans="7:25">
      <c r="N24">
        <v>0.68149999999999988</v>
      </c>
      <c r="O24">
        <v>10.219682617168576</v>
      </c>
      <c r="Y24">
        <f>AVERAGE(X17:X21)</f>
        <v>8.0821419605896079</v>
      </c>
    </row>
    <row r="25" spans="7:25">
      <c r="N25">
        <v>0.77880000000000005</v>
      </c>
      <c r="O25">
        <v>7.8509566397044956</v>
      </c>
      <c r="Y25">
        <f>_xlfn.STDEV.P(Y17:Y21)</f>
        <v>1.4781742347344817</v>
      </c>
    </row>
    <row r="26" spans="7:25">
      <c r="Y26">
        <f>Y25/Y24</f>
        <v>0.18289387169173729</v>
      </c>
    </row>
    <row r="27" spans="7:25">
      <c r="N27">
        <v>0.1363</v>
      </c>
      <c r="O27">
        <v>1.5047860744467982</v>
      </c>
    </row>
    <row r="28" spans="7:25">
      <c r="N28">
        <v>0.27500000000000002</v>
      </c>
      <c r="O28">
        <v>23.372924081857398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20"/>
  <sheetViews>
    <sheetView topLeftCell="A4" workbookViewId="0">
      <selection activeCell="K18" sqref="K18"/>
    </sheetView>
  </sheetViews>
  <sheetFormatPr defaultRowHeight="15"/>
  <sheetData>
    <row r="3" spans="5:12">
      <c r="E3" s="15">
        <v>42145</v>
      </c>
    </row>
    <row r="4" spans="5:12">
      <c r="E4" s="1" t="s">
        <v>11</v>
      </c>
      <c r="F4" s="9"/>
      <c r="G4" s="9"/>
      <c r="H4" s="9"/>
      <c r="I4" s="9"/>
      <c r="J4" s="9"/>
    </row>
    <row r="5" spans="5:12" ht="18">
      <c r="E5" s="9">
        <v>0.112</v>
      </c>
      <c r="F5" s="2" t="s">
        <v>0</v>
      </c>
      <c r="G5" s="3" t="s">
        <v>1</v>
      </c>
      <c r="H5" s="3" t="s">
        <v>2</v>
      </c>
      <c r="I5" s="3" t="s">
        <v>3</v>
      </c>
      <c r="J5" s="4" t="s">
        <v>4</v>
      </c>
    </row>
    <row r="6" spans="5:12">
      <c r="E6" s="9">
        <f>(E5/20)*80</f>
        <v>0.44800000000000001</v>
      </c>
      <c r="F6" s="5">
        <v>20</v>
      </c>
      <c r="G6" s="6">
        <v>100</v>
      </c>
      <c r="H6" s="11">
        <v>25.234540565880561</v>
      </c>
      <c r="I6" s="11">
        <v>60.250501945644743</v>
      </c>
      <c r="J6" s="7">
        <f>I6-H6</f>
        <v>35.015961379764178</v>
      </c>
    </row>
    <row r="7" spans="5:12">
      <c r="E7">
        <f>0.1261-0.0171</f>
        <v>0.10899999999999999</v>
      </c>
      <c r="F7" s="5">
        <v>20</v>
      </c>
      <c r="G7" s="6">
        <v>100</v>
      </c>
      <c r="H7" s="13">
        <v>25.631284006314505</v>
      </c>
      <c r="I7" s="13">
        <v>59.208072525744001</v>
      </c>
      <c r="J7" s="7">
        <f>I7-H7</f>
        <v>33.576788519429499</v>
      </c>
    </row>
    <row r="8" spans="5:12">
      <c r="E8" s="10">
        <f>(E7/20)*80</f>
        <v>0.43599999999999994</v>
      </c>
    </row>
    <row r="12" spans="5:12">
      <c r="E12" s="15">
        <v>42166</v>
      </c>
    </row>
    <row r="14" spans="5:12">
      <c r="E14" s="18"/>
      <c r="F14" s="1" t="s">
        <v>11</v>
      </c>
      <c r="G14" s="18"/>
      <c r="H14" s="18"/>
      <c r="I14" s="18"/>
      <c r="J14" s="18"/>
      <c r="K14" s="18"/>
    </row>
    <row r="15" spans="5:12" ht="18">
      <c r="E15" s="18"/>
      <c r="F15" s="18">
        <f>0.1312</f>
        <v>0.13120000000000001</v>
      </c>
      <c r="G15" s="2" t="s">
        <v>0</v>
      </c>
      <c r="H15" s="3" t="s">
        <v>1</v>
      </c>
      <c r="I15" s="3" t="s">
        <v>2</v>
      </c>
      <c r="J15" s="3" t="s">
        <v>3</v>
      </c>
      <c r="K15" s="4" t="s">
        <v>4</v>
      </c>
    </row>
    <row r="16" spans="5:12">
      <c r="E16" s="18"/>
      <c r="F16" s="18">
        <f>(F15/20)*80</f>
        <v>0.52480000000000004</v>
      </c>
      <c r="G16" s="5">
        <v>20</v>
      </c>
      <c r="H16" s="6">
        <v>100</v>
      </c>
      <c r="I16" s="8">
        <v>24.770462499288481</v>
      </c>
      <c r="J16" s="8">
        <v>31.821506131977223</v>
      </c>
      <c r="K16" s="7">
        <f>J16-I16</f>
        <v>7.0510436326887422</v>
      </c>
      <c r="L16" s="22"/>
    </row>
    <row r="17" spans="5:12">
      <c r="E17" s="18"/>
      <c r="F17" s="18">
        <f>0.1228-0.0009</f>
        <v>0.12190000000000001</v>
      </c>
      <c r="G17" s="5">
        <v>20</v>
      </c>
      <c r="H17" s="6">
        <v>100</v>
      </c>
      <c r="I17" s="13">
        <v>26.305282193737167</v>
      </c>
      <c r="J17" s="13">
        <v>33.461006490052128</v>
      </c>
      <c r="K17" s="7">
        <f>J17-I17</f>
        <v>7.1557242963149612</v>
      </c>
      <c r="L17" s="23"/>
    </row>
    <row r="18" spans="5:12">
      <c r="E18" s="18"/>
      <c r="F18" s="18">
        <f>(F17/20)*80</f>
        <v>0.48760000000000003</v>
      </c>
      <c r="G18" s="18"/>
      <c r="H18" s="18"/>
      <c r="I18" s="64">
        <v>26.521721572978585</v>
      </c>
      <c r="J18" s="63">
        <v>40.137751557692987</v>
      </c>
      <c r="K18" s="7">
        <f>J18-I18</f>
        <v>13.616029984714402</v>
      </c>
    </row>
    <row r="19" spans="5:12">
      <c r="F19" s="22">
        <f>0.1359-0.0145</f>
        <v>0.12139999999999999</v>
      </c>
      <c r="G19" s="5">
        <v>20</v>
      </c>
      <c r="H19" s="6">
        <v>100</v>
      </c>
      <c r="I19" s="11">
        <v>25.598687714260073</v>
      </c>
      <c r="J19" s="11">
        <v>32.853597870683551</v>
      </c>
      <c r="K19" s="7">
        <f>J19-I19</f>
        <v>7.2549101564234775</v>
      </c>
    </row>
    <row r="20" spans="5:12">
      <c r="F20" s="22">
        <f>(F19/20)*80</f>
        <v>0.48559999999999998</v>
      </c>
      <c r="G20" s="22"/>
      <c r="H20" s="22"/>
      <c r="I20" s="22"/>
      <c r="J20" s="22"/>
      <c r="K20" s="22"/>
    </row>
  </sheetData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N19"/>
  <sheetViews>
    <sheetView topLeftCell="A4" workbookViewId="0">
      <selection activeCell="M18" sqref="M18"/>
    </sheetView>
  </sheetViews>
  <sheetFormatPr defaultRowHeight="15"/>
  <sheetData>
    <row r="3" spans="7:14">
      <c r="G3" s="15">
        <v>42146</v>
      </c>
    </row>
    <row r="5" spans="7:14">
      <c r="G5" s="12"/>
      <c r="H5" s="1" t="s">
        <v>12</v>
      </c>
      <c r="I5" s="12"/>
      <c r="J5" s="12"/>
      <c r="K5" s="12"/>
      <c r="L5" s="12"/>
      <c r="M5" s="12"/>
    </row>
    <row r="6" spans="7:14" ht="18">
      <c r="G6" s="12"/>
      <c r="H6" s="12">
        <f>0.1228-0.0135</f>
        <v>0.10930000000000001</v>
      </c>
      <c r="I6" s="2" t="s">
        <v>0</v>
      </c>
      <c r="J6" s="3" t="s">
        <v>1</v>
      </c>
      <c r="K6" s="3" t="s">
        <v>2</v>
      </c>
      <c r="L6" s="3" t="s">
        <v>3</v>
      </c>
      <c r="M6" s="4" t="s">
        <v>4</v>
      </c>
    </row>
    <row r="7" spans="7:14">
      <c r="G7" s="12"/>
      <c r="H7" s="12">
        <f>(H6/20)*100</f>
        <v>0.54649999999999999</v>
      </c>
      <c r="I7" s="5">
        <v>20</v>
      </c>
      <c r="J7" s="6">
        <v>100</v>
      </c>
      <c r="K7" s="8">
        <v>24.760683611672153</v>
      </c>
      <c r="L7" s="8">
        <v>64.213093472307534</v>
      </c>
      <c r="M7" s="7">
        <f>L7-K7</f>
        <v>39.452409860635385</v>
      </c>
    </row>
    <row r="8" spans="7:14">
      <c r="G8" s="12"/>
      <c r="H8" s="12">
        <f>0.1173-0.0071</f>
        <v>0.11020000000000001</v>
      </c>
      <c r="I8" s="5">
        <v>20</v>
      </c>
      <c r="J8" s="6">
        <v>100</v>
      </c>
      <c r="K8" s="13">
        <v>25.629607625580299</v>
      </c>
      <c r="L8" s="13">
        <v>66.162538001688588</v>
      </c>
      <c r="M8" s="7">
        <f>L8-K8</f>
        <v>40.53293037610829</v>
      </c>
    </row>
    <row r="9" spans="7:14">
      <c r="G9" s="12"/>
      <c r="H9" s="12">
        <f>(H8/20)*100</f>
        <v>0.55100000000000005</v>
      </c>
      <c r="I9" s="12"/>
      <c r="J9" s="12"/>
      <c r="K9" s="12"/>
      <c r="L9" s="12"/>
      <c r="M9" s="12"/>
    </row>
    <row r="12" spans="7:14">
      <c r="G12" s="15">
        <v>42170</v>
      </c>
    </row>
    <row r="13" spans="7:14">
      <c r="G13" s="23"/>
      <c r="H13" s="1" t="s">
        <v>12</v>
      </c>
      <c r="I13" s="23"/>
      <c r="J13" s="23"/>
      <c r="K13" s="23"/>
      <c r="L13" s="23"/>
      <c r="M13" s="23"/>
    </row>
    <row r="14" spans="7:14" ht="18">
      <c r="G14" s="23"/>
      <c r="H14" s="23">
        <f>0.1421-0.0031</f>
        <v>0.13900000000000001</v>
      </c>
      <c r="I14" s="2" t="s">
        <v>0</v>
      </c>
      <c r="J14" s="3" t="s">
        <v>1</v>
      </c>
      <c r="K14" s="3" t="s">
        <v>2</v>
      </c>
      <c r="L14" s="3" t="s">
        <v>3</v>
      </c>
      <c r="M14" s="4" t="s">
        <v>4</v>
      </c>
    </row>
    <row r="15" spans="7:14">
      <c r="G15" s="23"/>
      <c r="H15" s="23">
        <f>(H14/20)*100</f>
        <v>0.69500000000000006</v>
      </c>
      <c r="I15" s="5">
        <v>20</v>
      </c>
      <c r="J15" s="6">
        <v>100</v>
      </c>
      <c r="K15" s="8">
        <v>25.109184539865531</v>
      </c>
      <c r="L15" s="8">
        <v>35.307633001067217</v>
      </c>
      <c r="M15" s="7">
        <f>L15-K15</f>
        <v>10.198448461201686</v>
      </c>
      <c r="N15" s="24"/>
    </row>
    <row r="16" spans="7:14">
      <c r="G16" s="23"/>
      <c r="H16" s="23">
        <f>0.126-0.0007</f>
        <v>0.12529999999999999</v>
      </c>
      <c r="I16" s="5">
        <v>20</v>
      </c>
      <c r="J16" s="6">
        <v>100</v>
      </c>
      <c r="K16" s="8">
        <v>25.8242330744405</v>
      </c>
      <c r="L16" s="8">
        <v>34.823717762453434</v>
      </c>
      <c r="M16" s="7">
        <f>L16-K16</f>
        <v>8.9994846880129344</v>
      </c>
    </row>
    <row r="17" spans="7:14">
      <c r="G17" s="23"/>
      <c r="H17" s="23">
        <f>(H16/20)*100</f>
        <v>0.62649999999999995</v>
      </c>
      <c r="I17" s="23"/>
      <c r="J17" s="23"/>
      <c r="K17" s="23"/>
      <c r="L17" s="23"/>
      <c r="M17" s="23"/>
    </row>
    <row r="18" spans="7:14">
      <c r="H18" s="24">
        <f>0.1415-0.0052</f>
        <v>0.13629999999999998</v>
      </c>
      <c r="I18" s="5">
        <v>20</v>
      </c>
      <c r="J18" s="6">
        <v>100</v>
      </c>
      <c r="K18" s="8">
        <v>25.960692820590314</v>
      </c>
      <c r="L18" s="8">
        <v>36.18037543775889</v>
      </c>
      <c r="M18" s="7">
        <f>L18-K18</f>
        <v>10.219682617168576</v>
      </c>
      <c r="N18" s="25"/>
    </row>
    <row r="19" spans="7:14">
      <c r="H19" s="24">
        <f>(H18/20)*100</f>
        <v>0.68149999999999988</v>
      </c>
      <c r="I19" s="24"/>
      <c r="J19" s="24"/>
      <c r="K19" s="24"/>
      <c r="L19" s="24"/>
      <c r="M19" s="24"/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N17"/>
  <sheetViews>
    <sheetView workbookViewId="0">
      <selection activeCell="P16" sqref="P16"/>
    </sheetView>
  </sheetViews>
  <sheetFormatPr defaultRowHeight="15"/>
  <sheetData>
    <row r="2" spans="7:14">
      <c r="G2" s="15">
        <v>42150</v>
      </c>
    </row>
    <row r="3" spans="7:14">
      <c r="G3" s="14"/>
      <c r="H3" s="1" t="s">
        <v>15</v>
      </c>
      <c r="I3" s="14"/>
      <c r="J3" s="14"/>
      <c r="K3" s="14"/>
      <c r="L3" s="14"/>
      <c r="M3" s="14"/>
    </row>
    <row r="4" spans="7:14" ht="18">
      <c r="G4" s="14"/>
      <c r="H4" s="14">
        <f>0.1319-0.03</f>
        <v>0.10189999999999999</v>
      </c>
      <c r="I4" s="2" t="s">
        <v>0</v>
      </c>
      <c r="J4" s="3" t="s">
        <v>1</v>
      </c>
      <c r="K4" s="3" t="s">
        <v>2</v>
      </c>
      <c r="L4" s="3" t="s">
        <v>3</v>
      </c>
      <c r="M4" s="4" t="s">
        <v>4</v>
      </c>
    </row>
    <row r="5" spans="7:14">
      <c r="G5" s="14"/>
      <c r="H5" s="14">
        <f>(H4/20)*120</f>
        <v>0.61139999999999994</v>
      </c>
      <c r="I5" s="5">
        <v>20</v>
      </c>
      <c r="J5" s="6">
        <v>100</v>
      </c>
      <c r="K5" s="17">
        <v>25.618431754018779</v>
      </c>
      <c r="L5" s="16">
        <v>66.412691260140619</v>
      </c>
      <c r="M5" s="7">
        <f>L5-K5</f>
        <v>40.79425950612184</v>
      </c>
      <c r="N5" s="18">
        <f>M5/H4</f>
        <v>400.33620712582768</v>
      </c>
    </row>
    <row r="6" spans="7:14">
      <c r="G6" s="14"/>
      <c r="H6" s="14">
        <f>0.1552-0.0167</f>
        <v>0.13850000000000001</v>
      </c>
      <c r="I6" s="5">
        <v>20</v>
      </c>
      <c r="J6" s="6">
        <v>100</v>
      </c>
      <c r="K6" s="8">
        <v>27.315860379687585</v>
      </c>
      <c r="L6" s="8">
        <v>76.428693618100496</v>
      </c>
      <c r="M6" s="7">
        <f>L6-K6</f>
        <v>49.112833238412911</v>
      </c>
      <c r="N6">
        <f>M6/H6</f>
        <v>354.60529414016537</v>
      </c>
    </row>
    <row r="7" spans="7:14">
      <c r="G7" s="14"/>
      <c r="H7" s="14">
        <f>(H6/20)*120</f>
        <v>0.83100000000000007</v>
      </c>
      <c r="I7" s="14"/>
      <c r="J7" s="14"/>
      <c r="K7" s="14"/>
      <c r="L7" s="14"/>
      <c r="M7" s="14"/>
    </row>
    <row r="10" spans="7:14">
      <c r="G10" s="18"/>
      <c r="H10" s="18"/>
      <c r="I10" s="18"/>
      <c r="J10" s="18"/>
      <c r="K10" s="18"/>
      <c r="L10" s="18"/>
      <c r="M10" s="18"/>
      <c r="N10" s="18"/>
    </row>
    <row r="11" spans="7:14" ht="18">
      <c r="G11" s="15">
        <v>42152</v>
      </c>
      <c r="H11" s="18">
        <f>0.1456-0.0205</f>
        <v>0.12510000000000002</v>
      </c>
      <c r="I11" s="2" t="s">
        <v>0</v>
      </c>
      <c r="J11" s="3" t="s">
        <v>1</v>
      </c>
      <c r="K11" s="3" t="s">
        <v>2</v>
      </c>
      <c r="L11" s="3" t="s">
        <v>3</v>
      </c>
      <c r="M11" s="4" t="s">
        <v>4</v>
      </c>
      <c r="N11" s="18"/>
    </row>
    <row r="12" spans="7:14">
      <c r="G12" s="18"/>
      <c r="H12" s="18"/>
      <c r="I12" s="5">
        <v>20</v>
      </c>
      <c r="J12" s="6">
        <v>100</v>
      </c>
      <c r="K12" s="8">
        <v>25.602599269306626</v>
      </c>
      <c r="L12" s="8">
        <v>75.510688901584686</v>
      </c>
      <c r="M12" s="7">
        <f>L12-K12</f>
        <v>49.908089632278063</v>
      </c>
      <c r="N12" s="18"/>
    </row>
    <row r="13" spans="7:14">
      <c r="G13" s="18"/>
      <c r="H13" s="18"/>
      <c r="I13" s="18"/>
      <c r="J13" s="18"/>
      <c r="K13" s="18"/>
      <c r="L13" s="18"/>
      <c r="M13" s="18"/>
      <c r="N13" s="18"/>
    </row>
    <row r="15" spans="7:14">
      <c r="G15" s="15">
        <v>42172</v>
      </c>
    </row>
    <row r="16" spans="7:14" ht="18">
      <c r="H16" s="25">
        <f>0.1343-0.0045</f>
        <v>0.1298</v>
      </c>
      <c r="I16" s="2" t="s">
        <v>0</v>
      </c>
      <c r="J16" s="3" t="s">
        <v>1</v>
      </c>
      <c r="K16" s="3" t="s">
        <v>2</v>
      </c>
      <c r="L16" s="3" t="s">
        <v>3</v>
      </c>
      <c r="M16" s="4" t="s">
        <v>4</v>
      </c>
    </row>
    <row r="17" spans="8:13">
      <c r="H17" s="25">
        <f>H16*6</f>
        <v>0.77879999999999994</v>
      </c>
      <c r="I17" s="5">
        <v>20</v>
      </c>
      <c r="J17" s="6">
        <v>100</v>
      </c>
      <c r="K17" s="26">
        <v>24.414697254580108</v>
      </c>
      <c r="L17" s="27">
        <v>32.265653894284604</v>
      </c>
      <c r="M17" s="7">
        <f>L17-K17</f>
        <v>7.8509566397044956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M8"/>
  <sheetViews>
    <sheetView workbookViewId="0">
      <selection activeCell="H21" sqref="H21"/>
    </sheetView>
  </sheetViews>
  <sheetFormatPr defaultRowHeight="15"/>
  <sheetData>
    <row r="3" spans="6:13">
      <c r="F3" s="30"/>
      <c r="G3" s="1" t="s">
        <v>26</v>
      </c>
      <c r="H3" s="30"/>
      <c r="I3" s="30"/>
      <c r="J3" s="30"/>
      <c r="K3" s="30"/>
      <c r="L3" s="30"/>
      <c r="M3" s="30"/>
    </row>
    <row r="4" spans="6:13" ht="18">
      <c r="F4" s="30"/>
      <c r="G4" s="30">
        <f>0.1382-0.0062</f>
        <v>0.13199999999999998</v>
      </c>
      <c r="H4" s="2" t="s">
        <v>0</v>
      </c>
      <c r="I4" s="3" t="s">
        <v>1</v>
      </c>
      <c r="J4" s="3" t="s">
        <v>2</v>
      </c>
      <c r="K4" s="3" t="s">
        <v>3</v>
      </c>
      <c r="L4" s="4" t="s">
        <v>4</v>
      </c>
      <c r="M4" s="30"/>
    </row>
    <row r="5" spans="6:13">
      <c r="F5" s="30"/>
      <c r="G5" s="30">
        <f>(G4/20)*140</f>
        <v>0.92399999999999982</v>
      </c>
      <c r="H5" s="5">
        <v>20</v>
      </c>
      <c r="I5" s="6">
        <v>100</v>
      </c>
      <c r="J5" s="8">
        <v>25.63202906441861</v>
      </c>
      <c r="K5" s="8">
        <v>29.380975179730363</v>
      </c>
      <c r="L5" s="7">
        <f>K5-J5</f>
        <v>3.7489461153117531</v>
      </c>
      <c r="M5" s="30"/>
    </row>
    <row r="6" spans="6:13">
      <c r="F6" s="30"/>
      <c r="G6" s="30">
        <f>0.1552-0.0167</f>
        <v>0.13850000000000001</v>
      </c>
      <c r="H6" s="5">
        <v>20</v>
      </c>
      <c r="I6" s="6">
        <v>100</v>
      </c>
      <c r="J6" s="8"/>
      <c r="K6" s="8"/>
      <c r="L6" s="7">
        <f>K6-J6</f>
        <v>0</v>
      </c>
      <c r="M6" s="30"/>
    </row>
    <row r="7" spans="6:13">
      <c r="F7" s="30"/>
      <c r="G7" s="30">
        <f>(G6/20)*120</f>
        <v>0.83100000000000007</v>
      </c>
      <c r="H7" s="30"/>
      <c r="I7" s="30"/>
      <c r="J7" s="30"/>
      <c r="K7" s="30"/>
      <c r="L7" s="30"/>
      <c r="M7" s="30"/>
    </row>
    <row r="8" spans="6:13">
      <c r="F8" s="30"/>
      <c r="G8" s="30"/>
      <c r="H8" s="30"/>
      <c r="I8" s="30"/>
      <c r="J8" s="30"/>
      <c r="K8" s="30"/>
      <c r="L8" s="30"/>
      <c r="M8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M15"/>
  <sheetViews>
    <sheetView tabSelected="1" workbookViewId="0">
      <selection activeCell="I7" sqref="I7"/>
    </sheetView>
  </sheetViews>
  <sheetFormatPr defaultRowHeight="15"/>
  <cols>
    <col min="8" max="8" width="12.85546875" customWidth="1"/>
    <col min="12" max="12" width="10.140625" customWidth="1"/>
  </cols>
  <sheetData>
    <row r="1" spans="8:13">
      <c r="K1" t="s">
        <v>18</v>
      </c>
    </row>
    <row r="2" spans="8:13">
      <c r="K2" s="18" t="s">
        <v>13</v>
      </c>
      <c r="L2" s="18" t="s">
        <v>14</v>
      </c>
    </row>
    <row r="3" spans="8:13">
      <c r="K3" s="18">
        <v>0.13339999999999999</v>
      </c>
      <c r="L3" s="18">
        <v>2.2143126853890855</v>
      </c>
    </row>
    <row r="4" spans="8:13">
      <c r="K4" s="18">
        <v>0.26419999999999999</v>
      </c>
      <c r="L4" s="18">
        <v>6.3762072548989721</v>
      </c>
    </row>
    <row r="5" spans="8:13">
      <c r="K5" s="18">
        <v>0.34560000000000002</v>
      </c>
      <c r="L5" s="18">
        <v>20.5395366573057</v>
      </c>
    </row>
    <row r="6" spans="8:13">
      <c r="K6" s="18">
        <v>0.504</v>
      </c>
      <c r="L6" s="18">
        <v>25.368762783334414</v>
      </c>
    </row>
    <row r="7" spans="8:13">
      <c r="K7" s="18">
        <v>0.71849999999999992</v>
      </c>
      <c r="L7" s="18">
        <v>27.314575154457984</v>
      </c>
    </row>
    <row r="8" spans="8:13">
      <c r="H8" t="s">
        <v>17</v>
      </c>
      <c r="L8" t="s">
        <v>13</v>
      </c>
      <c r="M8" t="s">
        <v>14</v>
      </c>
    </row>
    <row r="9" spans="8:13">
      <c r="H9" s="20" t="s">
        <v>16</v>
      </c>
      <c r="I9" s="20" t="s">
        <v>4</v>
      </c>
      <c r="L9" s="10">
        <v>0.40169999999999995</v>
      </c>
      <c r="M9" s="7">
        <v>26.805514204830786</v>
      </c>
    </row>
    <row r="10" spans="8:13">
      <c r="H10" s="19">
        <v>6.7449999999999996E-2</v>
      </c>
      <c r="I10" s="21">
        <v>0.43613838768833446</v>
      </c>
      <c r="L10" s="10">
        <v>0.26479999999999998</v>
      </c>
      <c r="M10" s="7">
        <v>9.5367437324966993</v>
      </c>
    </row>
    <row r="11" spans="8:13">
      <c r="H11" s="19">
        <v>0.13500000000000001</v>
      </c>
      <c r="I11" s="19">
        <v>3.7367457888571067</v>
      </c>
      <c r="L11" s="10">
        <v>0.13400000000000001</v>
      </c>
      <c r="M11" s="7">
        <v>2.8967859087458834</v>
      </c>
    </row>
    <row r="12" spans="8:13">
      <c r="H12" s="19">
        <v>0.26800000000000002</v>
      </c>
      <c r="I12" s="19">
        <v>8.2934280212776663</v>
      </c>
      <c r="L12" s="12">
        <v>0.43599999999999994</v>
      </c>
      <c r="M12" s="7">
        <v>33.576788519429499</v>
      </c>
    </row>
    <row r="13" spans="8:13">
      <c r="H13" s="19">
        <v>0.39929999999999999</v>
      </c>
      <c r="I13" s="19">
        <v>11.895970219133513</v>
      </c>
      <c r="L13" s="14">
        <v>0.54649999999999999</v>
      </c>
      <c r="M13" s="7">
        <v>39.452409860635385</v>
      </c>
    </row>
    <row r="14" spans="8:13">
      <c r="H14" s="19">
        <v>0.53359999999999996</v>
      </c>
      <c r="I14" s="19">
        <v>20.463952151772489</v>
      </c>
      <c r="L14" s="18">
        <v>0.61139999999999994</v>
      </c>
      <c r="M14" s="7">
        <v>40.79425950612184</v>
      </c>
    </row>
    <row r="15" spans="8:13">
      <c r="H15" s="19">
        <v>0.66500000000000004</v>
      </c>
      <c r="I15" s="21">
        <v>30.359068832341961</v>
      </c>
      <c r="L15" s="18"/>
      <c r="M15" s="7"/>
    </row>
  </sheetData>
  <phoneticPr fontId="3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stock1</vt:lpstr>
      <vt:lpstr>stock2</vt:lpstr>
      <vt:lpstr>Stock3</vt:lpstr>
      <vt:lpstr>Stock 4</vt:lpstr>
      <vt:lpstr>Stock5</vt:lpstr>
      <vt:lpstr>Stock 6</vt:lpstr>
      <vt:lpstr>Stock7</vt:lpstr>
      <vt:lpstr>Plot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cp:lastPrinted>2015-05-28T13:46:38Z</cp:lastPrinted>
  <dcterms:created xsi:type="dcterms:W3CDTF">2015-03-19T14:20:16Z</dcterms:created>
  <dcterms:modified xsi:type="dcterms:W3CDTF">2015-12-14T21:34:14Z</dcterms:modified>
</cp:coreProperties>
</file>