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crowave\Data\"/>
    </mc:Choice>
  </mc:AlternateContent>
  <bookViews>
    <workbookView xWindow="0" yWindow="0" windowWidth="20490" windowHeight="7755" activeTab="7"/>
  </bookViews>
  <sheets>
    <sheet name="Stock1" sheetId="1" r:id="rId1"/>
    <sheet name="Stock2" sheetId="2" r:id="rId2"/>
    <sheet name="Stock3" sheetId="3" r:id="rId3"/>
    <sheet name="Stock4" sheetId="5" r:id="rId4"/>
    <sheet name="Stock5" sheetId="6" r:id="rId5"/>
    <sheet name="Stock6" sheetId="7" r:id="rId6"/>
    <sheet name="Plot" sheetId="4" r:id="rId7"/>
    <sheet name="CTAB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8" l="1"/>
  <c r="J30" i="8"/>
  <c r="J28" i="8"/>
  <c r="J29" i="8"/>
  <c r="J27" i="8"/>
  <c r="I28" i="8"/>
  <c r="I29" i="8"/>
  <c r="I30" i="8"/>
  <c r="I27" i="8"/>
  <c r="J31" i="8" l="1"/>
  <c r="H4" i="8"/>
  <c r="H5" i="8"/>
  <c r="G8" i="8"/>
  <c r="G6" i="8"/>
  <c r="A6" i="8"/>
  <c r="A7" i="8" s="1"/>
  <c r="H3" i="8"/>
  <c r="A3" i="8"/>
  <c r="G4" i="8" s="1"/>
  <c r="F11" i="8"/>
  <c r="F10" i="8"/>
  <c r="F9" i="8"/>
  <c r="G9" i="8" s="1"/>
  <c r="A9" i="8"/>
  <c r="A10" i="8" s="1"/>
  <c r="F8" i="8"/>
  <c r="F7" i="8"/>
  <c r="G7" i="8" s="1"/>
  <c r="F6" i="8"/>
  <c r="D1" i="8"/>
  <c r="A4" i="8"/>
  <c r="AI7" i="8"/>
  <c r="AI8" i="8"/>
  <c r="AI6" i="8"/>
  <c r="AA12" i="8"/>
  <c r="AA13" i="8" s="1"/>
  <c r="AG13" i="8"/>
  <c r="AA9" i="8"/>
  <c r="AA6" i="8"/>
  <c r="AA3" i="8"/>
  <c r="F5" i="8"/>
  <c r="F4" i="8"/>
  <c r="F3" i="8"/>
  <c r="AF14" i="8"/>
  <c r="AF13" i="8"/>
  <c r="AF12" i="8"/>
  <c r="AG12" i="8" s="1"/>
  <c r="AF11" i="8"/>
  <c r="AG11" i="8" s="1"/>
  <c r="AF10" i="8"/>
  <c r="AG10" i="8" s="1"/>
  <c r="AF9" i="8"/>
  <c r="AF8" i="8"/>
  <c r="AG8" i="8" s="1"/>
  <c r="AF7" i="8"/>
  <c r="AG7" i="8" s="1"/>
  <c r="AF6" i="8"/>
  <c r="AD1" i="8"/>
  <c r="AG3" i="8"/>
  <c r="G3" i="8" l="1"/>
  <c r="G10" i="8"/>
  <c r="G5" i="8"/>
  <c r="G11" i="8"/>
  <c r="AG14" i="8"/>
  <c r="AG9" i="8"/>
  <c r="AA10" i="8"/>
  <c r="AA7" i="8"/>
  <c r="AG6" i="8"/>
  <c r="AF5" i="8"/>
  <c r="AG5" i="8" s="1"/>
  <c r="AF4" i="8"/>
  <c r="AG4" i="8" s="1"/>
  <c r="AF3" i="8"/>
  <c r="AA4" i="8"/>
  <c r="H14" i="8" l="1"/>
  <c r="H15" i="8"/>
  <c r="H13" i="8"/>
  <c r="L1" i="8"/>
  <c r="U1" i="8"/>
  <c r="R18" i="8"/>
  <c r="R19" i="8" s="1"/>
  <c r="R15" i="8"/>
  <c r="R16" i="8"/>
  <c r="R13" i="8"/>
  <c r="R10" i="8"/>
  <c r="X12" i="8"/>
  <c r="X10" i="8"/>
  <c r="X11" i="8"/>
  <c r="X9" i="8"/>
  <c r="R12" i="8"/>
  <c r="R9" i="8"/>
  <c r="R6" i="8" l="1"/>
  <c r="R3" i="8"/>
  <c r="R4" i="8"/>
  <c r="W20" i="8"/>
  <c r="X20" i="8" s="1"/>
  <c r="W19" i="8"/>
  <c r="X19" i="8" s="1"/>
  <c r="W18" i="8"/>
  <c r="X18" i="8" s="1"/>
  <c r="W17" i="8"/>
  <c r="X17" i="8" s="1"/>
  <c r="W16" i="8"/>
  <c r="X16" i="8" s="1"/>
  <c r="W15" i="8"/>
  <c r="X15" i="8" s="1"/>
  <c r="W14" i="8"/>
  <c r="X14" i="8" s="1"/>
  <c r="W13" i="8"/>
  <c r="X13" i="8" s="1"/>
  <c r="W12" i="8"/>
  <c r="W11" i="8"/>
  <c r="W10" i="8"/>
  <c r="W9" i="8"/>
  <c r="W8" i="8"/>
  <c r="W7" i="8"/>
  <c r="X7" i="8" s="1"/>
  <c r="W6" i="8"/>
  <c r="R7" i="8"/>
  <c r="W5" i="8"/>
  <c r="W4" i="8"/>
  <c r="X4" i="8" s="1"/>
  <c r="W3" i="8"/>
  <c r="X3" i="8" s="1"/>
  <c r="X8" i="8" l="1"/>
  <c r="X6" i="8"/>
  <c r="X5" i="8"/>
  <c r="J19" i="8"/>
  <c r="J20" i="8" s="1"/>
  <c r="O21" i="8"/>
  <c r="O20" i="8"/>
  <c r="O19" i="8"/>
  <c r="P19" i="8" s="1"/>
  <c r="J16" i="8"/>
  <c r="O18" i="8"/>
  <c r="O17" i="8"/>
  <c r="O16" i="8"/>
  <c r="J13" i="8"/>
  <c r="O15" i="8"/>
  <c r="O14" i="8"/>
  <c r="O13" i="8"/>
  <c r="J14" i="8"/>
  <c r="J9" i="8"/>
  <c r="J10" i="8"/>
  <c r="O12" i="8"/>
  <c r="P12" i="8" s="1"/>
  <c r="O11" i="8"/>
  <c r="O10" i="8"/>
  <c r="J11" i="8"/>
  <c r="J7" i="8"/>
  <c r="P20" i="8" l="1"/>
  <c r="P13" i="8"/>
  <c r="P21" i="8"/>
  <c r="P17" i="8"/>
  <c r="J17" i="8"/>
  <c r="P16" i="8"/>
  <c r="P18" i="8"/>
  <c r="P14" i="8"/>
  <c r="P15" i="8"/>
  <c r="P10" i="8"/>
  <c r="P11" i="8"/>
  <c r="J3" i="8"/>
  <c r="O3" i="8"/>
  <c r="O9" i="8"/>
  <c r="P9" i="8" s="1"/>
  <c r="O8" i="8"/>
  <c r="O7" i="8"/>
  <c r="P7" i="8" s="1"/>
  <c r="J8" i="8"/>
  <c r="O6" i="8"/>
  <c r="O5" i="8"/>
  <c r="O4" i="8"/>
  <c r="J4" i="8" l="1"/>
  <c r="P6" i="8"/>
  <c r="P3" i="8"/>
  <c r="P4" i="8"/>
  <c r="P8" i="8"/>
  <c r="P5" i="8"/>
  <c r="M32" i="1"/>
  <c r="G32" i="1"/>
  <c r="M31" i="1"/>
  <c r="G31" i="1"/>
  <c r="G30" i="1"/>
  <c r="M29" i="1"/>
  <c r="M28" i="1"/>
  <c r="G29" i="1"/>
  <c r="L32" i="1"/>
  <c r="L31" i="1"/>
  <c r="L30" i="1"/>
  <c r="M30" i="1" s="1"/>
  <c r="L29" i="1"/>
  <c r="G28" i="1"/>
  <c r="L28" i="1"/>
  <c r="H32" i="6" l="1"/>
  <c r="H33" i="6" s="1"/>
  <c r="M32" i="6"/>
  <c r="H30" i="6" l="1"/>
  <c r="H31" i="6" s="1"/>
  <c r="M30" i="6"/>
  <c r="H28" i="6"/>
  <c r="H29" i="6" s="1"/>
  <c r="M28" i="6"/>
  <c r="G16" i="5" l="1"/>
  <c r="G17" i="5"/>
  <c r="G18" i="5"/>
  <c r="G19" i="5" s="1"/>
  <c r="L18" i="5"/>
  <c r="G15" i="5"/>
  <c r="G14" i="5"/>
  <c r="L16" i="5"/>
  <c r="L14" i="5"/>
  <c r="L23" i="1" l="1"/>
  <c r="L22" i="1"/>
  <c r="G22" i="1"/>
  <c r="S22" i="2"/>
  <c r="N22" i="2"/>
  <c r="N23" i="2" s="1"/>
  <c r="J22" i="2"/>
  <c r="E22" i="2"/>
  <c r="E23" i="2" s="1"/>
  <c r="S20" i="2"/>
  <c r="N20" i="2"/>
  <c r="N21" i="2" s="1"/>
  <c r="J20" i="2"/>
  <c r="E20" i="2"/>
  <c r="E21" i="2" s="1"/>
  <c r="H21" i="6"/>
  <c r="M20" i="6"/>
  <c r="N20" i="6" s="1"/>
  <c r="H20" i="6"/>
  <c r="N21" i="7"/>
  <c r="I21" i="7"/>
  <c r="I22" i="7" s="1"/>
  <c r="N15" i="7"/>
  <c r="I15" i="7"/>
  <c r="I16" i="7" s="1"/>
  <c r="N13" i="7"/>
  <c r="I13" i="7"/>
  <c r="I14" i="7" s="1"/>
  <c r="O13" i="7" l="1"/>
  <c r="M7" i="6"/>
  <c r="M5" i="6"/>
  <c r="G7" i="6"/>
  <c r="G8" i="6" s="1"/>
  <c r="G5" i="6"/>
  <c r="G6" i="6" s="1"/>
  <c r="L7" i="6"/>
  <c r="L5" i="6"/>
  <c r="G4" i="5" l="1"/>
  <c r="G7" i="5"/>
  <c r="G5" i="5"/>
  <c r="L6" i="5" l="1"/>
  <c r="G6" i="5"/>
  <c r="L4" i="5"/>
  <c r="K7" i="3" l="1"/>
  <c r="F7" i="3"/>
  <c r="F5" i="3"/>
  <c r="E6" i="2" l="1"/>
  <c r="E7" i="1"/>
  <c r="F6" i="3"/>
  <c r="K5" i="3"/>
  <c r="J5" i="2" l="1"/>
  <c r="J6" i="1" l="1"/>
</calcChain>
</file>

<file path=xl/sharedStrings.xml><?xml version="1.0" encoding="utf-8"?>
<sst xmlns="http://schemas.openxmlformats.org/spreadsheetml/2006/main" count="128" uniqueCount="33">
  <si>
    <t>MWCNT-COOH Stock 1</t>
  </si>
  <si>
    <t>Crystal (20mg/20g)</t>
  </si>
  <si>
    <t>Time (s)</t>
  </si>
  <si>
    <t>T0</t>
  </si>
  <si>
    <t>T</t>
  </si>
  <si>
    <t>∆T</t>
  </si>
  <si>
    <t>Power (W)</t>
  </si>
  <si>
    <t>MWCNT-COOH Stock 2</t>
  </si>
  <si>
    <t>Crystal (40mg/20g)</t>
  </si>
  <si>
    <t>MWCNT-COOH Stock 3</t>
  </si>
  <si>
    <t>Crystal (60mg/20g)</t>
  </si>
  <si>
    <t>Mass (mg)</t>
  </si>
  <si>
    <t>delta T</t>
  </si>
  <si>
    <t>Crystal (80mg/20g)</t>
  </si>
  <si>
    <t>MWCNT-COOH Stock 4</t>
  </si>
  <si>
    <t>MWCNT-COOH Stock 5</t>
  </si>
  <si>
    <t>Crystal (100mg/20g)</t>
  </si>
  <si>
    <t>Crystal (120mg/20g)</t>
  </si>
  <si>
    <t>Time (sec)</t>
  </si>
  <si>
    <r>
      <t>T</t>
    </r>
    <r>
      <rPr>
        <vertAlign val="subscript"/>
        <sz val="12"/>
        <color rgb="FF0070C0"/>
        <rFont val="Times New Roman"/>
        <family val="1"/>
      </rPr>
      <t>○</t>
    </r>
    <r>
      <rPr>
        <sz val="12"/>
        <color rgb="FF0070C0"/>
        <rFont val="Times New Roman"/>
        <family val="1"/>
      </rPr>
      <t xml:space="preserve"> (℃)</t>
    </r>
  </si>
  <si>
    <t>T (℃)</t>
  </si>
  <si>
    <t>∆T (℃)</t>
  </si>
  <si>
    <t>20mgMWCNT-COOH</t>
  </si>
  <si>
    <t>1 day tumbled</t>
  </si>
  <si>
    <t>2 days tumbled</t>
  </si>
  <si>
    <t>40mgMWCNT-COOH</t>
  </si>
  <si>
    <t>CNT Mass(mg)</t>
  </si>
  <si>
    <t>100W, 20s</t>
  </si>
  <si>
    <t>130W, 20s</t>
  </si>
  <si>
    <t>130W, 30s</t>
  </si>
  <si>
    <t>60mgMWCNT-COOH</t>
  </si>
  <si>
    <t>10mgMWCNT-COOH</t>
  </si>
  <si>
    <t>COOH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</si>
</sst>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vertAlign val="subscript"/>
      <sz val="12"/>
      <color rgb="FF0070C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Fill="1" applyBorder="1" applyAlignment="1">
      <alignment horizontal="center"/>
    </xf>
    <xf numFmtId="0" fontId="2" fillId="0" borderId="0" xfId="0" applyFont="1" applyBorder="1"/>
    <xf numFmtId="0" fontId="2" fillId="0" borderId="9" xfId="0" applyFont="1" applyFill="1" applyBorder="1" applyAlignment="1">
      <alignment horizontal="center"/>
    </xf>
    <xf numFmtId="0" fontId="0" fillId="0" borderId="0" xfId="0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/>
    <xf numFmtId="0" fontId="2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8" xfId="0" applyFont="1" applyBorder="1" applyAlignment="1">
      <alignment horizontal="center"/>
    </xf>
    <xf numFmtId="0" fontId="0" fillId="0" borderId="10" xfId="0" applyBorder="1"/>
    <xf numFmtId="0" fontId="5" fillId="0" borderId="1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7" xfId="0" applyBorder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/>
    <xf numFmtId="16" fontId="2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2387139107611547E-2"/>
                  <c:y val="-0.1942147856517935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Stock3!$O$13:$O$16</c:f>
              <c:numCache>
                <c:formatCode>General</c:formatCode>
                <c:ptCount val="4"/>
                <c:pt idx="0">
                  <c:v>0.27579999999999999</c:v>
                </c:pt>
                <c:pt idx="1">
                  <c:v>0.39029999999999998</c:v>
                </c:pt>
                <c:pt idx="2">
                  <c:v>0.53280000000000005</c:v>
                </c:pt>
                <c:pt idx="3">
                  <c:v>0.64800000000000002</c:v>
                </c:pt>
              </c:numCache>
            </c:numRef>
          </c:xVal>
          <c:yVal>
            <c:numRef>
              <c:f>Stock3!$P$13:$P$16</c:f>
              <c:numCache>
                <c:formatCode>General</c:formatCode>
                <c:ptCount val="4"/>
                <c:pt idx="0">
                  <c:v>1.8738211318147791</c:v>
                </c:pt>
                <c:pt idx="1">
                  <c:v>2.2208319439999999</c:v>
                </c:pt>
                <c:pt idx="2">
                  <c:v>2.5568531487496386</c:v>
                </c:pt>
                <c:pt idx="3">
                  <c:v>3.0808152604589196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7445936"/>
        <c:axId val="407445544"/>
      </c:scatterChart>
      <c:valAx>
        <c:axId val="407445936"/>
        <c:scaling>
          <c:orientation val="minMax"/>
          <c:min val="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445544"/>
        <c:crosses val="autoZero"/>
        <c:crossBetween val="midCat"/>
      </c:valAx>
      <c:valAx>
        <c:axId val="407445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4459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MWCNT-COOH Sand</a:t>
            </a:r>
          </a:p>
        </c:rich>
      </c:tx>
      <c:layout>
        <c:manualLayout>
          <c:xMode val="edge"/>
          <c:yMode val="edge"/>
          <c:x val="0.39838188976377953"/>
          <c:y val="1.85754846556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82818493842115"/>
          <c:y val="6.7197870388690031E-2"/>
          <c:w val="0.85624781277340323"/>
          <c:h val="0.75542432302024431"/>
        </c:manualLayout>
      </c:layout>
      <c:scatterChart>
        <c:scatterStyle val="lineMarker"/>
        <c:varyColors val="0"/>
        <c:ser>
          <c:idx val="0"/>
          <c:order val="0"/>
          <c:tx>
            <c:v>100W, 20s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34943832020997373"/>
                  <c:y val="0.382919081495639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CTAB!$N$26:$N$30</c:f>
              <c:numCache>
                <c:formatCode>General</c:formatCode>
                <c:ptCount val="5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0.25740000000000002</c:v>
                </c:pt>
                <c:pt idx="4">
                  <c:v>0.38480000000000003</c:v>
                </c:pt>
              </c:numCache>
            </c:numRef>
          </c:xVal>
          <c:yVal>
            <c:numRef>
              <c:f>CTAB!$O$26:$O$30</c:f>
              <c:numCache>
                <c:formatCode>General</c:formatCode>
                <c:ptCount val="5"/>
                <c:pt idx="0">
                  <c:v>0</c:v>
                </c:pt>
                <c:pt idx="1">
                  <c:v>0.36609164133016664</c:v>
                </c:pt>
                <c:pt idx="2">
                  <c:v>0.97969796663318176</c:v>
                </c:pt>
                <c:pt idx="3">
                  <c:v>1.8783790179545912</c:v>
                </c:pt>
                <c:pt idx="4">
                  <c:v>2.7756776182963758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CTAB!$P$25</c:f>
              <c:strCache>
                <c:ptCount val="1"/>
                <c:pt idx="0">
                  <c:v>130W,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5825398748233394"/>
                  <c:y val="3.883537663511715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CTAB!$N$26:$N$30</c:f>
              <c:numCache>
                <c:formatCode>General</c:formatCode>
                <c:ptCount val="5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0.25740000000000002</c:v>
                </c:pt>
                <c:pt idx="4">
                  <c:v>0.38480000000000003</c:v>
                </c:pt>
              </c:numCache>
            </c:numRef>
          </c:xVal>
          <c:yVal>
            <c:numRef>
              <c:f>CTAB!$P$26:$P$30</c:f>
              <c:numCache>
                <c:formatCode>General</c:formatCode>
                <c:ptCount val="5"/>
                <c:pt idx="0">
                  <c:v>0</c:v>
                </c:pt>
                <c:pt idx="1">
                  <c:v>0.46116061045130829</c:v>
                </c:pt>
                <c:pt idx="2">
                  <c:v>1.1721755707593304</c:v>
                </c:pt>
                <c:pt idx="3">
                  <c:v>2.4483856232848678</c:v>
                </c:pt>
                <c:pt idx="4">
                  <c:v>3.2398979911296197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CTAB!$Q$25</c:f>
              <c:strCache>
                <c:ptCount val="1"/>
                <c:pt idx="0">
                  <c:v>130W, 30s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7251524328689682"/>
                  <c:y val="7.681208948559158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CTAB!$N$26:$N$30</c:f>
              <c:numCache>
                <c:formatCode>General</c:formatCode>
                <c:ptCount val="5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0.25740000000000002</c:v>
                </c:pt>
                <c:pt idx="4">
                  <c:v>0.38480000000000003</c:v>
                </c:pt>
              </c:numCache>
            </c:numRef>
          </c:xVal>
          <c:yVal>
            <c:numRef>
              <c:f>CTAB!$Q$26:$Q$30</c:f>
              <c:numCache>
                <c:formatCode>General</c:formatCode>
                <c:ptCount val="5"/>
                <c:pt idx="0">
                  <c:v>0</c:v>
                </c:pt>
                <c:pt idx="1">
                  <c:v>0.69364733016626989</c:v>
                </c:pt>
                <c:pt idx="2">
                  <c:v>1.3866281348211404</c:v>
                </c:pt>
                <c:pt idx="3">
                  <c:v>2.9821735386868995</c:v>
                </c:pt>
                <c:pt idx="4">
                  <c:v>3.998739963950622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62936"/>
        <c:axId val="406963328"/>
      </c:scatterChart>
      <c:valAx>
        <c:axId val="406962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Mass</a:t>
                </a:r>
                <a:r>
                  <a:rPr lang="en-US" baseline="0"/>
                  <a:t> CNT (mg)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882064741907262"/>
              <c:y val="0.93204451001563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6963328"/>
        <c:crosses val="autoZero"/>
        <c:crossBetween val="midCat"/>
      </c:valAx>
      <c:valAx>
        <c:axId val="406963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(℃)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40006612882870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6962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9859815097739639"/>
          <c:y val="0.61298310590734084"/>
          <c:w val="0.13836805976176056"/>
          <c:h val="0.23635541798861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17</xdr:row>
      <xdr:rowOff>61912</xdr:rowOff>
    </xdr:from>
    <xdr:to>
      <xdr:col>16</xdr:col>
      <xdr:colOff>542925</xdr:colOff>
      <xdr:row>31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33</xdr:row>
      <xdr:rowOff>0</xdr:rowOff>
    </xdr:from>
    <xdr:to>
      <xdr:col>15</xdr:col>
      <xdr:colOff>619125</xdr:colOff>
      <xdr:row>47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32"/>
  <sheetViews>
    <sheetView workbookViewId="0">
      <selection activeCell="B23" sqref="B23"/>
    </sheetView>
  </sheetViews>
  <sheetFormatPr defaultRowHeight="15"/>
  <cols>
    <col min="7" max="7" width="13.5703125" customWidth="1"/>
  </cols>
  <sheetData>
    <row r="4" spans="4:10">
      <c r="D4" t="s">
        <v>0</v>
      </c>
    </row>
    <row r="5" spans="4:10">
      <c r="D5" t="s">
        <v>1</v>
      </c>
      <c r="F5" t="s">
        <v>2</v>
      </c>
      <c r="G5" t="s">
        <v>6</v>
      </c>
      <c r="H5" t="s">
        <v>3</v>
      </c>
      <c r="I5" t="s">
        <v>4</v>
      </c>
      <c r="J5" s="1" t="s">
        <v>5</v>
      </c>
    </row>
    <row r="6" spans="4:10">
      <c r="E6">
        <v>0.13339999999999999</v>
      </c>
      <c r="F6">
        <v>20</v>
      </c>
      <c r="G6">
        <v>100</v>
      </c>
      <c r="H6" s="3">
        <v>24.098606353915116</v>
      </c>
      <c r="I6" s="2">
        <v>26.312919039304202</v>
      </c>
      <c r="J6">
        <f>I6-H6</f>
        <v>2.2143126853890855</v>
      </c>
    </row>
    <row r="7" spans="4:10">
      <c r="E7">
        <f>E6/20*20</f>
        <v>0.13339999999999999</v>
      </c>
    </row>
    <row r="17" spans="5:13">
      <c r="E17" s="16"/>
      <c r="F17" s="16"/>
      <c r="G17" s="16"/>
      <c r="H17" s="16"/>
      <c r="I17" s="16"/>
      <c r="J17" s="16"/>
      <c r="K17" s="16"/>
      <c r="L17" s="16"/>
      <c r="M17" s="16"/>
    </row>
    <row r="18" spans="5:13">
      <c r="E18" s="16"/>
      <c r="F18" s="16"/>
      <c r="G18" s="16"/>
      <c r="H18" s="16"/>
      <c r="I18" s="16"/>
      <c r="J18" s="16"/>
      <c r="K18" s="16"/>
      <c r="L18" s="16"/>
      <c r="M18" s="16"/>
    </row>
    <row r="19" spans="5:13">
      <c r="E19" s="16"/>
      <c r="F19" s="16"/>
      <c r="G19" s="16"/>
      <c r="H19" s="16"/>
      <c r="I19" s="16"/>
      <c r="J19" s="16"/>
      <c r="K19" s="16"/>
      <c r="L19" s="16"/>
      <c r="M19" s="16"/>
    </row>
    <row r="20" spans="5:13">
      <c r="E20" s="16"/>
      <c r="F20" s="6">
        <v>42152</v>
      </c>
      <c r="G20" s="16"/>
      <c r="H20" s="16"/>
      <c r="I20" s="16"/>
      <c r="J20" s="16"/>
      <c r="K20" s="16"/>
      <c r="L20" s="16"/>
      <c r="M20" s="16"/>
    </row>
    <row r="21" spans="5:13">
      <c r="E21" s="16"/>
      <c r="F21" s="16" t="s">
        <v>1</v>
      </c>
      <c r="G21" s="16"/>
      <c r="H21" s="16" t="s">
        <v>2</v>
      </c>
      <c r="I21" s="16" t="s">
        <v>6</v>
      </c>
      <c r="J21" s="16" t="s">
        <v>3</v>
      </c>
      <c r="K21" s="16" t="s">
        <v>4</v>
      </c>
      <c r="L21" s="1" t="s">
        <v>5</v>
      </c>
      <c r="M21" s="16"/>
    </row>
    <row r="22" spans="5:13">
      <c r="E22" s="16"/>
      <c r="F22" s="16"/>
      <c r="G22" s="16">
        <f>0.1492-0.0032</f>
        <v>0.14599999999999999</v>
      </c>
      <c r="H22" s="16">
        <v>20</v>
      </c>
      <c r="I22" s="16">
        <v>100</v>
      </c>
      <c r="J22" s="16">
        <v>25.431515302152341</v>
      </c>
      <c r="K22" s="16">
        <v>25.462467161564</v>
      </c>
      <c r="L22" s="16">
        <f>K22-J22</f>
        <v>3.0951859411658234E-2</v>
      </c>
      <c r="M22" s="16"/>
    </row>
    <row r="23" spans="5:13">
      <c r="E23" s="16"/>
      <c r="F23" s="16"/>
      <c r="G23" s="16">
        <v>0.124</v>
      </c>
      <c r="H23" s="16">
        <v>20</v>
      </c>
      <c r="I23" s="16">
        <v>100</v>
      </c>
      <c r="J23" s="16">
        <v>25.6016679466765</v>
      </c>
      <c r="K23" s="16">
        <v>25.670213292253802</v>
      </c>
      <c r="L23" s="16">
        <f>K23-J23</f>
        <v>6.8545345577302186E-2</v>
      </c>
      <c r="M23" s="16"/>
    </row>
    <row r="24" spans="5:13">
      <c r="E24" s="16"/>
      <c r="F24" s="16"/>
      <c r="G24" s="16"/>
      <c r="H24" s="16"/>
      <c r="I24" s="16"/>
      <c r="J24" s="16"/>
      <c r="K24" s="16"/>
      <c r="L24" s="16"/>
      <c r="M24" s="16"/>
    </row>
    <row r="25" spans="5:13">
      <c r="E25" s="16"/>
      <c r="F25" s="16"/>
      <c r="G25" s="16"/>
      <c r="H25" s="16"/>
      <c r="I25" s="16"/>
      <c r="J25" s="16"/>
      <c r="K25" s="16"/>
      <c r="L25" s="16"/>
      <c r="M25" s="16"/>
    </row>
    <row r="26" spans="5:13">
      <c r="E26" s="16"/>
      <c r="F26" s="6">
        <v>42205</v>
      </c>
      <c r="G26" s="16"/>
      <c r="H26" s="16"/>
      <c r="I26" s="16"/>
      <c r="J26" s="16"/>
      <c r="K26" s="16"/>
      <c r="L26" s="16"/>
      <c r="M26" s="16"/>
    </row>
    <row r="27" spans="5:13">
      <c r="F27" s="28" t="s">
        <v>1</v>
      </c>
      <c r="G27" s="28"/>
      <c r="H27" s="28" t="s">
        <v>2</v>
      </c>
      <c r="I27" s="28" t="s">
        <v>6</v>
      </c>
      <c r="J27" s="28" t="s">
        <v>3</v>
      </c>
      <c r="K27" s="28" t="s">
        <v>4</v>
      </c>
      <c r="L27" s="1" t="s">
        <v>5</v>
      </c>
    </row>
    <row r="28" spans="5:13">
      <c r="F28" s="28"/>
      <c r="G28" s="28">
        <f>0.1872-0.0425</f>
        <v>0.1447</v>
      </c>
      <c r="H28" s="28">
        <v>20</v>
      </c>
      <c r="I28" s="28">
        <v>100</v>
      </c>
      <c r="J28" s="30">
        <v>27.323031563939555</v>
      </c>
      <c r="K28" s="29">
        <v>30.056742880150257</v>
      </c>
      <c r="L28" s="28">
        <f>K28-J28</f>
        <v>2.7337113162107016</v>
      </c>
      <c r="M28">
        <f>L28/G28</f>
        <v>18.892268944096074</v>
      </c>
    </row>
    <row r="29" spans="5:13">
      <c r="F29" s="28"/>
      <c r="G29" s="30">
        <f>0.1322</f>
        <v>0.13220000000000001</v>
      </c>
      <c r="H29" s="30">
        <v>20</v>
      </c>
      <c r="I29" s="30">
        <v>100</v>
      </c>
      <c r="J29" s="32">
        <v>26.979652910211843</v>
      </c>
      <c r="K29" s="31">
        <v>29.373338334163329</v>
      </c>
      <c r="L29" s="30">
        <f t="shared" ref="L29:L32" si="0">K29-J29</f>
        <v>2.3936854239514851</v>
      </c>
      <c r="M29" s="32">
        <f>L29/G29</f>
        <v>18.106546323384908</v>
      </c>
    </row>
    <row r="30" spans="5:13">
      <c r="G30" s="30">
        <f>0.1669-0.0289</f>
        <v>0.13799999999999998</v>
      </c>
      <c r="H30" s="30">
        <v>20</v>
      </c>
      <c r="I30" s="30">
        <v>100</v>
      </c>
      <c r="J30" s="35">
        <v>25.974942056831257</v>
      </c>
      <c r="K30" s="34">
        <v>28.299057680312263</v>
      </c>
      <c r="L30" s="30">
        <f t="shared" si="0"/>
        <v>2.3241156234810063</v>
      </c>
      <c r="M30" s="33">
        <f>L30/G30</f>
        <v>16.84141756145657</v>
      </c>
    </row>
    <row r="31" spans="5:13">
      <c r="G31" s="30">
        <f>0.1331</f>
        <v>0.1331</v>
      </c>
      <c r="H31" s="30">
        <v>20</v>
      </c>
      <c r="I31" s="30">
        <v>100</v>
      </c>
      <c r="J31" s="37">
        <v>26.869570575330883</v>
      </c>
      <c r="K31" s="36">
        <v>29.213523370833588</v>
      </c>
      <c r="L31" s="30">
        <f t="shared" si="0"/>
        <v>2.3439527955027053</v>
      </c>
      <c r="M31" s="37">
        <f>L31/G31</f>
        <v>17.610464278758116</v>
      </c>
    </row>
    <row r="32" spans="5:13">
      <c r="G32" s="30">
        <f>0.1428-0.012</f>
        <v>0.1308</v>
      </c>
      <c r="H32" s="30">
        <v>20</v>
      </c>
      <c r="I32" s="30">
        <v>100</v>
      </c>
      <c r="J32" s="39">
        <v>26.979932307000887</v>
      </c>
      <c r="K32" s="38">
        <v>29.214640957989761</v>
      </c>
      <c r="L32" s="30">
        <f t="shared" si="0"/>
        <v>2.2347086509888747</v>
      </c>
      <c r="M32" s="39">
        <f>L32/G32</f>
        <v>17.084928524379777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7"/>
  <sheetViews>
    <sheetView workbookViewId="0">
      <selection activeCell="J5" sqref="J5"/>
    </sheetView>
  </sheetViews>
  <sheetFormatPr defaultRowHeight="15"/>
  <sheetData>
    <row r="3" spans="3:20">
      <c r="D3" s="3" t="s">
        <v>7</v>
      </c>
      <c r="E3" s="3"/>
      <c r="F3" s="3"/>
      <c r="G3" s="3"/>
      <c r="H3" s="3"/>
      <c r="I3" s="3"/>
      <c r="J3" s="3"/>
    </row>
    <row r="4" spans="3:20">
      <c r="D4" s="3" t="s">
        <v>8</v>
      </c>
      <c r="E4" s="3"/>
      <c r="F4" s="3" t="s">
        <v>2</v>
      </c>
      <c r="G4" s="3" t="s">
        <v>6</v>
      </c>
      <c r="H4" s="3" t="s">
        <v>3</v>
      </c>
      <c r="I4" s="3" t="s">
        <v>4</v>
      </c>
      <c r="J4" s="1" t="s">
        <v>5</v>
      </c>
    </row>
    <row r="5" spans="3:20">
      <c r="D5" s="3"/>
      <c r="E5" s="3">
        <v>0.1321</v>
      </c>
      <c r="F5" s="3">
        <v>20</v>
      </c>
      <c r="G5" s="3">
        <v>100</v>
      </c>
      <c r="H5" s="5">
        <v>24.022796691822819</v>
      </c>
      <c r="I5" s="4">
        <v>30.399003946721791</v>
      </c>
      <c r="J5" s="3">
        <f>I5-H5</f>
        <v>6.3762072548989721</v>
      </c>
    </row>
    <row r="6" spans="3:20">
      <c r="E6">
        <f>E5/20*40</f>
        <v>0.26419999999999999</v>
      </c>
    </row>
    <row r="16" spans="3:20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3:20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3:20">
      <c r="C18" s="16"/>
      <c r="D18" s="6">
        <v>42154</v>
      </c>
      <c r="E18" s="16"/>
      <c r="F18" s="16"/>
      <c r="G18" s="16"/>
      <c r="H18" s="16"/>
      <c r="I18" s="16"/>
      <c r="J18" s="16"/>
      <c r="K18" s="16"/>
      <c r="L18" s="16"/>
      <c r="M18" s="6">
        <v>42156</v>
      </c>
      <c r="N18" s="16"/>
      <c r="O18" s="16"/>
      <c r="P18" s="16"/>
      <c r="Q18" s="16"/>
      <c r="R18" s="16"/>
      <c r="S18" s="16"/>
      <c r="T18" s="16"/>
    </row>
    <row r="19" spans="3:20">
      <c r="C19" s="16"/>
      <c r="D19" s="16" t="s">
        <v>8</v>
      </c>
      <c r="E19" s="16"/>
      <c r="F19" s="16" t="s">
        <v>2</v>
      </c>
      <c r="G19" s="16" t="s">
        <v>6</v>
      </c>
      <c r="H19" s="16" t="s">
        <v>3</v>
      </c>
      <c r="I19" s="16" t="s">
        <v>4</v>
      </c>
      <c r="J19" s="1" t="s">
        <v>5</v>
      </c>
      <c r="K19" s="16"/>
      <c r="L19" s="16"/>
      <c r="M19" s="16" t="s">
        <v>8</v>
      </c>
      <c r="N19" s="16"/>
      <c r="O19" s="16" t="s">
        <v>2</v>
      </c>
      <c r="P19" s="16" t="s">
        <v>6</v>
      </c>
      <c r="Q19" s="16" t="s">
        <v>3</v>
      </c>
      <c r="R19" s="16" t="s">
        <v>4</v>
      </c>
      <c r="S19" s="1" t="s">
        <v>5</v>
      </c>
      <c r="T19" s="16"/>
    </row>
    <row r="20" spans="3:20">
      <c r="C20" s="16"/>
      <c r="D20" s="16"/>
      <c r="E20" s="16">
        <f>0.1429-0.0232</f>
        <v>0.1197</v>
      </c>
      <c r="F20" s="16">
        <v>20</v>
      </c>
      <c r="G20" s="16">
        <v>100</v>
      </c>
      <c r="H20" s="16">
        <v>27.324335415621722</v>
      </c>
      <c r="I20" s="16">
        <v>27.852209082377499</v>
      </c>
      <c r="J20" s="16">
        <f>I20-H20</f>
        <v>0.52787366675577729</v>
      </c>
      <c r="K20" s="16"/>
      <c r="L20" s="16"/>
      <c r="M20" s="16"/>
      <c r="N20" s="16">
        <f>0.1354-0.0003</f>
        <v>0.1351</v>
      </c>
      <c r="O20" s="16">
        <v>20</v>
      </c>
      <c r="P20" s="16">
        <v>100</v>
      </c>
      <c r="Q20" s="16">
        <v>26.002136677630951</v>
      </c>
      <c r="R20" s="16">
        <v>27.707854074707871</v>
      </c>
      <c r="S20" s="16">
        <f>R20-Q20</f>
        <v>1.7057173970769206</v>
      </c>
      <c r="T20" s="16"/>
    </row>
    <row r="21" spans="3:20">
      <c r="C21" s="16"/>
      <c r="D21" s="16"/>
      <c r="E21" s="16">
        <f>E20/20*40</f>
        <v>0.2394</v>
      </c>
      <c r="F21" s="16"/>
      <c r="G21" s="16"/>
      <c r="H21" s="16"/>
      <c r="I21" s="16"/>
      <c r="J21" s="16"/>
      <c r="K21" s="16"/>
      <c r="L21" s="16"/>
      <c r="M21" s="16"/>
      <c r="N21" s="16">
        <f>N20/20*40</f>
        <v>0.2702</v>
      </c>
      <c r="O21" s="16"/>
      <c r="P21" s="16"/>
      <c r="Q21" s="16"/>
      <c r="R21" s="16"/>
      <c r="S21" s="16"/>
      <c r="T21" s="16"/>
    </row>
    <row r="22" spans="3:20">
      <c r="C22" s="16"/>
      <c r="D22" s="16"/>
      <c r="E22" s="16">
        <f>0.1409-0.0082</f>
        <v>0.13269999999999998</v>
      </c>
      <c r="F22" s="16">
        <v>20</v>
      </c>
      <c r="G22" s="16">
        <v>100</v>
      </c>
      <c r="H22" s="16">
        <v>26.651641079881252</v>
      </c>
      <c r="I22" s="16">
        <v>27.518609316266147</v>
      </c>
      <c r="J22" s="16">
        <f>I22-H22</f>
        <v>0.86696823638489562</v>
      </c>
      <c r="K22" s="16"/>
      <c r="L22" s="16"/>
      <c r="M22" s="16"/>
      <c r="N22" s="16">
        <f>0.155-0.0171</f>
        <v>0.13789999999999999</v>
      </c>
      <c r="O22" s="16">
        <v>20</v>
      </c>
      <c r="P22" s="16">
        <v>100</v>
      </c>
      <c r="Q22" s="16">
        <v>26.649592170094976</v>
      </c>
      <c r="R22" s="16">
        <v>28.523413301909756</v>
      </c>
      <c r="S22" s="16">
        <f>R22-Q22</f>
        <v>1.8738211318147791</v>
      </c>
      <c r="T22" s="16"/>
    </row>
    <row r="23" spans="3:20">
      <c r="C23" s="16"/>
      <c r="D23" s="16"/>
      <c r="E23" s="16">
        <f>E22/20*40</f>
        <v>0.26539999999999997</v>
      </c>
      <c r="F23" s="16"/>
      <c r="G23" s="16"/>
      <c r="H23" s="16"/>
      <c r="I23" s="16"/>
      <c r="J23" s="16"/>
      <c r="K23" s="16"/>
      <c r="L23" s="16"/>
      <c r="M23" s="16"/>
      <c r="N23" s="16">
        <f>N22/20*40</f>
        <v>0.27579999999999999</v>
      </c>
      <c r="O23" s="16"/>
      <c r="P23" s="16"/>
      <c r="Q23" s="16"/>
      <c r="R23" s="16"/>
      <c r="S23" s="16"/>
      <c r="T23" s="16"/>
    </row>
    <row r="24" spans="3:20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3:20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3:20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3:20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P17"/>
  <sheetViews>
    <sheetView workbookViewId="0">
      <selection activeCell="T22" sqref="T22"/>
    </sheetView>
  </sheetViews>
  <sheetFormatPr defaultRowHeight="15"/>
  <sheetData>
    <row r="2" spans="4:16">
      <c r="D2" s="6">
        <v>42145</v>
      </c>
    </row>
    <row r="3" spans="4:16">
      <c r="E3" s="5" t="s">
        <v>9</v>
      </c>
      <c r="F3" s="5"/>
      <c r="G3" s="5"/>
      <c r="H3" s="5"/>
      <c r="I3" s="5"/>
      <c r="J3" s="5"/>
      <c r="K3" s="5"/>
    </row>
    <row r="4" spans="4:16">
      <c r="E4" s="5" t="s">
        <v>10</v>
      </c>
      <c r="F4" s="5"/>
      <c r="G4" s="5" t="s">
        <v>2</v>
      </c>
      <c r="H4" s="5" t="s">
        <v>6</v>
      </c>
      <c r="I4" s="5" t="s">
        <v>3</v>
      </c>
      <c r="J4" s="5" t="s">
        <v>4</v>
      </c>
      <c r="K4" s="1" t="s">
        <v>5</v>
      </c>
    </row>
    <row r="5" spans="4:16">
      <c r="E5" s="5"/>
      <c r="F5" s="5">
        <f>0.1252-0.01</f>
        <v>0.11520000000000001</v>
      </c>
      <c r="G5" s="5">
        <v>20</v>
      </c>
      <c r="H5" s="5">
        <v>100</v>
      </c>
      <c r="I5" s="8">
        <v>25.210884971075355</v>
      </c>
      <c r="J5" s="7">
        <v>46.750421628381105</v>
      </c>
      <c r="K5" s="5">
        <f>J5-I5</f>
        <v>21.539536657305749</v>
      </c>
    </row>
    <row r="6" spans="4:16">
      <c r="F6">
        <f>(F5/20)*60</f>
        <v>0.34560000000000002</v>
      </c>
    </row>
    <row r="7" spans="4:16">
      <c r="F7">
        <f>0.129-0.0011</f>
        <v>0.12790000000000001</v>
      </c>
      <c r="I7" s="10">
        <v>26.318506975084961</v>
      </c>
      <c r="J7" s="9">
        <v>48.092923199708643</v>
      </c>
      <c r="K7" s="10">
        <f>J7-I7</f>
        <v>21.774416224623682</v>
      </c>
    </row>
    <row r="12" spans="4:16">
      <c r="E12" s="6">
        <v>42163</v>
      </c>
    </row>
    <row r="13" spans="4:16">
      <c r="F13" t="s">
        <v>10</v>
      </c>
      <c r="H13" t="s">
        <v>2</v>
      </c>
      <c r="I13" t="s">
        <v>6</v>
      </c>
      <c r="J13" t="s">
        <v>3</v>
      </c>
      <c r="K13" t="s">
        <v>4</v>
      </c>
      <c r="L13" t="s">
        <v>5</v>
      </c>
      <c r="O13">
        <v>0.27579999999999999</v>
      </c>
      <c r="P13">
        <v>1.8738211318147791</v>
      </c>
    </row>
    <row r="14" spans="4:16">
      <c r="G14">
        <v>0.13239999999999999</v>
      </c>
      <c r="H14">
        <v>20</v>
      </c>
      <c r="I14">
        <v>100</v>
      </c>
      <c r="J14">
        <v>24.409668109999998</v>
      </c>
      <c r="K14">
        <v>26.37699404</v>
      </c>
      <c r="L14">
        <v>1.9673259240000001</v>
      </c>
      <c r="O14" s="18">
        <v>0.39029999999999998</v>
      </c>
      <c r="P14" s="18">
        <v>2.2208319439999999</v>
      </c>
    </row>
    <row r="15" spans="4:16">
      <c r="G15">
        <v>0.3972</v>
      </c>
      <c r="O15">
        <v>0.53280000000000005</v>
      </c>
      <c r="P15">
        <v>2.5568531487496386</v>
      </c>
    </row>
    <row r="16" spans="4:16">
      <c r="G16">
        <v>0.13009999999999999</v>
      </c>
      <c r="H16">
        <v>20</v>
      </c>
      <c r="I16">
        <v>100</v>
      </c>
      <c r="J16">
        <v>24.428015169999998</v>
      </c>
      <c r="K16">
        <v>26.648847109999998</v>
      </c>
      <c r="L16">
        <v>2.2208319439999999</v>
      </c>
      <c r="O16">
        <v>0.64800000000000002</v>
      </c>
      <c r="P16">
        <v>3.0808152604589196</v>
      </c>
    </row>
    <row r="17" spans="7:7">
      <c r="G17">
        <v>0.39029999999999998</v>
      </c>
    </row>
  </sheetData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M23"/>
  <sheetViews>
    <sheetView workbookViewId="0">
      <selection activeCell="L14" sqref="L14:L18"/>
    </sheetView>
  </sheetViews>
  <sheetFormatPr defaultRowHeight="15"/>
  <sheetData>
    <row r="1" spans="5:13">
      <c r="E1" s="6">
        <v>42146</v>
      </c>
    </row>
    <row r="2" spans="5:13">
      <c r="E2" s="10"/>
      <c r="F2" s="10" t="s">
        <v>14</v>
      </c>
      <c r="G2" s="10"/>
      <c r="H2" s="10"/>
      <c r="I2" s="10"/>
      <c r="J2" s="10"/>
      <c r="K2" s="10"/>
      <c r="L2" s="10"/>
    </row>
    <row r="3" spans="5:13">
      <c r="E3" s="10"/>
      <c r="F3" s="10" t="s">
        <v>13</v>
      </c>
      <c r="G3" s="10"/>
      <c r="H3" s="10" t="s">
        <v>2</v>
      </c>
      <c r="I3" s="10" t="s">
        <v>6</v>
      </c>
      <c r="J3" s="10" t="s">
        <v>3</v>
      </c>
      <c r="K3" s="10" t="s">
        <v>4</v>
      </c>
      <c r="L3" s="1" t="s">
        <v>5</v>
      </c>
    </row>
    <row r="4" spans="5:13">
      <c r="E4" s="10"/>
      <c r="F4" s="10"/>
      <c r="G4" s="10">
        <f>0.1432-0.0172</f>
        <v>0.126</v>
      </c>
      <c r="H4" s="10">
        <v>20</v>
      </c>
      <c r="I4" s="10">
        <v>100</v>
      </c>
      <c r="J4" s="12">
        <v>24.766178415189888</v>
      </c>
      <c r="K4" s="11">
        <v>50.134941198524302</v>
      </c>
      <c r="L4" s="10">
        <f>K4-J4</f>
        <v>25.368762783334414</v>
      </c>
    </row>
    <row r="5" spans="5:13">
      <c r="E5" s="10"/>
      <c r="F5" s="10"/>
      <c r="G5" s="10">
        <f>(G4/20)*80</f>
        <v>0.504</v>
      </c>
      <c r="H5" s="10"/>
      <c r="I5" s="10"/>
      <c r="J5" s="10"/>
      <c r="K5" s="10"/>
      <c r="L5" s="10"/>
    </row>
    <row r="6" spans="5:13">
      <c r="E6" s="10"/>
      <c r="F6" s="10"/>
      <c r="G6" s="10">
        <f>0.129-0.0011</f>
        <v>0.12790000000000001</v>
      </c>
      <c r="H6" s="10">
        <v>20</v>
      </c>
      <c r="I6" s="10">
        <v>100</v>
      </c>
      <c r="J6" s="10"/>
      <c r="K6" s="10"/>
      <c r="L6" s="10">
        <f>K6-J6</f>
        <v>0</v>
      </c>
    </row>
    <row r="7" spans="5:13">
      <c r="E7" s="10"/>
      <c r="F7" s="10"/>
      <c r="G7" s="10">
        <f>(G6/20)*80</f>
        <v>0.51160000000000005</v>
      </c>
      <c r="H7" s="10"/>
      <c r="I7" s="10"/>
      <c r="J7" s="10"/>
      <c r="K7" s="10"/>
      <c r="L7" s="10"/>
    </row>
    <row r="12" spans="5:13">
      <c r="F12" s="6">
        <v>42166</v>
      </c>
    </row>
    <row r="13" spans="5:13">
      <c r="F13" s="16" t="s">
        <v>13</v>
      </c>
      <c r="G13" s="16"/>
      <c r="H13" s="16" t="s">
        <v>2</v>
      </c>
      <c r="I13" s="16" t="s">
        <v>6</v>
      </c>
      <c r="J13" s="16" t="s">
        <v>3</v>
      </c>
      <c r="K13" s="16" t="s">
        <v>4</v>
      </c>
      <c r="L13" s="1" t="s">
        <v>5</v>
      </c>
    </row>
    <row r="14" spans="5:13">
      <c r="F14" s="16"/>
      <c r="G14" s="16">
        <f>0.1504-0.0142</f>
        <v>0.13620000000000002</v>
      </c>
      <c r="H14" s="16">
        <v>20</v>
      </c>
      <c r="I14" s="16">
        <v>100</v>
      </c>
      <c r="J14" s="18">
        <v>26.104164606581001</v>
      </c>
      <c r="K14" s="17">
        <v>33.8610177553307</v>
      </c>
      <c r="L14" s="16">
        <f>K14-J14</f>
        <v>7.7568531487496983</v>
      </c>
      <c r="M14" s="19"/>
    </row>
    <row r="15" spans="5:13">
      <c r="F15" s="16"/>
      <c r="G15" s="20">
        <f>(G14/20)*80</f>
        <v>0.54480000000000006</v>
      </c>
      <c r="H15" s="16"/>
      <c r="I15" s="16"/>
      <c r="J15" s="16"/>
      <c r="K15" s="16"/>
      <c r="L15" s="16"/>
    </row>
    <row r="16" spans="5:13">
      <c r="F16" s="16"/>
      <c r="G16" s="16">
        <f>0.1353-0.01</f>
        <v>0.12529999999999999</v>
      </c>
      <c r="H16" s="16">
        <v>20</v>
      </c>
      <c r="I16" s="16">
        <v>100</v>
      </c>
      <c r="J16" s="19">
        <v>25.28169261108</v>
      </c>
      <c r="K16" s="20">
        <v>32.839915623659799</v>
      </c>
      <c r="L16" s="16">
        <f>K16-J16</f>
        <v>7.5582230125797984</v>
      </c>
    </row>
    <row r="17" spans="6:12">
      <c r="F17" s="16"/>
      <c r="G17" s="16">
        <f>(G16/20)*80</f>
        <v>0.50119999999999998</v>
      </c>
      <c r="H17" s="16"/>
      <c r="I17" s="16"/>
      <c r="J17" s="16"/>
      <c r="K17" s="16"/>
      <c r="L17" s="16"/>
    </row>
    <row r="18" spans="6:12">
      <c r="G18" s="20">
        <f>0.1268-0.001</f>
        <v>0.1258</v>
      </c>
      <c r="H18" s="20">
        <v>20</v>
      </c>
      <c r="I18" s="20">
        <v>100</v>
      </c>
      <c r="J18" s="22">
        <v>25.628117509372085</v>
      </c>
      <c r="K18" s="21">
        <v>33.010533929498997</v>
      </c>
      <c r="L18" s="20">
        <f>K18-J18</f>
        <v>7.382416420126912</v>
      </c>
    </row>
    <row r="19" spans="6:12">
      <c r="G19" s="20">
        <f>(G18/20)*80</f>
        <v>0.50319999999999998</v>
      </c>
      <c r="H19" s="20"/>
      <c r="I19" s="20"/>
      <c r="J19" s="20"/>
      <c r="K19" s="20"/>
      <c r="L19" s="20"/>
    </row>
    <row r="23" spans="6:12">
      <c r="G23" s="16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P33"/>
  <sheetViews>
    <sheetView topLeftCell="A16" workbookViewId="0">
      <selection activeCell="N32" sqref="N32"/>
    </sheetView>
  </sheetViews>
  <sheetFormatPr defaultRowHeight="15"/>
  <sheetData>
    <row r="2" spans="6:16">
      <c r="F2" s="6">
        <v>42150</v>
      </c>
    </row>
    <row r="3" spans="6:16">
      <c r="F3" s="12" t="s">
        <v>15</v>
      </c>
      <c r="G3" s="12"/>
      <c r="H3" s="12"/>
      <c r="I3" s="12"/>
      <c r="J3" s="12"/>
      <c r="K3" s="12"/>
      <c r="L3" s="12"/>
    </row>
    <row r="4" spans="6:16">
      <c r="F4" s="12" t="s">
        <v>16</v>
      </c>
      <c r="G4" s="12"/>
      <c r="H4" s="12" t="s">
        <v>2</v>
      </c>
      <c r="I4" s="12" t="s">
        <v>6</v>
      </c>
      <c r="J4" s="12" t="s">
        <v>3</v>
      </c>
      <c r="K4" s="12" t="s">
        <v>4</v>
      </c>
      <c r="L4" s="1" t="s">
        <v>5</v>
      </c>
    </row>
    <row r="5" spans="6:16">
      <c r="F5" s="12"/>
      <c r="G5" s="12">
        <f>0.1377-0.0002</f>
        <v>0.13749999999999998</v>
      </c>
      <c r="H5" s="12">
        <v>20</v>
      </c>
      <c r="I5" s="12">
        <v>100</v>
      </c>
      <c r="J5" s="14">
        <v>25.952590313708217</v>
      </c>
      <c r="K5" s="13">
        <v>43.665136019297599</v>
      </c>
      <c r="L5" s="12">
        <f>K5-J5</f>
        <v>17.712545705589381</v>
      </c>
      <c r="M5">
        <f>L5/G5</f>
        <v>128.81851422246825</v>
      </c>
    </row>
    <row r="6" spans="6:16">
      <c r="F6" s="12"/>
      <c r="G6" s="12">
        <f>(G5/20)*100</f>
        <v>0.68749999999999989</v>
      </c>
      <c r="H6" s="12"/>
      <c r="I6" s="12"/>
      <c r="J6" s="12"/>
      <c r="K6" s="12"/>
      <c r="L6" s="12"/>
    </row>
    <row r="7" spans="6:16">
      <c r="F7" s="12"/>
      <c r="G7" s="12">
        <f>0.1717-0.028</f>
        <v>0.14369999999999999</v>
      </c>
      <c r="H7" s="12">
        <v>20</v>
      </c>
      <c r="I7" s="12">
        <v>100</v>
      </c>
      <c r="J7" s="16">
        <v>26.610476619629658</v>
      </c>
      <c r="K7" s="15">
        <v>53.925051774087642</v>
      </c>
      <c r="L7" s="12">
        <f>K7-J7</f>
        <v>27.314575154457984</v>
      </c>
      <c r="M7" s="16">
        <f>L7/G7</f>
        <v>190.08055083130122</v>
      </c>
    </row>
    <row r="8" spans="6:16">
      <c r="F8" s="12"/>
      <c r="G8" s="12">
        <f>(G7/20)*100</f>
        <v>0.71849999999999992</v>
      </c>
      <c r="H8" s="12"/>
      <c r="I8" s="12"/>
      <c r="J8" s="12"/>
      <c r="K8" s="12"/>
      <c r="L8" s="12"/>
    </row>
    <row r="16" spans="6:16"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6:16"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6:16">
      <c r="F18" s="16"/>
      <c r="G18" s="6">
        <v>42152</v>
      </c>
      <c r="H18" s="16"/>
      <c r="I18" s="16"/>
      <c r="J18" s="16"/>
      <c r="K18" s="16"/>
      <c r="L18" s="16"/>
      <c r="M18" s="16"/>
      <c r="N18" s="16"/>
      <c r="O18" s="16"/>
      <c r="P18" s="16"/>
    </row>
    <row r="19" spans="6:16">
      <c r="F19" s="16"/>
      <c r="G19" s="16" t="s">
        <v>16</v>
      </c>
      <c r="H19" s="16"/>
      <c r="I19" s="16" t="s">
        <v>2</v>
      </c>
      <c r="J19" s="16" t="s">
        <v>6</v>
      </c>
      <c r="K19" s="16" t="s">
        <v>3</v>
      </c>
      <c r="L19" s="16" t="s">
        <v>4</v>
      </c>
      <c r="M19" s="1" t="s">
        <v>5</v>
      </c>
      <c r="N19" s="16"/>
      <c r="O19" s="16"/>
      <c r="P19" s="16"/>
    </row>
    <row r="20" spans="6:16">
      <c r="F20" s="16"/>
      <c r="G20" s="16"/>
      <c r="H20" s="16">
        <f>0.1324-0.0005</f>
        <v>0.13189999999999999</v>
      </c>
      <c r="I20" s="16">
        <v>20</v>
      </c>
      <c r="J20" s="16">
        <v>100</v>
      </c>
      <c r="K20" s="16">
        <v>25.437382634722145</v>
      </c>
      <c r="L20" s="16">
        <v>48.873185299228737</v>
      </c>
      <c r="M20" s="16">
        <f>L20-K20</f>
        <v>23.435802664506593</v>
      </c>
      <c r="N20" s="16">
        <f>M20/H20</f>
        <v>177.67856455274142</v>
      </c>
      <c r="O20" s="16"/>
      <c r="P20" s="16"/>
    </row>
    <row r="21" spans="6:16">
      <c r="F21" s="16"/>
      <c r="G21" s="16"/>
      <c r="H21" s="16">
        <f>(H20/20)*100</f>
        <v>0.65949999999999998</v>
      </c>
      <c r="I21" s="16"/>
      <c r="J21" s="16"/>
      <c r="K21" s="16"/>
      <c r="L21" s="16"/>
      <c r="M21" s="16"/>
      <c r="N21" s="16"/>
      <c r="O21" s="16"/>
      <c r="P21" s="16"/>
    </row>
    <row r="22" spans="6:16"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6:16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6:16"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6" spans="6:16">
      <c r="G26" s="6">
        <v>42170</v>
      </c>
    </row>
    <row r="27" spans="6:16">
      <c r="G27" s="22" t="s">
        <v>16</v>
      </c>
      <c r="H27" s="22"/>
      <c r="I27" s="22" t="s">
        <v>2</v>
      </c>
      <c r="J27" s="22" t="s">
        <v>6</v>
      </c>
      <c r="K27" s="22" t="s">
        <v>3</v>
      </c>
      <c r="L27" s="22" t="s">
        <v>4</v>
      </c>
      <c r="M27" s="1" t="s">
        <v>5</v>
      </c>
    </row>
    <row r="28" spans="6:16">
      <c r="G28" s="22"/>
      <c r="H28" s="22">
        <f>0.1439-0.0179</f>
        <v>0.126</v>
      </c>
      <c r="I28" s="22">
        <v>20</v>
      </c>
      <c r="J28" s="22">
        <v>100</v>
      </c>
      <c r="K28" s="24">
        <v>25.956408736491721</v>
      </c>
      <c r="L28" s="23">
        <v>28.861204019856707</v>
      </c>
      <c r="M28" s="22">
        <f>L28-K28</f>
        <v>2.9047952833649866</v>
      </c>
      <c r="N28" s="26"/>
    </row>
    <row r="29" spans="6:16">
      <c r="G29" s="22"/>
      <c r="H29" s="22">
        <f>(H28/20)*100</f>
        <v>0.63</v>
      </c>
      <c r="I29" s="22"/>
      <c r="J29" s="22"/>
      <c r="K29" s="22"/>
      <c r="L29" s="22"/>
      <c r="M29" s="22"/>
    </row>
    <row r="30" spans="6:16">
      <c r="H30" s="24">
        <f>0.1478-0.0163</f>
        <v>0.13149999999999998</v>
      </c>
      <c r="I30" s="24">
        <v>20</v>
      </c>
      <c r="J30" s="24">
        <v>100</v>
      </c>
      <c r="K30" s="26">
        <v>24.817494292109878</v>
      </c>
      <c r="L30" s="25">
        <v>27.844013443232381</v>
      </c>
      <c r="M30" s="24">
        <f>L30-K30</f>
        <v>3.0265191511225034</v>
      </c>
      <c r="N30" s="28"/>
    </row>
    <row r="31" spans="6:16">
      <c r="H31" s="24">
        <f>(H30/20)*100</f>
        <v>0.65749999999999997</v>
      </c>
      <c r="I31" s="24"/>
      <c r="J31" s="24"/>
      <c r="K31" s="24"/>
      <c r="L31" s="24"/>
      <c r="M31" s="24"/>
    </row>
    <row r="32" spans="6:16">
      <c r="H32" s="26">
        <f>0.1362-0.0066</f>
        <v>0.12959999999999999</v>
      </c>
      <c r="I32" s="26">
        <v>20</v>
      </c>
      <c r="J32" s="26">
        <v>100</v>
      </c>
      <c r="K32" s="28">
        <v>26.301650035479657</v>
      </c>
      <c r="L32" s="27">
        <v>29.382465295938577</v>
      </c>
      <c r="M32" s="26">
        <f>L32-K32</f>
        <v>3.0808152604589196</v>
      </c>
      <c r="N32" s="28"/>
    </row>
    <row r="33" spans="8:13">
      <c r="H33" s="26">
        <f>(H32/20)*100</f>
        <v>0.64799999999999991</v>
      </c>
      <c r="I33" s="26"/>
      <c r="J33" s="26"/>
      <c r="K33" s="26"/>
      <c r="L33" s="26"/>
      <c r="M33" s="26"/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P26"/>
  <sheetViews>
    <sheetView topLeftCell="A7" workbookViewId="0">
      <selection activeCell="E18" sqref="E18"/>
    </sheetView>
  </sheetViews>
  <sheetFormatPr defaultRowHeight="15"/>
  <sheetData>
    <row r="7" spans="6:16"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6:16"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6:16">
      <c r="F9" s="16"/>
      <c r="G9" s="6">
        <v>42154</v>
      </c>
      <c r="H9" s="16"/>
      <c r="I9" s="16"/>
      <c r="J9" s="16"/>
      <c r="K9" s="16"/>
      <c r="L9" s="16"/>
      <c r="M9" s="16"/>
      <c r="N9" s="16"/>
      <c r="O9" s="16"/>
      <c r="P9" s="16"/>
    </row>
    <row r="10" spans="6:16"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6:16">
      <c r="F11" s="16"/>
      <c r="G11" s="16"/>
      <c r="H11" s="6">
        <v>42152</v>
      </c>
      <c r="I11" s="16"/>
      <c r="J11" s="16"/>
      <c r="K11" s="16"/>
      <c r="L11" s="16"/>
      <c r="M11" s="16"/>
      <c r="N11" s="16"/>
      <c r="O11" s="16"/>
      <c r="P11" s="16"/>
    </row>
    <row r="12" spans="6:16">
      <c r="F12" s="16"/>
      <c r="G12" s="16"/>
      <c r="H12" s="16" t="s">
        <v>17</v>
      </c>
      <c r="I12" s="16"/>
      <c r="J12" s="16" t="s">
        <v>2</v>
      </c>
      <c r="K12" s="16" t="s">
        <v>6</v>
      </c>
      <c r="L12" s="16" t="s">
        <v>3</v>
      </c>
      <c r="M12" s="16" t="s">
        <v>4</v>
      </c>
      <c r="N12" s="1" t="s">
        <v>5</v>
      </c>
      <c r="O12" s="16"/>
      <c r="P12" s="16"/>
    </row>
    <row r="13" spans="6:16">
      <c r="F13" s="16"/>
      <c r="G13" s="16"/>
      <c r="H13" s="16"/>
      <c r="I13" s="16">
        <f>0.1519-0.0332</f>
        <v>0.1187</v>
      </c>
      <c r="J13" s="16">
        <v>20</v>
      </c>
      <c r="K13" s="16">
        <v>100</v>
      </c>
      <c r="L13" s="16">
        <v>25.450048622491877</v>
      </c>
      <c r="M13" s="16">
        <v>55.441058751407773</v>
      </c>
      <c r="N13" s="16">
        <f>M13-L13</f>
        <v>29.991010128915896</v>
      </c>
      <c r="O13" s="16">
        <f>N13/I13</f>
        <v>252.66225887881967</v>
      </c>
      <c r="P13" s="16"/>
    </row>
    <row r="14" spans="6:16">
      <c r="F14" s="16"/>
      <c r="G14" s="16"/>
      <c r="H14" s="16"/>
      <c r="I14" s="16">
        <f>(I13/20)*120</f>
        <v>0.71220000000000006</v>
      </c>
      <c r="J14" s="16"/>
      <c r="K14" s="16"/>
      <c r="L14" s="16"/>
      <c r="M14" s="16"/>
      <c r="N14" s="16"/>
      <c r="O14" s="16"/>
      <c r="P14" s="16"/>
    </row>
    <row r="15" spans="6:16">
      <c r="F15" s="16"/>
      <c r="G15" s="16"/>
      <c r="H15" s="16"/>
      <c r="I15" s="16">
        <f>0.1442-0.0143</f>
        <v>0.12989999999999999</v>
      </c>
      <c r="J15" s="16">
        <v>20</v>
      </c>
      <c r="K15" s="16">
        <v>100</v>
      </c>
      <c r="L15" s="16">
        <v>26.647356995782683</v>
      </c>
      <c r="M15" s="16">
        <v>51.360375515244925</v>
      </c>
      <c r="N15" s="16">
        <f>M15-L15</f>
        <v>24.713018519462242</v>
      </c>
      <c r="O15" s="16"/>
      <c r="P15" s="16"/>
    </row>
    <row r="16" spans="6:16">
      <c r="F16" s="16"/>
      <c r="G16" s="16"/>
      <c r="H16" s="16"/>
      <c r="I16" s="16">
        <f>(I15/20)*120</f>
        <v>0.77939999999999987</v>
      </c>
      <c r="J16" s="16"/>
      <c r="K16" s="16"/>
      <c r="L16" s="16"/>
      <c r="M16" s="16"/>
      <c r="N16" s="16"/>
      <c r="O16" s="16"/>
      <c r="P16" s="16"/>
    </row>
    <row r="17" spans="6:16"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6:16"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6:16">
      <c r="F19" s="16"/>
      <c r="G19" s="16"/>
      <c r="H19" s="6">
        <v>42156</v>
      </c>
      <c r="I19" s="16"/>
      <c r="J19" s="16"/>
      <c r="K19" s="16"/>
      <c r="L19" s="16"/>
      <c r="M19" s="16"/>
      <c r="N19" s="16"/>
      <c r="O19" s="16"/>
      <c r="P19" s="16"/>
    </row>
    <row r="20" spans="6:16">
      <c r="F20" s="16"/>
      <c r="G20" s="16"/>
      <c r="H20" s="16" t="s">
        <v>17</v>
      </c>
      <c r="I20" s="16"/>
      <c r="J20" s="16" t="s">
        <v>2</v>
      </c>
      <c r="K20" s="16" t="s">
        <v>6</v>
      </c>
      <c r="L20" s="16" t="s">
        <v>3</v>
      </c>
      <c r="M20" s="16" t="s">
        <v>4</v>
      </c>
      <c r="N20" s="1" t="s">
        <v>5</v>
      </c>
      <c r="O20" s="16"/>
      <c r="P20" s="16"/>
    </row>
    <row r="21" spans="6:16">
      <c r="F21" s="16"/>
      <c r="G21" s="16"/>
      <c r="H21" s="16"/>
      <c r="I21" s="16">
        <f>0.1378-0.0065</f>
        <v>0.1313</v>
      </c>
      <c r="J21" s="16">
        <v>20</v>
      </c>
      <c r="K21" s="16">
        <v>100</v>
      </c>
      <c r="L21" s="16">
        <v>26.299321728904342</v>
      </c>
      <c r="M21" s="16">
        <v>44.531359197578389</v>
      </c>
      <c r="N21" s="16">
        <f>M21-L21</f>
        <v>18.232037468674047</v>
      </c>
      <c r="O21" s="16"/>
      <c r="P21" s="16"/>
    </row>
    <row r="22" spans="6:16">
      <c r="F22" s="16"/>
      <c r="G22" s="16"/>
      <c r="H22" s="16"/>
      <c r="I22" s="16">
        <f>(I21/20)*120</f>
        <v>0.78779999999999994</v>
      </c>
      <c r="J22" s="16"/>
      <c r="K22" s="16"/>
      <c r="L22" s="16"/>
      <c r="M22" s="16"/>
      <c r="N22" s="16"/>
      <c r="O22" s="16"/>
      <c r="P22" s="16"/>
    </row>
    <row r="23" spans="6:16"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6:16"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6:16"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6:16"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:K9"/>
  <sheetViews>
    <sheetView workbookViewId="0">
      <selection activeCell="H33" sqref="H33"/>
    </sheetView>
  </sheetViews>
  <sheetFormatPr defaultRowHeight="15"/>
  <cols>
    <col min="10" max="10" width="11.140625" customWidth="1"/>
  </cols>
  <sheetData>
    <row r="3" spans="10:11">
      <c r="J3" t="s">
        <v>11</v>
      </c>
      <c r="K3" t="s">
        <v>12</v>
      </c>
    </row>
    <row r="4" spans="10:11">
      <c r="J4">
        <v>0.124</v>
      </c>
      <c r="K4">
        <v>0.02</v>
      </c>
    </row>
    <row r="5" spans="10:11">
      <c r="J5" s="8">
        <v>0.27579999999999999</v>
      </c>
      <c r="K5" s="8">
        <v>1.8738211318147791</v>
      </c>
    </row>
    <row r="6" spans="10:11">
      <c r="J6" s="8">
        <v>0.39029999999999998</v>
      </c>
      <c r="K6" s="8">
        <v>2.2208319439999999</v>
      </c>
    </row>
    <row r="7" spans="10:11">
      <c r="J7" s="8">
        <v>0.53280000000000005</v>
      </c>
      <c r="K7" s="8">
        <v>2.5568531487496386</v>
      </c>
    </row>
    <row r="8" spans="10:11">
      <c r="J8" s="12">
        <v>0.63</v>
      </c>
      <c r="K8" s="12">
        <v>2.9047952833649866</v>
      </c>
    </row>
    <row r="9" spans="10:11">
      <c r="J9" s="16"/>
      <c r="K9" s="16"/>
    </row>
  </sheetData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topLeftCell="A13" workbookViewId="0">
      <selection activeCell="H26" sqref="H26:H31"/>
    </sheetView>
  </sheetViews>
  <sheetFormatPr defaultRowHeight="15"/>
  <cols>
    <col min="1" max="6" width="9.140625" style="88"/>
    <col min="11" max="11" width="12" customWidth="1"/>
    <col min="14" max="14" width="13.7109375" customWidth="1"/>
    <col min="15" max="15" width="10.85546875" customWidth="1"/>
    <col min="16" max="16" width="11.28515625" customWidth="1"/>
    <col min="17" max="17" width="10.7109375" customWidth="1"/>
  </cols>
  <sheetData>
    <row r="1" spans="1:39">
      <c r="B1" s="88" t="s">
        <v>31</v>
      </c>
      <c r="D1" s="88">
        <f>0.13/20*10.7</f>
        <v>6.9550000000000001E-2</v>
      </c>
      <c r="J1" t="s">
        <v>22</v>
      </c>
      <c r="L1">
        <f>0.13/20*20</f>
        <v>0.13</v>
      </c>
      <c r="S1" s="66" t="s">
        <v>25</v>
      </c>
      <c r="U1">
        <f>0.13/20*39.6</f>
        <v>0.25740000000000002</v>
      </c>
      <c r="AB1" t="s">
        <v>30</v>
      </c>
      <c r="AD1" s="87">
        <f>0.13/20*(39.6+19.6)</f>
        <v>0.38480000000000003</v>
      </c>
    </row>
    <row r="2" spans="1:39" ht="18.75">
      <c r="A2" s="40"/>
      <c r="B2" s="41" t="s">
        <v>18</v>
      </c>
      <c r="C2" s="42" t="s">
        <v>6</v>
      </c>
      <c r="D2" s="42" t="s">
        <v>19</v>
      </c>
      <c r="E2" s="42" t="s">
        <v>20</v>
      </c>
      <c r="F2" s="43" t="s">
        <v>21</v>
      </c>
      <c r="G2" s="40"/>
      <c r="H2" t="s">
        <v>23</v>
      </c>
      <c r="I2" s="6">
        <v>42325</v>
      </c>
      <c r="J2" s="40"/>
      <c r="K2" s="41" t="s">
        <v>18</v>
      </c>
      <c r="L2" s="42" t="s">
        <v>6</v>
      </c>
      <c r="M2" s="42" t="s">
        <v>19</v>
      </c>
      <c r="N2" s="42" t="s">
        <v>20</v>
      </c>
      <c r="O2" s="43" t="s">
        <v>21</v>
      </c>
      <c r="P2" s="40"/>
      <c r="Q2" s="6">
        <v>42331</v>
      </c>
      <c r="R2" s="40"/>
      <c r="S2" s="41" t="s">
        <v>18</v>
      </c>
      <c r="T2" s="42" t="s">
        <v>6</v>
      </c>
      <c r="U2" s="42" t="s">
        <v>19</v>
      </c>
      <c r="V2" s="42" t="s">
        <v>20</v>
      </c>
      <c r="W2" s="43" t="s">
        <v>21</v>
      </c>
      <c r="X2" s="40"/>
      <c r="AA2" s="86">
        <v>42338</v>
      </c>
      <c r="AB2" s="41" t="s">
        <v>18</v>
      </c>
      <c r="AC2" s="42" t="s">
        <v>6</v>
      </c>
      <c r="AD2" s="42" t="s">
        <v>19</v>
      </c>
      <c r="AE2" s="42" t="s">
        <v>20</v>
      </c>
      <c r="AF2" s="43" t="s">
        <v>21</v>
      </c>
      <c r="AG2" s="40"/>
    </row>
    <row r="3" spans="1:39">
      <c r="A3" s="40">
        <f>0.1355-0.0092</f>
        <v>0.12630000000000002</v>
      </c>
      <c r="B3" s="45">
        <v>20</v>
      </c>
      <c r="C3" s="46">
        <v>100</v>
      </c>
      <c r="D3" s="52">
        <v>22.194982899999999</v>
      </c>
      <c r="E3" s="52">
        <v>22.55065501</v>
      </c>
      <c r="F3" s="47">
        <f t="shared" ref="F3:F5" si="0">E3-D3</f>
        <v>0.35567211000000043</v>
      </c>
      <c r="G3" s="40">
        <f>F3/$A$3</f>
        <v>2.8160895486935895</v>
      </c>
      <c r="H3">
        <f>G3*0.13</f>
        <v>0.36609164133016664</v>
      </c>
      <c r="J3" s="40">
        <f>0.1257-0.0054</f>
        <v>0.1203</v>
      </c>
      <c r="K3" s="45">
        <v>20</v>
      </c>
      <c r="L3" s="46">
        <v>70</v>
      </c>
      <c r="M3" s="52">
        <v>24.08510218</v>
      </c>
      <c r="N3" s="52">
        <v>24.77213888</v>
      </c>
      <c r="O3" s="47">
        <f t="shared" ref="O3:O6" si="1">N3-M3</f>
        <v>0.68703670000000017</v>
      </c>
      <c r="P3" s="40">
        <f>O3/$J$3</f>
        <v>5.7110282626766429</v>
      </c>
      <c r="R3" s="40">
        <f>0.1301-0.0011</f>
        <v>0.129</v>
      </c>
      <c r="S3" s="45">
        <v>20</v>
      </c>
      <c r="T3" s="46">
        <v>100</v>
      </c>
      <c r="U3" s="75">
        <v>21.685735683783037</v>
      </c>
      <c r="V3" s="75">
        <v>24.413579667423935</v>
      </c>
      <c r="W3" s="72">
        <f t="shared" ref="W3:W20" si="2">V3-U3</f>
        <v>2.7278439836408985</v>
      </c>
      <c r="X3" s="40">
        <f t="shared" ref="X3:X5" si="3">W3/$R$3</f>
        <v>21.146077392565104</v>
      </c>
      <c r="AA3" s="40">
        <f>0.1332-0.0114</f>
        <v>0.12180000000000002</v>
      </c>
      <c r="AB3" s="45">
        <v>20</v>
      </c>
      <c r="AC3" s="46">
        <v>100</v>
      </c>
      <c r="AD3" s="52">
        <v>22.54003793</v>
      </c>
      <c r="AE3" s="52">
        <v>25.106949369999999</v>
      </c>
      <c r="AF3" s="47">
        <f t="shared" ref="AF3:AF5" si="4">AE3-AD3</f>
        <v>2.5669114399999984</v>
      </c>
      <c r="AG3" s="40">
        <f>AF3/$AA$3</f>
        <v>21.074806568144481</v>
      </c>
    </row>
    <row r="4" spans="1:39">
      <c r="A4" s="40">
        <f>A3/20*20</f>
        <v>0.12630000000000002</v>
      </c>
      <c r="B4" s="45">
        <v>20</v>
      </c>
      <c r="C4" s="46">
        <v>130</v>
      </c>
      <c r="D4" s="44">
        <v>22.535567579999999</v>
      </c>
      <c r="E4" s="44">
        <v>22.98360285</v>
      </c>
      <c r="F4" s="47">
        <f t="shared" si="0"/>
        <v>0.44803527000000187</v>
      </c>
      <c r="G4" s="40">
        <f t="shared" ref="G4:G11" si="5">F4/$A$3</f>
        <v>3.5473893111639097</v>
      </c>
      <c r="H4" s="92">
        <f t="shared" ref="H4:H5" si="6">G4*0.13</f>
        <v>0.46116061045130829</v>
      </c>
      <c r="J4" s="40">
        <f>J3/20*20</f>
        <v>0.1203</v>
      </c>
      <c r="K4" s="45">
        <v>20</v>
      </c>
      <c r="L4" s="46">
        <v>100</v>
      </c>
      <c r="M4" s="44">
        <v>23.757835403551791</v>
      </c>
      <c r="N4" s="44">
        <v>24.772138880022688</v>
      </c>
      <c r="O4" s="47">
        <f t="shared" si="1"/>
        <v>1.0143034764708965</v>
      </c>
      <c r="P4" s="40">
        <f>O4/$J$3</f>
        <v>8.4314503447289812</v>
      </c>
      <c r="R4" s="40">
        <f>R3/20*40</f>
        <v>0.25800000000000001</v>
      </c>
      <c r="S4" s="45">
        <v>20</v>
      </c>
      <c r="T4" s="46">
        <v>130</v>
      </c>
      <c r="U4" s="76">
        <v>22.209325266440224</v>
      </c>
      <c r="V4" s="76">
        <v>25.624205954325557</v>
      </c>
      <c r="W4" s="72">
        <f t="shared" si="2"/>
        <v>3.4148806878853328</v>
      </c>
      <c r="X4" s="40">
        <f t="shared" si="3"/>
        <v>26.471943316940564</v>
      </c>
      <c r="AA4" s="40">
        <f>AA3/20*20</f>
        <v>0.12180000000000002</v>
      </c>
      <c r="AB4" s="45">
        <v>20</v>
      </c>
      <c r="AC4" s="46">
        <v>130</v>
      </c>
      <c r="AD4" s="44">
        <v>22.89049464</v>
      </c>
      <c r="AE4" s="44">
        <v>26.07943646</v>
      </c>
      <c r="AF4" s="47">
        <f t="shared" si="4"/>
        <v>3.1889418200000001</v>
      </c>
      <c r="AG4" s="40">
        <f>AF4/$AA$3</f>
        <v>26.181788341543513</v>
      </c>
      <c r="AH4" s="88"/>
      <c r="AK4" s="89"/>
      <c r="AL4" s="89"/>
      <c r="AM4" s="89"/>
    </row>
    <row r="5" spans="1:39">
      <c r="B5" s="48">
        <v>30</v>
      </c>
      <c r="C5" s="49">
        <v>130</v>
      </c>
      <c r="D5" s="50">
        <v>22.546277790000001</v>
      </c>
      <c r="E5" s="50">
        <v>23.22018285</v>
      </c>
      <c r="F5" s="51">
        <f t="shared" si="0"/>
        <v>0.67390505999999917</v>
      </c>
      <c r="G5" s="40">
        <f t="shared" si="5"/>
        <v>5.3357486935866909</v>
      </c>
      <c r="H5" s="92">
        <f t="shared" si="6"/>
        <v>0.69364733016626989</v>
      </c>
      <c r="K5" s="45">
        <v>20</v>
      </c>
      <c r="L5" s="46">
        <v>130</v>
      </c>
      <c r="M5" s="44">
        <v>24.053902867669038</v>
      </c>
      <c r="N5" s="44">
        <v>25.463552800628715</v>
      </c>
      <c r="O5" s="47">
        <f t="shared" si="1"/>
        <v>1.4096499329596774</v>
      </c>
      <c r="P5" s="40">
        <f>O5/$J$3</f>
        <v>11.717788303904218</v>
      </c>
      <c r="R5" s="65"/>
      <c r="S5" s="48">
        <v>30</v>
      </c>
      <c r="T5" s="49">
        <v>130</v>
      </c>
      <c r="U5" s="76">
        <v>22.879132500000001</v>
      </c>
      <c r="V5" s="76">
        <v>26.849360870000002</v>
      </c>
      <c r="W5" s="72">
        <f t="shared" si="2"/>
        <v>3.970228370000001</v>
      </c>
      <c r="X5" s="40">
        <f t="shared" si="3"/>
        <v>30.776964108527139</v>
      </c>
      <c r="AA5" s="85"/>
      <c r="AB5" s="48">
        <v>30</v>
      </c>
      <c r="AC5" s="49">
        <v>130</v>
      </c>
      <c r="AD5" s="50">
        <v>23.023884089999999</v>
      </c>
      <c r="AE5" s="50">
        <v>26.962237179999999</v>
      </c>
      <c r="AF5" s="51">
        <f t="shared" si="4"/>
        <v>3.9383530899999997</v>
      </c>
      <c r="AG5" s="40">
        <f>AF5/$AA$3</f>
        <v>32.334590229885052</v>
      </c>
      <c r="AH5" s="88"/>
      <c r="AK5" s="89"/>
      <c r="AL5" s="89"/>
      <c r="AM5" s="89"/>
    </row>
    <row r="6" spans="1:39">
      <c r="A6" s="40">
        <f>0.1261-0.0052</f>
        <v>0.12089999999999999</v>
      </c>
      <c r="B6" s="45">
        <v>20</v>
      </c>
      <c r="C6" s="46">
        <v>100</v>
      </c>
      <c r="D6" s="52">
        <v>22.54245937</v>
      </c>
      <c r="E6" s="52">
        <v>22.886303689999998</v>
      </c>
      <c r="F6" s="47">
        <f t="shared" ref="F6:F11" si="7">E6-D6</f>
        <v>0.34384431999999876</v>
      </c>
      <c r="G6" s="40">
        <f>F6/$A$6</f>
        <v>2.8440390405293532</v>
      </c>
      <c r="J6" s="40"/>
      <c r="K6" s="48">
        <v>30</v>
      </c>
      <c r="L6" s="49">
        <v>130</v>
      </c>
      <c r="M6" s="50">
        <v>24.091993963241205</v>
      </c>
      <c r="N6" s="50">
        <v>25.629141964265234</v>
      </c>
      <c r="O6" s="51">
        <f t="shared" si="1"/>
        <v>1.537148001024029</v>
      </c>
      <c r="P6" s="40">
        <f>O6/$J$3</f>
        <v>12.777622618653607</v>
      </c>
      <c r="R6" s="40">
        <f>0.1208-0.0005</f>
        <v>0.1203</v>
      </c>
      <c r="S6" s="53">
        <v>20</v>
      </c>
      <c r="T6" s="55">
        <v>100</v>
      </c>
      <c r="U6" s="68">
        <v>21.90264072433952</v>
      </c>
      <c r="V6" s="68">
        <v>23.227633430220695</v>
      </c>
      <c r="W6" s="69">
        <f t="shared" si="2"/>
        <v>1.3249927058811757</v>
      </c>
      <c r="X6" s="40">
        <f>W6/$R$6</f>
        <v>11.014070705579183</v>
      </c>
      <c r="AA6" s="40">
        <f>0.1262-0.0064</f>
        <v>0.1198</v>
      </c>
      <c r="AB6" s="45">
        <v>20</v>
      </c>
      <c r="AC6" s="46">
        <v>100</v>
      </c>
      <c r="AD6" s="52">
        <v>22.538268420000001</v>
      </c>
      <c r="AE6" s="52">
        <v>25.098288069999999</v>
      </c>
      <c r="AF6" s="47">
        <f t="shared" ref="AF6:AF14" si="8">AE6-AD6</f>
        <v>2.5600196499999974</v>
      </c>
      <c r="AG6" s="40">
        <f>AF6/$AA$6</f>
        <v>21.369112270450728</v>
      </c>
      <c r="AH6" s="84">
        <v>21.351366294587507</v>
      </c>
      <c r="AI6">
        <f>AH6*0.13</f>
        <v>2.7756776182963758</v>
      </c>
    </row>
    <row r="7" spans="1:39">
      <c r="A7" s="40">
        <f>A6/20*20</f>
        <v>0.12090000000000001</v>
      </c>
      <c r="B7" s="45">
        <v>20</v>
      </c>
      <c r="C7" s="46">
        <v>130</v>
      </c>
      <c r="D7" s="44">
        <v>22.876990459999998</v>
      </c>
      <c r="E7" s="44">
        <v>23.322604290000001</v>
      </c>
      <c r="F7" s="47">
        <f t="shared" si="7"/>
        <v>0.44561383000000276</v>
      </c>
      <c r="G7" s="40">
        <f t="shared" ref="G7" si="9">F7/$A$6</f>
        <v>3.6858050454921654</v>
      </c>
      <c r="J7" s="40">
        <f>0.1367-0.0025</f>
        <v>0.13419999999999999</v>
      </c>
      <c r="K7" s="53">
        <v>20</v>
      </c>
      <c r="L7" s="55">
        <v>100</v>
      </c>
      <c r="M7" s="61">
        <v>24.77130069</v>
      </c>
      <c r="N7" s="61">
        <v>25.729793890106301</v>
      </c>
      <c r="O7" s="56">
        <f t="shared" ref="O7:O8" si="10">N7-M7</f>
        <v>0.95849320010630024</v>
      </c>
      <c r="P7" s="40">
        <f>O7/$J$7</f>
        <v>7.1422742183777972</v>
      </c>
      <c r="R7" s="40">
        <f>1000*R6/20*20</f>
        <v>120.3</v>
      </c>
      <c r="S7" s="45">
        <v>20</v>
      </c>
      <c r="T7" s="46">
        <v>130</v>
      </c>
      <c r="U7" s="71">
        <v>22.878759972975249</v>
      </c>
      <c r="V7" s="70">
        <v>24.408177996169222</v>
      </c>
      <c r="W7" s="72">
        <f t="shared" si="2"/>
        <v>1.5294180231939727</v>
      </c>
      <c r="X7" s="40">
        <f t="shared" ref="X7:X8" si="11">W7/$R$6</f>
        <v>12.71336677634225</v>
      </c>
      <c r="AA7" s="40">
        <f>AA6/20*20</f>
        <v>0.11980000000000002</v>
      </c>
      <c r="AB7" s="45">
        <v>20</v>
      </c>
      <c r="AC7" s="46">
        <v>130</v>
      </c>
      <c r="AD7" s="44">
        <v>23.011149020000001</v>
      </c>
      <c r="AE7" s="44">
        <v>25.944860340000002</v>
      </c>
      <c r="AF7" s="47">
        <f t="shared" si="8"/>
        <v>2.9337113200000005</v>
      </c>
      <c r="AG7" s="40">
        <f t="shared" ref="AG7:AG8" si="12">AF7/$AA$6</f>
        <v>24.488408347245411</v>
      </c>
      <c r="AH7" s="84">
        <v>24.922292239458613</v>
      </c>
      <c r="AI7" s="90">
        <f t="shared" ref="AI7:AI8" si="13">AH7*0.13</f>
        <v>3.2398979911296197</v>
      </c>
    </row>
    <row r="8" spans="1:39">
      <c r="A8" s="91"/>
      <c r="B8" s="48">
        <v>30</v>
      </c>
      <c r="C8" s="49">
        <v>130</v>
      </c>
      <c r="D8" s="50">
        <v>22.871030000000001</v>
      </c>
      <c r="E8" s="50">
        <v>23.47252318</v>
      </c>
      <c r="F8" s="51">
        <f t="shared" si="7"/>
        <v>0.60149317999999852</v>
      </c>
      <c r="G8" s="40">
        <f>F8/$A$6</f>
        <v>4.9751296939619403</v>
      </c>
      <c r="J8" s="40">
        <f>1000*J7/20*20</f>
        <v>134.19999999999999</v>
      </c>
      <c r="K8" s="48">
        <v>20</v>
      </c>
      <c r="L8" s="49">
        <v>130</v>
      </c>
      <c r="M8" s="50">
        <v>24.760662630835899</v>
      </c>
      <c r="N8" s="50">
        <v>25.976711569828488</v>
      </c>
      <c r="O8" s="51">
        <f t="shared" si="10"/>
        <v>1.2160489389925893</v>
      </c>
      <c r="P8" s="40">
        <f t="shared" ref="P8" si="14">O8/$J$7</f>
        <v>9.0614675036705616</v>
      </c>
      <c r="S8" s="48">
        <v>30</v>
      </c>
      <c r="T8" s="49">
        <v>130</v>
      </c>
      <c r="U8" s="74">
        <v>22.878294311660188</v>
      </c>
      <c r="V8" s="74">
        <v>24.760497347146107</v>
      </c>
      <c r="W8" s="73">
        <f t="shared" si="2"/>
        <v>1.8822030354859187</v>
      </c>
      <c r="X8" s="40">
        <f t="shared" si="11"/>
        <v>15.645910519417445</v>
      </c>
      <c r="AA8" s="88"/>
      <c r="AB8" s="48">
        <v>30</v>
      </c>
      <c r="AC8" s="49">
        <v>130</v>
      </c>
      <c r="AD8" s="50">
        <v>23.044442270000001</v>
      </c>
      <c r="AE8" s="50">
        <v>26.632176439999999</v>
      </c>
      <c r="AF8" s="51">
        <f t="shared" si="8"/>
        <v>3.5877341699999974</v>
      </c>
      <c r="AG8" s="40">
        <f t="shared" si="12"/>
        <v>29.947697579298808</v>
      </c>
      <c r="AH8" s="84">
        <v>30.759538184235552</v>
      </c>
      <c r="AI8" s="90">
        <f t="shared" si="13"/>
        <v>3.998739963950622</v>
      </c>
    </row>
    <row r="9" spans="1:39">
      <c r="A9" s="40">
        <f>0.1355-0.0012</f>
        <v>0.1343</v>
      </c>
      <c r="B9" s="45">
        <v>20</v>
      </c>
      <c r="C9" s="46">
        <v>100</v>
      </c>
      <c r="D9" s="52"/>
      <c r="E9" s="52"/>
      <c r="F9" s="47">
        <f t="shared" si="7"/>
        <v>0</v>
      </c>
      <c r="G9" s="40">
        <f>F9/$A$3</f>
        <v>0</v>
      </c>
      <c r="J9" s="40">
        <f>0.1357-0.0096</f>
        <v>0.12609999999999999</v>
      </c>
      <c r="K9" s="57">
        <v>20</v>
      </c>
      <c r="L9" s="58">
        <v>100</v>
      </c>
      <c r="M9" s="60">
        <v>23.225305123645381</v>
      </c>
      <c r="N9" s="60">
        <v>24.1925527568193</v>
      </c>
      <c r="O9" s="59">
        <f t="shared" ref="O9" si="15">N9-M9</f>
        <v>0.96724763317391904</v>
      </c>
      <c r="P9" s="40">
        <f>O9/$J$9</f>
        <v>7.6704808340516983</v>
      </c>
      <c r="Q9" s="6">
        <v>42332</v>
      </c>
      <c r="R9" s="40">
        <f>0.1359-0.0004</f>
        <v>0.13549999999999998</v>
      </c>
      <c r="S9" s="45">
        <v>20</v>
      </c>
      <c r="T9" s="46">
        <v>100</v>
      </c>
      <c r="U9" s="61">
        <v>21.003262460426239</v>
      </c>
      <c r="V9" s="61">
        <v>22.889935844536769</v>
      </c>
      <c r="W9" s="47">
        <f t="shared" si="2"/>
        <v>1.8866733841105301</v>
      </c>
      <c r="X9" s="40">
        <f>W9/$R$9</f>
        <v>13.92378881262384</v>
      </c>
      <c r="AA9" s="40">
        <f>0.1156-0.0014</f>
        <v>0.1142</v>
      </c>
      <c r="AB9" s="45">
        <v>20</v>
      </c>
      <c r="AC9" s="46">
        <v>100</v>
      </c>
      <c r="AD9" s="52">
        <v>22.873823959999999</v>
      </c>
      <c r="AE9" s="52">
        <v>25.429652659999999</v>
      </c>
      <c r="AF9" s="47">
        <f t="shared" si="8"/>
        <v>2.5558286999999993</v>
      </c>
      <c r="AG9" s="40">
        <f>AF9/$AA$9</f>
        <v>22.380286339754811</v>
      </c>
    </row>
    <row r="10" spans="1:39">
      <c r="A10" s="40">
        <f>A9/20*20</f>
        <v>0.1343</v>
      </c>
      <c r="B10" s="45">
        <v>20</v>
      </c>
      <c r="C10" s="46">
        <v>130</v>
      </c>
      <c r="D10" s="44"/>
      <c r="E10" s="44"/>
      <c r="F10" s="47">
        <f t="shared" si="7"/>
        <v>0</v>
      </c>
      <c r="G10" s="40">
        <f t="shared" si="5"/>
        <v>0</v>
      </c>
      <c r="H10" t="s">
        <v>24</v>
      </c>
      <c r="I10" s="6">
        <v>42326</v>
      </c>
      <c r="J10" s="40">
        <f>0.1626-0.0104</f>
        <v>0.1522</v>
      </c>
      <c r="K10" s="45">
        <v>20</v>
      </c>
      <c r="L10" s="46">
        <v>100</v>
      </c>
      <c r="M10" s="61">
        <v>22.55978197215688</v>
      </c>
      <c r="N10" s="61">
        <v>23.75532083245043</v>
      </c>
      <c r="O10" s="47">
        <f t="shared" ref="O10:O12" si="16">N10-M10</f>
        <v>1.1955388602935493</v>
      </c>
      <c r="P10" s="40">
        <f>O10/$J$10</f>
        <v>7.8550516445042655</v>
      </c>
      <c r="R10" s="40">
        <f>1000*R9/20*40</f>
        <v>270.99999999999994</v>
      </c>
      <c r="S10" s="45">
        <v>20</v>
      </c>
      <c r="T10" s="46">
        <v>130</v>
      </c>
      <c r="U10" s="52">
        <v>21.351018330515537</v>
      </c>
      <c r="V10" s="44">
        <v>23.756624684132621</v>
      </c>
      <c r="W10" s="47">
        <f t="shared" si="2"/>
        <v>2.4056063536170846</v>
      </c>
      <c r="X10" s="40">
        <f t="shared" ref="X10:X11" si="17">W10/$R$9</f>
        <v>17.753552425218338</v>
      </c>
      <c r="AA10" s="40">
        <f>AA9/20*20</f>
        <v>0.1142</v>
      </c>
      <c r="AB10" s="45">
        <v>20</v>
      </c>
      <c r="AC10" s="46">
        <v>130</v>
      </c>
      <c r="AD10" s="44">
        <v>23.557973570000001</v>
      </c>
      <c r="AE10" s="44">
        <v>26.38293045</v>
      </c>
      <c r="AF10" s="47">
        <f t="shared" si="8"/>
        <v>2.8249568799999984</v>
      </c>
      <c r="AG10" s="40">
        <f t="shared" ref="AG10:AG11" si="18">AF10/$AA$9</f>
        <v>24.736925394045521</v>
      </c>
    </row>
    <row r="11" spans="1:39">
      <c r="A11" s="91"/>
      <c r="B11" s="48">
        <v>30</v>
      </c>
      <c r="C11" s="49">
        <v>130</v>
      </c>
      <c r="D11" s="50"/>
      <c r="E11" s="50"/>
      <c r="F11" s="51">
        <f t="shared" si="7"/>
        <v>0</v>
      </c>
      <c r="G11" s="40">
        <f t="shared" si="5"/>
        <v>0</v>
      </c>
      <c r="J11" s="40">
        <f>1000*J10/20*20</f>
        <v>152.19999999999999</v>
      </c>
      <c r="K11" s="45">
        <v>20</v>
      </c>
      <c r="L11" s="46">
        <v>130</v>
      </c>
      <c r="M11" s="52">
        <v>22.8993422</v>
      </c>
      <c r="N11" s="44">
        <v>24.194473686484901</v>
      </c>
      <c r="O11" s="47">
        <f t="shared" si="16"/>
        <v>1.2951314864849017</v>
      </c>
      <c r="P11" s="40">
        <f t="shared" ref="P11:P12" si="19">O11/$J$10</f>
        <v>8.5094052988495505</v>
      </c>
      <c r="S11" s="48">
        <v>30</v>
      </c>
      <c r="T11" s="49">
        <v>130</v>
      </c>
      <c r="U11" s="50">
        <v>21.690578559999999</v>
      </c>
      <c r="V11" s="50">
        <v>24.762080600000001</v>
      </c>
      <c r="W11" s="51">
        <f t="shared" si="2"/>
        <v>3.0715020400000022</v>
      </c>
      <c r="X11" s="40">
        <f t="shared" si="17"/>
        <v>22.667911734317361</v>
      </c>
      <c r="AA11" s="88"/>
      <c r="AB11" s="48">
        <v>30</v>
      </c>
      <c r="AC11" s="49">
        <v>130</v>
      </c>
      <c r="AD11" s="50">
        <v>23.45692506</v>
      </c>
      <c r="AE11" s="50">
        <v>26.96614873</v>
      </c>
      <c r="AF11" s="51">
        <f t="shared" si="8"/>
        <v>3.5092236700000008</v>
      </c>
      <c r="AG11" s="40">
        <f t="shared" si="18"/>
        <v>30.728753677758327</v>
      </c>
    </row>
    <row r="12" spans="1:39">
      <c r="J12" s="54"/>
      <c r="K12" s="48">
        <v>30</v>
      </c>
      <c r="L12" s="49">
        <v>130</v>
      </c>
      <c r="M12" s="50">
        <v>22.56099269157605</v>
      </c>
      <c r="N12" s="50">
        <v>24.101586586331514</v>
      </c>
      <c r="O12" s="51">
        <f t="shared" si="16"/>
        <v>1.5405938947554638</v>
      </c>
      <c r="P12" s="40">
        <f t="shared" si="19"/>
        <v>10.122167508248777</v>
      </c>
      <c r="R12" s="40">
        <f>0.1296-0.0005</f>
        <v>0.12909999999999999</v>
      </c>
      <c r="S12" s="45">
        <v>20</v>
      </c>
      <c r="T12" s="46">
        <v>100</v>
      </c>
      <c r="U12" s="61">
        <v>21.691044219999998</v>
      </c>
      <c r="V12" s="61">
        <v>23.523887160000001</v>
      </c>
      <c r="W12" s="47">
        <f t="shared" si="2"/>
        <v>1.8328429400000026</v>
      </c>
      <c r="X12" s="40">
        <f>W12/$R$12</f>
        <v>14.197079318357883</v>
      </c>
      <c r="Y12" s="84">
        <v>14.449069368881471</v>
      </c>
      <c r="AA12" s="40">
        <f>0.1186-0.0226</f>
        <v>9.6000000000000002E-2</v>
      </c>
      <c r="AB12" s="45">
        <v>20</v>
      </c>
      <c r="AC12" s="46">
        <v>100</v>
      </c>
      <c r="AD12" s="52">
        <v>22.526533749999999</v>
      </c>
      <c r="AE12" s="52">
        <v>24.50233471</v>
      </c>
      <c r="AF12" s="47">
        <f t="shared" si="8"/>
        <v>1.9758009600000008</v>
      </c>
      <c r="AG12" s="40">
        <f>AF12/$AA$12</f>
        <v>20.581260000000007</v>
      </c>
    </row>
    <row r="13" spans="1:39">
      <c r="H13" s="84">
        <f>I13*0.13</f>
        <v>0.97969796663318176</v>
      </c>
      <c r="I13" s="84">
        <v>7.5361382048706282</v>
      </c>
      <c r="J13" s="40">
        <f>0.158-0.0118</f>
        <v>0.1462</v>
      </c>
      <c r="K13" s="45">
        <v>20</v>
      </c>
      <c r="L13" s="46">
        <v>100</v>
      </c>
      <c r="M13" s="61">
        <v>24.432578649078536</v>
      </c>
      <c r="N13" s="61">
        <v>25.562831793000196</v>
      </c>
      <c r="O13" s="47">
        <f t="shared" ref="O13:O15" si="20">N13-M13</f>
        <v>1.1302531439216601</v>
      </c>
      <c r="P13" s="40">
        <f>O13/$J$13</f>
        <v>7.7308696574668954</v>
      </c>
      <c r="R13" s="40">
        <f>1000*R12/20*40</f>
        <v>258.2</v>
      </c>
      <c r="S13" s="45">
        <v>20</v>
      </c>
      <c r="T13" s="46">
        <v>130</v>
      </c>
      <c r="U13" s="44">
        <v>21.8615694</v>
      </c>
      <c r="V13" s="44">
        <v>24.09413601</v>
      </c>
      <c r="W13" s="47">
        <f t="shared" si="2"/>
        <v>2.2325666099999992</v>
      </c>
      <c r="X13" s="40">
        <f t="shared" ref="X13" si="21">W13/$R$12</f>
        <v>17.293312238574742</v>
      </c>
      <c r="Y13" s="84">
        <v>18.83373556372975</v>
      </c>
      <c r="AA13" s="40">
        <f>AA12/20*20</f>
        <v>9.6000000000000002E-2</v>
      </c>
      <c r="AB13" s="45">
        <v>20</v>
      </c>
      <c r="AC13" s="46">
        <v>130</v>
      </c>
      <c r="AD13" s="44">
        <v>23.20351217</v>
      </c>
      <c r="AE13" s="44">
        <v>25.534588670000002</v>
      </c>
      <c r="AF13" s="47">
        <f t="shared" si="8"/>
        <v>2.3310765000000018</v>
      </c>
      <c r="AG13" s="40">
        <f t="shared" ref="AG13:AG14" si="22">AF13/$AA$12</f>
        <v>24.282046875000017</v>
      </c>
    </row>
    <row r="14" spans="1:39">
      <c r="H14" s="84">
        <f t="shared" ref="H14:H15" si="23">I14*0.13</f>
        <v>1.1721755707593304</v>
      </c>
      <c r="I14" s="84">
        <v>9.0167351596871566</v>
      </c>
      <c r="J14" s="40">
        <f>1000*J13/20*20</f>
        <v>146.19999999999999</v>
      </c>
      <c r="K14" s="45">
        <v>20</v>
      </c>
      <c r="L14" s="46">
        <v>130</v>
      </c>
      <c r="M14" s="44">
        <v>23.75736974223673</v>
      </c>
      <c r="N14" s="44">
        <v>25.121664259999999</v>
      </c>
      <c r="O14" s="47">
        <f t="shared" si="20"/>
        <v>1.3642945177632697</v>
      </c>
      <c r="P14" s="40">
        <f t="shared" ref="P14:P15" si="24">O14/$J$13</f>
        <v>9.3316998479019819</v>
      </c>
      <c r="S14" s="48">
        <v>30</v>
      </c>
      <c r="T14" s="49">
        <v>130</v>
      </c>
      <c r="U14" s="50">
        <v>22.453635240000001</v>
      </c>
      <c r="V14" s="50">
        <v>25.29628726</v>
      </c>
      <c r="W14" s="67">
        <f t="shared" si="2"/>
        <v>2.8426520199999992</v>
      </c>
      <c r="X14" s="40">
        <f>W14/$R$12</f>
        <v>22.018993183578615</v>
      </c>
      <c r="Y14" s="84">
        <v>22.939796451437687</v>
      </c>
      <c r="AA14" s="88"/>
      <c r="AB14" s="48">
        <v>30</v>
      </c>
      <c r="AC14" s="49">
        <v>130</v>
      </c>
      <c r="AD14" s="50">
        <v>23.26952197</v>
      </c>
      <c r="AE14" s="50">
        <v>26.152124650000001</v>
      </c>
      <c r="AF14" s="51">
        <f t="shared" si="8"/>
        <v>2.8826026800000015</v>
      </c>
      <c r="AG14" s="40">
        <f t="shared" si="22"/>
        <v>30.027111250000015</v>
      </c>
    </row>
    <row r="15" spans="1:39">
      <c r="H15" s="84">
        <f t="shared" si="23"/>
        <v>1.3866281348211404</v>
      </c>
      <c r="I15" s="84">
        <v>10.666370267854926</v>
      </c>
      <c r="J15" s="63"/>
      <c r="K15" s="48">
        <v>30</v>
      </c>
      <c r="L15" s="49">
        <v>130</v>
      </c>
      <c r="M15" s="50">
        <v>23.58619264</v>
      </c>
      <c r="N15" s="50">
        <v>25.12594834720781</v>
      </c>
      <c r="O15" s="62">
        <f t="shared" si="20"/>
        <v>1.5397557072078101</v>
      </c>
      <c r="P15" s="40">
        <f t="shared" si="24"/>
        <v>10.53184478254316</v>
      </c>
      <c r="R15" s="40">
        <f>0.1272-0.0003</f>
        <v>0.12690000000000001</v>
      </c>
      <c r="S15" s="45">
        <v>20</v>
      </c>
      <c r="T15" s="46">
        <v>100</v>
      </c>
      <c r="U15" s="61">
        <v>23.339205880000002</v>
      </c>
      <c r="V15" s="61">
        <v>25.442318644661821</v>
      </c>
      <c r="W15" s="47">
        <f t="shared" si="2"/>
        <v>2.1031127646618195</v>
      </c>
      <c r="X15" s="40">
        <f>W15/$R$15</f>
        <v>16.572992629328759</v>
      </c>
      <c r="Y15" s="84">
        <v>1.8783790179545912</v>
      </c>
    </row>
    <row r="16" spans="1:39">
      <c r="J16" s="40">
        <f>0.1391-0.0008</f>
        <v>0.13830000000000001</v>
      </c>
      <c r="K16" s="45">
        <v>20</v>
      </c>
      <c r="L16" s="46">
        <v>100</v>
      </c>
      <c r="M16" s="61">
        <v>23.718533588560426</v>
      </c>
      <c r="N16" s="61">
        <v>24.7378871880703</v>
      </c>
      <c r="O16" s="47">
        <f t="shared" ref="O16:O18" si="25">N16-M16</f>
        <v>1.0193535995098735</v>
      </c>
      <c r="P16" s="40">
        <f>O16/$J$16</f>
        <v>7.3705972488060265</v>
      </c>
      <c r="R16" s="40">
        <f>1000*R15/20*40</f>
        <v>253.8</v>
      </c>
      <c r="S16" s="45">
        <v>20</v>
      </c>
      <c r="T16" s="46">
        <v>130</v>
      </c>
      <c r="U16" s="44">
        <v>22.55074814</v>
      </c>
      <c r="V16" s="44">
        <v>25.102851101999999</v>
      </c>
      <c r="W16" s="47">
        <f t="shared" si="2"/>
        <v>2.5521029619999993</v>
      </c>
      <c r="X16" s="40">
        <f>W16/$R$15</f>
        <v>20.111134452324659</v>
      </c>
      <c r="Y16" s="84">
        <v>2.4483856232848678</v>
      </c>
    </row>
    <row r="17" spans="5:25">
      <c r="J17" s="40">
        <f>1000*J16/20*20</f>
        <v>138.30000000000001</v>
      </c>
      <c r="K17" s="45">
        <v>20</v>
      </c>
      <c r="L17" s="46">
        <v>130</v>
      </c>
      <c r="M17" s="44">
        <v>23.584702526611235</v>
      </c>
      <c r="N17" s="44">
        <v>24.848411133790702</v>
      </c>
      <c r="O17" s="47">
        <f t="shared" si="25"/>
        <v>1.263708607179467</v>
      </c>
      <c r="P17" s="40">
        <f t="shared" ref="P17:P18" si="26">O17/$J$16</f>
        <v>9.1374447373786474</v>
      </c>
      <c r="S17" s="48">
        <v>30</v>
      </c>
      <c r="T17" s="49">
        <v>130</v>
      </c>
      <c r="U17" s="50">
        <v>22.816361359999998</v>
      </c>
      <c r="V17" s="50">
        <v>25.962089800000001</v>
      </c>
      <c r="W17" s="67">
        <f t="shared" si="2"/>
        <v>3.1457284400000027</v>
      </c>
      <c r="X17" s="40">
        <f t="shared" ref="X17" si="27">W17/$R$15</f>
        <v>24.789034200157623</v>
      </c>
      <c r="Y17" s="84">
        <v>2.9821735386868995</v>
      </c>
    </row>
    <row r="18" spans="5:25">
      <c r="J18" s="64"/>
      <c r="K18" s="48">
        <v>30</v>
      </c>
      <c r="L18" s="49">
        <v>130</v>
      </c>
      <c r="M18" s="50">
        <v>23.361281297283298</v>
      </c>
      <c r="N18" s="50">
        <v>24.784152941951337</v>
      </c>
      <c r="O18" s="62">
        <f t="shared" si="25"/>
        <v>1.4228716446680387</v>
      </c>
      <c r="P18" s="40">
        <f t="shared" si="26"/>
        <v>10.288298226088493</v>
      </c>
      <c r="R18" s="40">
        <f>0.1271-0.0003</f>
        <v>0.1268</v>
      </c>
      <c r="S18" s="45">
        <v>20</v>
      </c>
      <c r="T18" s="46">
        <v>100</v>
      </c>
      <c r="U18" s="61">
        <v>22.771657870510687</v>
      </c>
      <c r="V18" s="61">
        <v>24.43304431</v>
      </c>
      <c r="W18" s="47">
        <f t="shared" si="2"/>
        <v>1.6613864394893127</v>
      </c>
      <c r="X18" s="40">
        <f>W18/$R$18</f>
        <v>13.102416715215401</v>
      </c>
    </row>
    <row r="19" spans="5:25">
      <c r="J19" s="40">
        <f>0.1441-0.0015</f>
        <v>0.1426</v>
      </c>
      <c r="K19" s="45">
        <v>20</v>
      </c>
      <c r="L19" s="46">
        <v>100</v>
      </c>
      <c r="M19" s="44">
        <v>24.100189602386326</v>
      </c>
      <c r="N19" s="44">
        <v>25.125203289103705</v>
      </c>
      <c r="O19" s="47">
        <f t="shared" ref="O19:O21" si="28">N19-M19</f>
        <v>1.0250136867173794</v>
      </c>
      <c r="P19" s="40">
        <f>O19/$J$19</f>
        <v>7.1880342687053247</v>
      </c>
      <c r="R19" s="40">
        <f>1000*R18/20*40</f>
        <v>253.6</v>
      </c>
      <c r="S19" s="45">
        <v>20</v>
      </c>
      <c r="T19" s="46">
        <v>130</v>
      </c>
      <c r="U19" s="44">
        <v>22.89170536</v>
      </c>
      <c r="V19" s="44">
        <v>25.45014175</v>
      </c>
      <c r="W19" s="47">
        <f t="shared" si="2"/>
        <v>2.5584363900000007</v>
      </c>
      <c r="X19" s="40">
        <f t="shared" ref="X19:X20" si="29">W19/$R$18</f>
        <v>20.176943138801267</v>
      </c>
    </row>
    <row r="20" spans="5:25">
      <c r="J20" s="40">
        <f>1000*J19/20*20</f>
        <v>142.6</v>
      </c>
      <c r="K20" s="45">
        <v>20</v>
      </c>
      <c r="L20" s="46">
        <v>130</v>
      </c>
      <c r="M20" s="44">
        <v>23.591780578600208</v>
      </c>
      <c r="N20" s="44">
        <v>24.887785100208799</v>
      </c>
      <c r="O20" s="47">
        <f t="shared" si="28"/>
        <v>1.2960045216085909</v>
      </c>
      <c r="P20" s="40">
        <f t="shared" ref="P20:P21" si="30">O20/$J$19</f>
        <v>9.0883907546184499</v>
      </c>
      <c r="S20" s="48">
        <v>30</v>
      </c>
      <c r="T20" s="49">
        <v>130</v>
      </c>
      <c r="U20" s="50">
        <v>23.480418440000001</v>
      </c>
      <c r="V20" s="50">
        <v>26.30593412</v>
      </c>
      <c r="W20" s="67">
        <f t="shared" si="2"/>
        <v>2.8255156799999988</v>
      </c>
      <c r="X20" s="40">
        <f t="shared" si="29"/>
        <v>22.283246687697151</v>
      </c>
    </row>
    <row r="21" spans="5:25">
      <c r="J21" s="65"/>
      <c r="K21" s="48">
        <v>30</v>
      </c>
      <c r="L21" s="49">
        <v>130</v>
      </c>
      <c r="M21" s="50">
        <v>23.591035520496103</v>
      </c>
      <c r="N21" s="50">
        <v>25.262759641573403</v>
      </c>
      <c r="O21" s="62">
        <f t="shared" si="28"/>
        <v>1.6717241210773004</v>
      </c>
      <c r="P21" s="40">
        <f t="shared" si="30"/>
        <v>11.723170554539273</v>
      </c>
      <c r="R21" s="65"/>
    </row>
    <row r="22" spans="5:25">
      <c r="O22" s="85"/>
    </row>
    <row r="23" spans="5:25">
      <c r="N23" s="83"/>
      <c r="O23" s="85"/>
      <c r="P23" s="83"/>
    </row>
    <row r="24" spans="5:25">
      <c r="N24" s="83" t="s">
        <v>32</v>
      </c>
      <c r="O24" s="85"/>
      <c r="P24" s="83"/>
    </row>
    <row r="25" spans="5:25">
      <c r="N25" s="77" t="s">
        <v>26</v>
      </c>
      <c r="O25" s="78" t="s">
        <v>27</v>
      </c>
      <c r="P25" s="78" t="s">
        <v>28</v>
      </c>
      <c r="Q25" s="79" t="s">
        <v>29</v>
      </c>
      <c r="T25" s="92"/>
      <c r="U25" s="92"/>
      <c r="V25" s="92"/>
      <c r="W25" s="92"/>
    </row>
    <row r="26" spans="5:25">
      <c r="E26" s="88">
        <v>0</v>
      </c>
      <c r="F26" s="88">
        <v>3.1256895260000001E-3</v>
      </c>
      <c r="G26">
        <v>3.1256895260000001E-3</v>
      </c>
      <c r="H26">
        <v>3.1256895260000001E-3</v>
      </c>
      <c r="N26" s="94">
        <v>0</v>
      </c>
      <c r="O26" s="95">
        <v>0</v>
      </c>
      <c r="P26" s="95">
        <v>0</v>
      </c>
      <c r="Q26" s="96">
        <v>0</v>
      </c>
      <c r="T26" s="92"/>
      <c r="U26" s="92"/>
      <c r="V26" s="92"/>
      <c r="W26" s="92"/>
    </row>
    <row r="27" spans="5:25">
      <c r="E27" s="88">
        <v>6.9550000000000001E-2</v>
      </c>
      <c r="F27" s="88">
        <v>0.67390505999999917</v>
      </c>
      <c r="G27" s="88">
        <v>0.60149317999999852</v>
      </c>
      <c r="H27" s="82">
        <v>0.69364733016626989</v>
      </c>
      <c r="I27">
        <f>AVERAGE(F27:H27)</f>
        <v>0.65634852338875582</v>
      </c>
      <c r="J27">
        <f>_xlfn.STDEV.S(F27:H27)</f>
        <v>4.8520828842398896E-2</v>
      </c>
      <c r="N27" s="80">
        <v>6.9550000000000001E-2</v>
      </c>
      <c r="O27" s="93">
        <v>0.36609164133016664</v>
      </c>
      <c r="P27" s="81">
        <v>0.46116061045130829</v>
      </c>
      <c r="Q27" s="82">
        <v>0.69364733016626989</v>
      </c>
      <c r="T27" s="92"/>
      <c r="U27" s="92"/>
      <c r="V27" s="92"/>
      <c r="W27" s="92"/>
    </row>
    <row r="28" spans="5:25">
      <c r="E28" s="88">
        <v>0.13</v>
      </c>
      <c r="F28" s="88">
        <v>1.537148001024029</v>
      </c>
      <c r="G28" s="88">
        <v>1.5405938947554638</v>
      </c>
      <c r="H28" s="88">
        <v>1.5397557072078101</v>
      </c>
      <c r="I28" s="92">
        <f>AVERAGE(F28:H28)</f>
        <v>1.5391658676624342</v>
      </c>
      <c r="J28" s="92">
        <f>_xlfn.STDEV.S(F28:H28)</f>
        <v>1.7970751011163087E-3</v>
      </c>
      <c r="N28" s="80">
        <v>0.13</v>
      </c>
      <c r="O28" s="81">
        <v>0.97969796663318176</v>
      </c>
      <c r="P28" s="81">
        <v>1.1721755707593304</v>
      </c>
      <c r="Q28" s="82">
        <v>1.3866281348211404</v>
      </c>
      <c r="T28" s="92"/>
      <c r="U28" s="92"/>
      <c r="V28" s="92"/>
      <c r="W28" s="92"/>
    </row>
    <row r="29" spans="5:25">
      <c r="E29" s="88">
        <v>0.26419999999999999</v>
      </c>
      <c r="F29" s="88">
        <v>4.4715020399999998</v>
      </c>
      <c r="G29" s="88">
        <v>4.8426520200000001</v>
      </c>
      <c r="H29" s="88">
        <v>4.5728441399999999</v>
      </c>
      <c r="I29" s="92">
        <f>AVERAGE(F29:H29)</f>
        <v>4.6289994000000005</v>
      </c>
      <c r="J29" s="92">
        <f>_xlfn.STDEV.S(F29:H29)</f>
        <v>0.19184143669382495</v>
      </c>
      <c r="N29" s="80">
        <v>0.25740000000000002</v>
      </c>
      <c r="O29" s="81">
        <v>1.8783790179545912</v>
      </c>
      <c r="P29" s="81">
        <v>2.4483856232848678</v>
      </c>
      <c r="Q29" s="82">
        <v>2.9821735386868995</v>
      </c>
      <c r="T29" s="92"/>
      <c r="U29" s="92"/>
      <c r="V29" s="92"/>
      <c r="W29" s="92"/>
    </row>
    <row r="30" spans="5:25">
      <c r="E30" s="88">
        <v>0.38480000000000003</v>
      </c>
      <c r="F30" s="88">
        <v>6.3762072548989721</v>
      </c>
      <c r="G30" s="92">
        <v>6.4898973762072503</v>
      </c>
      <c r="H30">
        <v>6.5489897762071996</v>
      </c>
      <c r="I30" s="92">
        <f t="shared" ref="I28:I31" si="31">AVERAGE(F30:H30)</f>
        <v>6.4716981357711409</v>
      </c>
      <c r="J30" s="92">
        <f t="shared" ref="J28:J31" si="32">_xlfn.STDEV.S(F30:H30)</f>
        <v>8.78171918347741E-2</v>
      </c>
      <c r="N30" s="97">
        <v>0.38480000000000003</v>
      </c>
      <c r="O30" s="98">
        <v>2.7756776182963758</v>
      </c>
      <c r="P30" s="98">
        <v>3.2398979911296197</v>
      </c>
      <c r="Q30" s="99">
        <v>3.998739963950622</v>
      </c>
      <c r="T30" s="92"/>
      <c r="U30" s="92"/>
      <c r="V30" s="92"/>
      <c r="W30" s="92"/>
    </row>
    <row r="31" spans="5:25">
      <c r="E31" s="88">
        <v>0.504</v>
      </c>
      <c r="F31" s="88">
        <v>7.7568531487496983</v>
      </c>
      <c r="G31" s="88">
        <v>7.5582230125797984</v>
      </c>
      <c r="H31" s="88">
        <v>7.382416420126912</v>
      </c>
      <c r="I31" s="92">
        <f>AVERAGE(F31:H31)</f>
        <v>7.5658308604854696</v>
      </c>
      <c r="J31" s="92">
        <f>_xlfn.STDEV.S(F31:H31)</f>
        <v>0.18733426127580186</v>
      </c>
      <c r="T31" s="92"/>
      <c r="U31" s="92"/>
      <c r="V31" s="92"/>
      <c r="W31" s="92"/>
    </row>
    <row r="32" spans="5:25">
      <c r="T32" s="92"/>
      <c r="U32" s="92"/>
      <c r="V32" s="92"/>
      <c r="W32" s="92"/>
    </row>
    <row r="33" spans="20:23">
      <c r="T33" s="92"/>
      <c r="U33" s="92"/>
      <c r="V33" s="92"/>
      <c r="W33" s="92"/>
    </row>
    <row r="34" spans="20:23">
      <c r="T34" s="92"/>
      <c r="U34" s="92"/>
      <c r="V34" s="92"/>
      <c r="W34" s="92"/>
    </row>
  </sheetData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Stock1</vt:lpstr>
      <vt:lpstr>Stock2</vt:lpstr>
      <vt:lpstr>Stock3</vt:lpstr>
      <vt:lpstr>Stock4</vt:lpstr>
      <vt:lpstr>Stock5</vt:lpstr>
      <vt:lpstr>Stock6</vt:lpstr>
      <vt:lpstr>Plot</vt:lpstr>
      <vt:lpstr>CTAB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 He</cp:lastModifiedBy>
  <dcterms:created xsi:type="dcterms:W3CDTF">2015-03-19T14:23:12Z</dcterms:created>
  <dcterms:modified xsi:type="dcterms:W3CDTF">2016-02-08T17:43:55Z</dcterms:modified>
</cp:coreProperties>
</file>