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pdatedFiles\"/>
    </mc:Choice>
  </mc:AlternateContent>
  <bookViews>
    <workbookView xWindow="0" yWindow="0" windowWidth="20490" windowHeight="7755"/>
  </bookViews>
  <sheets>
    <sheet name="Readme" sheetId="10" r:id="rId1"/>
    <sheet name="Stock1" sheetId="1" r:id="rId2"/>
    <sheet name="Stock2" sheetId="2" r:id="rId3"/>
    <sheet name="Stock3" sheetId="3" r:id="rId4"/>
    <sheet name="Stock4" sheetId="5" r:id="rId5"/>
    <sheet name="Stock5" sheetId="4" r:id="rId6"/>
    <sheet name="Stock6" sheetId="6" r:id="rId7"/>
    <sheet name="dispersion " sheetId="8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5" i="6"/>
  <c r="D8" i="4"/>
  <c r="D6" i="4"/>
  <c r="D7" i="4"/>
  <c r="D5" i="5"/>
  <c r="D15" i="3"/>
  <c r="D12" i="3"/>
  <c r="D9" i="3"/>
  <c r="D6" i="3"/>
  <c r="E16" i="2"/>
  <c r="E13" i="2"/>
  <c r="E10" i="2"/>
  <c r="E7" i="2"/>
  <c r="F25" i="1"/>
  <c r="F22" i="1"/>
  <c r="F19" i="1"/>
  <c r="F16" i="1"/>
  <c r="S10" i="2"/>
  <c r="S7" i="2"/>
  <c r="E9" i="2"/>
  <c r="S72" i="2" l="1"/>
  <c r="S73" i="2"/>
  <c r="S74" i="2"/>
  <c r="S75" i="2"/>
  <c r="S71" i="2"/>
  <c r="L72" i="2"/>
  <c r="L73" i="2"/>
  <c r="L74" i="2"/>
  <c r="L75" i="2"/>
  <c r="L76" i="2"/>
  <c r="L77" i="2"/>
  <c r="L78" i="2"/>
  <c r="L79" i="2"/>
  <c r="L71" i="2"/>
  <c r="F97" i="2" l="1"/>
  <c r="F96" i="2" l="1"/>
  <c r="F95" i="2" l="1"/>
  <c r="K97" i="2"/>
  <c r="K96" i="2"/>
  <c r="K95" i="2"/>
  <c r="F89" i="2" l="1"/>
  <c r="L88" i="2"/>
  <c r="F88" i="2"/>
  <c r="F87" i="2"/>
  <c r="L86" i="2"/>
  <c r="K90" i="2"/>
  <c r="F90" i="2"/>
  <c r="K89" i="2"/>
  <c r="K88" i="2"/>
  <c r="K87" i="2"/>
  <c r="L87" i="2" s="1"/>
  <c r="K86" i="2"/>
  <c r="F86" i="2"/>
  <c r="L89" i="2" l="1"/>
  <c r="F79" i="2"/>
  <c r="K79" i="2"/>
  <c r="F78" i="2"/>
  <c r="K78" i="2"/>
  <c r="M75" i="2" l="1"/>
  <c r="M74" i="2"/>
  <c r="M73" i="2"/>
  <c r="K77" i="2" l="1"/>
  <c r="F77" i="2"/>
  <c r="R76" i="2"/>
  <c r="M76" i="2"/>
  <c r="K76" i="2"/>
  <c r="F76" i="2"/>
  <c r="R75" i="2"/>
  <c r="K75" i="2"/>
  <c r="F75" i="2"/>
  <c r="R74" i="2"/>
  <c r="K74" i="2"/>
  <c r="F74" i="2"/>
  <c r="R73" i="2"/>
  <c r="K73" i="2"/>
  <c r="F73" i="2"/>
  <c r="R72" i="2"/>
  <c r="M72" i="2"/>
  <c r="K72" i="2"/>
  <c r="R71" i="2"/>
  <c r="M71" i="2"/>
  <c r="K71" i="2"/>
  <c r="F71" i="2"/>
  <c r="E66" i="2" l="1"/>
  <c r="J66" i="2"/>
  <c r="K66" i="2" s="1"/>
  <c r="E65" i="2" l="1"/>
  <c r="J65" i="2"/>
  <c r="K65" i="2" s="1"/>
  <c r="J63" i="2" l="1"/>
  <c r="E63" i="2"/>
  <c r="E62" i="2"/>
  <c r="E61" i="2"/>
  <c r="E60" i="2"/>
  <c r="E59" i="2"/>
  <c r="J62" i="2"/>
  <c r="K62" i="2" s="1"/>
  <c r="J61" i="2"/>
  <c r="K61" i="2" s="1"/>
  <c r="J60" i="2"/>
  <c r="K60" i="2" s="1"/>
  <c r="K63" i="2" l="1"/>
  <c r="E58" i="2"/>
  <c r="J59" i="2"/>
  <c r="K59" i="2" s="1"/>
  <c r="J58" i="2"/>
  <c r="K58" i="2" l="1"/>
  <c r="J17" i="8" l="1"/>
  <c r="E16" i="8"/>
  <c r="E17" i="8" s="1"/>
  <c r="J14" i="8"/>
  <c r="E13" i="8"/>
  <c r="E14" i="8" s="1"/>
  <c r="J11" i="8"/>
  <c r="E10" i="8"/>
  <c r="E11" i="8" s="1"/>
  <c r="J8" i="8"/>
  <c r="E7" i="8"/>
  <c r="E8" i="8" s="1"/>
  <c r="I8" i="6"/>
  <c r="I5" i="6"/>
  <c r="I7" i="4"/>
  <c r="I5" i="4"/>
  <c r="I5" i="5"/>
  <c r="N15" i="3"/>
  <c r="I15" i="3"/>
  <c r="N12" i="3"/>
  <c r="I12" i="3"/>
  <c r="N9" i="3"/>
  <c r="I9" i="3"/>
  <c r="N6" i="3"/>
  <c r="I6" i="3"/>
  <c r="J53" i="2"/>
  <c r="E53" i="2"/>
  <c r="J52" i="2"/>
  <c r="E52" i="2"/>
  <c r="J16" i="2"/>
  <c r="J13" i="2"/>
  <c r="J10" i="2"/>
  <c r="S9" i="2"/>
  <c r="S8" i="2"/>
  <c r="J7" i="2"/>
  <c r="K27" i="1"/>
  <c r="K25" i="1"/>
  <c r="K22" i="1"/>
  <c r="K19" i="1"/>
  <c r="F18" i="1"/>
  <c r="K16" i="1"/>
</calcChain>
</file>

<file path=xl/sharedStrings.xml><?xml version="1.0" encoding="utf-8"?>
<sst xmlns="http://schemas.openxmlformats.org/spreadsheetml/2006/main" count="280" uniqueCount="78">
  <si>
    <t>Crystal</t>
  </si>
  <si>
    <t>Power (W)</t>
  </si>
  <si>
    <t>T</t>
  </si>
  <si>
    <t>∆T</t>
  </si>
  <si>
    <r>
      <t>T</t>
    </r>
    <r>
      <rPr>
        <vertAlign val="subscript"/>
        <sz val="11"/>
        <color theme="1"/>
        <rFont val="宋体"/>
        <family val="2"/>
        <scheme val="minor"/>
      </rPr>
      <t>o</t>
    </r>
  </si>
  <si>
    <t>Time (s)</t>
  </si>
  <si>
    <t>Crystal (10mg/20g)</t>
  </si>
  <si>
    <t>SiL-250 (10mg/20g)</t>
  </si>
  <si>
    <t>SiL-90 (10mg/20g)</t>
  </si>
  <si>
    <t>SiL-40 (10mg/20g)</t>
  </si>
  <si>
    <t>Crystal (20mg/20g)</t>
  </si>
  <si>
    <t>SiL-250 (20mg/20g)</t>
  </si>
  <si>
    <t>SiL-90 (20mg/20g)</t>
  </si>
  <si>
    <t>SiL-40 (20mg/20g)</t>
  </si>
  <si>
    <t>Teflon Holder</t>
  </si>
  <si>
    <t>SiL-250</t>
  </si>
  <si>
    <t>Sil-90</t>
  </si>
  <si>
    <t>SiL-40</t>
  </si>
  <si>
    <t>Control</t>
  </si>
  <si>
    <r>
      <rPr>
        <sz val="11"/>
        <color theme="1"/>
        <rFont val="宋体"/>
        <family val="2"/>
        <scheme val="minor"/>
      </rPr>
      <t>Time (s)</t>
    </r>
  </si>
  <si>
    <t>Crystal (80mg/20g)</t>
  </si>
  <si>
    <t>Sand Only</t>
    <phoneticPr fontId="5" type="noConversion"/>
  </si>
  <si>
    <t>To</t>
  </si>
  <si>
    <t>20mg/20g</t>
  </si>
  <si>
    <t>SiL205</t>
  </si>
  <si>
    <t>80mg/20g</t>
  </si>
  <si>
    <t>3-16-2015 Micrwave response of MWCNT in sand</t>
    <phoneticPr fontId="5" type="noConversion"/>
  </si>
  <si>
    <t>Analyst:Yang He</t>
    <phoneticPr fontId="5" type="noConversion"/>
  </si>
  <si>
    <t>Sample mass(g)</t>
    <phoneticPr fontId="5" type="noConversion"/>
  </si>
  <si>
    <t>MWCNT mass (mg)</t>
    <phoneticPr fontId="5" type="noConversion"/>
  </si>
  <si>
    <t>Stock1: 10 mgMWCNT/20g sand</t>
    <phoneticPr fontId="5" type="noConversion"/>
  </si>
  <si>
    <t xml:space="preserve">WA 16 </t>
    <phoneticPr fontId="2" type="noConversion"/>
  </si>
  <si>
    <t>QAPP: L19953-QP-1</t>
    <phoneticPr fontId="2" type="noConversion"/>
  </si>
  <si>
    <t>Title: Quantitative detection of carbon nanotubes in environmental samples by microwave induced heating</t>
    <phoneticPr fontId="2" type="noConversion"/>
  </si>
  <si>
    <t>Analyst:</t>
    <phoneticPr fontId="2" type="noConversion"/>
  </si>
  <si>
    <t>Yang He</t>
  </si>
  <si>
    <t>Balances: AB54, used for weighing CNTs and environmental samples in nanohood</t>
    <phoneticPr fontId="2" type="noConversion"/>
  </si>
  <si>
    <t>Microwave induced heating system: Lab 131. Microwave condition: Power /Time</t>
  </si>
  <si>
    <t>Abbreviations</t>
    <phoneticPr fontId="2" type="noConversion"/>
  </si>
  <si>
    <t>CNT: Carbon nanotubes</t>
    <phoneticPr fontId="2" type="noConversion"/>
  </si>
  <si>
    <t>MWCNT:Multi walled CNT</t>
    <phoneticPr fontId="2" type="noConversion"/>
  </si>
  <si>
    <r>
      <t>T</t>
    </r>
    <r>
      <rPr>
        <vertAlign val="subscript"/>
        <sz val="11"/>
        <color theme="1"/>
        <rFont val="宋体"/>
        <family val="2"/>
        <scheme val="minor"/>
      </rPr>
      <t xml:space="preserve">0 </t>
    </r>
    <r>
      <rPr>
        <sz val="11"/>
        <color theme="1"/>
        <rFont val="宋体"/>
        <family val="2"/>
        <scheme val="minor"/>
      </rPr>
      <t>: initial temperature of the sample before the microwave irradiation</t>
    </r>
  </si>
  <si>
    <t>T: final temperature of the sample after the microwave irradiation</t>
  </si>
  <si>
    <r>
      <rPr>
        <sz val="11"/>
        <color theme="1"/>
        <rFont val="Calibri"/>
        <family val="2"/>
      </rPr>
      <t>∆T: temperautre changes between the T</t>
    </r>
    <r>
      <rPr>
        <vertAlign val="subscript"/>
        <sz val="11"/>
        <color theme="1"/>
        <rFont val="Calibri"/>
        <family val="2"/>
      </rPr>
      <t>o</t>
    </r>
    <r>
      <rPr>
        <sz val="11"/>
        <color theme="1"/>
        <rFont val="Calibri"/>
        <family val="2"/>
      </rPr>
      <t xml:space="preserve"> and T</t>
    </r>
  </si>
  <si>
    <t>Power: microwave energy power</t>
  </si>
  <si>
    <t>Time: microwave exposure time</t>
  </si>
  <si>
    <t>3-17-2015 Micrwave response of MWCNT in sand</t>
    <phoneticPr fontId="5" type="noConversion"/>
  </si>
  <si>
    <t>Stock2: 20 mgMWCNT/20g sand</t>
    <phoneticPr fontId="5" type="noConversion"/>
  </si>
  <si>
    <r>
      <t>T</t>
    </r>
    <r>
      <rPr>
        <vertAlign val="subscript"/>
        <sz val="11"/>
        <color theme="1"/>
        <rFont val="宋体"/>
        <family val="2"/>
        <scheme val="minor"/>
      </rPr>
      <t>o</t>
    </r>
    <r>
      <rPr>
        <sz val="11"/>
        <color theme="1"/>
        <rFont val="宋体"/>
        <family val="3"/>
        <charset val="134"/>
        <scheme val="minor"/>
      </rPr>
      <t>(◦C)</t>
    </r>
    <phoneticPr fontId="5" type="noConversion"/>
  </si>
  <si>
    <t>T (◦C)</t>
    <phoneticPr fontId="5" type="noConversion"/>
  </si>
  <si>
    <t>∆T (◦C)</t>
    <phoneticPr fontId="5" type="noConversion"/>
  </si>
  <si>
    <t>3-18-2015 Micrwave response of MWCNT in sand</t>
    <phoneticPr fontId="5" type="noConversion"/>
  </si>
  <si>
    <t>Crystal (39.8mg/20g)</t>
    <phoneticPr fontId="5" type="noConversion"/>
  </si>
  <si>
    <t>SiL-250 (80.1mg/20g)</t>
    <phoneticPr fontId="5" type="noConversion"/>
  </si>
  <si>
    <t>SiL-90 (132mg/20g)</t>
    <phoneticPr fontId="5" type="noConversion"/>
  </si>
  <si>
    <t>SiL-40 (191mg/20g)</t>
    <phoneticPr fontId="5" type="noConversion"/>
  </si>
  <si>
    <t>measurement 1</t>
    <phoneticPr fontId="5" type="noConversion"/>
  </si>
  <si>
    <t>measurement 2</t>
    <phoneticPr fontId="5" type="noConversion"/>
  </si>
  <si>
    <r>
      <t>T</t>
    </r>
    <r>
      <rPr>
        <vertAlign val="subscript"/>
        <sz val="11"/>
        <color theme="1"/>
        <rFont val="宋体"/>
        <family val="2"/>
        <scheme val="minor"/>
      </rPr>
      <t>o</t>
    </r>
    <r>
      <rPr>
        <sz val="11"/>
        <color theme="1"/>
        <rFont val="宋体"/>
        <family val="3"/>
        <charset val="134"/>
        <scheme val="minor"/>
      </rPr>
      <t>(◦C)</t>
    </r>
    <phoneticPr fontId="5" type="noConversion"/>
  </si>
  <si>
    <t>T (◦C)</t>
    <phoneticPr fontId="5" type="noConversion"/>
  </si>
  <si>
    <t>∆T (◦C)</t>
    <phoneticPr fontId="5" type="noConversion"/>
  </si>
  <si>
    <t>3-19-2015 Micrwave response of MWCNT in sand</t>
    <phoneticPr fontId="5" type="noConversion"/>
  </si>
  <si>
    <t>3-20-2015 Micrwave response of MWCNT in sand</t>
    <phoneticPr fontId="5" type="noConversion"/>
  </si>
  <si>
    <t>Crystal (59.9mg/20g)</t>
    <phoneticPr fontId="5" type="noConversion"/>
  </si>
  <si>
    <t>3-23-2015 Micrwave response of MWCNT in sand</t>
    <phoneticPr fontId="5" type="noConversion"/>
  </si>
  <si>
    <t>Crystal (100.3mg/20g)</t>
    <phoneticPr fontId="5" type="noConversion"/>
  </si>
  <si>
    <t>3-26-2015 Micrwave response of MWCNT in sand</t>
    <phoneticPr fontId="5" type="noConversion"/>
  </si>
  <si>
    <t>D1</t>
    <phoneticPr fontId="5" type="noConversion"/>
  </si>
  <si>
    <t>D2</t>
    <phoneticPr fontId="5" type="noConversion"/>
  </si>
  <si>
    <t>D3</t>
    <phoneticPr fontId="5" type="noConversion"/>
  </si>
  <si>
    <t>D4</t>
    <phoneticPr fontId="5" type="noConversion"/>
  </si>
  <si>
    <t>Sample ID</t>
    <phoneticPr fontId="5" type="noConversion"/>
  </si>
  <si>
    <t>Crystal (20.1mg/20g)</t>
    <phoneticPr fontId="5" type="noConversion"/>
  </si>
  <si>
    <t>SiL-250 (20.1mg/20g)</t>
    <phoneticPr fontId="5" type="noConversion"/>
  </si>
  <si>
    <t>SiL-90 (20mg/20g)</t>
    <phoneticPr fontId="5" type="noConversion"/>
  </si>
  <si>
    <t>SiL-40 (19.9mg/20g)</t>
    <phoneticPr fontId="5" type="noConversion"/>
  </si>
  <si>
    <t>Stock-SDBS-1</t>
    <phoneticPr fontId="5" type="noConversion"/>
  </si>
  <si>
    <t>SDBS: Sodium dodecylbenzenesulfonate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</si>
</sst>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F0000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color rgb="FF7030A0"/>
      <name val="Times New Roman"/>
      <family val="1"/>
    </font>
    <font>
      <vertAlign val="subscript"/>
      <sz val="11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2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7" xfId="0" applyBorder="1"/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Fill="1" applyBorder="1"/>
    <xf numFmtId="16" fontId="0" fillId="0" borderId="0" xfId="0" applyNumberForma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16" fontId="3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0" xfId="0" applyFill="1"/>
    <xf numFmtId="0" fontId="7" fillId="0" borderId="0" xfId="0" applyFont="1"/>
    <xf numFmtId="0" fontId="8" fillId="0" borderId="0" xfId="0" applyFont="1"/>
    <xf numFmtId="0" fontId="0" fillId="0" borderId="6" xfId="0" applyBorder="1"/>
    <xf numFmtId="0" fontId="0" fillId="0" borderId="8" xfId="0" applyBorder="1"/>
    <xf numFmtId="0" fontId="11" fillId="0" borderId="0" xfId="0" applyFont="1"/>
    <xf numFmtId="0" fontId="11" fillId="0" borderId="9" xfId="0" applyFont="1" applyBorder="1"/>
    <xf numFmtId="0" fontId="11" fillId="0" borderId="10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tMix%20SDBS%20MWC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tock1"/>
      <sheetName val="Stock2"/>
      <sheetName val="Stock3"/>
      <sheetName val="Stock 4"/>
      <sheetName val="Stock 5"/>
      <sheetName val="Stock 6"/>
      <sheetName val="Stock7"/>
      <sheetName val="Stock8"/>
      <sheetName val="Stock9"/>
      <sheetName val="Organic Solvent"/>
      <sheetName val="Plo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A19" sqref="A19"/>
    </sheetView>
  </sheetViews>
  <sheetFormatPr defaultRowHeight="13.5" x14ac:dyDescent="0.15"/>
  <sheetData>
    <row r="1" spans="1:9" ht="15" x14ac:dyDescent="0.25">
      <c r="A1" s="121" t="s">
        <v>31</v>
      </c>
      <c r="B1" s="121"/>
      <c r="C1" s="121"/>
      <c r="D1" s="121"/>
      <c r="E1" s="121"/>
      <c r="F1" s="121"/>
      <c r="G1" s="121"/>
      <c r="H1" s="116"/>
      <c r="I1" s="116"/>
    </row>
    <row r="2" spans="1:9" ht="15" x14ac:dyDescent="0.25">
      <c r="A2" s="121" t="s">
        <v>32</v>
      </c>
      <c r="B2" s="121"/>
      <c r="C2" s="121"/>
      <c r="D2" s="121"/>
      <c r="E2" s="121"/>
      <c r="F2" s="121"/>
      <c r="G2" s="121"/>
      <c r="H2" s="116"/>
      <c r="I2" s="116"/>
    </row>
    <row r="3" spans="1:9" ht="15" x14ac:dyDescent="0.25">
      <c r="A3" s="121" t="s">
        <v>33</v>
      </c>
      <c r="B3" s="121"/>
      <c r="C3" s="121"/>
      <c r="D3" s="121"/>
      <c r="E3" s="121"/>
      <c r="F3" s="121"/>
      <c r="G3" s="121"/>
      <c r="H3" s="116"/>
      <c r="I3" s="116"/>
    </row>
    <row r="4" spans="1:9" ht="15" x14ac:dyDescent="0.25">
      <c r="A4" s="121" t="s">
        <v>34</v>
      </c>
      <c r="B4" s="121" t="s">
        <v>35</v>
      </c>
      <c r="C4" s="121"/>
      <c r="D4" s="121"/>
      <c r="E4" s="121"/>
      <c r="F4" s="121"/>
      <c r="G4" s="121"/>
      <c r="H4" s="116"/>
      <c r="I4" s="116"/>
    </row>
    <row r="5" spans="1:9" ht="15" x14ac:dyDescent="0.25">
      <c r="A5" s="121" t="s">
        <v>36</v>
      </c>
      <c r="B5" s="121"/>
      <c r="C5" s="121"/>
      <c r="D5" s="121"/>
      <c r="E5" s="121"/>
      <c r="F5" s="121"/>
      <c r="G5" s="121"/>
      <c r="H5" s="116"/>
      <c r="I5" s="116"/>
    </row>
    <row r="6" spans="1:9" ht="15" x14ac:dyDescent="0.25">
      <c r="A6" s="121"/>
      <c r="B6" s="121"/>
      <c r="C6" s="121"/>
      <c r="D6" s="121"/>
      <c r="E6" s="121"/>
      <c r="F6" s="121"/>
      <c r="G6" s="121"/>
      <c r="H6" s="116"/>
      <c r="I6" s="116"/>
    </row>
    <row r="7" spans="1:9" ht="15" x14ac:dyDescent="0.25">
      <c r="A7" s="121" t="s">
        <v>37</v>
      </c>
      <c r="B7" s="121"/>
      <c r="C7" s="121"/>
      <c r="D7" s="121"/>
      <c r="E7" s="121"/>
      <c r="F7" s="121"/>
      <c r="G7" s="121"/>
      <c r="H7" s="116"/>
      <c r="I7" s="116"/>
    </row>
    <row r="8" spans="1:9" x14ac:dyDescent="0.15">
      <c r="A8" s="116"/>
      <c r="B8" s="116"/>
      <c r="C8" s="116"/>
      <c r="D8" s="116"/>
      <c r="E8" s="116"/>
      <c r="F8" s="116"/>
      <c r="G8" s="116"/>
      <c r="H8" s="116"/>
      <c r="I8" s="116"/>
    </row>
    <row r="9" spans="1:9" x14ac:dyDescent="0.15">
      <c r="A9" s="116"/>
      <c r="B9" s="116"/>
      <c r="C9" s="116"/>
      <c r="D9" s="116"/>
      <c r="E9" s="116"/>
      <c r="F9" s="116"/>
      <c r="G9" s="116"/>
      <c r="H9" s="116"/>
      <c r="I9" s="116"/>
    </row>
    <row r="10" spans="1:9" x14ac:dyDescent="0.15">
      <c r="A10" s="116"/>
      <c r="B10" s="116"/>
      <c r="C10" s="116"/>
      <c r="D10" s="116"/>
      <c r="E10" s="116"/>
      <c r="F10" s="116"/>
      <c r="G10" s="116"/>
      <c r="H10" s="116"/>
      <c r="I10" s="116"/>
    </row>
    <row r="11" spans="1:9" ht="15" x14ac:dyDescent="0.25">
      <c r="A11" s="122" t="s">
        <v>38</v>
      </c>
      <c r="B11" s="121"/>
      <c r="C11" s="121"/>
      <c r="D11" s="116"/>
      <c r="E11" s="116"/>
      <c r="F11" s="116"/>
      <c r="G11" s="116"/>
      <c r="H11" s="116"/>
      <c r="I11" s="116"/>
    </row>
    <row r="12" spans="1:9" ht="15" x14ac:dyDescent="0.25">
      <c r="A12" s="121" t="s">
        <v>39</v>
      </c>
      <c r="B12" s="121"/>
      <c r="C12" s="121"/>
      <c r="D12" s="116"/>
      <c r="E12" s="116"/>
      <c r="F12" s="116"/>
      <c r="G12" s="116"/>
      <c r="H12" s="116"/>
      <c r="I12" s="116"/>
    </row>
    <row r="13" spans="1:9" ht="15" x14ac:dyDescent="0.25">
      <c r="A13" s="121" t="s">
        <v>40</v>
      </c>
      <c r="B13" s="121"/>
      <c r="C13" s="121"/>
      <c r="D13" s="116"/>
      <c r="E13" s="116"/>
      <c r="F13" s="116"/>
      <c r="G13" s="116"/>
      <c r="H13" s="116"/>
      <c r="I13" s="116"/>
    </row>
    <row r="14" spans="1:9" ht="16.5" x14ac:dyDescent="0.25">
      <c r="A14" s="116" t="s">
        <v>41</v>
      </c>
      <c r="B14" s="116"/>
      <c r="C14" s="116"/>
      <c r="D14" s="116"/>
      <c r="E14" s="116"/>
      <c r="F14" s="116"/>
      <c r="G14" s="116"/>
      <c r="H14" s="116"/>
      <c r="I14" s="116"/>
    </row>
    <row r="15" spans="1:9" x14ac:dyDescent="0.15">
      <c r="A15" s="116" t="s">
        <v>42</v>
      </c>
      <c r="B15" s="116"/>
      <c r="C15" s="116"/>
      <c r="D15" s="116"/>
      <c r="E15" s="116"/>
      <c r="F15" s="116"/>
      <c r="G15" s="116"/>
      <c r="H15" s="116"/>
      <c r="I15" s="116"/>
    </row>
    <row r="16" spans="1:9" ht="18" x14ac:dyDescent="0.35">
      <c r="A16" s="1" t="s">
        <v>43</v>
      </c>
      <c r="B16" s="116"/>
      <c r="C16" s="116"/>
      <c r="D16" s="116"/>
      <c r="E16" s="116"/>
      <c r="F16" s="116"/>
      <c r="G16" s="116"/>
      <c r="H16" s="116"/>
      <c r="I16" s="116"/>
    </row>
    <row r="17" spans="1:9" ht="15" x14ac:dyDescent="0.25">
      <c r="A17" s="1" t="s">
        <v>44</v>
      </c>
      <c r="B17" s="116"/>
      <c r="C17" s="116"/>
      <c r="D17" s="116"/>
      <c r="E17" s="116"/>
      <c r="F17" s="116"/>
      <c r="G17" s="116"/>
      <c r="H17" s="116"/>
      <c r="I17" s="116"/>
    </row>
    <row r="18" spans="1:9" ht="15" x14ac:dyDescent="0.25">
      <c r="A18" s="1" t="s">
        <v>45</v>
      </c>
      <c r="B18" s="116"/>
      <c r="C18" s="116"/>
      <c r="D18" s="116"/>
      <c r="E18" s="116"/>
      <c r="F18" s="116"/>
      <c r="G18" s="116"/>
      <c r="H18" s="116"/>
      <c r="I18" s="116"/>
    </row>
    <row r="19" spans="1:9" ht="15" x14ac:dyDescent="0.25">
      <c r="A19" s="1" t="s">
        <v>77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27"/>
  <sheetViews>
    <sheetView workbookViewId="0">
      <selection activeCell="D43" sqref="D43"/>
    </sheetView>
  </sheetViews>
  <sheetFormatPr defaultRowHeight="13.5" x14ac:dyDescent="0.15"/>
  <cols>
    <col min="5" max="5" width="16.625" customWidth="1"/>
    <col min="6" max="6" width="18.625" customWidth="1"/>
    <col min="8" max="8" width="10.625" customWidth="1"/>
  </cols>
  <sheetData>
    <row r="7" spans="1:12" x14ac:dyDescent="0.15">
      <c r="A7" s="120" t="s">
        <v>26</v>
      </c>
      <c r="B7" s="120"/>
      <c r="C7" s="120"/>
      <c r="D7" s="120"/>
      <c r="E7" s="120"/>
    </row>
    <row r="8" spans="1:12" x14ac:dyDescent="0.15">
      <c r="A8" t="s">
        <v>27</v>
      </c>
    </row>
    <row r="9" spans="1:12" x14ac:dyDescent="0.15">
      <c r="A9" t="s">
        <v>30</v>
      </c>
    </row>
    <row r="14" spans="1:12" x14ac:dyDescent="0.15">
      <c r="F14" s="2" t="s">
        <v>6</v>
      </c>
    </row>
    <row r="15" spans="1:12" ht="16.5" x14ac:dyDescent="0.25">
      <c r="E15" t="s">
        <v>28</v>
      </c>
      <c r="F15" s="28">
        <v>0.13489999999999999</v>
      </c>
      <c r="G15" t="s">
        <v>5</v>
      </c>
      <c r="H15" t="s">
        <v>1</v>
      </c>
      <c r="I15" t="s">
        <v>48</v>
      </c>
      <c r="J15" t="s">
        <v>49</v>
      </c>
      <c r="K15" s="1" t="s">
        <v>50</v>
      </c>
      <c r="L15" s="1"/>
    </row>
    <row r="16" spans="1:12" x14ac:dyDescent="0.15">
      <c r="E16" t="s">
        <v>29</v>
      </c>
      <c r="F16">
        <f>(F15/20.0068)*10</f>
        <v>6.7427074794569858E-2</v>
      </c>
      <c r="G16">
        <v>20</v>
      </c>
      <c r="H16">
        <v>100</v>
      </c>
      <c r="I16">
        <v>23.65669376592</v>
      </c>
      <c r="J16">
        <v>24.092832153608335</v>
      </c>
      <c r="K16">
        <f>J16-I16</f>
        <v>0.43613838768833446</v>
      </c>
    </row>
    <row r="17" spans="5:13" x14ac:dyDescent="0.15">
      <c r="F17" s="2" t="s">
        <v>7</v>
      </c>
    </row>
    <row r="18" spans="5:13" ht="16.5" x14ac:dyDescent="0.25">
      <c r="E18" s="116" t="s">
        <v>28</v>
      </c>
      <c r="F18" s="28">
        <f>0.0678+0.0139</f>
        <v>8.1699999999999995E-2</v>
      </c>
      <c r="G18" t="s">
        <v>5</v>
      </c>
      <c r="H18" t="s">
        <v>1</v>
      </c>
      <c r="I18" s="116" t="s">
        <v>48</v>
      </c>
      <c r="J18" s="116" t="s">
        <v>49</v>
      </c>
      <c r="K18" s="1" t="s">
        <v>50</v>
      </c>
    </row>
    <row r="19" spans="5:13" x14ac:dyDescent="0.15">
      <c r="E19" s="116" t="s">
        <v>29</v>
      </c>
      <c r="F19" s="116">
        <f>(F18/20.0351)*10</f>
        <v>4.0778433848595717E-2</v>
      </c>
      <c r="G19">
        <v>20</v>
      </c>
      <c r="H19">
        <v>100</v>
      </c>
      <c r="I19" s="3">
        <v>23.745541944834098</v>
      </c>
      <c r="J19" s="5">
        <v>23.746473267464225</v>
      </c>
      <c r="K19" s="4">
        <f>J19-I19</f>
        <v>9.3132263012662975E-4</v>
      </c>
      <c r="L19" s="13"/>
    </row>
    <row r="20" spans="5:13" s="28" customFormat="1" x14ac:dyDescent="0.15">
      <c r="F20" s="2" t="s">
        <v>8</v>
      </c>
      <c r="M20" s="62"/>
    </row>
    <row r="21" spans="5:13" ht="16.5" x14ac:dyDescent="0.25">
      <c r="E21" s="116" t="s">
        <v>28</v>
      </c>
      <c r="F21" s="28">
        <v>7.1400000000000005E-2</v>
      </c>
      <c r="G21" s="5" t="s">
        <v>5</v>
      </c>
      <c r="H21" s="5" t="s">
        <v>1</v>
      </c>
      <c r="I21" s="116" t="s">
        <v>48</v>
      </c>
      <c r="J21" s="116" t="s">
        <v>49</v>
      </c>
      <c r="K21" s="1" t="s">
        <v>50</v>
      </c>
    </row>
    <row r="22" spans="5:13" x14ac:dyDescent="0.15">
      <c r="E22" s="116" t="s">
        <v>29</v>
      </c>
      <c r="F22" s="116">
        <f>(F21/19.9987)*10</f>
        <v>3.5702320650842306E-2</v>
      </c>
      <c r="G22" s="5">
        <v>20</v>
      </c>
      <c r="H22" s="5">
        <v>100</v>
      </c>
      <c r="I22" s="7">
        <v>23.58041844251267</v>
      </c>
      <c r="J22" s="6">
        <v>23.744051828625913</v>
      </c>
      <c r="K22" s="7">
        <f>J22-I22</f>
        <v>0.16363338611324352</v>
      </c>
      <c r="L22" s="13"/>
      <c r="M22" s="62"/>
    </row>
    <row r="23" spans="5:13" s="28" customFormat="1" x14ac:dyDescent="0.15">
      <c r="F23" s="2" t="s">
        <v>9</v>
      </c>
    </row>
    <row r="24" spans="5:13" ht="16.5" x14ac:dyDescent="0.25">
      <c r="E24" s="116" t="s">
        <v>28</v>
      </c>
      <c r="F24" s="28">
        <v>5.1400000000000001E-2</v>
      </c>
      <c r="G24" s="7" t="s">
        <v>5</v>
      </c>
      <c r="H24" s="7" t="s">
        <v>1</v>
      </c>
      <c r="I24" s="116" t="s">
        <v>48</v>
      </c>
      <c r="J24" s="116" t="s">
        <v>49</v>
      </c>
      <c r="K24" s="1" t="s">
        <v>50</v>
      </c>
    </row>
    <row r="25" spans="5:13" x14ac:dyDescent="0.15">
      <c r="E25" s="116" t="s">
        <v>29</v>
      </c>
      <c r="F25" s="116">
        <f>(F24/20.0038)*10</f>
        <v>2.5695117927593759E-2</v>
      </c>
      <c r="G25" s="7">
        <v>20</v>
      </c>
      <c r="H25" s="7">
        <v>100</v>
      </c>
      <c r="I25" s="9">
        <v>23.231638117530245</v>
      </c>
      <c r="J25" s="8">
        <v>23.58358493945509</v>
      </c>
      <c r="K25" s="9">
        <f>J25-I25</f>
        <v>0.3519468219248445</v>
      </c>
      <c r="L25" s="62"/>
    </row>
    <row r="26" spans="5:13" ht="16.5" x14ac:dyDescent="0.25">
      <c r="G26" s="11" t="s">
        <v>5</v>
      </c>
      <c r="H26" s="11" t="s">
        <v>1</v>
      </c>
      <c r="I26" s="116" t="s">
        <v>48</v>
      </c>
      <c r="J26" s="116" t="s">
        <v>49</v>
      </c>
      <c r="K26" s="1" t="s">
        <v>50</v>
      </c>
    </row>
    <row r="27" spans="5:13" x14ac:dyDescent="0.15">
      <c r="F27" s="2" t="s">
        <v>14</v>
      </c>
      <c r="G27" s="11">
        <v>20</v>
      </c>
      <c r="H27" s="11">
        <v>100</v>
      </c>
      <c r="I27" s="11">
        <v>26.968570170913349</v>
      </c>
      <c r="J27" s="10">
        <v>26.660116115815413</v>
      </c>
      <c r="K27" s="11">
        <f>J27-I27</f>
        <v>-0.30845405509793622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workbookViewId="0">
      <selection activeCell="E17" sqref="E17"/>
    </sheetView>
  </sheetViews>
  <sheetFormatPr defaultRowHeight="13.5" x14ac:dyDescent="0.15"/>
  <cols>
    <col min="4" max="4" width="19.125" customWidth="1"/>
    <col min="5" max="5" width="18.125" customWidth="1"/>
    <col min="7" max="7" width="12.625" customWidth="1"/>
    <col min="19" max="20" width="10.625" customWidth="1"/>
  </cols>
  <sheetData>
    <row r="1" spans="1:21" x14ac:dyDescent="0.15">
      <c r="A1" s="120" t="s">
        <v>46</v>
      </c>
      <c r="B1" s="120"/>
      <c r="C1" s="120"/>
      <c r="D1" s="120"/>
      <c r="E1" s="120"/>
    </row>
    <row r="2" spans="1:21" x14ac:dyDescent="0.15">
      <c r="A2" s="116" t="s">
        <v>27</v>
      </c>
      <c r="B2" s="116"/>
      <c r="C2" s="116"/>
      <c r="D2" s="116"/>
      <c r="E2" s="116"/>
    </row>
    <row r="3" spans="1:21" x14ac:dyDescent="0.15">
      <c r="A3" s="116" t="s">
        <v>47</v>
      </c>
      <c r="B3" s="116"/>
      <c r="C3" s="116"/>
      <c r="D3" s="116"/>
      <c r="E3" s="116"/>
    </row>
    <row r="5" spans="1:21" x14ac:dyDescent="0.15">
      <c r="E5" s="2" t="s">
        <v>10</v>
      </c>
      <c r="F5" s="11"/>
      <c r="G5" s="11"/>
      <c r="H5" s="11"/>
      <c r="I5" s="11"/>
      <c r="J5" s="11"/>
      <c r="K5" s="11"/>
      <c r="N5" t="s">
        <v>18</v>
      </c>
      <c r="S5" t="s">
        <v>21</v>
      </c>
    </row>
    <row r="6" spans="1:21" ht="16.5" x14ac:dyDescent="0.25">
      <c r="D6" s="116" t="s">
        <v>28</v>
      </c>
      <c r="E6" s="28">
        <v>0.13450000000000001</v>
      </c>
      <c r="F6" s="11" t="s">
        <v>5</v>
      </c>
      <c r="G6" s="11" t="s">
        <v>1</v>
      </c>
      <c r="H6" s="116" t="s">
        <v>48</v>
      </c>
      <c r="I6" s="116" t="s">
        <v>49</v>
      </c>
      <c r="J6" s="1" t="s">
        <v>50</v>
      </c>
      <c r="K6" s="1"/>
      <c r="M6" s="116" t="s">
        <v>28</v>
      </c>
      <c r="O6" s="20" t="s">
        <v>5</v>
      </c>
      <c r="P6" s="20" t="s">
        <v>1</v>
      </c>
      <c r="Q6" s="116" t="s">
        <v>48</v>
      </c>
      <c r="R6" s="116" t="s">
        <v>49</v>
      </c>
      <c r="S6" s="1" t="s">
        <v>50</v>
      </c>
    </row>
    <row r="7" spans="1:21" ht="15" x14ac:dyDescent="0.25">
      <c r="D7" s="116" t="s">
        <v>29</v>
      </c>
      <c r="E7" s="116">
        <f>(E6/20.0068)*20</f>
        <v>0.13445428554291541</v>
      </c>
      <c r="F7" s="11">
        <v>20</v>
      </c>
      <c r="G7" s="11">
        <v>100</v>
      </c>
      <c r="H7" s="13">
        <v>23.750664219299797</v>
      </c>
      <c r="I7" s="12">
        <v>27.487410008156903</v>
      </c>
      <c r="J7" s="11">
        <f>I7-H7</f>
        <v>3.7367457888571067</v>
      </c>
      <c r="K7" s="11"/>
      <c r="M7">
        <v>0.13450000000000001</v>
      </c>
      <c r="N7" s="2" t="s">
        <v>0</v>
      </c>
      <c r="O7" s="20">
        <v>20</v>
      </c>
      <c r="P7" s="20">
        <v>100</v>
      </c>
      <c r="Q7" s="21">
        <v>23.744610622203972</v>
      </c>
      <c r="R7" s="20">
        <v>23.744051828625913</v>
      </c>
      <c r="S7" s="116">
        <f>R7-Q7</f>
        <v>-5.5879357805821428E-4</v>
      </c>
      <c r="T7" s="63"/>
      <c r="U7" s="62"/>
    </row>
    <row r="8" spans="1:21" x14ac:dyDescent="0.15">
      <c r="E8" s="2" t="s">
        <v>11</v>
      </c>
      <c r="F8" s="11"/>
      <c r="G8" s="11"/>
      <c r="H8" s="11"/>
      <c r="I8" s="11"/>
      <c r="J8" s="11"/>
      <c r="K8" s="11"/>
      <c r="M8">
        <v>8.7300000000000003E-2</v>
      </c>
      <c r="N8" s="2" t="s">
        <v>15</v>
      </c>
      <c r="O8" s="22">
        <v>20</v>
      </c>
      <c r="P8" s="22">
        <v>100</v>
      </c>
      <c r="Q8" s="23">
        <v>23.751223012877883</v>
      </c>
      <c r="R8" s="22">
        <v>23.755972758291538</v>
      </c>
      <c r="S8" s="23">
        <f>R8-Q8</f>
        <v>4.7497454136546935E-3</v>
      </c>
      <c r="T8" s="62"/>
      <c r="U8" s="62"/>
    </row>
    <row r="9" spans="1:21" ht="16.5" x14ac:dyDescent="0.25">
      <c r="D9" s="116" t="s">
        <v>28</v>
      </c>
      <c r="E9" s="28">
        <f>0.0678+0.0139</f>
        <v>8.1699999999999995E-2</v>
      </c>
      <c r="F9" s="11" t="s">
        <v>5</v>
      </c>
      <c r="G9" s="11" t="s">
        <v>1</v>
      </c>
      <c r="H9" s="116" t="s">
        <v>48</v>
      </c>
      <c r="I9" s="116" t="s">
        <v>49</v>
      </c>
      <c r="J9" s="1" t="s">
        <v>50</v>
      </c>
      <c r="K9" s="11"/>
      <c r="M9">
        <v>7.1300000000000002E-2</v>
      </c>
      <c r="N9" s="2" t="s">
        <v>16</v>
      </c>
      <c r="O9" s="22">
        <v>20</v>
      </c>
      <c r="P9" s="22">
        <v>100</v>
      </c>
      <c r="Q9" s="24">
        <v>23.749267235354605</v>
      </c>
      <c r="R9" s="25">
        <v>23.758580461655871</v>
      </c>
      <c r="S9" s="23">
        <f>R9-Q9</f>
        <v>9.3132263012662975E-3</v>
      </c>
      <c r="U9" s="62"/>
    </row>
    <row r="10" spans="1:21" s="19" customFormat="1" x14ac:dyDescent="0.15">
      <c r="D10" s="116" t="s">
        <v>29</v>
      </c>
      <c r="E10" s="116">
        <f>(E9/20.0351)*20</f>
        <v>8.1556867697191435E-2</v>
      </c>
      <c r="F10" s="11">
        <v>20</v>
      </c>
      <c r="G10" s="11">
        <v>100</v>
      </c>
      <c r="H10" s="15">
        <v>23.581070368353753</v>
      </c>
      <c r="I10" s="14">
        <v>23.739581480001299</v>
      </c>
      <c r="J10" s="11">
        <f>I10-H10</f>
        <v>0.15851111164754528</v>
      </c>
      <c r="K10" s="13"/>
      <c r="M10" s="19">
        <v>5.1999999999999998E-2</v>
      </c>
      <c r="N10" s="2" t="s">
        <v>17</v>
      </c>
      <c r="O10" s="22">
        <v>20</v>
      </c>
      <c r="P10" s="22">
        <v>100</v>
      </c>
      <c r="Q10" s="27">
        <v>23.74218918336566</v>
      </c>
      <c r="R10" s="26">
        <v>23.739302083212255</v>
      </c>
      <c r="S10" s="116">
        <f>R10-Q10</f>
        <v>-2.8871001534049867E-3</v>
      </c>
      <c r="U10" s="62"/>
    </row>
    <row r="11" spans="1:21" s="28" customFormat="1" x14ac:dyDescent="0.15">
      <c r="E11" s="2" t="s">
        <v>12</v>
      </c>
    </row>
    <row r="12" spans="1:21" ht="16.5" x14ac:dyDescent="0.25">
      <c r="D12" s="116" t="s">
        <v>28</v>
      </c>
      <c r="E12" s="28">
        <v>7.1400000000000005E-2</v>
      </c>
      <c r="F12" s="11" t="s">
        <v>5</v>
      </c>
      <c r="G12" s="11" t="s">
        <v>1</v>
      </c>
      <c r="H12" s="116" t="s">
        <v>48</v>
      </c>
      <c r="I12" s="116" t="s">
        <v>49</v>
      </c>
      <c r="J12" s="1" t="s">
        <v>50</v>
      </c>
      <c r="K12" s="62"/>
    </row>
    <row r="13" spans="1:21" x14ac:dyDescent="0.15">
      <c r="D13" s="116" t="s">
        <v>29</v>
      </c>
      <c r="E13" s="116">
        <f>(E12/19.9987)*20</f>
        <v>7.1404641301684613E-2</v>
      </c>
      <c r="F13" s="11">
        <v>20</v>
      </c>
      <c r="G13" s="11">
        <v>100</v>
      </c>
      <c r="H13" s="17">
        <v>23.749546632143648</v>
      </c>
      <c r="I13" s="16">
        <v>23.759139255233958</v>
      </c>
      <c r="J13" s="11">
        <f>I13-H13</f>
        <v>9.5926230903096155E-3</v>
      </c>
      <c r="K13" s="13"/>
    </row>
    <row r="14" spans="1:21" s="28" customFormat="1" x14ac:dyDescent="0.15">
      <c r="E14" s="2" t="s">
        <v>13</v>
      </c>
    </row>
    <row r="15" spans="1:21" ht="16.5" x14ac:dyDescent="0.25">
      <c r="D15" s="116" t="s">
        <v>28</v>
      </c>
      <c r="E15" s="28">
        <v>5.1400000000000001E-2</v>
      </c>
      <c r="F15" s="11" t="s">
        <v>5</v>
      </c>
      <c r="G15" s="11" t="s">
        <v>1</v>
      </c>
      <c r="H15" s="116" t="s">
        <v>48</v>
      </c>
      <c r="I15" s="116" t="s">
        <v>49</v>
      </c>
      <c r="J15" s="1" t="s">
        <v>50</v>
      </c>
      <c r="K15" s="62"/>
    </row>
    <row r="16" spans="1:21" x14ac:dyDescent="0.15">
      <c r="D16" s="116" t="s">
        <v>29</v>
      </c>
      <c r="E16" s="116">
        <f>(E15/20.0038)*20</f>
        <v>5.1390235855187517E-2</v>
      </c>
      <c r="F16" s="11">
        <v>20</v>
      </c>
      <c r="G16" s="11">
        <v>100</v>
      </c>
      <c r="H16" s="19">
        <v>23.742002918839638</v>
      </c>
      <c r="I16" s="18">
        <v>23.745635077097123</v>
      </c>
      <c r="J16" s="11">
        <f>I16-H16</f>
        <v>3.6321582574849742E-3</v>
      </c>
      <c r="K16" s="13"/>
    </row>
    <row r="17" spans="5:11" ht="15" x14ac:dyDescent="0.25">
      <c r="E17" s="11"/>
      <c r="F17" s="11"/>
      <c r="G17" s="11"/>
      <c r="H17" s="11"/>
      <c r="I17" s="11"/>
      <c r="J17" s="1"/>
      <c r="K17" s="11"/>
    </row>
    <row r="48" spans="5:11" x14ac:dyDescent="0.15">
      <c r="E48" s="62"/>
      <c r="F48" s="62"/>
      <c r="G48" s="62"/>
      <c r="H48" s="62"/>
      <c r="I48" s="62"/>
      <c r="J48" s="62"/>
      <c r="K48" s="62"/>
    </row>
    <row r="49" spans="4:21" x14ac:dyDescent="0.15">
      <c r="E49" s="64">
        <v>42152</v>
      </c>
      <c r="F49" s="62"/>
      <c r="G49" s="62"/>
      <c r="H49" s="62"/>
      <c r="I49" s="62"/>
      <c r="J49" s="62"/>
      <c r="K49" s="62"/>
    </row>
    <row r="50" spans="4:21" x14ac:dyDescent="0.15">
      <c r="E50" s="2" t="s">
        <v>10</v>
      </c>
      <c r="F50" s="62"/>
      <c r="G50" s="62"/>
      <c r="H50" s="62"/>
      <c r="I50" s="62"/>
      <c r="J50" s="62"/>
      <c r="K50" s="62"/>
    </row>
    <row r="51" spans="4:21" ht="16.5" x14ac:dyDescent="0.25">
      <c r="E51" s="62"/>
      <c r="F51" s="62" t="s">
        <v>5</v>
      </c>
      <c r="G51" s="62" t="s">
        <v>1</v>
      </c>
      <c r="H51" s="62" t="s">
        <v>4</v>
      </c>
      <c r="I51" s="62" t="s">
        <v>2</v>
      </c>
      <c r="J51" s="1" t="s">
        <v>3</v>
      </c>
      <c r="K51" s="62"/>
    </row>
    <row r="52" spans="4:21" x14ac:dyDescent="0.15">
      <c r="E52" s="62">
        <f>0.1456-0.0175</f>
        <v>0.12809999999999999</v>
      </c>
      <c r="F52" s="62">
        <v>20</v>
      </c>
      <c r="G52" s="62">
        <v>100</v>
      </c>
      <c r="H52" s="62">
        <v>25.608094072824361</v>
      </c>
      <c r="I52" s="62">
        <v>25.954639223494492</v>
      </c>
      <c r="J52" s="62">
        <f>I52-H52</f>
        <v>0.34654515067013136</v>
      </c>
      <c r="K52" s="62"/>
    </row>
    <row r="53" spans="4:21" x14ac:dyDescent="0.15">
      <c r="E53" s="62">
        <f>0.1371-0.0145</f>
        <v>0.1226</v>
      </c>
      <c r="F53" s="62">
        <v>20</v>
      </c>
      <c r="G53" s="62">
        <v>100</v>
      </c>
      <c r="H53" s="62">
        <v>26.288984047709953</v>
      </c>
      <c r="I53" s="62">
        <v>26.641955324527945</v>
      </c>
      <c r="J53" s="62">
        <f>I53-H53</f>
        <v>0.35297127681799267</v>
      </c>
      <c r="K53" s="72"/>
    </row>
    <row r="54" spans="4:21" x14ac:dyDescent="0.15">
      <c r="E54" s="62"/>
      <c r="F54" s="62"/>
      <c r="G54" s="62"/>
      <c r="H54" s="62"/>
      <c r="I54" s="62"/>
      <c r="J54" s="62"/>
      <c r="K54" s="62"/>
    </row>
    <row r="55" spans="4:21" x14ac:dyDescent="0.15">
      <c r="E55" s="64">
        <v>42198</v>
      </c>
    </row>
    <row r="56" spans="4:21" x14ac:dyDescent="0.15">
      <c r="E56" s="2" t="s">
        <v>10</v>
      </c>
      <c r="F56" s="71"/>
      <c r="G56" s="71"/>
      <c r="H56" s="71"/>
      <c r="I56" s="71"/>
      <c r="J56" s="71"/>
    </row>
    <row r="57" spans="4:21" ht="16.5" x14ac:dyDescent="0.25">
      <c r="E57" s="71"/>
      <c r="F57" s="71" t="s">
        <v>5</v>
      </c>
      <c r="G57" s="71" t="s">
        <v>1</v>
      </c>
      <c r="H57" s="71" t="s">
        <v>4</v>
      </c>
      <c r="I57" s="71" t="s">
        <v>2</v>
      </c>
      <c r="J57" s="1" t="s">
        <v>3</v>
      </c>
    </row>
    <row r="58" spans="4:21" x14ac:dyDescent="0.15">
      <c r="E58" s="71">
        <f>0.1456-0.0101</f>
        <v>0.13550000000000001</v>
      </c>
      <c r="F58" s="71">
        <v>20</v>
      </c>
      <c r="G58" s="71">
        <v>100</v>
      </c>
      <c r="H58" s="74">
        <v>24.783780412899272</v>
      </c>
      <c r="I58" s="73">
        <v>25.980529992612016</v>
      </c>
      <c r="J58" s="71">
        <f t="shared" ref="J58:J63" si="0">I58-H58</f>
        <v>1.1967495797127441</v>
      </c>
      <c r="K58" s="72">
        <f>J58/E58</f>
        <v>8.8321002192822444</v>
      </c>
    </row>
    <row r="59" spans="4:21" x14ac:dyDescent="0.15">
      <c r="E59" s="71">
        <f>0.1539-0.02</f>
        <v>0.13390000000000002</v>
      </c>
      <c r="F59" s="71">
        <v>20</v>
      </c>
      <c r="G59" s="71">
        <v>100</v>
      </c>
      <c r="H59" s="76">
        <v>25.4650429168369</v>
      </c>
      <c r="I59" s="75">
        <v>26.580860559991628</v>
      </c>
      <c r="J59" s="71">
        <f t="shared" si="0"/>
        <v>1.1158176431547275</v>
      </c>
      <c r="K59" s="92">
        <f t="shared" ref="K59:K63" si="1">J59/E59</f>
        <v>8.3332161550016988</v>
      </c>
      <c r="L59" s="87"/>
    </row>
    <row r="60" spans="4:21" x14ac:dyDescent="0.15">
      <c r="E60" s="74">
        <f>0.1363-0.0015</f>
        <v>0.1348</v>
      </c>
      <c r="F60" s="74">
        <v>20</v>
      </c>
      <c r="G60" s="74">
        <v>100</v>
      </c>
      <c r="H60" s="78">
        <v>25.863090208953039</v>
      </c>
      <c r="I60" s="77">
        <v>27.012249202266275</v>
      </c>
      <c r="J60" s="74">
        <f t="shared" si="0"/>
        <v>1.149158993313236</v>
      </c>
      <c r="K60" s="92">
        <f t="shared" si="1"/>
        <v>8.5249183480210391</v>
      </c>
      <c r="L60" s="87"/>
    </row>
    <row r="61" spans="4:21" x14ac:dyDescent="0.15">
      <c r="E61" s="74">
        <f>0.1526-0.0119</f>
        <v>0.14070000000000002</v>
      </c>
      <c r="F61" s="74">
        <v>20</v>
      </c>
      <c r="G61" s="74">
        <v>100</v>
      </c>
      <c r="H61" s="80">
        <v>24.788157629260887</v>
      </c>
      <c r="I61" s="79">
        <v>25.932473744897472</v>
      </c>
      <c r="J61" s="74">
        <f t="shared" si="0"/>
        <v>1.1443161156365846</v>
      </c>
      <c r="K61" s="92">
        <f t="shared" si="1"/>
        <v>8.1330214330958377</v>
      </c>
      <c r="L61" s="87"/>
    </row>
    <row r="62" spans="4:21" x14ac:dyDescent="0.15">
      <c r="E62" s="74">
        <f>0.1387-0.0061</f>
        <v>0.1326</v>
      </c>
      <c r="F62" s="74">
        <v>20</v>
      </c>
      <c r="G62" s="74">
        <v>100</v>
      </c>
      <c r="H62" s="85">
        <v>25.635754354939117</v>
      </c>
      <c r="I62" s="84">
        <v>26.658812264133221</v>
      </c>
      <c r="J62" s="74">
        <f t="shared" si="0"/>
        <v>1.0230579091941046</v>
      </c>
      <c r="K62" s="92">
        <f t="shared" si="1"/>
        <v>7.7153688476176816</v>
      </c>
      <c r="L62" s="87"/>
      <c r="N62" s="74"/>
      <c r="O62" s="74"/>
      <c r="P62" s="74"/>
      <c r="Q62" s="83"/>
      <c r="R62" s="82"/>
      <c r="S62" s="74"/>
      <c r="T62" s="81"/>
      <c r="U62" s="87"/>
    </row>
    <row r="63" spans="4:21" x14ac:dyDescent="0.15">
      <c r="E63" s="86">
        <f>0.1487-0.0077</f>
        <v>0.14099999999999999</v>
      </c>
      <c r="F63" s="86">
        <v>20</v>
      </c>
      <c r="G63" s="86">
        <v>100</v>
      </c>
      <c r="H63" s="88">
        <v>25.165808955777237</v>
      </c>
      <c r="I63" s="88">
        <v>26.329310317594441</v>
      </c>
      <c r="J63" s="88">
        <f t="shared" si="0"/>
        <v>1.1635013618172039</v>
      </c>
      <c r="K63" s="92">
        <f t="shared" si="1"/>
        <v>8.2517827079234323</v>
      </c>
      <c r="L63" s="87"/>
    </row>
    <row r="64" spans="4:21" ht="16.5" x14ac:dyDescent="0.25">
      <c r="D64" s="64">
        <v>42200</v>
      </c>
      <c r="F64" s="93" t="s">
        <v>5</v>
      </c>
      <c r="G64" s="93" t="s">
        <v>1</v>
      </c>
      <c r="H64" s="93" t="s">
        <v>4</v>
      </c>
      <c r="I64" s="93" t="s">
        <v>2</v>
      </c>
      <c r="J64" s="1" t="s">
        <v>3</v>
      </c>
    </row>
    <row r="65" spans="5:19" x14ac:dyDescent="0.15">
      <c r="E65" s="88">
        <f>0.1619-0.0287</f>
        <v>0.13319999999999999</v>
      </c>
      <c r="F65" s="88">
        <v>20</v>
      </c>
      <c r="G65" s="88">
        <v>100</v>
      </c>
      <c r="H65" s="93">
        <v>25.881401444665372</v>
      </c>
      <c r="I65" s="91">
        <v>27.3101793116438</v>
      </c>
      <c r="J65" s="88">
        <f t="shared" ref="J65" si="2">I65-H65</f>
        <v>1.4287778669784288</v>
      </c>
      <c r="K65" s="92">
        <f>J65/E65</f>
        <v>10.726560562901119</v>
      </c>
    </row>
    <row r="66" spans="5:19" x14ac:dyDescent="0.15">
      <c r="E66" s="93">
        <f>0.1457-0.0101</f>
        <v>0.1356</v>
      </c>
      <c r="F66" s="93">
        <v>20</v>
      </c>
      <c r="G66" s="93">
        <v>100</v>
      </c>
      <c r="H66" s="95">
        <v>25.454053309801427</v>
      </c>
      <c r="I66" s="94">
        <v>27.32256590262449</v>
      </c>
      <c r="J66" s="93">
        <f t="shared" ref="J66" si="3">I66-H66</f>
        <v>1.8685125928230626</v>
      </c>
      <c r="K66" s="93">
        <f>J66/E66</f>
        <v>13.779591392500462</v>
      </c>
    </row>
    <row r="69" spans="5:19" x14ac:dyDescent="0.15">
      <c r="E69" s="64">
        <v>42205</v>
      </c>
      <c r="F69" s="95"/>
      <c r="G69" s="95"/>
      <c r="H69" s="95"/>
      <c r="I69" s="95"/>
      <c r="J69" s="95"/>
      <c r="K69" s="95"/>
    </row>
    <row r="70" spans="5:19" ht="15" x14ac:dyDescent="0.25">
      <c r="E70" s="95"/>
      <c r="F70" s="63"/>
      <c r="G70" s="65" t="s">
        <v>5</v>
      </c>
      <c r="H70" s="66" t="s">
        <v>1</v>
      </c>
      <c r="I70" s="66" t="s">
        <v>22</v>
      </c>
      <c r="J70" s="66" t="s">
        <v>2</v>
      </c>
      <c r="K70" s="67" t="s">
        <v>3</v>
      </c>
      <c r="M70" s="63"/>
      <c r="N70" s="65" t="s">
        <v>5</v>
      </c>
      <c r="O70" s="66" t="s">
        <v>1</v>
      </c>
      <c r="P70" s="66" t="s">
        <v>22</v>
      </c>
      <c r="Q70" s="66" t="s">
        <v>2</v>
      </c>
      <c r="R70" s="67" t="s">
        <v>3</v>
      </c>
    </row>
    <row r="71" spans="5:19" ht="15" x14ac:dyDescent="0.25">
      <c r="E71" s="95"/>
      <c r="F71" s="63">
        <f>0.1547-0.0151</f>
        <v>0.1396</v>
      </c>
      <c r="G71" s="68">
        <v>20</v>
      </c>
      <c r="H71" s="69">
        <v>100</v>
      </c>
      <c r="I71" s="33">
        <v>26.642420985843007</v>
      </c>
      <c r="J71" s="33">
        <v>29.38991587697959</v>
      </c>
      <c r="K71" s="70">
        <f t="shared" ref="K71:K77" si="4">J71-I71</f>
        <v>2.7474948911365829</v>
      </c>
      <c r="L71">
        <f>K71/F71</f>
        <v>19.681195495247728</v>
      </c>
      <c r="M71" s="63">
        <f>0.1556-0.0243</f>
        <v>0.1313</v>
      </c>
      <c r="N71" s="68">
        <v>20</v>
      </c>
      <c r="O71" s="69">
        <v>100</v>
      </c>
      <c r="P71" s="33">
        <v>26.308169293890543</v>
      </c>
      <c r="Q71" s="33">
        <v>28.522016317964567</v>
      </c>
      <c r="R71" s="70">
        <f t="shared" ref="R71:R76" si="5">Q71-P71</f>
        <v>2.213847024074024</v>
      </c>
      <c r="S71">
        <f>R71/M71</f>
        <v>16.860982666214959</v>
      </c>
    </row>
    <row r="72" spans="5:19" ht="15" x14ac:dyDescent="0.25">
      <c r="E72" s="64"/>
      <c r="F72" s="95">
        <v>0.13350000000000001</v>
      </c>
      <c r="G72" s="89">
        <v>20</v>
      </c>
      <c r="H72" s="90">
        <v>100</v>
      </c>
      <c r="I72" s="90">
        <v>26.641024001897819</v>
      </c>
      <c r="J72" s="90">
        <v>29.202440631535094</v>
      </c>
      <c r="K72" s="70">
        <f t="shared" si="4"/>
        <v>2.5614166296372751</v>
      </c>
      <c r="L72" s="116">
        <f t="shared" ref="L72:L79" si="6">K72/F72</f>
        <v>19.186641420503932</v>
      </c>
      <c r="M72" s="100">
        <f>0.1542-0.0183</f>
        <v>0.13589999999999999</v>
      </c>
      <c r="N72" s="89">
        <v>20</v>
      </c>
      <c r="O72" s="90">
        <v>100</v>
      </c>
      <c r="P72" s="49">
        <v>26.305375326000163</v>
      </c>
      <c r="Q72" s="49">
        <v>28.857013068021136</v>
      </c>
      <c r="R72" s="70">
        <f t="shared" si="5"/>
        <v>2.5516377420209722</v>
      </c>
      <c r="S72" s="116">
        <f t="shared" ref="S72:S75" si="7">R72/M72</f>
        <v>18.775847991324298</v>
      </c>
    </row>
    <row r="73" spans="5:19" ht="15" x14ac:dyDescent="0.25">
      <c r="F73" s="63">
        <f>0.146-0.0121</f>
        <v>0.13389999999999999</v>
      </c>
      <c r="G73" s="68">
        <v>20</v>
      </c>
      <c r="H73" s="69">
        <v>100</v>
      </c>
      <c r="I73" s="49">
        <v>26.302953887161852</v>
      </c>
      <c r="J73" s="49">
        <v>28.517080308024891</v>
      </c>
      <c r="K73" s="70">
        <f t="shared" si="4"/>
        <v>2.2141264208630389</v>
      </c>
      <c r="L73" s="116">
        <f t="shared" si="6"/>
        <v>16.535671552375199</v>
      </c>
      <c r="M73" s="63">
        <f>0.1324-0</f>
        <v>0.13239999999999999</v>
      </c>
      <c r="N73" s="68">
        <v>20</v>
      </c>
      <c r="O73" s="69">
        <v>100</v>
      </c>
      <c r="P73" s="49">
        <v>26.644563027892303</v>
      </c>
      <c r="Q73" s="49">
        <v>28.783624844767154</v>
      </c>
      <c r="R73" s="70">
        <f t="shared" si="5"/>
        <v>2.1390618168748503</v>
      </c>
      <c r="S73" s="116">
        <f t="shared" si="7"/>
        <v>16.156056018692222</v>
      </c>
    </row>
    <row r="74" spans="5:19" ht="15" x14ac:dyDescent="0.25">
      <c r="F74" s="98">
        <f>0.1364-0.0024</f>
        <v>0.13399999999999998</v>
      </c>
      <c r="G74" s="89">
        <v>20</v>
      </c>
      <c r="H74" s="90">
        <v>100</v>
      </c>
      <c r="I74" s="49">
        <v>25.930331702848175</v>
      </c>
      <c r="J74" s="49">
        <v>27.837121655769455</v>
      </c>
      <c r="K74" s="70">
        <f t="shared" si="4"/>
        <v>1.9067899529212795</v>
      </c>
      <c r="L74" s="116">
        <f t="shared" si="6"/>
        <v>14.229775768069253</v>
      </c>
      <c r="M74" s="100">
        <f>0.1327</f>
        <v>0.13270000000000001</v>
      </c>
      <c r="N74" s="89">
        <v>20</v>
      </c>
      <c r="O74" s="90">
        <v>100</v>
      </c>
      <c r="P74" s="49">
        <v>26.971428614985811</v>
      </c>
      <c r="Q74" s="49">
        <v>29.212219519151422</v>
      </c>
      <c r="R74" s="70">
        <f t="shared" si="5"/>
        <v>2.2407909041656104</v>
      </c>
      <c r="S74" s="116">
        <f t="shared" si="7"/>
        <v>16.886140950758179</v>
      </c>
    </row>
    <row r="75" spans="5:19" ht="15" x14ac:dyDescent="0.25">
      <c r="F75" s="63">
        <f>0.1655-0.0297</f>
        <v>0.1358</v>
      </c>
      <c r="G75" s="68">
        <v>20</v>
      </c>
      <c r="H75" s="69">
        <v>100</v>
      </c>
      <c r="I75" s="49">
        <v>26.300904977375577</v>
      </c>
      <c r="J75" s="49">
        <v>28.860831490804639</v>
      </c>
      <c r="K75" s="70">
        <f t="shared" si="4"/>
        <v>2.5599265134290619</v>
      </c>
      <c r="L75" s="116">
        <f t="shared" si="6"/>
        <v>18.850710702717688</v>
      </c>
      <c r="M75" s="63">
        <f>0.1448-0.0131</f>
        <v>0.13170000000000001</v>
      </c>
      <c r="N75" s="68">
        <v>20</v>
      </c>
      <c r="O75" s="69">
        <v>100</v>
      </c>
      <c r="P75" s="49">
        <v>26.296527761013962</v>
      </c>
      <c r="Q75" s="49">
        <v>28.179848383656054</v>
      </c>
      <c r="R75" s="70">
        <f t="shared" si="5"/>
        <v>1.883320622642092</v>
      </c>
      <c r="S75" s="116">
        <f t="shared" si="7"/>
        <v>14.300080657874654</v>
      </c>
    </row>
    <row r="76" spans="5:19" ht="15" x14ac:dyDescent="0.25">
      <c r="F76" s="98">
        <f>0.1381-0.0036</f>
        <v>0.13450000000000001</v>
      </c>
      <c r="G76" s="89">
        <v>20</v>
      </c>
      <c r="H76" s="90">
        <v>100</v>
      </c>
      <c r="I76" s="49">
        <v>26.301277506427617</v>
      </c>
      <c r="J76" s="49">
        <v>28.186367642066941</v>
      </c>
      <c r="K76" s="70">
        <f t="shared" si="4"/>
        <v>1.8850901356393237</v>
      </c>
      <c r="L76" s="116">
        <f t="shared" si="6"/>
        <v>14.015540041928057</v>
      </c>
      <c r="M76" s="100">
        <f>0.1381-0.0036</f>
        <v>0.13450000000000001</v>
      </c>
      <c r="N76" s="89">
        <v>20</v>
      </c>
      <c r="O76" s="90">
        <v>100</v>
      </c>
      <c r="P76" s="102"/>
      <c r="Q76" s="101"/>
      <c r="R76" s="70">
        <f t="shared" si="5"/>
        <v>0</v>
      </c>
    </row>
    <row r="77" spans="5:19" ht="15" x14ac:dyDescent="0.25">
      <c r="F77" s="99">
        <f>0.1503-0.0075</f>
        <v>0.14279999999999998</v>
      </c>
      <c r="G77" s="89">
        <v>20</v>
      </c>
      <c r="H77" s="90">
        <v>100</v>
      </c>
      <c r="I77" s="49">
        <v>25.625509806007724</v>
      </c>
      <c r="J77" s="49">
        <v>27.505663931707371</v>
      </c>
      <c r="K77" s="70">
        <f t="shared" si="4"/>
        <v>1.8801541256996472</v>
      </c>
      <c r="L77" s="116">
        <f t="shared" si="6"/>
        <v>13.166345418064758</v>
      </c>
    </row>
    <row r="78" spans="5:19" ht="15" x14ac:dyDescent="0.25">
      <c r="E78" s="64">
        <v>42207</v>
      </c>
      <c r="F78" s="102">
        <f>0.1441-0.0108</f>
        <v>0.1333</v>
      </c>
      <c r="G78" s="96">
        <v>20</v>
      </c>
      <c r="H78" s="97">
        <v>100</v>
      </c>
      <c r="I78" s="49">
        <v>25.631004609525487</v>
      </c>
      <c r="J78" s="49">
        <v>30.071923439021326</v>
      </c>
      <c r="K78" s="70">
        <f t="shared" ref="K78" si="8">J78-I78</f>
        <v>4.440918829495839</v>
      </c>
      <c r="L78" s="116">
        <f t="shared" si="6"/>
        <v>33.315220026225347</v>
      </c>
    </row>
    <row r="79" spans="5:19" ht="15" x14ac:dyDescent="0.25">
      <c r="F79" s="105">
        <f>0.1555-0.0198</f>
        <v>0.13569999999999999</v>
      </c>
      <c r="G79" s="96">
        <v>20</v>
      </c>
      <c r="H79" s="97">
        <v>100</v>
      </c>
      <c r="I79" s="49">
        <v>26.302674490372809</v>
      </c>
      <c r="J79" s="49">
        <v>32.265001968443521</v>
      </c>
      <c r="K79" s="70">
        <f t="shared" ref="K79" si="9">J79-I79</f>
        <v>5.9623274780707121</v>
      </c>
      <c r="L79" s="116">
        <f t="shared" si="6"/>
        <v>43.937564318870393</v>
      </c>
    </row>
    <row r="84" spans="5:12" x14ac:dyDescent="0.15">
      <c r="E84" s="106">
        <v>42230</v>
      </c>
      <c r="F84" t="s">
        <v>0</v>
      </c>
      <c r="G84" t="s">
        <v>23</v>
      </c>
    </row>
    <row r="85" spans="5:12" ht="15" x14ac:dyDescent="0.25">
      <c r="F85" s="63"/>
      <c r="G85" s="65" t="s">
        <v>5</v>
      </c>
      <c r="H85" s="66" t="s">
        <v>1</v>
      </c>
      <c r="I85" s="66" t="s">
        <v>22</v>
      </c>
      <c r="J85" s="66" t="s">
        <v>2</v>
      </c>
      <c r="K85" s="67" t="s">
        <v>3</v>
      </c>
    </row>
    <row r="86" spans="5:12" ht="15" x14ac:dyDescent="0.25">
      <c r="F86" s="63">
        <f>0.1556-0.0243</f>
        <v>0.1313</v>
      </c>
      <c r="G86" s="68">
        <v>20</v>
      </c>
      <c r="H86" s="69">
        <v>100</v>
      </c>
      <c r="I86" s="33">
        <v>26.304350871107001</v>
      </c>
      <c r="J86" s="33">
        <v>27.331879128925756</v>
      </c>
      <c r="K86" s="70">
        <f t="shared" ref="K86:K90" si="10">J86-I86</f>
        <v>1.027528257818755</v>
      </c>
      <c r="L86">
        <f>K86/F86</f>
        <v>7.8258054670126045</v>
      </c>
    </row>
    <row r="87" spans="5:12" ht="15" x14ac:dyDescent="0.25">
      <c r="F87" s="105">
        <f>0.1717-0.0301</f>
        <v>0.1416</v>
      </c>
      <c r="G87" s="103">
        <v>20</v>
      </c>
      <c r="H87" s="104">
        <v>100</v>
      </c>
      <c r="I87" s="49">
        <v>26.00530317457337</v>
      </c>
      <c r="J87" s="49">
        <v>27.328898896509358</v>
      </c>
      <c r="K87" s="70">
        <f t="shared" si="10"/>
        <v>1.3235957219359875</v>
      </c>
      <c r="L87" s="107">
        <f>K87/F87</f>
        <v>9.347427414802171</v>
      </c>
    </row>
    <row r="88" spans="5:12" ht="15" x14ac:dyDescent="0.25">
      <c r="F88" s="63">
        <f>0.1364-0.0007</f>
        <v>0.13569999999999999</v>
      </c>
      <c r="G88" s="68">
        <v>20</v>
      </c>
      <c r="H88" s="69">
        <v>100</v>
      </c>
      <c r="I88" s="49">
        <v>25.982020108820205</v>
      </c>
      <c r="J88" s="49">
        <v>27.326477457671018</v>
      </c>
      <c r="K88" s="70">
        <f t="shared" si="10"/>
        <v>1.3444573488508134</v>
      </c>
      <c r="L88" s="108">
        <f>K88/F88</f>
        <v>9.9075707358202916</v>
      </c>
    </row>
    <row r="89" spans="5:12" ht="15" x14ac:dyDescent="0.25">
      <c r="F89" s="105">
        <f>0.1369-0.0015</f>
        <v>0.13539999999999999</v>
      </c>
      <c r="G89" s="103">
        <v>20</v>
      </c>
      <c r="H89" s="104">
        <v>100</v>
      </c>
      <c r="I89" s="49">
        <v>24.771021292866543</v>
      </c>
      <c r="J89" s="49">
        <v>25.84753712102993</v>
      </c>
      <c r="K89" s="70">
        <f t="shared" si="10"/>
        <v>1.0765158281633873</v>
      </c>
      <c r="L89" s="109">
        <f>K89/F89</f>
        <v>7.950633885992521</v>
      </c>
    </row>
    <row r="90" spans="5:12" ht="15" x14ac:dyDescent="0.25">
      <c r="F90" s="63">
        <f>0.1448-0.0131</f>
        <v>0.13170000000000001</v>
      </c>
      <c r="G90" s="68">
        <v>20</v>
      </c>
      <c r="H90" s="69">
        <v>100</v>
      </c>
      <c r="I90" s="111"/>
      <c r="J90" s="110"/>
      <c r="K90" s="70">
        <f t="shared" si="10"/>
        <v>0</v>
      </c>
    </row>
    <row r="93" spans="5:12" x14ac:dyDescent="0.15">
      <c r="F93" t="s">
        <v>24</v>
      </c>
      <c r="G93" s="114" t="s">
        <v>25</v>
      </c>
    </row>
    <row r="94" spans="5:12" ht="15" x14ac:dyDescent="0.25">
      <c r="F94" s="63"/>
      <c r="G94" s="65" t="s">
        <v>5</v>
      </c>
      <c r="H94" s="66" t="s">
        <v>1</v>
      </c>
      <c r="I94" s="66" t="s">
        <v>22</v>
      </c>
      <c r="J94" s="66" t="s">
        <v>2</v>
      </c>
      <c r="K94" s="67" t="s">
        <v>3</v>
      </c>
    </row>
    <row r="95" spans="5:12" ht="15" x14ac:dyDescent="0.25">
      <c r="E95" s="106">
        <v>42241</v>
      </c>
      <c r="F95" s="63">
        <f>0.0794-0.0162</f>
        <v>6.3200000000000006E-2</v>
      </c>
      <c r="G95" s="68">
        <v>20</v>
      </c>
      <c r="H95" s="69">
        <v>100</v>
      </c>
      <c r="I95" s="33">
        <v>25.171024362505928</v>
      </c>
      <c r="J95" s="33">
        <v>25.461783287631459</v>
      </c>
      <c r="K95" s="70">
        <f t="shared" ref="K95:K97" si="11">J95-I95</f>
        <v>0.29075892512553025</v>
      </c>
    </row>
    <row r="96" spans="5:12" ht="15" x14ac:dyDescent="0.25">
      <c r="E96" s="106">
        <v>42255</v>
      </c>
      <c r="F96" s="114">
        <f>0.0639-0.0002</f>
        <v>6.3699999999999993E-2</v>
      </c>
      <c r="G96" s="112">
        <v>20</v>
      </c>
      <c r="H96" s="113">
        <v>100</v>
      </c>
      <c r="I96" s="49">
        <v>24.101959115383583</v>
      </c>
      <c r="J96" s="49">
        <v>24.439842965593527</v>
      </c>
      <c r="K96" s="70">
        <f t="shared" si="11"/>
        <v>0.33788385020994482</v>
      </c>
    </row>
    <row r="97" spans="6:11" ht="15" x14ac:dyDescent="0.25">
      <c r="F97" s="63">
        <f>0.0702-0.0067</f>
        <v>6.3500000000000001E-2</v>
      </c>
      <c r="G97" s="68">
        <v>20</v>
      </c>
      <c r="H97" s="69">
        <v>100</v>
      </c>
      <c r="I97" s="116">
        <v>24.633906551236301</v>
      </c>
      <c r="J97" s="115">
        <v>24.959427860941165</v>
      </c>
      <c r="K97" s="70">
        <f t="shared" si="11"/>
        <v>0.32552130970486459</v>
      </c>
    </row>
    <row r="98" spans="6:11" ht="15" x14ac:dyDescent="0.25">
      <c r="F98" s="114"/>
      <c r="G98" s="112"/>
      <c r="H98" s="113"/>
      <c r="I98" s="49"/>
      <c r="J98" s="49"/>
      <c r="K98" s="70"/>
    </row>
  </sheetData>
  <phoneticPr fontId="5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workbookViewId="0">
      <selection activeCell="E29" sqref="E29:W60"/>
    </sheetView>
  </sheetViews>
  <sheetFormatPr defaultRowHeight="13.5" x14ac:dyDescent="0.15"/>
  <cols>
    <col min="4" max="4" width="19" customWidth="1"/>
    <col min="11" max="11" width="11.375" customWidth="1"/>
  </cols>
  <sheetData>
    <row r="1" spans="1:21" x14ac:dyDescent="0.15">
      <c r="A1" s="120" t="s">
        <v>51</v>
      </c>
    </row>
    <row r="2" spans="1:21" x14ac:dyDescent="0.15">
      <c r="A2" s="116" t="s">
        <v>27</v>
      </c>
    </row>
    <row r="3" spans="1:21" x14ac:dyDescent="0.15">
      <c r="A3" s="116"/>
    </row>
    <row r="4" spans="1:21" x14ac:dyDescent="0.15">
      <c r="D4" s="2" t="s">
        <v>52</v>
      </c>
      <c r="E4" s="117" t="s">
        <v>56</v>
      </c>
      <c r="F4" s="118"/>
      <c r="G4" s="118"/>
      <c r="H4" s="118"/>
      <c r="I4" s="119"/>
      <c r="J4" s="117" t="s">
        <v>57</v>
      </c>
      <c r="K4" s="118"/>
      <c r="L4" s="118"/>
      <c r="M4" s="118"/>
      <c r="N4" s="119"/>
      <c r="O4" s="116"/>
      <c r="P4" s="116"/>
      <c r="Q4" s="116"/>
      <c r="R4" s="116"/>
      <c r="S4" s="116"/>
    </row>
    <row r="5" spans="1:21" ht="16.5" x14ac:dyDescent="0.25">
      <c r="C5" s="116" t="s">
        <v>28</v>
      </c>
      <c r="D5" s="28">
        <v>0.1331</v>
      </c>
      <c r="E5" s="29" t="s">
        <v>5</v>
      </c>
      <c r="F5" s="30" t="s">
        <v>1</v>
      </c>
      <c r="G5" s="116" t="s">
        <v>48</v>
      </c>
      <c r="H5" s="116" t="s">
        <v>49</v>
      </c>
      <c r="I5" s="1" t="s">
        <v>50</v>
      </c>
      <c r="J5" s="29" t="s">
        <v>5</v>
      </c>
      <c r="K5" s="30" t="s">
        <v>1</v>
      </c>
      <c r="L5" s="116" t="s">
        <v>48</v>
      </c>
      <c r="M5" s="116" t="s">
        <v>49</v>
      </c>
      <c r="N5" s="1" t="s">
        <v>50</v>
      </c>
      <c r="O5" s="116"/>
      <c r="P5" s="116"/>
      <c r="Q5" s="116"/>
      <c r="R5" s="116"/>
      <c r="S5" s="116"/>
    </row>
    <row r="6" spans="1:21" x14ac:dyDescent="0.15">
      <c r="C6" s="116" t="s">
        <v>29</v>
      </c>
      <c r="D6" s="116">
        <f>(D5/20)*39.8</f>
        <v>0.26486899999999997</v>
      </c>
      <c r="E6" s="29">
        <v>20</v>
      </c>
      <c r="F6" s="30">
        <v>100</v>
      </c>
      <c r="G6" s="39">
        <v>25.095214700413631</v>
      </c>
      <c r="H6" s="38">
        <v>33.388642721691298</v>
      </c>
      <c r="I6" s="31">
        <f>H6-G6</f>
        <v>8.2934280212776663</v>
      </c>
      <c r="J6" s="29">
        <v>20</v>
      </c>
      <c r="K6" s="30">
        <v>100</v>
      </c>
      <c r="L6" s="43">
        <v>23.760908768231189</v>
      </c>
      <c r="M6" s="42">
        <v>32.599253660395952</v>
      </c>
      <c r="N6" s="31">
        <f>M6-L6</f>
        <v>8.8383448921647627</v>
      </c>
      <c r="O6" s="116"/>
      <c r="P6" s="116"/>
      <c r="Q6" s="116"/>
      <c r="R6" s="116"/>
      <c r="S6" s="116"/>
    </row>
    <row r="7" spans="1:21" x14ac:dyDescent="0.15">
      <c r="D7" s="2" t="s">
        <v>53</v>
      </c>
      <c r="E7" s="29"/>
      <c r="F7" s="30"/>
      <c r="G7" s="30"/>
      <c r="H7" s="30"/>
      <c r="I7" s="31"/>
      <c r="J7" s="29"/>
      <c r="K7" s="30"/>
      <c r="L7" s="30"/>
      <c r="M7" s="30"/>
      <c r="N7" s="31"/>
      <c r="O7" s="116"/>
      <c r="P7" s="116"/>
      <c r="Q7" s="116"/>
      <c r="R7" s="116"/>
      <c r="S7" s="116"/>
    </row>
    <row r="8" spans="1:21" ht="16.5" x14ac:dyDescent="0.25">
      <c r="C8" s="116" t="s">
        <v>28</v>
      </c>
      <c r="D8" s="28">
        <v>7.7200000000000005E-2</v>
      </c>
      <c r="E8" s="29" t="s">
        <v>5</v>
      </c>
      <c r="F8" s="30" t="s">
        <v>1</v>
      </c>
      <c r="G8" s="116" t="s">
        <v>48</v>
      </c>
      <c r="H8" s="116" t="s">
        <v>49</v>
      </c>
      <c r="I8" s="1" t="s">
        <v>50</v>
      </c>
      <c r="J8" s="35" t="s">
        <v>19</v>
      </c>
      <c r="K8" s="30" t="s">
        <v>1</v>
      </c>
      <c r="L8" s="116" t="s">
        <v>48</v>
      </c>
      <c r="M8" s="116" t="s">
        <v>49</v>
      </c>
      <c r="N8" s="1" t="s">
        <v>50</v>
      </c>
      <c r="O8" s="116"/>
      <c r="P8" s="116"/>
      <c r="Q8" s="116"/>
      <c r="R8" s="116"/>
      <c r="S8" s="116"/>
    </row>
    <row r="9" spans="1:21" x14ac:dyDescent="0.15">
      <c r="C9" s="116" t="s">
        <v>29</v>
      </c>
      <c r="D9" s="116">
        <f>(D8/20)*80.1</f>
        <v>0.30918600000000002</v>
      </c>
      <c r="E9" s="29">
        <v>20</v>
      </c>
      <c r="F9" s="30">
        <v>100</v>
      </c>
      <c r="G9" s="30">
        <v>23.745914473886167</v>
      </c>
      <c r="H9" s="30">
        <v>24.070107881433231</v>
      </c>
      <c r="I9" s="31">
        <f>H9-G9</f>
        <v>0.32419340754706383</v>
      </c>
      <c r="J9" s="29">
        <v>20</v>
      </c>
      <c r="K9" s="30">
        <v>100</v>
      </c>
      <c r="L9" s="37">
        <v>23.56924257095115</v>
      </c>
      <c r="M9" s="36">
        <v>23.738743289634197</v>
      </c>
      <c r="N9" s="31">
        <f>M9-L9</f>
        <v>0.16950071868304661</v>
      </c>
      <c r="O9" s="116"/>
      <c r="P9" s="116"/>
      <c r="Q9" s="116"/>
      <c r="R9" s="116"/>
      <c r="S9" s="116"/>
    </row>
    <row r="10" spans="1:21" s="28" customFormat="1" x14ac:dyDescent="0.15">
      <c r="D10" s="2" t="s">
        <v>54</v>
      </c>
      <c r="E10" s="29"/>
      <c r="F10" s="30"/>
      <c r="G10" s="30"/>
      <c r="H10" s="30"/>
      <c r="I10" s="31"/>
      <c r="J10" s="29"/>
      <c r="K10" s="30"/>
      <c r="L10" s="30"/>
      <c r="M10" s="30"/>
      <c r="N10" s="31"/>
      <c r="O10" s="116"/>
      <c r="P10" s="116"/>
      <c r="Q10" s="116"/>
      <c r="R10" s="116"/>
      <c r="S10" s="116"/>
    </row>
    <row r="11" spans="1:21" ht="16.5" x14ac:dyDescent="0.25">
      <c r="C11" s="116" t="s">
        <v>28</v>
      </c>
      <c r="D11">
        <v>6.3E-2</v>
      </c>
      <c r="E11" s="29" t="s">
        <v>5</v>
      </c>
      <c r="F11" s="30" t="s">
        <v>1</v>
      </c>
      <c r="G11" s="116" t="s">
        <v>48</v>
      </c>
      <c r="H11" s="116" t="s">
        <v>49</v>
      </c>
      <c r="I11" s="1" t="s">
        <v>50</v>
      </c>
      <c r="J11" s="29" t="s">
        <v>5</v>
      </c>
      <c r="K11" s="30" t="s">
        <v>1</v>
      </c>
      <c r="L11" s="116" t="s">
        <v>48</v>
      </c>
      <c r="M11" s="116" t="s">
        <v>49</v>
      </c>
      <c r="N11" s="1" t="s">
        <v>50</v>
      </c>
      <c r="O11" s="116"/>
      <c r="P11" s="116"/>
      <c r="Q11" s="116"/>
      <c r="R11" s="116"/>
      <c r="S11" s="116"/>
    </row>
    <row r="12" spans="1:21" x14ac:dyDescent="0.15">
      <c r="C12" s="116" t="s">
        <v>29</v>
      </c>
      <c r="D12" s="116">
        <f>(D11/20)*132</f>
        <v>0.4158</v>
      </c>
      <c r="E12" s="29">
        <v>20</v>
      </c>
      <c r="F12" s="30">
        <v>100</v>
      </c>
      <c r="G12" s="30">
        <v>23.745914473886167</v>
      </c>
      <c r="H12" s="30">
        <v>23.7505710870368</v>
      </c>
      <c r="I12" s="31">
        <f>H12-G12</f>
        <v>4.6566131506331487E-3</v>
      </c>
      <c r="J12" s="29">
        <v>20</v>
      </c>
      <c r="K12" s="30">
        <v>100</v>
      </c>
      <c r="L12" s="30">
        <v>23.640675016681858</v>
      </c>
      <c r="M12" s="30">
        <v>23.75178180645597</v>
      </c>
      <c r="N12" s="31">
        <f>M12-L12</f>
        <v>0.11110678977411226</v>
      </c>
      <c r="O12" s="116"/>
      <c r="P12" s="116"/>
      <c r="Q12" s="116"/>
      <c r="R12" s="116"/>
      <c r="S12" s="116"/>
      <c r="T12" s="41"/>
      <c r="U12" s="40"/>
    </row>
    <row r="13" spans="1:21" s="28" customFormat="1" x14ac:dyDescent="0.15">
      <c r="D13" s="2" t="s">
        <v>55</v>
      </c>
      <c r="E13" s="29"/>
      <c r="F13" s="30"/>
      <c r="G13" s="30"/>
      <c r="H13" s="30"/>
      <c r="I13" s="31"/>
      <c r="J13" s="29"/>
      <c r="K13" s="30"/>
      <c r="L13" s="30"/>
      <c r="M13" s="30"/>
      <c r="N13" s="31"/>
      <c r="O13" s="116"/>
      <c r="P13" s="116"/>
      <c r="Q13" s="116"/>
      <c r="R13" s="116"/>
      <c r="S13" s="116"/>
    </row>
    <row r="14" spans="1:21" ht="16.5" x14ac:dyDescent="0.25">
      <c r="C14" s="116" t="s">
        <v>28</v>
      </c>
      <c r="D14">
        <v>5.3900000000000003E-2</v>
      </c>
      <c r="E14" s="29" t="s">
        <v>5</v>
      </c>
      <c r="F14" s="30" t="s">
        <v>1</v>
      </c>
      <c r="G14" s="116" t="s">
        <v>48</v>
      </c>
      <c r="H14" s="116" t="s">
        <v>49</v>
      </c>
      <c r="I14" s="1" t="s">
        <v>50</v>
      </c>
      <c r="J14" s="29" t="s">
        <v>5</v>
      </c>
      <c r="K14" s="30" t="s">
        <v>1</v>
      </c>
      <c r="L14" s="116" t="s">
        <v>48</v>
      </c>
      <c r="M14" s="116" t="s">
        <v>49</v>
      </c>
      <c r="N14" s="1" t="s">
        <v>50</v>
      </c>
      <c r="O14" s="116"/>
      <c r="P14" s="116"/>
      <c r="Q14" s="116"/>
      <c r="R14" s="116"/>
      <c r="S14" s="116"/>
    </row>
    <row r="15" spans="1:21" x14ac:dyDescent="0.15">
      <c r="C15" s="116" t="s">
        <v>29</v>
      </c>
      <c r="D15" s="116">
        <f>(D14/20)*191</f>
        <v>0.51474500000000012</v>
      </c>
      <c r="E15" s="32">
        <v>20</v>
      </c>
      <c r="F15" s="33">
        <v>100</v>
      </c>
      <c r="G15" s="33">
        <v>23.731572105382199</v>
      </c>
      <c r="H15" s="33">
        <v>24.093856608501458</v>
      </c>
      <c r="I15" s="34">
        <f>H15-G15</f>
        <v>0.36228450311925897</v>
      </c>
      <c r="J15" s="32">
        <v>20</v>
      </c>
      <c r="K15" s="33">
        <v>100</v>
      </c>
      <c r="L15" s="33">
        <v>23.575016771257928</v>
      </c>
      <c r="M15" s="33">
        <v>23.742468580154704</v>
      </c>
      <c r="N15" s="34">
        <f>M15-L15</f>
        <v>0.16745180889677513</v>
      </c>
      <c r="O15" s="116"/>
      <c r="P15" s="116"/>
      <c r="Q15" s="116"/>
      <c r="R15" s="116"/>
      <c r="S15" s="116"/>
    </row>
    <row r="16" spans="1:21" ht="15" x14ac:dyDescent="0.25">
      <c r="D16" s="27"/>
      <c r="E16" s="27"/>
      <c r="F16" s="27"/>
      <c r="G16" s="27"/>
      <c r="H16" s="27"/>
      <c r="I16" s="1"/>
      <c r="J16" s="27"/>
      <c r="Q16" s="45"/>
      <c r="R16" s="44"/>
      <c r="S16" s="31"/>
    </row>
    <row r="18" spans="4:23" x14ac:dyDescent="0.15">
      <c r="D18" s="51"/>
      <c r="E18" s="51"/>
      <c r="F18" s="51"/>
      <c r="G18" s="51"/>
      <c r="H18" s="51"/>
      <c r="I18" s="51"/>
    </row>
    <row r="19" spans="4:23" ht="15" x14ac:dyDescent="0.25">
      <c r="D19" s="52"/>
      <c r="E19" s="51"/>
      <c r="F19" s="51"/>
      <c r="G19" s="51"/>
      <c r="H19" s="51"/>
      <c r="I19" s="53"/>
      <c r="J19" s="50"/>
      <c r="K19" s="50"/>
      <c r="L19" s="50"/>
      <c r="M19" s="50"/>
      <c r="N19" s="1"/>
    </row>
    <row r="20" spans="4:23" x14ac:dyDescent="0.15">
      <c r="D20" s="51"/>
      <c r="E20" s="51"/>
      <c r="F20" s="51"/>
      <c r="G20" s="51"/>
      <c r="H20" s="51"/>
      <c r="I20" s="51"/>
    </row>
    <row r="21" spans="4:23" x14ac:dyDescent="0.15">
      <c r="D21" s="51"/>
      <c r="E21" s="51"/>
      <c r="F21" s="51"/>
      <c r="G21" s="51"/>
      <c r="H21" s="51"/>
      <c r="I21" s="51"/>
      <c r="J21" s="62"/>
      <c r="K21" s="62"/>
      <c r="M21" s="62"/>
      <c r="N21" s="62"/>
    </row>
    <row r="22" spans="4:23" x14ac:dyDescent="0.15">
      <c r="D22" s="52"/>
      <c r="E22" s="51"/>
      <c r="F22" s="51"/>
      <c r="G22" s="51"/>
      <c r="H22" s="51"/>
      <c r="I22" s="51"/>
      <c r="J22" s="62"/>
      <c r="K22" s="62"/>
      <c r="M22" s="62"/>
      <c r="N22" s="62"/>
    </row>
    <row r="23" spans="4:23" x14ac:dyDescent="0.15">
      <c r="D23" s="51"/>
      <c r="E23" s="51"/>
      <c r="F23" s="51"/>
      <c r="G23" s="51"/>
      <c r="H23" s="51"/>
      <c r="I23" s="51"/>
      <c r="J23" s="62"/>
    </row>
    <row r="24" spans="4:23" x14ac:dyDescent="0.15">
      <c r="D24" s="52"/>
      <c r="E24" s="51"/>
      <c r="F24" s="51"/>
      <c r="G24" s="51"/>
      <c r="H24" s="51"/>
      <c r="I24" s="51"/>
      <c r="J24" s="62"/>
      <c r="K24" s="62"/>
      <c r="M24" s="62"/>
      <c r="N24" s="62"/>
    </row>
    <row r="25" spans="4:23" x14ac:dyDescent="0.15">
      <c r="D25" s="51"/>
      <c r="E25" s="51"/>
      <c r="F25" s="51"/>
      <c r="G25" s="51"/>
      <c r="H25" s="51"/>
      <c r="I25" s="51"/>
      <c r="J25" s="62"/>
      <c r="K25" s="62"/>
      <c r="M25" s="62"/>
      <c r="N25" s="62"/>
    </row>
    <row r="26" spans="4:23" x14ac:dyDescent="0.15">
      <c r="J26" s="62"/>
    </row>
    <row r="27" spans="4:23" x14ac:dyDescent="0.15">
      <c r="J27" s="62"/>
      <c r="K27" s="62"/>
    </row>
    <row r="28" spans="4:23" x14ac:dyDescent="0.15">
      <c r="J28" s="62"/>
      <c r="K28" s="62"/>
    </row>
    <row r="29" spans="4:23" x14ac:dyDescent="0.15"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</row>
    <row r="30" spans="4:23" x14ac:dyDescent="0.15"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</row>
    <row r="31" spans="4:23" x14ac:dyDescent="0.15"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</row>
    <row r="32" spans="4:23" x14ac:dyDescent="0.15"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</row>
    <row r="33" spans="4:23" x14ac:dyDescent="0.15">
      <c r="D33" s="62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</row>
    <row r="34" spans="4:23" x14ac:dyDescent="0.15">
      <c r="D34" s="62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</row>
    <row r="35" spans="4:23" x14ac:dyDescent="0.15">
      <c r="D35" s="64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</row>
    <row r="36" spans="4:23" ht="15" x14ac:dyDescent="0.25">
      <c r="D36" s="63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</row>
    <row r="37" spans="4:23" ht="15" x14ac:dyDescent="0.25">
      <c r="D37" s="63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</row>
    <row r="38" spans="4:23" x14ac:dyDescent="0.15">
      <c r="D38" s="62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</row>
    <row r="39" spans="4:23" x14ac:dyDescent="0.15">
      <c r="D39" s="62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</row>
    <row r="40" spans="4:23" x14ac:dyDescent="0.15"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</row>
    <row r="41" spans="4:23" x14ac:dyDescent="0.15"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</row>
    <row r="42" spans="4:23" x14ac:dyDescent="0.15"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</row>
    <row r="43" spans="4:23" x14ac:dyDescent="0.15"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</row>
    <row r="44" spans="4:23" x14ac:dyDescent="0.15"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</row>
    <row r="45" spans="4:23" x14ac:dyDescent="0.15"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</row>
    <row r="46" spans="4:23" x14ac:dyDescent="0.15"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</row>
    <row r="47" spans="4:23" x14ac:dyDescent="0.15"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</row>
    <row r="48" spans="4:23" x14ac:dyDescent="0.15"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</row>
    <row r="49" spans="5:24" x14ac:dyDescent="0.15"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1"/>
    </row>
    <row r="50" spans="5:24" x14ac:dyDescent="0.15"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1"/>
    </row>
    <row r="51" spans="5:24" x14ac:dyDescent="0.15"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1"/>
    </row>
    <row r="52" spans="5:24" x14ac:dyDescent="0.15"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1"/>
    </row>
    <row r="53" spans="5:24" x14ac:dyDescent="0.15"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1"/>
    </row>
    <row r="54" spans="5:24" x14ac:dyDescent="0.15"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1"/>
    </row>
    <row r="55" spans="5:24" x14ac:dyDescent="0.15"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1"/>
    </row>
    <row r="56" spans="5:24" x14ac:dyDescent="0.15"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</row>
    <row r="57" spans="5:24" x14ac:dyDescent="0.15"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</row>
    <row r="58" spans="5:24" x14ac:dyDescent="0.15">
      <c r="E58" s="116"/>
      <c r="F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</row>
    <row r="59" spans="5:24" x14ac:dyDescent="0.15"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</row>
    <row r="60" spans="5:24" x14ac:dyDescent="0.15"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</row>
    <row r="69" spans="4:10" x14ac:dyDescent="0.15">
      <c r="D69" s="95"/>
      <c r="E69" s="2"/>
      <c r="F69" s="95"/>
      <c r="G69" s="95"/>
      <c r="H69" s="95"/>
      <c r="I69" s="95"/>
      <c r="J69" s="95"/>
    </row>
  </sheetData>
  <mergeCells count="2">
    <mergeCell ref="E4:I4"/>
    <mergeCell ref="J4:N4"/>
  </mergeCells>
  <phoneticPr fontId="5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D10" sqref="D10:J18"/>
    </sheetView>
  </sheetViews>
  <sheetFormatPr defaultRowHeight="13.5" x14ac:dyDescent="0.15"/>
  <cols>
    <col min="3" max="3" width="13.5" customWidth="1"/>
    <col min="4" max="4" width="17" customWidth="1"/>
  </cols>
  <sheetData>
    <row r="1" spans="1:10" x14ac:dyDescent="0.15">
      <c r="A1" s="120" t="s">
        <v>61</v>
      </c>
      <c r="B1" s="120"/>
      <c r="C1" s="120"/>
      <c r="D1" s="120"/>
    </row>
    <row r="2" spans="1:10" x14ac:dyDescent="0.15">
      <c r="A2" s="116" t="s">
        <v>27</v>
      </c>
    </row>
    <row r="3" spans="1:10" x14ac:dyDescent="0.15">
      <c r="D3" s="2" t="s">
        <v>63</v>
      </c>
    </row>
    <row r="4" spans="1:10" ht="16.5" x14ac:dyDescent="0.25">
      <c r="C4" s="116" t="s">
        <v>28</v>
      </c>
      <c r="D4">
        <v>0.1331</v>
      </c>
      <c r="E4" s="46" t="s">
        <v>5</v>
      </c>
      <c r="F4" s="47" t="s">
        <v>1</v>
      </c>
      <c r="G4" s="47" t="s">
        <v>58</v>
      </c>
      <c r="H4" s="47" t="s">
        <v>59</v>
      </c>
      <c r="I4" s="48" t="s">
        <v>60</v>
      </c>
    </row>
    <row r="5" spans="1:10" x14ac:dyDescent="0.15">
      <c r="C5" s="116" t="s">
        <v>29</v>
      </c>
      <c r="D5">
        <f>D4/20*59.9</f>
        <v>0.39863449999999995</v>
      </c>
      <c r="E5" s="32">
        <v>20</v>
      </c>
      <c r="F5" s="33">
        <v>100</v>
      </c>
      <c r="G5" s="33">
        <v>23.761840090861316</v>
      </c>
      <c r="H5" s="33">
        <v>35.657810309994829</v>
      </c>
      <c r="I5" s="34">
        <f>H5-G5</f>
        <v>11.895970219133513</v>
      </c>
    </row>
    <row r="6" spans="1:10" x14ac:dyDescent="0.15">
      <c r="C6" s="116"/>
    </row>
    <row r="10" spans="1:10" x14ac:dyDescent="0.15">
      <c r="D10" s="116"/>
      <c r="E10" s="116"/>
      <c r="F10" s="116"/>
      <c r="G10" s="116"/>
      <c r="H10" s="116"/>
      <c r="I10" s="116"/>
      <c r="J10" s="116"/>
    </row>
    <row r="11" spans="1:10" x14ac:dyDescent="0.15">
      <c r="D11" s="116"/>
      <c r="E11" s="116"/>
      <c r="F11" s="116"/>
      <c r="G11" s="116"/>
      <c r="H11" s="116"/>
      <c r="I11" s="116"/>
      <c r="J11" s="116"/>
    </row>
    <row r="12" spans="1:10" x14ac:dyDescent="0.15">
      <c r="D12" s="116"/>
      <c r="E12" s="116"/>
      <c r="F12" s="116"/>
      <c r="G12" s="116"/>
      <c r="H12" s="116"/>
      <c r="I12" s="116"/>
      <c r="J12" s="116"/>
    </row>
    <row r="13" spans="1:10" x14ac:dyDescent="0.15">
      <c r="D13" s="116"/>
      <c r="E13" s="116"/>
      <c r="F13" s="116"/>
      <c r="G13" s="116"/>
      <c r="H13" s="116"/>
      <c r="I13" s="116"/>
      <c r="J13" s="116"/>
    </row>
    <row r="14" spans="1:10" x14ac:dyDescent="0.15">
      <c r="D14" s="116"/>
      <c r="E14" s="116"/>
      <c r="F14" s="116"/>
      <c r="G14" s="116"/>
      <c r="H14" s="116"/>
      <c r="I14" s="116"/>
      <c r="J14" s="116"/>
    </row>
    <row r="15" spans="1:10" x14ac:dyDescent="0.15">
      <c r="D15" s="116"/>
      <c r="E15" s="116"/>
      <c r="F15" s="116"/>
      <c r="G15" s="116"/>
      <c r="H15" s="116"/>
      <c r="I15" s="116"/>
      <c r="J15" s="116"/>
    </row>
    <row r="16" spans="1:10" x14ac:dyDescent="0.15">
      <c r="D16" s="116"/>
      <c r="E16" s="116"/>
      <c r="F16" s="116"/>
      <c r="G16" s="116"/>
      <c r="H16" s="116"/>
      <c r="I16" s="116"/>
      <c r="J16" s="116"/>
    </row>
    <row r="17" spans="4:10" x14ac:dyDescent="0.15">
      <c r="D17" s="116"/>
      <c r="E17" s="116"/>
      <c r="F17" s="116"/>
      <c r="G17" s="116"/>
      <c r="H17" s="116"/>
      <c r="I17" s="116"/>
      <c r="J17" s="116"/>
    </row>
    <row r="18" spans="4:10" x14ac:dyDescent="0.15">
      <c r="D18" s="116"/>
      <c r="E18" s="116"/>
      <c r="F18" s="116"/>
      <c r="G18" s="116"/>
      <c r="H18" s="116"/>
      <c r="I18" s="116"/>
      <c r="J18" s="116"/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workbookViewId="0">
      <selection activeCell="M2" sqref="M2:T20"/>
    </sheetView>
  </sheetViews>
  <sheetFormatPr defaultRowHeight="13.5" x14ac:dyDescent="0.15"/>
  <cols>
    <col min="4" max="4" width="16.75" customWidth="1"/>
    <col min="11" max="11" width="12.875" customWidth="1"/>
  </cols>
  <sheetData>
    <row r="1" spans="1:20" x14ac:dyDescent="0.15">
      <c r="A1" s="120" t="s">
        <v>62</v>
      </c>
      <c r="B1" s="120"/>
      <c r="C1" s="120"/>
      <c r="D1" s="120"/>
    </row>
    <row r="2" spans="1:20" x14ac:dyDescent="0.15">
      <c r="A2" s="116" t="s">
        <v>27</v>
      </c>
      <c r="M2" s="116"/>
      <c r="N2" s="116"/>
      <c r="O2" s="116"/>
      <c r="P2" s="116"/>
      <c r="Q2" s="116"/>
      <c r="R2" s="116"/>
      <c r="S2" s="116"/>
      <c r="T2" s="116"/>
    </row>
    <row r="3" spans="1:20" x14ac:dyDescent="0.15">
      <c r="D3" s="2" t="s">
        <v>20</v>
      </c>
      <c r="M3" s="116"/>
      <c r="N3" s="116"/>
      <c r="O3" s="116"/>
      <c r="P3" s="116"/>
      <c r="Q3" s="116"/>
      <c r="R3" s="116"/>
      <c r="S3" s="116"/>
      <c r="T3" s="116"/>
    </row>
    <row r="4" spans="1:20" ht="16.5" x14ac:dyDescent="0.25">
      <c r="E4" s="46" t="s">
        <v>5</v>
      </c>
      <c r="F4" s="47" t="s">
        <v>1</v>
      </c>
      <c r="G4" s="47" t="s">
        <v>58</v>
      </c>
      <c r="H4" s="47" t="s">
        <v>59</v>
      </c>
      <c r="I4" s="48" t="s">
        <v>60</v>
      </c>
      <c r="M4" s="116"/>
      <c r="N4" s="116"/>
      <c r="O4" s="116"/>
      <c r="P4" s="116"/>
      <c r="Q4" s="116"/>
      <c r="R4" s="116"/>
      <c r="S4" s="116"/>
      <c r="T4" s="116"/>
    </row>
    <row r="5" spans="1:20" x14ac:dyDescent="0.15">
      <c r="C5" s="116" t="s">
        <v>28</v>
      </c>
      <c r="D5">
        <v>0.13389999999999999</v>
      </c>
      <c r="E5" s="32">
        <v>20</v>
      </c>
      <c r="F5" s="33">
        <v>100</v>
      </c>
      <c r="G5" s="33">
        <v>23.538043262841907</v>
      </c>
      <c r="H5" s="33">
        <v>46.385250025108469</v>
      </c>
      <c r="I5" s="34">
        <f>H5-G5</f>
        <v>22.847206762266563</v>
      </c>
      <c r="M5" s="116"/>
      <c r="N5" s="116"/>
      <c r="O5" s="116"/>
      <c r="P5" s="116"/>
      <c r="Q5" s="116"/>
      <c r="R5" s="116"/>
      <c r="S5" s="116"/>
      <c r="T5" s="116"/>
    </row>
    <row r="6" spans="1:20" x14ac:dyDescent="0.15">
      <c r="C6" s="116" t="s">
        <v>29</v>
      </c>
      <c r="D6">
        <f>D5/20*80</f>
        <v>0.53559999999999997</v>
      </c>
      <c r="M6" s="116"/>
      <c r="N6" s="116"/>
      <c r="O6" s="116"/>
      <c r="P6" s="116"/>
      <c r="Q6" s="116"/>
      <c r="R6" s="116"/>
      <c r="S6" s="116"/>
      <c r="T6" s="116"/>
    </row>
    <row r="7" spans="1:20" x14ac:dyDescent="0.15">
      <c r="C7" s="116" t="s">
        <v>28</v>
      </c>
      <c r="D7" s="116">
        <f>0.1374-0.004</f>
        <v>0.13339999999999999</v>
      </c>
      <c r="E7" s="123">
        <v>20</v>
      </c>
      <c r="F7" s="49">
        <v>100</v>
      </c>
      <c r="G7" s="49">
        <v>25.10434166218888</v>
      </c>
      <c r="H7" s="49">
        <v>45.568293813961368</v>
      </c>
      <c r="I7" s="124">
        <f>H7-G7</f>
        <v>20.463952151772489</v>
      </c>
      <c r="M7" s="116"/>
      <c r="N7" s="116"/>
      <c r="O7" s="116"/>
      <c r="P7" s="116"/>
      <c r="Q7" s="116"/>
      <c r="R7" s="116"/>
      <c r="S7" s="116"/>
      <c r="T7" s="116"/>
    </row>
    <row r="8" spans="1:20" x14ac:dyDescent="0.15">
      <c r="C8" s="116" t="s">
        <v>29</v>
      </c>
      <c r="D8" s="116">
        <f>D7/20*80</f>
        <v>0.53359999999999996</v>
      </c>
      <c r="M8" s="116"/>
      <c r="N8" s="116"/>
      <c r="O8" s="116"/>
      <c r="P8" s="116"/>
      <c r="Q8" s="116"/>
      <c r="R8" s="116"/>
      <c r="S8" s="116"/>
      <c r="T8" s="116"/>
    </row>
    <row r="9" spans="1:20" x14ac:dyDescent="0.15">
      <c r="M9" s="116"/>
      <c r="N9" s="116"/>
      <c r="O9" s="116"/>
      <c r="P9" s="116"/>
      <c r="Q9" s="116"/>
      <c r="R9" s="116"/>
      <c r="S9" s="116"/>
      <c r="T9" s="116"/>
    </row>
    <row r="10" spans="1:20" x14ac:dyDescent="0.15"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</row>
    <row r="11" spans="1:20" x14ac:dyDescent="0.15"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</row>
    <row r="12" spans="1:20" x14ac:dyDescent="0.15"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</row>
    <row r="13" spans="1:20" x14ac:dyDescent="0.15"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</row>
    <row r="14" spans="1:20" x14ac:dyDescent="0.15"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</row>
    <row r="15" spans="1:20" x14ac:dyDescent="0.15"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</row>
    <row r="16" spans="1:20" x14ac:dyDescent="0.15"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</row>
    <row r="17" spans="10:20" x14ac:dyDescent="0.15"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</row>
    <row r="18" spans="10:20" x14ac:dyDescent="0.15"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</row>
    <row r="19" spans="10:20" x14ac:dyDescent="0.15">
      <c r="M19" s="116"/>
      <c r="N19" s="116"/>
      <c r="O19" s="116"/>
      <c r="P19" s="116"/>
      <c r="Q19" s="116"/>
      <c r="R19" s="116"/>
      <c r="T19" s="116"/>
    </row>
    <row r="20" spans="10:20" x14ac:dyDescent="0.15">
      <c r="M20" s="116"/>
      <c r="N20" s="116"/>
      <c r="O20" s="116"/>
      <c r="P20" s="116"/>
      <c r="Q20" s="116"/>
      <c r="R20" s="116"/>
      <c r="S20" s="116"/>
      <c r="T20" s="116"/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>
      <selection activeCell="G16" sqref="G16"/>
    </sheetView>
  </sheetViews>
  <sheetFormatPr defaultRowHeight="13.5" x14ac:dyDescent="0.15"/>
  <cols>
    <col min="4" max="4" width="18" customWidth="1"/>
    <col min="13" max="13" width="12.75" customWidth="1"/>
  </cols>
  <sheetData>
    <row r="1" spans="1:19" x14ac:dyDescent="0.15">
      <c r="A1" s="120" t="s">
        <v>64</v>
      </c>
      <c r="B1" s="120"/>
      <c r="C1" s="120"/>
      <c r="D1" s="120"/>
    </row>
    <row r="2" spans="1:19" x14ac:dyDescent="0.15">
      <c r="A2" s="116" t="s">
        <v>27</v>
      </c>
    </row>
    <row r="3" spans="1:19" x14ac:dyDescent="0.15">
      <c r="D3" s="2" t="s">
        <v>65</v>
      </c>
      <c r="M3" s="116"/>
      <c r="N3" s="116"/>
    </row>
    <row r="4" spans="1:19" ht="16.5" x14ac:dyDescent="0.25">
      <c r="C4" s="116" t="s">
        <v>28</v>
      </c>
      <c r="D4">
        <v>0.13300000000000001</v>
      </c>
      <c r="E4" s="46" t="s">
        <v>5</v>
      </c>
      <c r="F4" s="47" t="s">
        <v>1</v>
      </c>
      <c r="G4" s="47" t="s">
        <v>58</v>
      </c>
      <c r="H4" s="47" t="s">
        <v>59</v>
      </c>
      <c r="I4" s="48" t="s">
        <v>60</v>
      </c>
      <c r="M4" s="116"/>
      <c r="N4" s="116"/>
      <c r="O4" s="51"/>
    </row>
    <row r="5" spans="1:19" x14ac:dyDescent="0.15">
      <c r="C5" s="116" t="s">
        <v>29</v>
      </c>
      <c r="D5">
        <f>D4/20*100.3</f>
        <v>0.666995</v>
      </c>
      <c r="E5" s="32">
        <v>20</v>
      </c>
      <c r="F5" s="33">
        <v>100</v>
      </c>
      <c r="G5" s="33">
        <v>23.546611431039068</v>
      </c>
      <c r="H5" s="33">
        <v>53.905680263381029</v>
      </c>
      <c r="I5" s="34">
        <f>H5-G5</f>
        <v>30.359068832341961</v>
      </c>
      <c r="M5" s="116"/>
      <c r="N5" s="116"/>
      <c r="O5" s="51"/>
      <c r="S5" s="51"/>
    </row>
    <row r="6" spans="1:19" x14ac:dyDescent="0.15">
      <c r="M6" s="116"/>
      <c r="N6" s="116"/>
      <c r="O6" s="51"/>
      <c r="S6" s="51"/>
    </row>
    <row r="7" spans="1:19" ht="16.5" x14ac:dyDescent="0.25">
      <c r="C7" s="116" t="s">
        <v>28</v>
      </c>
      <c r="D7" s="125">
        <v>0.13120000000000001</v>
      </c>
      <c r="E7" s="126" t="s">
        <v>5</v>
      </c>
      <c r="F7" s="127" t="s">
        <v>1</v>
      </c>
      <c r="G7" s="47" t="s">
        <v>58</v>
      </c>
      <c r="H7" s="47" t="s">
        <v>59</v>
      </c>
      <c r="I7" s="48" t="s">
        <v>60</v>
      </c>
      <c r="M7" s="116"/>
      <c r="N7" s="116"/>
      <c r="O7" s="51"/>
      <c r="S7" s="51"/>
    </row>
    <row r="8" spans="1:19" x14ac:dyDescent="0.15">
      <c r="C8" s="116" t="s">
        <v>29</v>
      </c>
      <c r="D8" s="125">
        <f>D7/20*100.3</f>
        <v>0.65796800000000011</v>
      </c>
      <c r="E8" s="128">
        <v>20</v>
      </c>
      <c r="F8" s="129">
        <v>100</v>
      </c>
      <c r="G8" s="129">
        <v>23.440440651204632</v>
      </c>
      <c r="H8" s="129">
        <v>56.684095065837809</v>
      </c>
      <c r="I8" s="130">
        <f>H8-G8</f>
        <v>33.243654414633177</v>
      </c>
      <c r="M8" s="116"/>
      <c r="N8" s="116"/>
      <c r="O8" s="51"/>
      <c r="S8" s="51"/>
    </row>
    <row r="9" spans="1:19" x14ac:dyDescent="0.15">
      <c r="M9" s="116"/>
      <c r="N9" s="116"/>
      <c r="O9" s="51"/>
    </row>
    <row r="10" spans="1:19" x14ac:dyDescent="0.15">
      <c r="M10" s="116"/>
      <c r="N10" s="116"/>
    </row>
    <row r="23" spans="4:9" x14ac:dyDescent="0.15">
      <c r="D23" s="51"/>
      <c r="E23" s="51"/>
      <c r="F23" s="51"/>
      <c r="G23" s="51"/>
      <c r="H23" s="51"/>
      <c r="I23" s="51"/>
    </row>
    <row r="24" spans="4:9" x14ac:dyDescent="0.15">
      <c r="D24" s="52"/>
      <c r="E24" s="51"/>
      <c r="F24" s="51"/>
      <c r="G24" s="51"/>
      <c r="H24" s="51"/>
      <c r="I24" s="51"/>
    </row>
  </sheetData>
  <phoneticPr fontId="5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G33" sqref="G33:G34"/>
    </sheetView>
  </sheetViews>
  <sheetFormatPr defaultRowHeight="13.5" x14ac:dyDescent="0.15"/>
  <sheetData>
    <row r="1" spans="1:10" x14ac:dyDescent="0.15">
      <c r="A1" s="120" t="s">
        <v>66</v>
      </c>
      <c r="B1" s="120"/>
      <c r="C1" s="120"/>
      <c r="D1" s="120"/>
      <c r="E1" s="120"/>
    </row>
    <row r="2" spans="1:10" x14ac:dyDescent="0.15">
      <c r="A2" s="116" t="s">
        <v>27</v>
      </c>
    </row>
    <row r="3" spans="1:10" s="116" customFormat="1" x14ac:dyDescent="0.15"/>
    <row r="4" spans="1:10" x14ac:dyDescent="0.15">
      <c r="B4" t="s">
        <v>76</v>
      </c>
    </row>
    <row r="5" spans="1:10" x14ac:dyDescent="0.15">
      <c r="C5" t="s">
        <v>71</v>
      </c>
      <c r="D5" s="116"/>
      <c r="E5" s="116"/>
      <c r="F5" s="116"/>
      <c r="G5" s="116"/>
      <c r="H5" s="116"/>
      <c r="I5" s="116"/>
      <c r="J5" s="116"/>
    </row>
    <row r="6" spans="1:10" x14ac:dyDescent="0.15">
      <c r="C6" t="s">
        <v>67</v>
      </c>
      <c r="E6" s="2" t="s">
        <v>72</v>
      </c>
      <c r="F6" s="54"/>
      <c r="G6" s="54"/>
      <c r="H6" s="54"/>
      <c r="I6" s="54"/>
      <c r="J6" s="54"/>
    </row>
    <row r="7" spans="1:10" ht="16.5" x14ac:dyDescent="0.25">
      <c r="D7" s="116" t="s">
        <v>28</v>
      </c>
      <c r="E7" s="54">
        <f>0.1324-0.0051</f>
        <v>0.1273</v>
      </c>
      <c r="F7" s="54" t="s">
        <v>5</v>
      </c>
      <c r="G7" s="54" t="s">
        <v>1</v>
      </c>
      <c r="H7" s="47" t="s">
        <v>58</v>
      </c>
      <c r="I7" s="47" t="s">
        <v>59</v>
      </c>
      <c r="J7" s="48" t="s">
        <v>60</v>
      </c>
    </row>
    <row r="8" spans="1:10" x14ac:dyDescent="0.15">
      <c r="D8" s="116" t="s">
        <v>29</v>
      </c>
      <c r="E8" s="54">
        <f>E7/20*20.1</f>
        <v>0.12793650000000001</v>
      </c>
      <c r="F8" s="54">
        <v>20</v>
      </c>
      <c r="G8" s="54">
        <v>100</v>
      </c>
      <c r="H8" s="55">
        <v>24.423731084092331</v>
      </c>
      <c r="I8" s="56">
        <v>28.857106200284132</v>
      </c>
      <c r="J8" s="54">
        <f>I8-H8</f>
        <v>4.4333751161918009</v>
      </c>
    </row>
    <row r="9" spans="1:10" x14ac:dyDescent="0.15">
      <c r="C9" t="s">
        <v>68</v>
      </c>
      <c r="E9" s="2" t="s">
        <v>73</v>
      </c>
      <c r="F9" s="54"/>
      <c r="G9" s="54"/>
      <c r="H9" s="54"/>
      <c r="I9" s="54"/>
      <c r="J9" s="54"/>
    </row>
    <row r="10" spans="1:10" ht="16.5" x14ac:dyDescent="0.25">
      <c r="D10" s="116" t="s">
        <v>28</v>
      </c>
      <c r="E10" s="54">
        <f>0.0574-0.012</f>
        <v>4.5399999999999996E-2</v>
      </c>
      <c r="F10" s="54" t="s">
        <v>5</v>
      </c>
      <c r="G10" s="54" t="s">
        <v>1</v>
      </c>
      <c r="H10" s="47" t="s">
        <v>58</v>
      </c>
      <c r="I10" s="47" t="s">
        <v>59</v>
      </c>
      <c r="J10" s="48" t="s">
        <v>60</v>
      </c>
    </row>
    <row r="11" spans="1:10" x14ac:dyDescent="0.15">
      <c r="D11" s="116" t="s">
        <v>29</v>
      </c>
      <c r="E11" s="116">
        <f>E10/20*20.1</f>
        <v>4.5627000000000001E-2</v>
      </c>
      <c r="F11" s="54">
        <v>20</v>
      </c>
      <c r="G11" s="54">
        <v>100</v>
      </c>
      <c r="H11" s="58">
        <v>24.775398509228133</v>
      </c>
      <c r="I11" s="57">
        <v>25.500526309044737</v>
      </c>
      <c r="J11" s="54">
        <f>I11-H11</f>
        <v>0.72512779981660458</v>
      </c>
    </row>
    <row r="12" spans="1:10" x14ac:dyDescent="0.15">
      <c r="C12" t="s">
        <v>69</v>
      </c>
      <c r="E12" s="2" t="s">
        <v>74</v>
      </c>
      <c r="F12" s="54"/>
      <c r="G12" s="54"/>
      <c r="H12" s="54"/>
      <c r="I12" s="54"/>
      <c r="J12" s="54"/>
    </row>
    <row r="13" spans="1:10" ht="16.5" x14ac:dyDescent="0.25">
      <c r="D13" s="116" t="s">
        <v>28</v>
      </c>
      <c r="E13" s="54">
        <f>0.0524-0.006</f>
        <v>4.6400000000000004E-2</v>
      </c>
      <c r="F13" s="54" t="s">
        <v>5</v>
      </c>
      <c r="G13" s="54" t="s">
        <v>1</v>
      </c>
      <c r="H13" s="47" t="s">
        <v>58</v>
      </c>
      <c r="I13" s="47" t="s">
        <v>59</v>
      </c>
      <c r="J13" s="48" t="s">
        <v>60</v>
      </c>
    </row>
    <row r="14" spans="1:10" x14ac:dyDescent="0.15">
      <c r="D14" s="116" t="s">
        <v>29</v>
      </c>
      <c r="E14" s="116">
        <f>E13/20*20</f>
        <v>4.6399999999999997E-2</v>
      </c>
      <c r="F14" s="54">
        <v>20</v>
      </c>
      <c r="G14" s="54">
        <v>100</v>
      </c>
      <c r="H14" s="60">
        <v>25.62802437710906</v>
      </c>
      <c r="I14" s="59">
        <v>26.531127931542876</v>
      </c>
      <c r="J14" s="54">
        <f>I14-H14</f>
        <v>0.90310355443381596</v>
      </c>
    </row>
    <row r="15" spans="1:10" x14ac:dyDescent="0.15">
      <c r="C15" t="s">
        <v>70</v>
      </c>
      <c r="E15" s="2" t="s">
        <v>75</v>
      </c>
      <c r="F15" s="54"/>
      <c r="G15" s="54"/>
      <c r="H15" s="54"/>
      <c r="I15" s="54"/>
      <c r="J15" s="54"/>
    </row>
    <row r="16" spans="1:10" ht="16.5" x14ac:dyDescent="0.25">
      <c r="D16" s="116" t="s">
        <v>28</v>
      </c>
      <c r="E16" s="54">
        <f>0.0572-0.0003</f>
        <v>5.6899999999999999E-2</v>
      </c>
      <c r="F16" s="54" t="s">
        <v>5</v>
      </c>
      <c r="G16" s="54" t="s">
        <v>1</v>
      </c>
      <c r="H16" s="47" t="s">
        <v>58</v>
      </c>
      <c r="I16" s="47" t="s">
        <v>59</v>
      </c>
      <c r="J16" s="48" t="s">
        <v>60</v>
      </c>
    </row>
    <row r="17" spans="4:10" x14ac:dyDescent="0.15">
      <c r="D17" s="116" t="s">
        <v>29</v>
      </c>
      <c r="E17" s="116">
        <f>E16/20*19.9</f>
        <v>5.6615499999999992E-2</v>
      </c>
      <c r="F17" s="54">
        <v>20</v>
      </c>
      <c r="G17" s="54">
        <v>100</v>
      </c>
      <c r="H17" s="62">
        <v>25.631470270840552</v>
      </c>
      <c r="I17" s="61">
        <v>26.313570965145285</v>
      </c>
      <c r="J17" s="54">
        <f>I17-H17</f>
        <v>0.68210069430473297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Readme</vt:lpstr>
      <vt:lpstr>Stock1</vt:lpstr>
      <vt:lpstr>Stock2</vt:lpstr>
      <vt:lpstr>Stock3</vt:lpstr>
      <vt:lpstr>Stock4</vt:lpstr>
      <vt:lpstr>Stock5</vt:lpstr>
      <vt:lpstr>Stock6</vt:lpstr>
      <vt:lpstr>dispersion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CHLabData</dc:creator>
  <cp:lastModifiedBy>YangHe</cp:lastModifiedBy>
  <dcterms:created xsi:type="dcterms:W3CDTF">2015-03-16T14:27:25Z</dcterms:created>
  <dcterms:modified xsi:type="dcterms:W3CDTF">2017-07-11T03:10:30Z</dcterms:modified>
</cp:coreProperties>
</file>