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M:\My Documents\MyFiles\Bioxport\Prelexp\Carbon\Prb\Agric Chems\Manganese\Nitrogen Manuscript\ORD Clearance\"/>
    </mc:Choice>
  </mc:AlternateContent>
  <bookViews>
    <workbookView xWindow="0" yWindow="0" windowWidth="15360" windowHeight="8145" firstSheet="5" activeTab="7"/>
  </bookViews>
  <sheets>
    <sheet name="Figure 1" sheetId="53" r:id="rId1"/>
    <sheet name="Figure 2a" sheetId="54" r:id="rId2"/>
    <sheet name="Figure 2b" sheetId="56" r:id="rId3"/>
    <sheet name="Figure 3a" sheetId="22" r:id="rId4"/>
    <sheet name="Figure 3b" sheetId="19" r:id="rId5"/>
    <sheet name="Figure S1" sheetId="25" r:id="rId6"/>
    <sheet name="Figure S2" sheetId="27" r:id="rId7"/>
    <sheet name="Expt 12 " sheetId="18" r:id="rId8"/>
    <sheet name="Expt 14" sheetId="20" r:id="rId9"/>
    <sheet name="Expt 15" sheetId="23" r:id="rId10"/>
    <sheet name="Expt 16 nitrate" sheetId="26" r:id="rId11"/>
    <sheet name="Expt 17 nitrite" sheetId="28" r:id="rId12"/>
    <sheet name="Expt 25" sheetId="51" r:id="rId13"/>
    <sheet name="Minerals Surface Area" sheetId="38" r:id="rId14"/>
    <sheet name="Minerals Metals Concentration" sheetId="57" r:id="rId15"/>
    <sheet name="N mass balance MnO2(s) FeOOH(s)" sheetId="34" r:id="rId16"/>
    <sheet name="N distribution FeOOH(s)" sheetId="33" r:id="rId1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7" i="51" l="1"/>
  <c r="T58" i="51"/>
  <c r="T54" i="51"/>
  <c r="T55" i="51"/>
  <c r="T44" i="51"/>
  <c r="T45" i="51"/>
  <c r="T41" i="51"/>
  <c r="T42" i="51"/>
  <c r="T49" i="51"/>
  <c r="T50" i="51"/>
  <c r="T51" i="51"/>
  <c r="T52" i="51"/>
  <c r="T36" i="51"/>
  <c r="T37" i="51"/>
  <c r="T38" i="51"/>
  <c r="T39" i="51"/>
  <c r="E63" i="57" l="1"/>
  <c r="E56" i="57"/>
  <c r="H54" i="57" s="1"/>
  <c r="L49" i="57"/>
  <c r="L42" i="57"/>
  <c r="H61" i="57" l="1"/>
  <c r="G54" i="57"/>
  <c r="G61" i="57"/>
  <c r="O47" i="57"/>
  <c r="N47" i="57"/>
  <c r="N40" i="57"/>
  <c r="O40" i="57"/>
  <c r="E37" i="38" l="1"/>
  <c r="E38" i="38" s="1"/>
  <c r="E36" i="38"/>
  <c r="I36" i="38" l="1"/>
  <c r="H36" i="38"/>
  <c r="L32" i="57"/>
  <c r="L33" i="57" s="1"/>
  <c r="L31" i="57"/>
  <c r="E31" i="57"/>
  <c r="E32" i="57" s="1"/>
  <c r="E30" i="57"/>
  <c r="L23" i="57"/>
  <c r="L24" i="57" s="1"/>
  <c r="L22" i="57"/>
  <c r="E22" i="57"/>
  <c r="E23" i="57" s="1"/>
  <c r="E21" i="57"/>
  <c r="G30" i="57" l="1"/>
  <c r="O31" i="57"/>
  <c r="N31" i="57"/>
  <c r="H30" i="57"/>
  <c r="O22" i="57"/>
  <c r="N22" i="57"/>
  <c r="H21" i="57"/>
  <c r="G21" i="57"/>
  <c r="M14" i="57" l="1"/>
  <c r="M15" i="57" s="1"/>
  <c r="F14" i="57"/>
  <c r="F15" i="57" s="1"/>
  <c r="M13" i="57"/>
  <c r="F13" i="57"/>
  <c r="M8" i="57"/>
  <c r="M9" i="57" s="1"/>
  <c r="M7" i="57"/>
  <c r="F8" i="57"/>
  <c r="F9" i="57" s="1"/>
  <c r="F7" i="57"/>
  <c r="I13" i="57" l="1"/>
  <c r="P7" i="57"/>
  <c r="O13" i="57"/>
  <c r="H13" i="57"/>
  <c r="P13" i="57"/>
  <c r="O7" i="57"/>
  <c r="I7" i="57"/>
  <c r="H7" i="57"/>
  <c r="E161" i="51" l="1"/>
  <c r="E160" i="51"/>
  <c r="E75" i="51"/>
  <c r="E113" i="51"/>
  <c r="E112" i="51"/>
  <c r="Z35" i="51" l="1"/>
  <c r="S42" i="51" l="1"/>
  <c r="E221" i="51" l="1"/>
  <c r="E220" i="51"/>
  <c r="E215" i="51"/>
  <c r="E214" i="51"/>
  <c r="E209" i="51"/>
  <c r="E208" i="51"/>
  <c r="E203" i="51"/>
  <c r="E202" i="51"/>
  <c r="E197" i="51"/>
  <c r="E196" i="51"/>
  <c r="E191" i="51"/>
  <c r="E190" i="51"/>
  <c r="E185" i="51"/>
  <c r="E184" i="51"/>
  <c r="E179" i="51"/>
  <c r="E178" i="51"/>
  <c r="S71" i="51" l="1"/>
  <c r="AB42" i="51" s="1"/>
  <c r="S70" i="51"/>
  <c r="AB37" i="51" s="1"/>
  <c r="S68" i="51"/>
  <c r="S67" i="51"/>
  <c r="S65" i="51"/>
  <c r="S64" i="51"/>
  <c r="S63" i="51"/>
  <c r="S62" i="51"/>
  <c r="E222" i="51" l="1"/>
  <c r="G223" i="51" s="1"/>
  <c r="E216" i="51"/>
  <c r="E210" i="51"/>
  <c r="E204" i="51"/>
  <c r="G205" i="51" s="1"/>
  <c r="E198" i="51"/>
  <c r="H199" i="51" s="1"/>
  <c r="E192" i="51"/>
  <c r="H193" i="51" s="1"/>
  <c r="E186" i="51"/>
  <c r="H187" i="51" s="1"/>
  <c r="E180" i="51"/>
  <c r="E173" i="51"/>
  <c r="E172" i="51"/>
  <c r="E174" i="51" s="1"/>
  <c r="E167" i="51"/>
  <c r="E166" i="51"/>
  <c r="E168" i="51" s="1"/>
  <c r="E162" i="51"/>
  <c r="E155" i="51"/>
  <c r="E154" i="51"/>
  <c r="E156" i="51" s="1"/>
  <c r="E149" i="51"/>
  <c r="E148" i="51"/>
  <c r="E150" i="51" s="1"/>
  <c r="E143" i="51"/>
  <c r="E142" i="51"/>
  <c r="E144" i="51" s="1"/>
  <c r="E137" i="51"/>
  <c r="E136" i="51"/>
  <c r="E138" i="51" s="1"/>
  <c r="E131" i="51"/>
  <c r="E130" i="51"/>
  <c r="E132" i="51" s="1"/>
  <c r="E82" i="51"/>
  <c r="E84" i="51" s="1"/>
  <c r="E125" i="51"/>
  <c r="E124" i="51"/>
  <c r="E126" i="51" s="1"/>
  <c r="E119" i="51"/>
  <c r="E118" i="51"/>
  <c r="E120" i="51" s="1"/>
  <c r="E114" i="51"/>
  <c r="E107" i="51"/>
  <c r="E106" i="51"/>
  <c r="E108" i="51" s="1"/>
  <c r="E101" i="51"/>
  <c r="E100" i="51"/>
  <c r="E102" i="51" s="1"/>
  <c r="E95" i="51"/>
  <c r="E94" i="51"/>
  <c r="E96" i="51" s="1"/>
  <c r="E89" i="51"/>
  <c r="E88" i="51"/>
  <c r="E90" i="51" s="1"/>
  <c r="E83" i="51"/>
  <c r="E69" i="51"/>
  <c r="E63" i="51"/>
  <c r="E57" i="51"/>
  <c r="E51" i="51"/>
  <c r="E45" i="51"/>
  <c r="E39" i="51"/>
  <c r="E33" i="51"/>
  <c r="C19" i="51"/>
  <c r="C18" i="51"/>
  <c r="C16" i="51"/>
  <c r="C15" i="51"/>
  <c r="C13" i="51"/>
  <c r="C12" i="51"/>
  <c r="C11" i="51"/>
  <c r="C10" i="51"/>
  <c r="H109" i="51" l="1"/>
  <c r="G193" i="51"/>
  <c r="H223" i="51"/>
  <c r="H217" i="51"/>
  <c r="H211" i="51"/>
  <c r="H181" i="51"/>
  <c r="G217" i="51"/>
  <c r="G187" i="51"/>
  <c r="H205" i="51"/>
  <c r="G199" i="51"/>
  <c r="G181" i="51"/>
  <c r="G211" i="51"/>
  <c r="H175" i="51"/>
  <c r="H163" i="51"/>
  <c r="G163" i="51"/>
  <c r="H151" i="51"/>
  <c r="G145" i="51"/>
  <c r="H139" i="51"/>
  <c r="H133" i="51"/>
  <c r="G133" i="51"/>
  <c r="H127" i="51"/>
  <c r="H115" i="51"/>
  <c r="G115" i="51"/>
  <c r="H91" i="51"/>
  <c r="H85" i="51"/>
  <c r="G151" i="51"/>
  <c r="H169" i="51"/>
  <c r="G157" i="51"/>
  <c r="H145" i="51"/>
  <c r="G139" i="51"/>
  <c r="H157" i="51"/>
  <c r="G175" i="51"/>
  <c r="G169" i="51"/>
  <c r="H103" i="51"/>
  <c r="G103" i="51"/>
  <c r="H121" i="51"/>
  <c r="H97" i="51"/>
  <c r="G97" i="51"/>
  <c r="G127" i="51"/>
  <c r="G109" i="51"/>
  <c r="G91" i="51"/>
  <c r="G121" i="51"/>
  <c r="G85" i="51"/>
  <c r="O19" i="51"/>
  <c r="N19" i="51"/>
  <c r="O18" i="51"/>
  <c r="N18" i="51"/>
  <c r="O16" i="51"/>
  <c r="N16" i="51"/>
  <c r="O15" i="51"/>
  <c r="N15" i="51"/>
  <c r="O13" i="51"/>
  <c r="N13" i="51"/>
  <c r="O12" i="51"/>
  <c r="N12" i="51"/>
  <c r="O11" i="51"/>
  <c r="N11" i="51"/>
  <c r="S58" i="51"/>
  <c r="S57" i="51"/>
  <c r="S55" i="51"/>
  <c r="S54" i="51"/>
  <c r="S52" i="51"/>
  <c r="S51" i="51"/>
  <c r="S50" i="51"/>
  <c r="Z30" i="51" s="1"/>
  <c r="S49" i="51"/>
  <c r="S45" i="51"/>
  <c r="S44" i="51"/>
  <c r="S41" i="51"/>
  <c r="S39" i="51"/>
  <c r="S38" i="51"/>
  <c r="S37" i="51"/>
  <c r="S36" i="51"/>
  <c r="E76" i="51"/>
  <c r="E70" i="51"/>
  <c r="E64" i="51"/>
  <c r="E58" i="51"/>
  <c r="E52" i="51"/>
  <c r="E46" i="51"/>
  <c r="E40" i="51"/>
  <c r="S32" i="51"/>
  <c r="I19" i="51" s="1"/>
  <c r="J19" i="51" s="1"/>
  <c r="K19" i="51" s="1"/>
  <c r="L19" i="51" s="1"/>
  <c r="S31" i="51"/>
  <c r="I18" i="51" s="1"/>
  <c r="J18" i="51" s="1"/>
  <c r="K18" i="51" s="1"/>
  <c r="L18" i="51" s="1"/>
  <c r="S29" i="51"/>
  <c r="I16" i="51" s="1"/>
  <c r="J16" i="51" s="1"/>
  <c r="K16" i="51" s="1"/>
  <c r="L16" i="51" s="1"/>
  <c r="S28" i="51"/>
  <c r="I15" i="51" s="1"/>
  <c r="J15" i="51" s="1"/>
  <c r="K15" i="51" s="1"/>
  <c r="L15" i="51" s="1"/>
  <c r="S26" i="51"/>
  <c r="I13" i="51" s="1"/>
  <c r="J13" i="51" s="1"/>
  <c r="K13" i="51" s="1"/>
  <c r="L13" i="51" s="1"/>
  <c r="S25" i="51"/>
  <c r="I12" i="51" s="1"/>
  <c r="J12" i="51" s="1"/>
  <c r="K12" i="51" s="1"/>
  <c r="L12" i="51" s="1"/>
  <c r="S24" i="51"/>
  <c r="I11" i="51" s="1"/>
  <c r="J11" i="51" s="1"/>
  <c r="K11" i="51" s="1"/>
  <c r="L11" i="51" s="1"/>
  <c r="S23" i="51"/>
  <c r="I10" i="51" s="1"/>
  <c r="J10" i="51" s="1"/>
  <c r="E34" i="51"/>
  <c r="E77" i="51"/>
  <c r="E71" i="51"/>
  <c r="E65" i="51"/>
  <c r="E59" i="51"/>
  <c r="S19" i="51"/>
  <c r="T19" i="51" s="1"/>
  <c r="U19" i="51" s="1"/>
  <c r="S18" i="51"/>
  <c r="S16" i="51"/>
  <c r="T16" i="51" s="1"/>
  <c r="U16" i="51" s="1"/>
  <c r="S15" i="51"/>
  <c r="S13" i="51"/>
  <c r="S12" i="51"/>
  <c r="S11" i="51"/>
  <c r="T11" i="51" s="1"/>
  <c r="U11" i="51" s="1"/>
  <c r="R19" i="51"/>
  <c r="R18" i="51"/>
  <c r="R16" i="51"/>
  <c r="R15" i="51"/>
  <c r="R13" i="51"/>
  <c r="R12" i="51"/>
  <c r="R11" i="51"/>
  <c r="H19" i="51"/>
  <c r="H18" i="51"/>
  <c r="H16" i="51"/>
  <c r="H15" i="51"/>
  <c r="E47" i="51"/>
  <c r="E41" i="51"/>
  <c r="H13" i="51"/>
  <c r="H12" i="51"/>
  <c r="H11" i="51"/>
  <c r="S10" i="51"/>
  <c r="R10" i="51"/>
  <c r="O10" i="51"/>
  <c r="N10" i="51"/>
  <c r="H10" i="51"/>
  <c r="Y30" i="51" l="1"/>
  <c r="Z40" i="51"/>
  <c r="Y40" i="51"/>
  <c r="T18" i="51"/>
  <c r="U18" i="51" s="1"/>
  <c r="Y35" i="51"/>
  <c r="Y36" i="51"/>
  <c r="Z36" i="51"/>
  <c r="Z41" i="51"/>
  <c r="Y41" i="51"/>
  <c r="T12" i="51"/>
  <c r="U12" i="51" s="1"/>
  <c r="AF37" i="51"/>
  <c r="Y37" i="51"/>
  <c r="Z37" i="51"/>
  <c r="T13" i="51"/>
  <c r="U13" i="51" s="1"/>
  <c r="Y42" i="51"/>
  <c r="Z42" i="51"/>
  <c r="T15" i="51"/>
  <c r="U15" i="51" s="1"/>
  <c r="Y25" i="51"/>
  <c r="Z25" i="51"/>
  <c r="AF36" i="51"/>
  <c r="P18" i="51"/>
  <c r="AF41" i="51"/>
  <c r="AF42" i="51"/>
  <c r="AF25" i="51"/>
  <c r="AF30" i="51"/>
  <c r="AF35" i="51"/>
  <c r="P19" i="51"/>
  <c r="AF40" i="51"/>
  <c r="P16" i="51"/>
  <c r="P15" i="51"/>
  <c r="P12" i="51"/>
  <c r="P11" i="51"/>
  <c r="P13" i="51"/>
  <c r="G72" i="51"/>
  <c r="H72" i="51"/>
  <c r="G78" i="51"/>
  <c r="H78" i="51"/>
  <c r="H60" i="51"/>
  <c r="H66" i="51"/>
  <c r="G60" i="51"/>
  <c r="G66" i="51"/>
  <c r="K10" i="51"/>
  <c r="L10" i="51" s="1"/>
  <c r="P10" i="51" s="1"/>
  <c r="E35" i="51"/>
  <c r="T10" i="51"/>
  <c r="U10" i="51" s="1"/>
  <c r="E53" i="51"/>
  <c r="H54" i="51" s="1"/>
  <c r="H42" i="51"/>
  <c r="G42" i="51"/>
  <c r="H48" i="51"/>
  <c r="G48" i="51"/>
  <c r="J36" i="51" l="1"/>
  <c r="X25" i="51"/>
  <c r="AA25" i="51" s="1"/>
  <c r="J42" i="51"/>
  <c r="X30" i="51"/>
  <c r="AA30" i="51" s="1"/>
  <c r="X42" i="51"/>
  <c r="AA42" i="51" s="1"/>
  <c r="J78" i="51"/>
  <c r="J48" i="51"/>
  <c r="X35" i="51"/>
  <c r="AA35" i="51" s="1"/>
  <c r="J60" i="51"/>
  <c r="X36" i="51"/>
  <c r="AA36" i="51" s="1"/>
  <c r="J54" i="51"/>
  <c r="X40" i="51"/>
  <c r="AA40" i="51" s="1"/>
  <c r="J66" i="51"/>
  <c r="X41" i="51"/>
  <c r="AA41" i="51" s="1"/>
  <c r="X37" i="51"/>
  <c r="AA37" i="51" s="1"/>
  <c r="J72" i="51"/>
  <c r="G54" i="51"/>
  <c r="H36" i="51"/>
  <c r="G36" i="51"/>
  <c r="E16" i="38" l="1"/>
  <c r="E17" i="38" s="1"/>
  <c r="E15" i="38"/>
  <c r="E11" i="38"/>
  <c r="E12" i="38" s="1"/>
  <c r="E10" i="38"/>
  <c r="E6" i="38"/>
  <c r="E7" i="38" s="1"/>
  <c r="E5" i="38"/>
  <c r="I5" i="38" l="1"/>
  <c r="H5" i="38"/>
  <c r="I10" i="38"/>
  <c r="I15" i="38"/>
  <c r="H15" i="38"/>
  <c r="H10" i="38"/>
  <c r="AD26" i="28" l="1"/>
  <c r="AD25" i="28"/>
  <c r="AD27" i="28" s="1"/>
  <c r="AG28" i="28" l="1"/>
  <c r="AF28" i="28"/>
  <c r="AB11" i="18" l="1"/>
  <c r="AB10" i="18"/>
  <c r="AB12" i="18"/>
  <c r="P26" i="20"/>
  <c r="Z15" i="20"/>
  <c r="Z14" i="20"/>
  <c r="Z13" i="20"/>
  <c r="Z12" i="20"/>
  <c r="Z11" i="20"/>
  <c r="Z10" i="20"/>
  <c r="Y14" i="26" l="1"/>
  <c r="W26" i="26"/>
  <c r="W25" i="26"/>
  <c r="W24" i="26"/>
  <c r="W23" i="26"/>
  <c r="AB26" i="26" s="1"/>
  <c r="X13" i="26"/>
  <c r="X12" i="26"/>
  <c r="X11" i="26"/>
  <c r="X10" i="26"/>
  <c r="AB25" i="26" l="1"/>
  <c r="AB27" i="26" s="1"/>
  <c r="AE28" i="26" s="1"/>
  <c r="AC59" i="28"/>
  <c r="AC58" i="28"/>
  <c r="AC60" i="28" s="1"/>
  <c r="AF61" i="28" s="1"/>
  <c r="AC44" i="28"/>
  <c r="AC43" i="28"/>
  <c r="AC45" i="28" s="1"/>
  <c r="V48" i="28"/>
  <c r="AC31" i="28"/>
  <c r="AC30" i="28"/>
  <c r="AC32" i="28" s="1"/>
  <c r="W35" i="28"/>
  <c r="V35" i="28"/>
  <c r="V23" i="28"/>
  <c r="AC19" i="28"/>
  <c r="AC18" i="28"/>
  <c r="AC20" i="28" s="1"/>
  <c r="AA19" i="26"/>
  <c r="AA18" i="26"/>
  <c r="AA20" i="26"/>
  <c r="AC21" i="26" s="1"/>
  <c r="AF46" i="28" l="1"/>
  <c r="AD28" i="26"/>
  <c r="AF21" i="28"/>
  <c r="AF33" i="28"/>
  <c r="AE61" i="28"/>
  <c r="AE46" i="28"/>
  <c r="AE33" i="28"/>
  <c r="AE21" i="28"/>
  <c r="AD21" i="26"/>
  <c r="P14" i="26" l="1"/>
  <c r="R13" i="26" l="1"/>
  <c r="R12" i="26"/>
  <c r="R11" i="26"/>
  <c r="R10" i="26"/>
  <c r="R25" i="20"/>
  <c r="AA9" i="28" l="1"/>
  <c r="AA8" i="28"/>
  <c r="AA10" i="28" s="1"/>
  <c r="Q9" i="28"/>
  <c r="Q8" i="28"/>
  <c r="Q10" i="28" s="1"/>
  <c r="F21" i="26"/>
  <c r="F23" i="26" s="1"/>
  <c r="F22" i="26"/>
  <c r="V63" i="28"/>
  <c r="W63" i="28"/>
  <c r="W14" i="26"/>
  <c r="V14" i="26"/>
  <c r="X14" i="26" s="1"/>
  <c r="X62" i="28"/>
  <c r="X61" i="28"/>
  <c r="X60" i="28"/>
  <c r="X59" i="28"/>
  <c r="W48" i="28"/>
  <c r="X48" i="28" s="1"/>
  <c r="X47" i="28"/>
  <c r="X46" i="28"/>
  <c r="X45" i="28"/>
  <c r="X44" i="28"/>
  <c r="X35" i="28"/>
  <c r="X34" i="28"/>
  <c r="X33" i="28"/>
  <c r="X32" i="28"/>
  <c r="X31" i="28"/>
  <c r="X22" i="28"/>
  <c r="X21" i="28"/>
  <c r="X20" i="28"/>
  <c r="W23" i="28"/>
  <c r="X23" i="28" s="1"/>
  <c r="X19" i="28"/>
  <c r="Y50" i="28" l="1"/>
  <c r="Y68" i="28"/>
  <c r="Y51" i="28"/>
  <c r="Y52" i="28"/>
  <c r="AC11" i="28"/>
  <c r="AD11" i="28"/>
  <c r="T11" i="28"/>
  <c r="S11" i="28"/>
  <c r="I24" i="26"/>
  <c r="H24" i="26"/>
  <c r="X63" i="28"/>
  <c r="H47" i="28"/>
  <c r="H46" i="28"/>
  <c r="H45" i="28"/>
  <c r="H44" i="28"/>
  <c r="J47" i="28"/>
  <c r="K47" i="28" s="1"/>
  <c r="L47" i="28" s="1"/>
  <c r="J46" i="28"/>
  <c r="K46" i="28" s="1"/>
  <c r="L46" i="28" s="1"/>
  <c r="J45" i="28"/>
  <c r="K45" i="28" s="1"/>
  <c r="L45" i="28" s="1"/>
  <c r="J44" i="28"/>
  <c r="K44" i="28" s="1"/>
  <c r="L44" i="28" s="1"/>
  <c r="J34" i="28"/>
  <c r="K34" i="28" s="1"/>
  <c r="J33" i="28"/>
  <c r="K33" i="28" s="1"/>
  <c r="J32" i="28"/>
  <c r="K32" i="28" s="1"/>
  <c r="J31" i="28"/>
  <c r="K31" i="28" s="1"/>
  <c r="N62" i="28"/>
  <c r="N61" i="28"/>
  <c r="N60" i="28"/>
  <c r="N59" i="28"/>
  <c r="N47" i="28"/>
  <c r="N46" i="28"/>
  <c r="N45" i="28"/>
  <c r="N44" i="28"/>
  <c r="O62" i="28"/>
  <c r="O61" i="28"/>
  <c r="Y67" i="28" s="1"/>
  <c r="O60" i="28"/>
  <c r="Y66" i="28" s="1"/>
  <c r="O59" i="28"/>
  <c r="Y65" i="28" s="1"/>
  <c r="AD67" i="28" s="1"/>
  <c r="AD69" i="28" s="1"/>
  <c r="O47" i="28"/>
  <c r="Y48" i="28" s="1"/>
  <c r="O46" i="28"/>
  <c r="O45" i="28"/>
  <c r="O44" i="28"/>
  <c r="S62" i="28"/>
  <c r="R62" i="28"/>
  <c r="S61" i="28"/>
  <c r="R61" i="28"/>
  <c r="S60" i="28"/>
  <c r="R60" i="28"/>
  <c r="S59" i="28"/>
  <c r="R59" i="28"/>
  <c r="S47" i="28"/>
  <c r="R47" i="28"/>
  <c r="S46" i="28"/>
  <c r="R46" i="28"/>
  <c r="S45" i="28"/>
  <c r="R45" i="28"/>
  <c r="S44" i="28"/>
  <c r="T44" i="28" s="1"/>
  <c r="U44" i="28" s="1"/>
  <c r="R44" i="28"/>
  <c r="R34" i="28"/>
  <c r="R33" i="28"/>
  <c r="R32" i="28"/>
  <c r="R31" i="28"/>
  <c r="R22" i="28"/>
  <c r="R21" i="28"/>
  <c r="R20" i="28"/>
  <c r="R19" i="28"/>
  <c r="AD68" i="28" l="1"/>
  <c r="AF70" i="28" s="1"/>
  <c r="Y53" i="28"/>
  <c r="AD53" i="28" s="1"/>
  <c r="T47" i="28"/>
  <c r="U47" i="28" s="1"/>
  <c r="T59" i="28"/>
  <c r="U59" i="28" s="1"/>
  <c r="T62" i="28"/>
  <c r="U62" i="28" s="1"/>
  <c r="T45" i="28"/>
  <c r="U45" i="28" s="1"/>
  <c r="Y63" i="28"/>
  <c r="T60" i="28"/>
  <c r="U60" i="28" s="1"/>
  <c r="T46" i="28"/>
  <c r="U46" i="28" s="1"/>
  <c r="T61" i="28"/>
  <c r="U61" i="28" s="1"/>
  <c r="P44" i="28"/>
  <c r="P47" i="28"/>
  <c r="P45" i="28"/>
  <c r="P46" i="28"/>
  <c r="AD52" i="28" l="1"/>
  <c r="AD54" i="28" s="1"/>
  <c r="AG55" i="28" s="1"/>
  <c r="AG70" i="28"/>
  <c r="J62" i="28"/>
  <c r="K62" i="28" s="1"/>
  <c r="L62" i="28" s="1"/>
  <c r="P62" i="28" s="1"/>
  <c r="J61" i="28"/>
  <c r="K61" i="28" s="1"/>
  <c r="L61" i="28" s="1"/>
  <c r="P61" i="28" s="1"/>
  <c r="J60" i="28"/>
  <c r="K60" i="28" s="1"/>
  <c r="L60" i="28" s="1"/>
  <c r="P60" i="28" s="1"/>
  <c r="J59" i="28"/>
  <c r="K59" i="28" s="1"/>
  <c r="L59" i="28" s="1"/>
  <c r="P59" i="28" s="1"/>
  <c r="J22" i="28"/>
  <c r="K22" i="28" s="1"/>
  <c r="J21" i="28"/>
  <c r="K21" i="28" s="1"/>
  <c r="J20" i="28"/>
  <c r="K20" i="28" s="1"/>
  <c r="J19" i="28"/>
  <c r="K19" i="28" s="1"/>
  <c r="AF55" i="28" l="1"/>
  <c r="J13" i="26"/>
  <c r="K13" i="26" s="1"/>
  <c r="J12" i="26"/>
  <c r="K12" i="26" s="1"/>
  <c r="J11" i="26"/>
  <c r="K11" i="26" s="1"/>
  <c r="J10" i="26"/>
  <c r="K10" i="26" s="1"/>
  <c r="Z12" i="18" l="1"/>
  <c r="Z11" i="18"/>
  <c r="Q19" i="18"/>
  <c r="Q18" i="18"/>
  <c r="Q17" i="18"/>
  <c r="Q16" i="18"/>
  <c r="Q15" i="18"/>
  <c r="Q14" i="18"/>
  <c r="Q13" i="18"/>
  <c r="Q12" i="18"/>
  <c r="S12" i="18" s="1"/>
  <c r="Q11" i="18"/>
  <c r="S11" i="18" s="1"/>
  <c r="Y10" i="18" s="1"/>
  <c r="Q10" i="18"/>
  <c r="Z10" i="18" s="1"/>
  <c r="S18" i="18"/>
  <c r="S17" i="18"/>
  <c r="S16" i="18"/>
  <c r="S15" i="18"/>
  <c r="S14" i="18"/>
  <c r="S13" i="18"/>
  <c r="S10" i="18"/>
  <c r="O24" i="18" l="1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M24" i="18"/>
  <c r="M23" i="18"/>
  <c r="M22" i="18"/>
  <c r="M21" i="18"/>
  <c r="M20" i="18"/>
  <c r="M19" i="18"/>
  <c r="M18" i="18"/>
  <c r="M17" i="18"/>
  <c r="M16" i="18"/>
  <c r="M13" i="18"/>
  <c r="M12" i="18"/>
  <c r="M11" i="18"/>
  <c r="M10" i="18"/>
  <c r="Y15" i="20"/>
  <c r="Y14" i="20"/>
  <c r="Y13" i="20"/>
  <c r="Y12" i="20"/>
  <c r="Y11" i="20"/>
  <c r="Y10" i="20"/>
  <c r="H62" i="28" l="1"/>
  <c r="H61" i="28"/>
  <c r="H60" i="28"/>
  <c r="H59" i="28"/>
  <c r="S34" i="28"/>
  <c r="T34" i="28" s="1"/>
  <c r="O34" i="28"/>
  <c r="N34" i="28"/>
  <c r="L34" i="28"/>
  <c r="H34" i="28"/>
  <c r="S33" i="28"/>
  <c r="T33" i="28" s="1"/>
  <c r="O33" i="28"/>
  <c r="Y39" i="28" s="1"/>
  <c r="N33" i="28"/>
  <c r="L33" i="28"/>
  <c r="H33" i="28"/>
  <c r="S32" i="28"/>
  <c r="T32" i="28" s="1"/>
  <c r="O32" i="28"/>
  <c r="Y38" i="28" s="1"/>
  <c r="N32" i="28"/>
  <c r="L32" i="28"/>
  <c r="H32" i="28"/>
  <c r="S31" i="28"/>
  <c r="T31" i="28" s="1"/>
  <c r="O31" i="28"/>
  <c r="Y37" i="28" s="1"/>
  <c r="N31" i="28"/>
  <c r="L31" i="28"/>
  <c r="H31" i="28"/>
  <c r="S22" i="28"/>
  <c r="O22" i="28"/>
  <c r="N22" i="28"/>
  <c r="L22" i="28"/>
  <c r="H22" i="28"/>
  <c r="S21" i="28"/>
  <c r="O21" i="28"/>
  <c r="Y26" i="28" s="1"/>
  <c r="N21" i="28"/>
  <c r="L21" i="28"/>
  <c r="H21" i="28"/>
  <c r="S20" i="28"/>
  <c r="O20" i="28"/>
  <c r="Y25" i="28" s="1"/>
  <c r="N20" i="28"/>
  <c r="L20" i="28"/>
  <c r="H20" i="28"/>
  <c r="S19" i="28"/>
  <c r="T19" i="28" s="1"/>
  <c r="U19" i="28" s="1"/>
  <c r="O19" i="28"/>
  <c r="Y24" i="28" s="1"/>
  <c r="N19" i="28"/>
  <c r="L19" i="28"/>
  <c r="H19" i="28"/>
  <c r="Y35" i="28" l="1"/>
  <c r="Y40" i="28"/>
  <c r="AD39" i="28"/>
  <c r="AD38" i="28"/>
  <c r="AD40" i="28" s="1"/>
  <c r="Y23" i="28"/>
  <c r="Y27" i="28"/>
  <c r="P31" i="28"/>
  <c r="P19" i="28"/>
  <c r="P34" i="28"/>
  <c r="U33" i="28"/>
  <c r="U32" i="28"/>
  <c r="U31" i="28"/>
  <c r="P32" i="28"/>
  <c r="P33" i="28"/>
  <c r="U34" i="28"/>
  <c r="T20" i="28"/>
  <c r="U20" i="28" s="1"/>
  <c r="T21" i="28"/>
  <c r="U21" i="28" s="1"/>
  <c r="P22" i="28"/>
  <c r="P21" i="28"/>
  <c r="P20" i="28"/>
  <c r="T22" i="28"/>
  <c r="U22" i="28" s="1"/>
  <c r="P14" i="23"/>
  <c r="T22" i="23"/>
  <c r="AA22" i="23"/>
  <c r="AH22" i="23"/>
  <c r="AG21" i="23"/>
  <c r="AD21" i="23"/>
  <c r="AE21" i="23" s="1"/>
  <c r="AH21" i="23" s="1"/>
  <c r="AG20" i="23"/>
  <c r="AD20" i="23"/>
  <c r="AE20" i="23" s="1"/>
  <c r="AG19" i="23"/>
  <c r="AD19" i="23"/>
  <c r="AE19" i="23" s="1"/>
  <c r="AH19" i="23" s="1"/>
  <c r="AG18" i="23"/>
  <c r="AD18" i="23"/>
  <c r="AE18" i="23" s="1"/>
  <c r="Z21" i="23"/>
  <c r="W21" i="23"/>
  <c r="X21" i="23" s="1"/>
  <c r="Z20" i="23"/>
  <c r="W20" i="23"/>
  <c r="X20" i="23" s="1"/>
  <c r="Z19" i="23"/>
  <c r="W19" i="23"/>
  <c r="X19" i="23" s="1"/>
  <c r="Z18" i="23"/>
  <c r="W18" i="23"/>
  <c r="X18" i="23" s="1"/>
  <c r="T21" i="23"/>
  <c r="T20" i="23"/>
  <c r="T19" i="23"/>
  <c r="T18" i="23"/>
  <c r="Y4" i="23"/>
  <c r="AG41" i="28" l="1"/>
  <c r="AF41" i="28"/>
  <c r="AH20" i="23"/>
  <c r="AH18" i="23"/>
  <c r="AA21" i="23"/>
  <c r="AA20" i="23"/>
  <c r="AA19" i="23"/>
  <c r="AA18" i="23"/>
  <c r="S21" i="23" l="1"/>
  <c r="P21" i="23"/>
  <c r="Q21" i="23" s="1"/>
  <c r="S20" i="23"/>
  <c r="P20" i="23"/>
  <c r="Q20" i="23" s="1"/>
  <c r="S19" i="23"/>
  <c r="Q19" i="23"/>
  <c r="P19" i="23"/>
  <c r="S18" i="23"/>
  <c r="P18" i="23"/>
  <c r="Q18" i="23" s="1"/>
  <c r="AC21" i="23"/>
  <c r="AC20" i="23"/>
  <c r="AC19" i="23"/>
  <c r="AC18" i="23"/>
  <c r="V21" i="23"/>
  <c r="V20" i="23"/>
  <c r="V19" i="23"/>
  <c r="V18" i="23"/>
  <c r="E51" i="23" l="1"/>
  <c r="E53" i="23" s="1"/>
  <c r="E45" i="23"/>
  <c r="E47" i="23" s="1"/>
  <c r="E52" i="23"/>
  <c r="E46" i="23"/>
  <c r="D53" i="23"/>
  <c r="H54" i="23" l="1"/>
  <c r="G54" i="23"/>
  <c r="O13" i="26"/>
  <c r="O12" i="26"/>
  <c r="O11" i="26"/>
  <c r="O10" i="26"/>
  <c r="S13" i="26"/>
  <c r="N13" i="26"/>
  <c r="L13" i="26"/>
  <c r="S12" i="26"/>
  <c r="N12" i="26"/>
  <c r="L12" i="26"/>
  <c r="S11" i="26"/>
  <c r="N11" i="26"/>
  <c r="L11" i="26"/>
  <c r="S10" i="26"/>
  <c r="N10" i="26"/>
  <c r="L10" i="26"/>
  <c r="H13" i="26"/>
  <c r="H12" i="26"/>
  <c r="H11" i="26"/>
  <c r="H10" i="26"/>
  <c r="T11" i="26" l="1"/>
  <c r="U11" i="26" s="1"/>
  <c r="T13" i="26"/>
  <c r="U13" i="26" s="1"/>
  <c r="T10" i="26"/>
  <c r="U10" i="26" s="1"/>
  <c r="T12" i="26"/>
  <c r="U12" i="26" s="1"/>
  <c r="P10" i="26"/>
  <c r="P12" i="26"/>
  <c r="P13" i="26"/>
  <c r="P11" i="26"/>
  <c r="X15" i="20"/>
  <c r="W15" i="20"/>
  <c r="V15" i="20"/>
  <c r="J27" i="20" l="1"/>
  <c r="E41" i="23"/>
  <c r="E39" i="23"/>
  <c r="E40" i="23"/>
  <c r="O21" i="23"/>
  <c r="O20" i="23"/>
  <c r="O19" i="23"/>
  <c r="O18" i="23"/>
  <c r="E33" i="23"/>
  <c r="E35" i="23" s="1"/>
  <c r="E34" i="23"/>
  <c r="D47" i="23"/>
  <c r="D41" i="23"/>
  <c r="H48" i="23" l="1"/>
  <c r="G48" i="23"/>
  <c r="H42" i="23"/>
  <c r="G42" i="23"/>
  <c r="H36" i="23"/>
  <c r="G36" i="23"/>
  <c r="X14" i="20"/>
  <c r="X13" i="20"/>
  <c r="X12" i="20"/>
  <c r="X11" i="20"/>
  <c r="X10" i="20"/>
  <c r="J21" i="23" l="1"/>
  <c r="G21" i="23"/>
  <c r="H21" i="23" s="1"/>
  <c r="J20" i="23"/>
  <c r="G20" i="23"/>
  <c r="H20" i="23" s="1"/>
  <c r="J19" i="23"/>
  <c r="G19" i="23"/>
  <c r="H19" i="23" s="1"/>
  <c r="J18" i="23"/>
  <c r="G18" i="23"/>
  <c r="H18" i="23" s="1"/>
  <c r="N13" i="23"/>
  <c r="N12" i="23"/>
  <c r="N11" i="23"/>
  <c r="N10" i="23"/>
  <c r="N23" i="20"/>
  <c r="N14" i="20"/>
  <c r="N13" i="20"/>
  <c r="N12" i="20"/>
  <c r="N11" i="20"/>
  <c r="N15" i="20"/>
  <c r="N16" i="20"/>
  <c r="N17" i="20"/>
  <c r="N18" i="20"/>
  <c r="N19" i="20"/>
  <c r="N20" i="20"/>
  <c r="N21" i="20"/>
  <c r="N22" i="20"/>
  <c r="N10" i="20"/>
  <c r="S13" i="23" l="1"/>
  <c r="R13" i="23"/>
  <c r="O13" i="23"/>
  <c r="J13" i="23"/>
  <c r="K13" i="23" s="1"/>
  <c r="L13" i="23" s="1"/>
  <c r="H13" i="23"/>
  <c r="S12" i="23"/>
  <c r="R12" i="23"/>
  <c r="O12" i="23"/>
  <c r="J12" i="23"/>
  <c r="K12" i="23" s="1"/>
  <c r="L12" i="23" s="1"/>
  <c r="H12" i="23"/>
  <c r="S11" i="23"/>
  <c r="R11" i="23"/>
  <c r="O11" i="23"/>
  <c r="H11" i="23"/>
  <c r="S10" i="23"/>
  <c r="R10" i="23"/>
  <c r="O10" i="23"/>
  <c r="H10" i="23"/>
  <c r="P12" i="23" l="1"/>
  <c r="P13" i="23"/>
  <c r="T10" i="23"/>
  <c r="U10" i="23" s="1"/>
  <c r="T11" i="23"/>
  <c r="U11" i="23" s="1"/>
  <c r="T12" i="23"/>
  <c r="U12" i="23" s="1"/>
  <c r="T13" i="23"/>
  <c r="U13" i="23" s="1"/>
  <c r="J10" i="23"/>
  <c r="K10" i="23" s="1"/>
  <c r="L10" i="23" s="1"/>
  <c r="P10" i="23" s="1"/>
  <c r="J11" i="23"/>
  <c r="K11" i="23" s="1"/>
  <c r="L11" i="23" s="1"/>
  <c r="P11" i="23" s="1"/>
  <c r="J25" i="20"/>
  <c r="J23" i="20"/>
  <c r="K23" i="20" s="1"/>
  <c r="J22" i="20"/>
  <c r="J21" i="20"/>
  <c r="K21" i="20" s="1"/>
  <c r="J20" i="20"/>
  <c r="K20" i="20" s="1"/>
  <c r="J19" i="20"/>
  <c r="K19" i="20" s="1"/>
  <c r="J18" i="20"/>
  <c r="K18" i="20" s="1"/>
  <c r="J17" i="20"/>
  <c r="K17" i="20" s="1"/>
  <c r="J16" i="20"/>
  <c r="K16" i="20" s="1"/>
  <c r="J15" i="20"/>
  <c r="K15" i="20" s="1"/>
  <c r="J14" i="20"/>
  <c r="K14" i="20" s="1"/>
  <c r="J13" i="20"/>
  <c r="K13" i="20" s="1"/>
  <c r="J12" i="20"/>
  <c r="K12" i="20" s="1"/>
  <c r="AC15" i="20"/>
  <c r="I11" i="20" s="1"/>
  <c r="J11" i="20" s="1"/>
  <c r="K11" i="20" s="1"/>
  <c r="AC12" i="20"/>
  <c r="I10" i="20" s="1"/>
  <c r="J10" i="20" s="1"/>
  <c r="K10" i="20" s="1"/>
  <c r="L10" i="20" s="1"/>
  <c r="K22" i="20" l="1"/>
  <c r="N10" i="18"/>
  <c r="O10" i="18"/>
  <c r="M14" i="18"/>
  <c r="M15" i="18"/>
  <c r="R10" i="18"/>
  <c r="R11" i="18"/>
  <c r="R12" i="18"/>
  <c r="R13" i="18"/>
  <c r="R16" i="18"/>
  <c r="R18" i="18"/>
  <c r="H41" i="18"/>
  <c r="J41" i="18"/>
  <c r="K41" i="18"/>
  <c r="M41" i="18"/>
  <c r="N41" i="18" s="1"/>
  <c r="H42" i="18"/>
  <c r="J42" i="18"/>
  <c r="K42" i="18"/>
  <c r="M42" i="18"/>
  <c r="H43" i="18"/>
  <c r="J43" i="18"/>
  <c r="K43" i="18"/>
  <c r="M43" i="18"/>
  <c r="N43" i="18"/>
  <c r="H44" i="18"/>
  <c r="J44" i="18"/>
  <c r="K44" i="18"/>
  <c r="M44" i="18"/>
  <c r="N44" i="18" s="1"/>
  <c r="H45" i="18"/>
  <c r="J45" i="18"/>
  <c r="K45" i="18"/>
  <c r="M45" i="18"/>
  <c r="H46" i="18"/>
  <c r="J46" i="18"/>
  <c r="K46" i="18"/>
  <c r="N46" i="18" s="1"/>
  <c r="M46" i="18"/>
  <c r="N42" i="18" l="1"/>
  <c r="N45" i="18"/>
  <c r="L11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S25" i="20"/>
  <c r="S23" i="20"/>
  <c r="R23" i="20"/>
  <c r="L23" i="20"/>
  <c r="P23" i="20" s="1"/>
  <c r="H23" i="20"/>
  <c r="S22" i="20"/>
  <c r="R22" i="20"/>
  <c r="L22" i="20"/>
  <c r="P22" i="20" s="1"/>
  <c r="H22" i="20"/>
  <c r="S21" i="20"/>
  <c r="R21" i="20"/>
  <c r="L21" i="20"/>
  <c r="H21" i="20"/>
  <c r="S20" i="20"/>
  <c r="R20" i="20"/>
  <c r="L20" i="20"/>
  <c r="P20" i="20" s="1"/>
  <c r="H20" i="20"/>
  <c r="S19" i="20"/>
  <c r="R19" i="20"/>
  <c r="L19" i="20"/>
  <c r="H19" i="20"/>
  <c r="S18" i="20"/>
  <c r="R18" i="20"/>
  <c r="L18" i="20"/>
  <c r="P18" i="20" s="1"/>
  <c r="H18" i="20"/>
  <c r="S17" i="20"/>
  <c r="R17" i="20"/>
  <c r="L17" i="20"/>
  <c r="P17" i="20" s="1"/>
  <c r="H17" i="20"/>
  <c r="S16" i="20"/>
  <c r="R16" i="20"/>
  <c r="L16" i="20"/>
  <c r="P16" i="20" s="1"/>
  <c r="H16" i="20"/>
  <c r="S15" i="20"/>
  <c r="R15" i="20"/>
  <c r="L15" i="20"/>
  <c r="P15" i="20" s="1"/>
  <c r="H15" i="20"/>
  <c r="S14" i="20"/>
  <c r="R14" i="20"/>
  <c r="L14" i="20"/>
  <c r="P14" i="20" s="1"/>
  <c r="H14" i="20"/>
  <c r="S13" i="20"/>
  <c r="R13" i="20"/>
  <c r="L13" i="20"/>
  <c r="H13" i="20"/>
  <c r="S12" i="20"/>
  <c r="R12" i="20"/>
  <c r="L12" i="20"/>
  <c r="P12" i="20" s="1"/>
  <c r="H12" i="20"/>
  <c r="S11" i="20"/>
  <c r="R11" i="20"/>
  <c r="H11" i="20"/>
  <c r="S10" i="20"/>
  <c r="R10" i="20"/>
  <c r="O10" i="20"/>
  <c r="P10" i="20" s="1"/>
  <c r="H10" i="20"/>
  <c r="P13" i="20" l="1"/>
  <c r="P19" i="20"/>
  <c r="P11" i="20"/>
  <c r="P33" i="20" s="1"/>
  <c r="P35" i="20" s="1"/>
  <c r="P21" i="20"/>
  <c r="T10" i="20"/>
  <c r="U10" i="20" s="1"/>
  <c r="T13" i="20"/>
  <c r="U13" i="20" s="1"/>
  <c r="T17" i="20"/>
  <c r="U17" i="20" s="1"/>
  <c r="T19" i="20"/>
  <c r="U19" i="20" s="1"/>
  <c r="T12" i="20"/>
  <c r="U12" i="20" s="1"/>
  <c r="T18" i="20"/>
  <c r="U18" i="20" s="1"/>
  <c r="T20" i="20"/>
  <c r="U20" i="20" s="1"/>
  <c r="T14" i="20"/>
  <c r="U14" i="20" s="1"/>
  <c r="T16" i="20"/>
  <c r="U16" i="20" s="1"/>
  <c r="T21" i="20"/>
  <c r="U21" i="20" s="1"/>
  <c r="T23" i="20"/>
  <c r="U23" i="20" s="1"/>
  <c r="T25" i="20"/>
  <c r="U25" i="20" s="1"/>
  <c r="T11" i="20"/>
  <c r="U11" i="20" s="1"/>
  <c r="T15" i="20"/>
  <c r="U15" i="20" s="1"/>
  <c r="T22" i="20"/>
  <c r="U22" i="20" s="1"/>
  <c r="W26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V26" i="18"/>
  <c r="V24" i="18"/>
  <c r="V23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P34" i="20" l="1"/>
  <c r="X17" i="18"/>
  <c r="X26" i="18"/>
  <c r="X10" i="18"/>
  <c r="X18" i="18"/>
  <c r="X11" i="18"/>
  <c r="X19" i="18"/>
  <c r="X12" i="18"/>
  <c r="X13" i="18"/>
  <c r="X21" i="18"/>
  <c r="X14" i="18"/>
  <c r="X22" i="18"/>
  <c r="X20" i="18"/>
  <c r="X15" i="18"/>
  <c r="X23" i="18"/>
  <c r="X16" i="18"/>
  <c r="X24" i="18"/>
  <c r="H26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S36" i="20" l="1"/>
  <c r="R36" i="20"/>
  <c r="J26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</calcChain>
</file>

<file path=xl/sharedStrings.xml><?xml version="1.0" encoding="utf-8"?>
<sst xmlns="http://schemas.openxmlformats.org/spreadsheetml/2006/main" count="1577" uniqueCount="348">
  <si>
    <t>(mL)</t>
  </si>
  <si>
    <t>MnO2(s)</t>
  </si>
  <si>
    <t>(g/L)</t>
  </si>
  <si>
    <t>DIW</t>
  </si>
  <si>
    <t>(%)</t>
  </si>
  <si>
    <t>(g)</t>
  </si>
  <si>
    <t>Reactor</t>
  </si>
  <si>
    <t>1a</t>
  </si>
  <si>
    <t>2a</t>
  </si>
  <si>
    <t>Average</t>
  </si>
  <si>
    <t>Initial</t>
  </si>
  <si>
    <t>(mg/L)</t>
  </si>
  <si>
    <t>Mass</t>
  </si>
  <si>
    <t>(mg)</t>
  </si>
  <si>
    <t xml:space="preserve">Time </t>
  </si>
  <si>
    <t>Avg.</t>
  </si>
  <si>
    <t>Pyrolusite</t>
  </si>
  <si>
    <t>[HA] as N</t>
  </si>
  <si>
    <t>100 g/L Hydroxylamine Hydrochloride stock solution used in the Phenanthroline method will be used. ‎</t>
  </si>
  <si>
    <t>Total volume</t>
  </si>
  <si>
    <t>soln. (mL)</t>
  </si>
  <si>
    <t>Vol. HA</t>
  </si>
  <si>
    <t>N2O</t>
  </si>
  <si>
    <t>(ppm)</t>
  </si>
  <si>
    <t>Final</t>
  </si>
  <si>
    <t xml:space="preserve">Final </t>
  </si>
  <si>
    <t>mass N</t>
  </si>
  <si>
    <r>
      <t>(mg/m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</si>
  <si>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t>Nitrite</t>
  </si>
  <si>
    <t>Mass N</t>
  </si>
  <si>
    <t>N2O (as N)</t>
  </si>
  <si>
    <t>Balance</t>
  </si>
  <si>
    <t>Final*</t>
  </si>
  <si>
    <t>Nitrate</t>
  </si>
  <si>
    <t>Final**</t>
  </si>
  <si>
    <t xml:space="preserve">NH2OH-HCl  ‎69.49 g/mol (20.14 g/L as N); make 300 mL HA solution using the HA stock solution. pH adjustment. </t>
  </si>
  <si>
    <t>[NO2-] (as N)</t>
  </si>
  <si>
    <t>[NO3-] (as N)</t>
  </si>
  <si>
    <t>[N2O](g)</t>
  </si>
  <si>
    <t>Time</t>
  </si>
  <si>
    <t>actual</t>
  </si>
  <si>
    <t>(see spreadsheet)</t>
  </si>
  <si>
    <t>Final***</t>
  </si>
  <si>
    <t>aqueous</t>
  </si>
  <si>
    <t>Final [N2O] (as N)</t>
  </si>
  <si>
    <t>gaseous</t>
  </si>
  <si>
    <t>Final ***</t>
  </si>
  <si>
    <t>FeOOH</t>
  </si>
  <si>
    <t xml:space="preserve">FeOOH transforms HA, but much slower than MnO2(s). So a long term expt is needed. </t>
  </si>
  <si>
    <t>The concentration of HA to make up the specific HA soln will be 50 mg/L, FeOOH will be 0.07 g.</t>
  </si>
  <si>
    <t>Date</t>
  </si>
  <si>
    <t>Start</t>
  </si>
  <si>
    <t xml:space="preserve">Reactors are 60 mL serum vials because we will analyze the aq in the serum vials after N2O is analyzed. </t>
  </si>
  <si>
    <t>Control</t>
  </si>
  <si>
    <t>Unfiltered</t>
  </si>
  <si>
    <t>(Filtered)</t>
  </si>
  <si>
    <t>Time of</t>
  </si>
  <si>
    <t>Analysis</t>
  </si>
  <si>
    <t>on Dec. 2, 2016</t>
  </si>
  <si>
    <t xml:space="preserve">Unique </t>
  </si>
  <si>
    <t>Unique</t>
  </si>
  <si>
    <t>(days)</t>
  </si>
  <si>
    <t>Difference</t>
  </si>
  <si>
    <t>A</t>
  </si>
  <si>
    <t>B</t>
  </si>
  <si>
    <t>C</t>
  </si>
  <si>
    <t>D</t>
  </si>
  <si>
    <t>E</t>
  </si>
  <si>
    <t>F</t>
  </si>
  <si>
    <t xml:space="preserve">MnO2(s) </t>
  </si>
  <si>
    <t>The concentration of HA to make up the specific HA soln will be 100 g/L, MnO2(s) pyrolusite will be 0.07 g.</t>
  </si>
  <si>
    <t>control</t>
  </si>
  <si>
    <t>1b</t>
  </si>
  <si>
    <t>1c</t>
  </si>
  <si>
    <t>2b</t>
  </si>
  <si>
    <t>2c</t>
  </si>
  <si>
    <t>(hours)</t>
  </si>
  <si>
    <t>(ppb)</t>
  </si>
  <si>
    <t>Reactors are 60 mL serum vials, analyze the headspace for N2O, decap and allow to degas for 1, 3, 5, 7 hours. Then analyze the next day.</t>
  </si>
  <si>
    <t>Degass data and information</t>
  </si>
  <si>
    <t>Analyze date/time</t>
  </si>
  <si>
    <t>Degas time</t>
  </si>
  <si>
    <t>(hrs)</t>
  </si>
  <si>
    <t>Reactors are 60.9 mL serum vials, analyze the headspace for N2O, in reverse order to capture N2O production</t>
  </si>
  <si>
    <t>Final [N2O]</t>
  </si>
  <si>
    <t>(mg/L) (as N)</t>
  </si>
  <si>
    <t>NO2-, NO3-(as N)</t>
  </si>
  <si>
    <t>* Calculate 95% CI</t>
  </si>
  <si>
    <t>St. Dev</t>
  </si>
  <si>
    <t>Std. Error = t0.05 (SD) / n^1/2</t>
  </si>
  <si>
    <t>95% CI = Avg +/- SE</t>
  </si>
  <si>
    <t>t0.05 = n-1 degrees of freedom = 4</t>
  </si>
  <si>
    <t>Standar Error</t>
  </si>
  <si>
    <t>n=</t>
  </si>
  <si>
    <t>95% CI</t>
  </si>
  <si>
    <t>degass time</t>
  </si>
  <si>
    <t>(hr)</t>
  </si>
  <si>
    <t>Total degas</t>
  </si>
  <si>
    <t xml:space="preserve">time </t>
  </si>
  <si>
    <t>Final [N2O](g)</t>
  </si>
  <si>
    <t>ppm</t>
  </si>
  <si>
    <t>* Calculate 95% CI of N2O - 1st application</t>
  </si>
  <si>
    <t>* Calculate 95% CI of N2O - 2nd application</t>
  </si>
  <si>
    <t>* Calculate 95% CI of N2O - 3rd application</t>
  </si>
  <si>
    <t>t0.05 = n-1 degrees of freedom = 3</t>
  </si>
  <si>
    <t>2nd HA application results</t>
  </si>
  <si>
    <t>corrected</t>
  </si>
  <si>
    <t>avg</t>
  </si>
  <si>
    <t xml:space="preserve">The concentration of nitrate stock solution to make up will be 20.15 g/L nitrate (as N), the initial nitrate (as N) will be 50 mg/L. </t>
  </si>
  <si>
    <t>Vol. NO3-</t>
  </si>
  <si>
    <t>NaNO3 = 84.99 g/mol; make up 0.2 L stock solution 122.3 g/L NaNO3 (20.15 g/L as N)</t>
  </si>
  <si>
    <t>Make up 0.3 L; 20.15 g/L NO3- (as N) x mL = 0.3 L 50 mg/L; x = 0.744 mL</t>
  </si>
  <si>
    <t>target</t>
  </si>
  <si>
    <t>[NO3-] as N</t>
  </si>
  <si>
    <t xml:space="preserve">Measure N2O 24 hours after NO3- added to the MnO2(s) pyrolusite. </t>
  </si>
  <si>
    <t>3rd HA application results</t>
  </si>
  <si>
    <t>4th HA application results</t>
  </si>
  <si>
    <t>* Calculate 95% CI of N2O - 4th application</t>
  </si>
  <si>
    <t>Hydroxylamine Applications</t>
  </si>
  <si>
    <t>pH</t>
  </si>
  <si>
    <t>Volume HA mL added</t>
  </si>
  <si>
    <t>Initial Mass of N in HA from the 2nd-4th applications</t>
  </si>
  <si>
    <t>[HA] (as N)</t>
  </si>
  <si>
    <t>added (mg)</t>
  </si>
  <si>
    <t>Avg. N recovery in N2O</t>
  </si>
  <si>
    <t>NaNO2 = 69 g/mol; make up 0.1 L stock solution 99.31 g/L NaNO2 (20.15 g/L as N) is made by adding 9.931 g NaNO2 to 0.1 L</t>
  </si>
  <si>
    <t>Make up 0.3 L; 20.15 g/L NaNO2- (as N) x mL = 0.3 L 50 mg/L; x = 0.744 mL</t>
  </si>
  <si>
    <t xml:space="preserve">Measure N2O 24 hours after NO2- added to the MnO2(s) pyrolusite. </t>
  </si>
  <si>
    <t>Vol. NO2-</t>
  </si>
  <si>
    <t>FeOOH(s)</t>
  </si>
  <si>
    <t xml:space="preserve">FeOOH(s) </t>
  </si>
  <si>
    <t>[NO2-] as N</t>
  </si>
  <si>
    <t>Mn+2 soln</t>
  </si>
  <si>
    <t>NaNO3 = 84.99 g/mol; make up 0.1 L stock solution 122.3 g/L NaNO3 (20.15 g/L as N) (dissolve 12.23 g NaNO3/0.1L DI)</t>
  </si>
  <si>
    <t>Stock*</t>
  </si>
  <si>
    <t>Vol. DI</t>
  </si>
  <si>
    <t>* the 50 mg/L NO3- (as N) stock soln = 3.57 mmol/L NO3- (as N)</t>
  </si>
  <si>
    <t xml:space="preserve">** the stock [Mn+2] soln is 250 mmol/L; when diluted 0.5/36.5, 1.0/36.5, and 1.5/36.5 = 3.42, 6.85, and 10.3 mmol/L respectively. </t>
  </si>
  <si>
    <t>Vol.**</t>
  </si>
  <si>
    <t xml:space="preserve">Measure N2O &gt; 5 days after NO3- added to the FeOOH (the FeOOH rxn is slow - see FeOOH N2O production chart) </t>
  </si>
  <si>
    <t xml:space="preserve">Measure N2O &gt; 5 days after NO2- added to FeOOH (FeOOH rxn is slow, see FeOOH N2O production chart). </t>
  </si>
  <si>
    <t xml:space="preserve"> Mn+2 / N</t>
  </si>
  <si>
    <t>mmol/mmol</t>
  </si>
  <si>
    <t>MnSO4H2O=169.01 g/mol; make 10 mL stock solution 250 mmol Mn+2/L; dil 1.5 mL/36.5 mL for 10.3 mmol/L Mn+2 (3x NO3- as N)</t>
  </si>
  <si>
    <t xml:space="preserve">NaNO3 = 84.99 g/mol; make up 0.1 L stock solution 122.3 g/L NaNO3 (20.15 g/L as N) (dissolve 12.23 g NaNO3/0.1L DI) </t>
  </si>
  <si>
    <t xml:space="preserve">In the rxn, 1 mole of Mn+2 reacts with 1 mole of NO3-, so make up a Mn+2 soln so 1x, 2x, and 3x mol Mn+2 / mol NO3- </t>
  </si>
  <si>
    <t>Overall</t>
  </si>
  <si>
    <t>fraction of N found</t>
  </si>
  <si>
    <t>as N2O</t>
  </si>
  <si>
    <t>avg.</t>
  </si>
  <si>
    <t>average</t>
  </si>
  <si>
    <t>percent</t>
  </si>
  <si>
    <t>recovery</t>
  </si>
  <si>
    <t>1st 2 reactors</t>
  </si>
  <si>
    <t>Fraction</t>
  </si>
  <si>
    <t>attributed</t>
  </si>
  <si>
    <t>to</t>
  </si>
  <si>
    <t>Initial NO3- stock concentration (mg/L as N)</t>
  </si>
  <si>
    <t>NO3- A1</t>
  </si>
  <si>
    <t>NO3- A2</t>
  </si>
  <si>
    <t>NO3- A3</t>
  </si>
  <si>
    <t>t0.05 = n-1 degrees of freedom = 2</t>
  </si>
  <si>
    <t>NO3- B1</t>
  </si>
  <si>
    <t>NO3- B2</t>
  </si>
  <si>
    <t>NO3- B3</t>
  </si>
  <si>
    <t>Initial NO2- stock concentration (mg/L as N)</t>
  </si>
  <si>
    <t>NO2- 1</t>
  </si>
  <si>
    <t>NO2- 2</t>
  </si>
  <si>
    <t>NO2- 3</t>
  </si>
  <si>
    <t>Percent recovery</t>
  </si>
  <si>
    <t>* Calculate 95% CI of final NO3- concentration</t>
  </si>
  <si>
    <t>* Calculate 95% CI of initial NO3- concentration</t>
  </si>
  <si>
    <t>* Calculate 95% CI of initial NO2- concentration</t>
  </si>
  <si>
    <t>* Calculate 95% CI of final NO2- concentration</t>
  </si>
  <si>
    <t>* Calculate 95% CI of Percent Reovery.</t>
  </si>
  <si>
    <t>as NO2-, NO3-</t>
  </si>
  <si>
    <t>Total N</t>
  </si>
  <si>
    <t xml:space="preserve">fraction </t>
  </si>
  <si>
    <t>to NO2- + NO3-</t>
  </si>
  <si>
    <t>Total Nitrogen</t>
  </si>
  <si>
    <t>Sample type</t>
  </si>
  <si>
    <t>Sample description</t>
  </si>
  <si>
    <t>Surface</t>
  </si>
  <si>
    <t>Area (m2/g)</t>
  </si>
  <si>
    <t>Amorphous MnO2(s)</t>
  </si>
  <si>
    <t>NaMnO4 + H2O2</t>
  </si>
  <si>
    <t>Pyrolusite MnO2(s)</t>
  </si>
  <si>
    <t>Butte, MT</t>
  </si>
  <si>
    <t>Sieve size # 140</t>
  </si>
  <si>
    <t>&lt; 105 mm, &lt; 0.0041 in</t>
  </si>
  <si>
    <t>Goethite FeOOH(s)</t>
  </si>
  <si>
    <t xml:space="preserve">S.D. </t>
  </si>
  <si>
    <t xml:space="preserve">S.E. </t>
  </si>
  <si>
    <t>t0.05</t>
  </si>
  <si>
    <t xml:space="preserve">95% C.I. </t>
  </si>
  <si>
    <t>n</t>
  </si>
  <si>
    <t>(n-1)</t>
  </si>
  <si>
    <t>Freedom</t>
  </si>
  <si>
    <t>Degrees of</t>
  </si>
  <si>
    <t xml:space="preserve">t-values </t>
  </si>
  <si>
    <t>(two tail)</t>
  </si>
  <si>
    <t>Standard t-table 0.05 level of significance</t>
  </si>
  <si>
    <t xml:space="preserve">Surface area results for samples analyzed using Quantachrome 4200e </t>
  </si>
  <si>
    <t>95% C.I. calculated using the standard error; Standard error = t0.5 x SD / n^0.5</t>
  </si>
  <si>
    <t>(t0.5)</t>
  </si>
  <si>
    <t>t-value parameter used in 95% CI calculation</t>
  </si>
  <si>
    <t>The concentration of HA stock  solution will be 100 g/L (20.14 g/L as N), but will be diluted to 50 mg/L as N, mineral content will be 0.07 g.</t>
  </si>
  <si>
    <t>MP1 - MP5</t>
  </si>
  <si>
    <t>MA1 - MA5</t>
  </si>
  <si>
    <t>Sample nomenclature - MP = manganese pyrolusite, MA = manganese amorphous, FG = iron goethite, FF = iron ferrihydrite</t>
  </si>
  <si>
    <t>FG1 - FG5</t>
  </si>
  <si>
    <t>FF1 - FF5</t>
  </si>
  <si>
    <t>FG6 - FG10</t>
  </si>
  <si>
    <t>FF6 - FF10</t>
  </si>
  <si>
    <t>FG11 - FG15</t>
  </si>
  <si>
    <t>FF11 - FF15</t>
  </si>
  <si>
    <t>* Calculate 95% CI of N2O - MP1-MP5</t>
  </si>
  <si>
    <t>* Calculate 95% CI of N2O - FG1-FG5</t>
  </si>
  <si>
    <t>* Calculate 95% CI of N2O - FF1-FF5</t>
  </si>
  <si>
    <t>Test Condition</t>
  </si>
  <si>
    <t>N2O - 1</t>
  </si>
  <si>
    <t>N2O - 2</t>
  </si>
  <si>
    <t>N2O - 3</t>
  </si>
  <si>
    <t>N2O - 4</t>
  </si>
  <si>
    <t>N2O - 5</t>
  </si>
  <si>
    <t>N2O - avg</t>
  </si>
  <si>
    <t>* Calculate 95% CI of N2O - FG6-FG10</t>
  </si>
  <si>
    <t>* Calculate 95% CI of N2O - FF6-FF10</t>
  </si>
  <si>
    <t>* Calculate 95% CI of N2O - FG11-FG15</t>
  </si>
  <si>
    <t>* Calculate 95% CI of N2O - FF11-FF15</t>
  </si>
  <si>
    <t>Calculate avg N2O</t>
  </si>
  <si>
    <t>Calculate avg NO2-</t>
  </si>
  <si>
    <t>NO2- - 1</t>
  </si>
  <si>
    <t>NO2- - 2</t>
  </si>
  <si>
    <t>NO2- - 3</t>
  </si>
  <si>
    <t>NO2- - 4</t>
  </si>
  <si>
    <t>NO2- - 5</t>
  </si>
  <si>
    <t>Calculate avg NO3-</t>
  </si>
  <si>
    <t>NO3- - 1</t>
  </si>
  <si>
    <t>NO3- - 2</t>
  </si>
  <si>
    <t>NO3- - 3</t>
  </si>
  <si>
    <t>NO3- - 4</t>
  </si>
  <si>
    <t>NO3- - 5</t>
  </si>
  <si>
    <t>NO3- - avg</t>
  </si>
  <si>
    <t>NO2- - avg</t>
  </si>
  <si>
    <t>pH - avg</t>
  </si>
  <si>
    <t>day 1</t>
  </si>
  <si>
    <t>day 4</t>
  </si>
  <si>
    <t>day 10</t>
  </si>
  <si>
    <t>Calculate avg pH</t>
  </si>
  <si>
    <t>* Calculate 95% CI of N2O - MA1-MA5</t>
  </si>
  <si>
    <t>* Calculate 95% CI of NO2- - MP1-MP5</t>
  </si>
  <si>
    <t>pH - 1</t>
  </si>
  <si>
    <t>pH - 2</t>
  </si>
  <si>
    <t>pH - 3</t>
  </si>
  <si>
    <t>pH - 4</t>
  </si>
  <si>
    <t>pH - 5</t>
  </si>
  <si>
    <t>* Calculate 95% CI of NO2- - MA1-MA5</t>
  </si>
  <si>
    <t>* Calculate 95% CI of NO2- - FG1-FG5</t>
  </si>
  <si>
    <t>* Calculate 95% CI of NO2- - FF1-FF5</t>
  </si>
  <si>
    <t>* Calculate 95% CI of NO2- - FG6-FG10</t>
  </si>
  <si>
    <t>* Calculate 95% CI of NO2- - FF6-FF10</t>
  </si>
  <si>
    <t>* Calculate 95% CI of NO2 - FG11-FG15</t>
  </si>
  <si>
    <t>* Calculate 95% CI of NO2 - FF11-FF15</t>
  </si>
  <si>
    <t>* Calculate 95% CI of NO3- - MA1-MA5</t>
  </si>
  <si>
    <t>* Calculate 95% CI of NO3- - FG1-FG5</t>
  </si>
  <si>
    <t>* Calculate 95% CI of NO3- - FF1-FF5</t>
  </si>
  <si>
    <t>* Calculate 95% CI of NO3- - FG6-FG10</t>
  </si>
  <si>
    <t>* Calculate 95% CI of NO3- - FF6-FF10</t>
  </si>
  <si>
    <t>* Calculate 95% CI of NO3 - FG11-FG15</t>
  </si>
  <si>
    <t>* Calculate 95% CI of NO3 - FF11-FF15</t>
  </si>
  <si>
    <t>* Calculate 95% CI of pH MP1-MP5</t>
  </si>
  <si>
    <t>* Calculate 95% CI of pH MA1-MA5</t>
  </si>
  <si>
    <t>* Calculate 95% CI of pH FG1-FG5</t>
  </si>
  <si>
    <t>* Calculate 95% CI of pH FF1-FF5</t>
  </si>
  <si>
    <t>* Calculate 95% CI of pH FG6-FG10</t>
  </si>
  <si>
    <t>* Calculate 95% CI of pH FF6-FF10</t>
  </si>
  <si>
    <t>* Calculate 95% CI of pH FG11-FG15</t>
  </si>
  <si>
    <t>* Calculate 95% CI of pH FF11-FF15</t>
  </si>
  <si>
    <t>Avg recovery</t>
  </si>
  <si>
    <t>in N2O</t>
  </si>
  <si>
    <t>(as N)</t>
  </si>
  <si>
    <t>N2O as N</t>
  </si>
  <si>
    <t>nitrite as N</t>
  </si>
  <si>
    <t>nitrate as N</t>
  </si>
  <si>
    <t>Avg. N2O</t>
  </si>
  <si>
    <t>Recovery</t>
  </si>
  <si>
    <t>Avg. NO2- + NO3-</t>
  </si>
  <si>
    <t>Avg. Total</t>
  </si>
  <si>
    <t>Nitrogen</t>
  </si>
  <si>
    <t>* Calculate 95% CI of NO3- - MP1-MP5</t>
  </si>
  <si>
    <t>Avg. NO2-</t>
  </si>
  <si>
    <t>Avg. NO3-</t>
  </si>
  <si>
    <r>
      <t>N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O(g)</t>
    </r>
  </si>
  <si>
    <r>
      <t>NO</t>
    </r>
    <r>
      <rPr>
        <b/>
        <vertAlign val="subscript"/>
        <sz val="11"/>
        <rFont val="Calibri"/>
        <family val="2"/>
        <scheme val="minor"/>
      </rPr>
      <t>2</t>
    </r>
    <r>
      <rPr>
        <b/>
        <vertAlign val="superscript"/>
        <sz val="11"/>
        <rFont val="Calibri"/>
        <family val="2"/>
        <scheme val="minor"/>
      </rPr>
      <t>-</t>
    </r>
  </si>
  <si>
    <r>
      <t>NO</t>
    </r>
    <r>
      <rPr>
        <b/>
        <vertAlign val="subscript"/>
        <sz val="11"/>
        <rFont val="Calibri"/>
        <family val="2"/>
        <scheme val="minor"/>
      </rPr>
      <t>3</t>
    </r>
    <r>
      <rPr>
        <b/>
        <vertAlign val="superscript"/>
        <sz val="11"/>
        <rFont val="Calibri"/>
        <family val="2"/>
        <scheme val="minor"/>
      </rPr>
      <t>-</t>
    </r>
  </si>
  <si>
    <t xml:space="preserve">FeOOH(s) - Amorphous Ferrihydrite </t>
  </si>
  <si>
    <t>Nitrous Oxide</t>
  </si>
  <si>
    <t>Initial pH</t>
  </si>
  <si>
    <t xml:space="preserve">in DIW </t>
  </si>
  <si>
    <t>Hydroxylamine</t>
  </si>
  <si>
    <t>pKa = 5.9,</t>
  </si>
  <si>
    <t>Day</t>
  </si>
  <si>
    <t>1.4925e61.5564e6</t>
  </si>
  <si>
    <t>Ferrihydrite (made in lab 10)</t>
  </si>
  <si>
    <t>Iron</t>
  </si>
  <si>
    <t>Manganese</t>
  </si>
  <si>
    <r>
      <t>Amorphous MnO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(s)</t>
    </r>
  </si>
  <si>
    <t xml:space="preserve"> (made 5/15/17, batch 3)</t>
  </si>
  <si>
    <t>Goethite</t>
  </si>
  <si>
    <t xml:space="preserve">Calculate the 95% CI of the Pyrolusite and Goethite from both data sets. </t>
  </si>
  <si>
    <t>Amorphous-FeOOH(s)</t>
  </si>
  <si>
    <t>Ferrihydrite/Goethite</t>
  </si>
  <si>
    <t>made on 10/30/2017</t>
  </si>
  <si>
    <t>Amorph-MnO2(s)</t>
  </si>
  <si>
    <t>Amorph-FeOOH(s)</t>
  </si>
  <si>
    <t>am.-MnO2</t>
  </si>
  <si>
    <t>am.-FeOOH</t>
  </si>
  <si>
    <t>pyrol.</t>
  </si>
  <si>
    <t>goethite</t>
  </si>
  <si>
    <t>This is the final expt involving Mn and Fe minerals (0.07 g) catalyzing NH2OH (35 mL) reaction and producing N2O(g) from the 60 mL vial reactors.</t>
  </si>
  <si>
    <t>Metals data from ICP OES analyses</t>
  </si>
  <si>
    <t>EDX results</t>
  </si>
  <si>
    <t xml:space="preserve">Measure N2O 24 hours after Mn+2 solution is added to the NO3- solution. </t>
  </si>
  <si>
    <t xml:space="preserve">Make up 0.3 L; 20.15 g/L NO3- (as N) x mL = 0.3 L 50 mg/L; x = 0.744 mL </t>
  </si>
  <si>
    <t>Expt 12</t>
  </si>
  <si>
    <t>Expt 14 - Define the rate of N2O formation from MnO2(s) (pyrolusite) + HA</t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</si>
  <si>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O(g) +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O(aq)</t>
    </r>
  </si>
  <si>
    <r>
      <t>NO</t>
    </r>
    <r>
      <rPr>
        <vertAlign val="subscript"/>
        <sz val="11"/>
        <rFont val="Calibri"/>
        <family val="2"/>
        <scheme val="minor"/>
      </rPr>
      <t>2</t>
    </r>
    <r>
      <rPr>
        <vertAlign val="super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+ NO</t>
    </r>
    <r>
      <rPr>
        <vertAlign val="subscript"/>
        <sz val="11"/>
        <rFont val="Calibri"/>
        <family val="2"/>
        <scheme val="minor"/>
      </rPr>
      <t>3</t>
    </r>
    <r>
      <rPr>
        <vertAlign val="superscript"/>
        <sz val="11"/>
        <rFont val="Calibri"/>
        <family val="2"/>
        <scheme val="minor"/>
      </rPr>
      <t>-</t>
    </r>
  </si>
  <si>
    <t>Mass*</t>
  </si>
  <si>
    <r>
      <t>NH2OH-HCl  ‎69.49 g/mol (20.14 g/L as N); make 600 mL HA solution using the HA stock solution.</t>
    </r>
    <r>
      <rPr>
        <b/>
        <sz val="11"/>
        <rFont val="Calibri"/>
        <family val="2"/>
        <scheme val="minor"/>
      </rPr>
      <t xml:space="preserve"> </t>
    </r>
  </si>
  <si>
    <t>Expt 15</t>
  </si>
  <si>
    <t>Additional *</t>
  </si>
  <si>
    <r>
      <rPr>
        <b/>
        <sz val="11"/>
        <rFont val="Calibri"/>
        <family val="2"/>
        <scheme val="minor"/>
      </rPr>
      <t>Expt 16</t>
    </r>
    <r>
      <rPr>
        <sz val="11"/>
        <rFont val="Calibri"/>
        <family val="2"/>
        <scheme val="minor"/>
      </rPr>
      <t xml:space="preserve"> - Nitrate transformation by MnO2(s) pyrolusite. The MnO2(s) pyrolusite will be 0.07 g.</t>
    </r>
  </si>
  <si>
    <r>
      <rPr>
        <b/>
        <sz val="11"/>
        <rFont val="Calibri"/>
        <family val="2"/>
        <scheme val="minor"/>
      </rPr>
      <t>Expt 17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</si>
  <si>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A.</t>
    </r>
    <r>
      <rPr>
        <sz val="11"/>
        <rFont val="Calibri"/>
        <family val="2"/>
        <scheme val="minor"/>
      </rPr>
      <t xml:space="preserve"> The concentration of NO2- stock solution will be 20.15 g/L NO2- (as N), it will be diluted so initial NO2- (as N) will be 50 mg/L. </t>
    </r>
  </si>
  <si>
    <r>
      <rPr>
        <b/>
        <sz val="11"/>
        <rFont val="Calibri"/>
        <family val="2"/>
        <scheme val="minor"/>
      </rPr>
      <t>B.</t>
    </r>
    <r>
      <rPr>
        <sz val="11"/>
        <rFont val="Calibri"/>
        <family val="2"/>
        <scheme val="minor"/>
      </rPr>
      <t xml:space="preserve"> The concentration of NO2- stock solution will be 20.15 g/L NO2- (as N), it will be diluted so initial NO2- (as N) will be 50 mg/L. </t>
    </r>
  </si>
  <si>
    <r>
      <rPr>
        <b/>
        <sz val="11"/>
        <rFont val="Calibri"/>
        <family val="2"/>
        <scheme val="minor"/>
      </rPr>
      <t>C.</t>
    </r>
    <r>
      <rPr>
        <sz val="11"/>
        <rFont val="Calibri"/>
        <family val="2"/>
        <scheme val="minor"/>
      </rPr>
      <t xml:space="preserve"> The concentration of nitrate stock solution will be 20.15 g/L NO2- (as N), it will be diluted so the initial NO2- (as N) will be 50 mg/L. </t>
    </r>
  </si>
  <si>
    <r>
      <rPr>
        <b/>
        <sz val="11"/>
        <rFont val="Calibri"/>
        <family val="2"/>
        <scheme val="minor"/>
      </rPr>
      <t>D.</t>
    </r>
    <r>
      <rPr>
        <sz val="11"/>
        <rFont val="Calibri"/>
        <family val="2"/>
        <scheme val="minor"/>
      </rPr>
      <t xml:space="preserve"> The concentration of NO3- stock solution will be 20.15 g/L NO3- (as N), it will be diluted so the initial NO3- (as N) will be 50 mg/L. </t>
    </r>
  </si>
  <si>
    <r>
      <t>dissolve 0.424 g MnSO4H2O into 10 mL DIW; 1x, 2x, 3x Mn</t>
    </r>
    <r>
      <rPr>
        <vertAlign val="superscript"/>
        <sz val="11"/>
        <rFont val="Calibri"/>
        <family val="2"/>
        <scheme val="minor"/>
      </rPr>
      <t>+2</t>
    </r>
    <r>
      <rPr>
        <sz val="11"/>
        <rFont val="Calibri"/>
        <family val="2"/>
        <scheme val="minor"/>
      </rPr>
      <t>/N, add 1.5, 1.0, 0.5 mL Mn stock soln and 0 mL, 0.5 mL, and 1.0 mL DIW</t>
    </r>
  </si>
  <si>
    <r>
      <t>NH2OH-HCl  ‎69.49 g/mol (20.14 g/L as N); make 1500 mL HA solution using the HA stock solution.</t>
    </r>
    <r>
      <rPr>
        <b/>
        <sz val="11"/>
        <rFont val="Calibri"/>
        <family val="2"/>
        <scheme val="minor"/>
      </rPr>
      <t xml:space="preserve"> </t>
    </r>
  </si>
  <si>
    <r>
      <t xml:space="preserve">Reactors are 60 mL serum vials, analyze the headspace for N2O after </t>
    </r>
    <r>
      <rPr>
        <b/>
        <sz val="11"/>
        <rFont val="Calibri"/>
        <family val="2"/>
        <scheme val="minor"/>
      </rPr>
      <t>1 day, 4 days, and 10 days</t>
    </r>
    <r>
      <rPr>
        <sz val="11"/>
        <rFont val="Calibri"/>
        <family val="2"/>
        <scheme val="minor"/>
      </rPr>
      <t xml:space="preserve"> as indicated in the schedule.</t>
    </r>
  </si>
  <si>
    <r>
      <t>MnO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(s) Pyrolusite</t>
    </r>
  </si>
  <si>
    <r>
      <t>Amorphous-MnO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(s) </t>
    </r>
  </si>
  <si>
    <r>
      <rPr>
        <b/>
        <sz val="11"/>
        <rFont val="Calibri"/>
        <family val="2"/>
      </rPr>
      <t>α</t>
    </r>
    <r>
      <rPr>
        <b/>
        <sz val="8.8000000000000007"/>
        <rFont val="Calibri"/>
        <family val="2"/>
      </rPr>
      <t xml:space="preserve"> - </t>
    </r>
    <r>
      <rPr>
        <b/>
        <sz val="11"/>
        <rFont val="Calibri"/>
        <family val="2"/>
        <scheme val="minor"/>
      </rPr>
      <t>FeOOH(s) Goethite</t>
    </r>
  </si>
  <si>
    <r>
      <t>MnO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(s) - Pyrolusite</t>
    </r>
  </si>
  <si>
    <r>
      <t>MnO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(s) - Amorphous </t>
    </r>
  </si>
  <si>
    <r>
      <rPr>
        <b/>
        <sz val="11"/>
        <rFont val="Calibri"/>
        <family val="2"/>
      </rPr>
      <t>α</t>
    </r>
    <r>
      <rPr>
        <b/>
        <sz val="8.8000000000000007"/>
        <rFont val="Calibri"/>
        <family val="2"/>
      </rPr>
      <t xml:space="preserve"> - </t>
    </r>
    <r>
      <rPr>
        <b/>
        <sz val="11"/>
        <rFont val="Calibri"/>
        <family val="2"/>
        <scheme val="minor"/>
      </rPr>
      <t>FeOOH - Goethite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</si>
</sst>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[$-409]m/d/yy\ h:mm\ AM/PM;@"/>
    <numFmt numFmtId="168" formatCode="0.000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vertAlign val="subscript"/>
      <sz val="11"/>
      <name val="Calibri"/>
      <family val="2"/>
      <scheme val="minor"/>
    </font>
    <font>
      <vertAlign val="subscript"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7030A0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sz val="10"/>
      <color rgb="FF7030A0"/>
      <name val="Arial"/>
      <family val="2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</font>
    <font>
      <b/>
      <sz val="8.800000000000000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164" fontId="0" fillId="0" borderId="0" xfId="0" applyNumberFormat="1"/>
    <xf numFmtId="15" fontId="0" fillId="0" borderId="0" xfId="0" applyNumberFormat="1"/>
    <xf numFmtId="0" fontId="8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164" fontId="8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/>
    <xf numFmtId="2" fontId="1" fillId="0" borderId="0" xfId="0" applyNumberFormat="1" applyFont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4" fillId="2" borderId="0" xfId="0" applyFont="1" applyFill="1" applyAlignment="1">
      <alignment horizontal="center"/>
    </xf>
    <xf numFmtId="0" fontId="10" fillId="2" borderId="0" xfId="0" applyFont="1" applyFill="1"/>
    <xf numFmtId="0" fontId="16" fillId="2" borderId="0" xfId="0" applyFont="1" applyFill="1" applyAlignment="1">
      <alignment horizontal="center"/>
    </xf>
    <xf numFmtId="1" fontId="15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6" fillId="0" borderId="0" xfId="0" applyFont="1"/>
    <xf numFmtId="49" fontId="7" fillId="0" borderId="0" xfId="0" applyNumberFormat="1" applyFont="1"/>
    <xf numFmtId="165" fontId="7" fillId="0" borderId="0" xfId="0" applyNumberFormat="1" applyFont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166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0" fontId="7" fillId="0" borderId="0" xfId="0" applyFont="1" applyFill="1" applyAlignment="1">
      <alignment horizontal="left" vertical="center"/>
    </xf>
    <xf numFmtId="167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/>
    <xf numFmtId="49" fontId="7" fillId="0" borderId="0" xfId="0" applyNumberFormat="1" applyFont="1" applyFill="1"/>
    <xf numFmtId="14" fontId="7" fillId="0" borderId="0" xfId="0" applyNumberFormat="1" applyFont="1" applyFill="1" applyAlignment="1">
      <alignment horizontal="center"/>
    </xf>
    <xf numFmtId="166" fontId="6" fillId="0" borderId="0" xfId="0" applyNumberFormat="1" applyFont="1" applyFill="1"/>
    <xf numFmtId="2" fontId="7" fillId="0" borderId="0" xfId="0" applyNumberFormat="1" applyFont="1" applyFill="1"/>
    <xf numFmtId="165" fontId="6" fillId="0" borderId="0" xfId="0" applyNumberFormat="1" applyFont="1" applyFill="1" applyAlignment="1">
      <alignment horizontal="left"/>
    </xf>
    <xf numFmtId="166" fontId="7" fillId="0" borderId="0" xfId="0" applyNumberFormat="1" applyFont="1" applyFill="1"/>
    <xf numFmtId="16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left" vertical="center"/>
    </xf>
    <xf numFmtId="165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left"/>
    </xf>
    <xf numFmtId="167" fontId="7" fillId="0" borderId="0" xfId="0" applyNumberFormat="1" applyFont="1" applyFill="1" applyAlignment="1">
      <alignment horizontal="center" vertical="center"/>
    </xf>
    <xf numFmtId="2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horizontal="center"/>
    </xf>
    <xf numFmtId="1" fontId="6" fillId="0" borderId="0" xfId="0" applyNumberFormat="1" applyFont="1" applyFill="1"/>
    <xf numFmtId="1" fontId="7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/>
    <xf numFmtId="2" fontId="7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168" fontId="7" fillId="0" borderId="0" xfId="0" applyNumberFormat="1" applyFont="1" applyFill="1" applyAlignment="1">
      <alignment horizontal="center"/>
    </xf>
    <xf numFmtId="167" fontId="7" fillId="0" borderId="0" xfId="0" applyNumberFormat="1" applyFont="1" applyFill="1"/>
    <xf numFmtId="2" fontId="6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7" fillId="0" borderId="0" xfId="0" applyNumberFormat="1" applyFont="1" applyFill="1"/>
    <xf numFmtId="20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/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4" fontId="5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chartsheet" Target="chartsheets/sheet9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10" Type="http://schemas.openxmlformats.org/officeDocument/2006/relationships/worksheet" Target="worksheets/sheet3.xml"/><Relationship Id="rId19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496774395959"/>
          <c:y val="0.10900852420726015"/>
          <c:w val="0.79053643646477023"/>
          <c:h val="0.789267901566746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'Expt 25'!$X$18</c:f>
              <c:strCache>
                <c:ptCount val="1"/>
                <c:pt idx="0">
                  <c:v>Nitrous Oxide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'Expt 25'!$X$17:$AB$17</c:f>
              <c:strCache>
                <c:ptCount val="4"/>
                <c:pt idx="0">
                  <c:v>MnO2(s) Pyrolusite</c:v>
                </c:pt>
                <c:pt idx="1">
                  <c:v>Amorphous-MnO2(s) </c:v>
                </c:pt>
                <c:pt idx="2">
                  <c:v>α - FeOOH(s) Goethite</c:v>
                </c:pt>
                <c:pt idx="3">
                  <c:v>Amorphous-FeOOH(s)</c:v>
                </c:pt>
              </c:strCache>
            </c:strRef>
          </c:cat>
          <c:val>
            <c:numRef>
              <c:f>('Expt 25'!$X$25,'Expt 25'!$X$30,'Expt 25'!$X$35,'Expt 25'!$X$40)</c:f>
              <c:numCache>
                <c:formatCode>0.0</c:formatCode>
                <c:ptCount val="4"/>
                <c:pt idx="0">
                  <c:v>81.561729403999379</c:v>
                </c:pt>
                <c:pt idx="1">
                  <c:v>84.570839121767975</c:v>
                </c:pt>
                <c:pt idx="2">
                  <c:v>0.70367750747480529</c:v>
                </c:pt>
                <c:pt idx="3">
                  <c:v>11.418109869112127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4-47C1-9929-F4955D6B7786}"/>
            </c:ext>
          </c:extLst>
        </c:ser>
        <c:ser>
          <c:idx val="1"/>
          <c:order val="1"/>
          <c:tx>
            <c:strRef>
              <c:f>'Expt 25'!$Y$18</c:f>
              <c:strCache>
                <c:ptCount val="1"/>
                <c:pt idx="0">
                  <c:v>Nitrite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'Expt 25'!$X$17:$AB$17</c:f>
              <c:strCache>
                <c:ptCount val="4"/>
                <c:pt idx="0">
                  <c:v>MnO2(s) Pyrolusite</c:v>
                </c:pt>
                <c:pt idx="1">
                  <c:v>Amorphous-MnO2(s) </c:v>
                </c:pt>
                <c:pt idx="2">
                  <c:v>α - FeOOH(s) Goethite</c:v>
                </c:pt>
                <c:pt idx="3">
                  <c:v>Amorphous-FeOOH(s)</c:v>
                </c:pt>
              </c:strCache>
            </c:strRef>
          </c:cat>
          <c:val>
            <c:numRef>
              <c:f>('Expt 25'!$Y$25,'Expt 25'!$Y$30,'Expt 25'!$Y$35,'Expt 25'!$Y$40)</c:f>
              <c:numCache>
                <c:formatCode>0.00</c:formatCode>
                <c:ptCount val="4"/>
                <c:pt idx="0">
                  <c:v>12.889714285714287</c:v>
                </c:pt>
                <c:pt idx="1">
                  <c:v>9.2868514285714276</c:v>
                </c:pt>
                <c:pt idx="2">
                  <c:v>0.37125714285714284</c:v>
                </c:pt>
                <c:pt idx="3">
                  <c:v>1.6051657142857143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4-47C1-9929-F4955D6B7786}"/>
            </c:ext>
          </c:extLst>
        </c:ser>
        <c:ser>
          <c:idx val="2"/>
          <c:order val="2"/>
          <c:tx>
            <c:strRef>
              <c:f>'Expt 25'!$Z$18</c:f>
              <c:strCache>
                <c:ptCount val="1"/>
                <c:pt idx="0">
                  <c:v>Nitrate</c:v>
                </c:pt>
              </c:strCache>
            </c:strRef>
          </c:tx>
          <c:spPr>
            <a:solidFill>
              <a:srgbClr val="7030A0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'Expt 25'!$X$17:$AB$17</c:f>
              <c:strCache>
                <c:ptCount val="4"/>
                <c:pt idx="0">
                  <c:v>MnO2(s) Pyrolusite</c:v>
                </c:pt>
                <c:pt idx="1">
                  <c:v>Amorphous-MnO2(s) </c:v>
                </c:pt>
                <c:pt idx="2">
                  <c:v>α - FeOOH(s) Goethite</c:v>
                </c:pt>
                <c:pt idx="3">
                  <c:v>Amorphous-FeOOH(s)</c:v>
                </c:pt>
              </c:strCache>
            </c:strRef>
          </c:cat>
          <c:val>
            <c:numRef>
              <c:f>('Expt 25'!$Z$25,'Expt 25'!$Z$30,'Expt 25'!$Z$35,'Expt 25'!$Z$40)</c:f>
              <c:numCache>
                <c:formatCode>0.00</c:formatCode>
                <c:ptCount val="4"/>
                <c:pt idx="0">
                  <c:v>1.242668571428571</c:v>
                </c:pt>
                <c:pt idx="1">
                  <c:v>0.63739428571428558</c:v>
                </c:pt>
                <c:pt idx="2">
                  <c:v>0</c:v>
                </c:pt>
                <c:pt idx="3">
                  <c:v>1.4516571428571425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4-47C1-9929-F4955D6B7786}"/>
            </c:ext>
          </c:extLst>
        </c:ser>
        <c:ser>
          <c:idx val="3"/>
          <c:order val="3"/>
          <c:tx>
            <c:strRef>
              <c:f>'Expt 25'!$AA$18</c:f>
              <c:strCache>
                <c:ptCount val="1"/>
                <c:pt idx="0">
                  <c:v>Total N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'Expt 25'!$X$17:$AB$17</c:f>
              <c:strCache>
                <c:ptCount val="4"/>
                <c:pt idx="0">
                  <c:v>MnO2(s) Pyrolusite</c:v>
                </c:pt>
                <c:pt idx="1">
                  <c:v>Amorphous-MnO2(s) </c:v>
                </c:pt>
                <c:pt idx="2">
                  <c:v>α - FeOOH(s) Goethite</c:v>
                </c:pt>
                <c:pt idx="3">
                  <c:v>Amorphous-FeOOH(s)</c:v>
                </c:pt>
              </c:strCache>
            </c:strRef>
          </c:cat>
          <c:val>
            <c:numRef>
              <c:f>('Expt 25'!$AA$25,'Expt 25'!$AA$30,'Expt 25'!$AA$35,'Expt 25'!$AA$40)</c:f>
              <c:numCache>
                <c:formatCode>0.0</c:formatCode>
                <c:ptCount val="4"/>
                <c:pt idx="0">
                  <c:v>95.694112261142237</c:v>
                </c:pt>
                <c:pt idx="1">
                  <c:v>94.495084836053678</c:v>
                </c:pt>
                <c:pt idx="2">
                  <c:v>1.0749346503319481</c:v>
                </c:pt>
                <c:pt idx="3">
                  <c:v>14.474932726254984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4-47C1-9929-F4955D6B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8366872"/>
        <c:axId val="428362936"/>
      </c:barChart>
      <c:lineChart>
        <c:grouping val="standard"/>
        <c:varyColors val="0"/>
        <c:ser>
          <c:idx val="4"/>
          <c:order val="4"/>
          <c:tx>
            <c:strRef>
              <c:f>'Expt 25'!$AB$21:$AB$23</c:f>
              <c:strCache>
                <c:ptCount val="3"/>
                <c:pt idx="0">
                  <c:v>Avg.</c:v>
                </c:pt>
                <c:pt idx="1">
                  <c:v>Final</c:v>
                </c:pt>
                <c:pt idx="2">
                  <c:v>pH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2"/>
            <c:spPr>
              <a:solidFill>
                <a:schemeClr val="tx1">
                  <a:alpha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('Expt 25'!$AB$25,'Expt 25'!$AB$30,'Expt 25'!$AB$35,'Expt 25'!$AB$40)</c:f>
              <c:numCache>
                <c:formatCode>0.0</c:formatCode>
                <c:ptCount val="4"/>
                <c:pt idx="0">
                  <c:v>6.3</c:v>
                </c:pt>
                <c:pt idx="1">
                  <c:v>8.1</c:v>
                </c:pt>
                <c:pt idx="2">
                  <c:v>4.7</c:v>
                </c:pt>
                <c:pt idx="3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B-4CBF-A96E-FB39F973006D}"/>
            </c:ext>
          </c:extLst>
        </c:ser>
        <c:ser>
          <c:idx val="5"/>
          <c:order val="5"/>
          <c:tx>
            <c:strRef>
              <c:f>'Expt 25'!$U$60:$U$61</c:f>
              <c:strCache>
                <c:ptCount val="2"/>
                <c:pt idx="0">
                  <c:v>pKa = 5.9,</c:v>
                </c:pt>
                <c:pt idx="1">
                  <c:v>Hydroxylamine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val>
            <c:numRef>
              <c:f>'Expt 25'!$U$62:$U$65</c:f>
              <c:numCache>
                <c:formatCode>0.00</c:formatCode>
                <c:ptCount val="4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1-4353-995D-CEE889D6D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335496"/>
        <c:axId val="595334840"/>
      </c:lineChart>
      <c:catAx>
        <c:axId val="428366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Mineral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62936"/>
        <c:crosses val="autoZero"/>
        <c:auto val="1"/>
        <c:lblAlgn val="ctr"/>
        <c:lblOffset val="100"/>
        <c:noMultiLvlLbl val="0"/>
      </c:catAx>
      <c:valAx>
        <c:axId val="428362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Nitrogen Recovery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(as N) (%)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66872"/>
        <c:crosses val="autoZero"/>
        <c:crossBetween val="between"/>
      </c:valAx>
      <c:valAx>
        <c:axId val="595334840"/>
        <c:scaling>
          <c:orientation val="minMax"/>
          <c:min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96425710065430226"/>
              <c:y val="0.4760298414043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5335496"/>
        <c:crosses val="max"/>
        <c:crossBetween val="between"/>
      </c:valAx>
      <c:catAx>
        <c:axId val="595335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95334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375841481353293"/>
          <c:y val="1.4137068966338465E-2"/>
          <c:w val="0.42870306596290847"/>
          <c:h val="0.35452414468041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8507974964667"/>
          <c:y val="6.8578621321013597E-2"/>
          <c:w val="0.78467203138069275"/>
          <c:h val="0.78324436373266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'Expt 25'!$X$18</c:f>
              <c:strCache>
                <c:ptCount val="1"/>
                <c:pt idx="0">
                  <c:v>Nitrous Oxide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25'!$X$35:$X$37</c:f>
              <c:numCache>
                <c:formatCode>0.0</c:formatCode>
                <c:ptCount val="3"/>
                <c:pt idx="0">
                  <c:v>0.70367750747480529</c:v>
                </c:pt>
                <c:pt idx="1">
                  <c:v>3.1599000722460997</c:v>
                </c:pt>
                <c:pt idx="2">
                  <c:v>7.9738653752584723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E-430A-B3D0-6788BCC7BC5B}"/>
            </c:ext>
          </c:extLst>
        </c:ser>
        <c:ser>
          <c:idx val="1"/>
          <c:order val="1"/>
          <c:tx>
            <c:strRef>
              <c:f>'Expt 25'!$Y$18</c:f>
              <c:strCache>
                <c:ptCount val="1"/>
                <c:pt idx="0">
                  <c:v>Nitrite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25'!$Y$35:$Y$37</c:f>
              <c:numCache>
                <c:formatCode>0.00</c:formatCode>
                <c:ptCount val="3"/>
                <c:pt idx="0">
                  <c:v>0.37125714285714284</c:v>
                </c:pt>
                <c:pt idx="1">
                  <c:v>0.52351428571428571</c:v>
                </c:pt>
                <c:pt idx="2">
                  <c:v>0.53181542857142849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E-430A-B3D0-6788BCC7BC5B}"/>
            </c:ext>
          </c:extLst>
        </c:ser>
        <c:ser>
          <c:idx val="2"/>
          <c:order val="2"/>
          <c:tx>
            <c:strRef>
              <c:f>'Expt 25'!$Z$18</c:f>
              <c:strCache>
                <c:ptCount val="1"/>
                <c:pt idx="0">
                  <c:v>Nitrate</c:v>
                </c:pt>
              </c:strCache>
            </c:strRef>
          </c:tx>
          <c:spPr>
            <a:solidFill>
              <a:srgbClr val="7030A0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25'!$Z$35:$Z$37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0.33175371428571426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E-430A-B3D0-6788BCC7BC5B}"/>
            </c:ext>
          </c:extLst>
        </c:ser>
        <c:ser>
          <c:idx val="3"/>
          <c:order val="3"/>
          <c:tx>
            <c:strRef>
              <c:f>'Expt 25'!$AA$18</c:f>
              <c:strCache>
                <c:ptCount val="1"/>
                <c:pt idx="0">
                  <c:v>Total N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25'!$AA$35:$AA$37</c:f>
              <c:numCache>
                <c:formatCode>0.0</c:formatCode>
                <c:ptCount val="3"/>
                <c:pt idx="0">
                  <c:v>1.0749346503319481</c:v>
                </c:pt>
                <c:pt idx="1">
                  <c:v>3.6834143579603853</c:v>
                </c:pt>
                <c:pt idx="2">
                  <c:v>8.8374345181156144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7-49CD-92A9-54223713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8366872"/>
        <c:axId val="428362936"/>
      </c:barChart>
      <c:lineChart>
        <c:grouping val="stacked"/>
        <c:varyColors val="0"/>
        <c:ser>
          <c:idx val="4"/>
          <c:order val="4"/>
          <c:tx>
            <c:strRef>
              <c:f>'Expt 25'!$AB$21:$AB$23</c:f>
              <c:strCache>
                <c:ptCount val="3"/>
                <c:pt idx="0">
                  <c:v>Avg.</c:v>
                </c:pt>
                <c:pt idx="1">
                  <c:v>Final</c:v>
                </c:pt>
                <c:pt idx="2">
                  <c:v>pH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2"/>
            <c:spPr>
              <a:solidFill>
                <a:schemeClr val="tx1">
                  <a:alpha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t" anchorCtr="0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25'!$AB$35:$AB$37</c:f>
              <c:numCache>
                <c:formatCode>0.0</c:formatCode>
                <c:ptCount val="3"/>
                <c:pt idx="0">
                  <c:v>4.7</c:v>
                </c:pt>
                <c:pt idx="1">
                  <c:v>4.3</c:v>
                </c:pt>
                <c:pt idx="2">
                  <c:v>3.8439999999999999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7-49CD-92A9-54223713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720944"/>
        <c:axId val="532724880"/>
      </c:lineChart>
      <c:catAx>
        <c:axId val="428366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Reaction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62936"/>
        <c:crosses val="autoZero"/>
        <c:auto val="1"/>
        <c:lblAlgn val="ctr"/>
        <c:lblOffset val="100"/>
        <c:noMultiLvlLbl val="0"/>
      </c:catAx>
      <c:valAx>
        <c:axId val="428362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Nitrogen Recovery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(as N) (%)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66872"/>
        <c:crosses val="autoZero"/>
        <c:crossBetween val="between"/>
      </c:valAx>
      <c:valAx>
        <c:axId val="532724880"/>
        <c:scaling>
          <c:orientation val="minMax"/>
          <c:max val="7"/>
          <c:min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95678255602665063"/>
              <c:y val="0.47699211514786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2720944"/>
        <c:crosses val="max"/>
        <c:crossBetween val="between"/>
      </c:valAx>
      <c:catAx>
        <c:axId val="532720944"/>
        <c:scaling>
          <c:orientation val="minMax"/>
        </c:scaling>
        <c:delete val="1"/>
        <c:axPos val="b"/>
        <c:majorTickMark val="out"/>
        <c:minorTickMark val="none"/>
        <c:tickLblPos val="nextTo"/>
        <c:crossAx val="532724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764119869631679"/>
          <c:y val="0.1068906958363751"/>
          <c:w val="0.76263747800755688"/>
          <c:h val="8.0150438063217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81987828444521"/>
          <c:y val="6.0513088549706072E-2"/>
          <c:w val="0.77881122551988691"/>
          <c:h val="0.79937542927528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'Expt 25'!$X$18</c:f>
              <c:strCache>
                <c:ptCount val="1"/>
                <c:pt idx="0">
                  <c:v>Nitrous Oxide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25'!$X$40:$X$42</c:f>
              <c:numCache>
                <c:formatCode>0.0</c:formatCode>
                <c:ptCount val="3"/>
                <c:pt idx="0">
                  <c:v>11.418109869112127</c:v>
                </c:pt>
                <c:pt idx="1">
                  <c:v>26.288223580733117</c:v>
                </c:pt>
                <c:pt idx="2">
                  <c:v>59.290980192144382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0-4317-8F2F-170472B78409}"/>
            </c:ext>
          </c:extLst>
        </c:ser>
        <c:ser>
          <c:idx val="1"/>
          <c:order val="1"/>
          <c:tx>
            <c:strRef>
              <c:f>'Expt 25'!$Y$18</c:f>
              <c:strCache>
                <c:ptCount val="1"/>
                <c:pt idx="0">
                  <c:v>Nitrite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25'!$Y$40:$Y$42</c:f>
              <c:numCache>
                <c:formatCode>0.00</c:formatCode>
                <c:ptCount val="3"/>
                <c:pt idx="0">
                  <c:v>1.6051657142857143</c:v>
                </c:pt>
                <c:pt idx="1">
                  <c:v>3.2758228571428578</c:v>
                </c:pt>
                <c:pt idx="2">
                  <c:v>2.6931577142857135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0-4317-8F2F-170472B78409}"/>
            </c:ext>
          </c:extLst>
        </c:ser>
        <c:ser>
          <c:idx val="2"/>
          <c:order val="2"/>
          <c:tx>
            <c:strRef>
              <c:f>'Expt 25'!$Z$18</c:f>
              <c:strCache>
                <c:ptCount val="1"/>
                <c:pt idx="0">
                  <c:v>Nitrate</c:v>
                </c:pt>
              </c:strCache>
            </c:strRef>
          </c:tx>
          <c:spPr>
            <a:solidFill>
              <a:srgbClr val="7030A0">
                <a:alpha val="50000"/>
              </a:srgb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25'!$Z$40:$Z$42</c:f>
              <c:numCache>
                <c:formatCode>0.00</c:formatCode>
                <c:ptCount val="3"/>
                <c:pt idx="0">
                  <c:v>1.4516571428571425</c:v>
                </c:pt>
                <c:pt idx="1">
                  <c:v>3.2758228571428578</c:v>
                </c:pt>
                <c:pt idx="2">
                  <c:v>2.3259885714285717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0-4317-8F2F-170472B78409}"/>
            </c:ext>
          </c:extLst>
        </c:ser>
        <c:ser>
          <c:idx val="3"/>
          <c:order val="3"/>
          <c:tx>
            <c:strRef>
              <c:f>'Expt 25'!$AA$18</c:f>
              <c:strCache>
                <c:ptCount val="1"/>
                <c:pt idx="0">
                  <c:v>Total N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'Expt 25'!$V$35:$V$37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cat>
          <c:val>
            <c:numRef>
              <c:f>'Expt 25'!$AA$40:$AA$42</c:f>
              <c:numCache>
                <c:formatCode>0.0</c:formatCode>
                <c:ptCount val="3"/>
                <c:pt idx="0">
                  <c:v>14.474932726254984</c:v>
                </c:pt>
                <c:pt idx="1">
                  <c:v>32.839869295018829</c:v>
                </c:pt>
                <c:pt idx="2">
                  <c:v>64.31012647785866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0-4317-8F2F-170472B7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8366872"/>
        <c:axId val="428362936"/>
      </c:barChart>
      <c:lineChart>
        <c:grouping val="stacked"/>
        <c:varyColors val="0"/>
        <c:ser>
          <c:idx val="4"/>
          <c:order val="4"/>
          <c:tx>
            <c:strRef>
              <c:f>'Expt 25'!$AB$21:$AB$23</c:f>
              <c:strCache>
                <c:ptCount val="3"/>
                <c:pt idx="0">
                  <c:v>Avg.</c:v>
                </c:pt>
                <c:pt idx="1">
                  <c:v>Final</c:v>
                </c:pt>
                <c:pt idx="2">
                  <c:v>pH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2"/>
            <c:spPr>
              <a:solidFill>
                <a:schemeClr val="tx1">
                  <a:alpha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15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25'!$AB$40:$AB$42</c:f>
              <c:numCache>
                <c:formatCode>0.0</c:formatCode>
                <c:ptCount val="3"/>
                <c:pt idx="0">
                  <c:v>5.3</c:v>
                </c:pt>
                <c:pt idx="1">
                  <c:v>4.9000000000000004</c:v>
                </c:pt>
                <c:pt idx="2">
                  <c:v>4.5840000000000005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B0-4317-8F2F-170472B7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720944"/>
        <c:axId val="532724880"/>
      </c:lineChart>
      <c:catAx>
        <c:axId val="428366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Reaction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62936"/>
        <c:crosses val="autoZero"/>
        <c:auto val="1"/>
        <c:lblAlgn val="ctr"/>
        <c:lblOffset val="100"/>
        <c:noMultiLvlLbl val="0"/>
      </c:catAx>
      <c:valAx>
        <c:axId val="428362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Nitrogen Recovery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(as N) (%)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8366872"/>
        <c:crosses val="autoZero"/>
        <c:crossBetween val="between"/>
      </c:valAx>
      <c:valAx>
        <c:axId val="532724880"/>
        <c:scaling>
          <c:orientation val="minMax"/>
          <c:max val="7"/>
          <c:min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</a:t>
                </a:r>
              </a:p>
            </c:rich>
          </c:tx>
          <c:layout>
            <c:manualLayout>
              <c:xMode val="edge"/>
              <c:yMode val="edge"/>
              <c:x val="0.95238695163104625"/>
              <c:y val="0.47699211514786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2720944"/>
        <c:crosses val="max"/>
        <c:crossBetween val="between"/>
      </c:valAx>
      <c:catAx>
        <c:axId val="532720944"/>
        <c:scaling>
          <c:orientation val="minMax"/>
        </c:scaling>
        <c:delete val="1"/>
        <c:axPos val="b"/>
        <c:majorTickMark val="out"/>
        <c:minorTickMark val="none"/>
        <c:tickLblPos val="nextTo"/>
        <c:crossAx val="532724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375841481353294"/>
          <c:y val="6.4546648787010552E-2"/>
          <c:w val="0.74635147529635715"/>
          <c:h val="0.15274023300498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08162564450344"/>
          <c:y val="7.9951789144289104E-2"/>
          <c:w val="0.73694564557114439"/>
          <c:h val="0.74692878404335161"/>
        </c:manualLayout>
      </c:layout>
      <c:scatterChart>
        <c:scatterStyle val="lineMarker"/>
        <c:varyColors val="0"/>
        <c:ser>
          <c:idx val="0"/>
          <c:order val="0"/>
          <c:tx>
            <c:v>MnO2(s)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00FF">
                  <a:alpha val="50000"/>
                </a:srgbClr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'Expt 14'!$U$11:$U$23</c:f>
              <c:numCache>
                <c:formatCode>0.00</c:formatCode>
                <c:ptCount val="13"/>
                <c:pt idx="0">
                  <c:v>8.1666666665696539</c:v>
                </c:pt>
                <c:pt idx="1">
                  <c:v>7.2500000000582077</c:v>
                </c:pt>
                <c:pt idx="2">
                  <c:v>6.3333333333721384</c:v>
                </c:pt>
                <c:pt idx="3">
                  <c:v>5.4499999999534339</c:v>
                </c:pt>
                <c:pt idx="4">
                  <c:v>4.5499999999883585</c:v>
                </c:pt>
                <c:pt idx="5">
                  <c:v>3.6333333333022892</c:v>
                </c:pt>
                <c:pt idx="6">
                  <c:v>2.5666666666511446</c:v>
                </c:pt>
                <c:pt idx="7">
                  <c:v>1.7999999999301508</c:v>
                </c:pt>
                <c:pt idx="8">
                  <c:v>1.316666666592937</c:v>
                </c:pt>
                <c:pt idx="9">
                  <c:v>0.88333333341870457</c:v>
                </c:pt>
                <c:pt idx="10">
                  <c:v>0.71666666673263535</c:v>
                </c:pt>
                <c:pt idx="11">
                  <c:v>0.56666666659293696</c:v>
                </c:pt>
                <c:pt idx="12">
                  <c:v>0.40000000008149073</c:v>
                </c:pt>
              </c:numCache>
            </c:numRef>
          </c:xVal>
          <c:yVal>
            <c:numRef>
              <c:f>'Expt 14'!$J$11:$J$23</c:f>
              <c:numCache>
                <c:formatCode>0.0</c:formatCode>
                <c:ptCount val="13"/>
                <c:pt idx="0">
                  <c:v>16440</c:v>
                </c:pt>
                <c:pt idx="1">
                  <c:v>16720</c:v>
                </c:pt>
                <c:pt idx="2">
                  <c:v>16670</c:v>
                </c:pt>
                <c:pt idx="3">
                  <c:v>16540</c:v>
                </c:pt>
                <c:pt idx="4">
                  <c:v>16410</c:v>
                </c:pt>
                <c:pt idx="5">
                  <c:v>15980</c:v>
                </c:pt>
                <c:pt idx="6">
                  <c:v>15520</c:v>
                </c:pt>
                <c:pt idx="7">
                  <c:v>14520</c:v>
                </c:pt>
                <c:pt idx="8">
                  <c:v>14030</c:v>
                </c:pt>
                <c:pt idx="9">
                  <c:v>12180</c:v>
                </c:pt>
                <c:pt idx="10">
                  <c:v>11160</c:v>
                </c:pt>
                <c:pt idx="11">
                  <c:v>9660</c:v>
                </c:pt>
                <c:pt idx="12">
                  <c:v>10700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AC-4AA6-8CF1-763F5CBB8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324880"/>
        <c:axId val="479325208"/>
      </c:scatterChart>
      <c:valAx>
        <c:axId val="47932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Reaction Time (hours)</a:t>
                </a:r>
              </a:p>
            </c:rich>
          </c:tx>
          <c:layout>
            <c:manualLayout>
              <c:xMode val="edge"/>
              <c:yMode val="edge"/>
              <c:x val="0.39281288366210965"/>
              <c:y val="0.89594007988500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325208"/>
        <c:crosses val="autoZero"/>
        <c:crossBetween val="midCat"/>
      </c:valAx>
      <c:valAx>
        <c:axId val="479325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[Nitrous Oxide(g)]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(ppm)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3040607255969756E-2"/>
              <c:y val="0.27443294974078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32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8139129150473"/>
          <c:y val="7.9951789144289104E-2"/>
          <c:w val="0.79564586775715174"/>
          <c:h val="0.74692878404335161"/>
        </c:manualLayout>
      </c:layout>
      <c:scatterChart>
        <c:scatterStyle val="lineMarker"/>
        <c:varyColors val="0"/>
        <c:ser>
          <c:idx val="0"/>
          <c:order val="0"/>
          <c:tx>
            <c:v>pH 4.0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00FF">
                  <a:alpha val="50000"/>
                </a:srgbClr>
              </a:solidFill>
              <a:ln w="9525">
                <a:solidFill>
                  <a:srgbClr val="0000FF"/>
                </a:solidFill>
              </a:ln>
              <a:effectLst/>
            </c:spPr>
          </c:marker>
          <c:trendline>
            <c:spPr>
              <a:ln w="15875" cap="rnd">
                <a:solidFill>
                  <a:srgbClr val="0000FF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4213100014640387"/>
                  <c:y val="0.286205968199301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122x; R² = 0.81</a:t>
                    </a:r>
                    <a:endParaRPr lang="en-US" sz="140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'Expt 12 '!$X$10:$X$24</c:f>
              <c:numCache>
                <c:formatCode>0.00</c:formatCode>
                <c:ptCount val="15"/>
                <c:pt idx="0">
                  <c:v>16.686805555553292</c:v>
                </c:pt>
                <c:pt idx="1">
                  <c:v>16.690277777779556</c:v>
                </c:pt>
                <c:pt idx="2">
                  <c:v>16.172222222216078</c:v>
                </c:pt>
                <c:pt idx="3">
                  <c:v>14.744444444448163</c:v>
                </c:pt>
                <c:pt idx="4">
                  <c:v>13.709027777775191</c:v>
                </c:pt>
                <c:pt idx="5">
                  <c:v>10.676388888889051</c:v>
                </c:pt>
                <c:pt idx="6">
                  <c:v>9.8090277777810115</c:v>
                </c:pt>
                <c:pt idx="7">
                  <c:v>7.9722222222189885</c:v>
                </c:pt>
                <c:pt idx="8">
                  <c:v>6.5708333333313931</c:v>
                </c:pt>
                <c:pt idx="9">
                  <c:v>4.7444444444408873</c:v>
                </c:pt>
                <c:pt idx="10">
                  <c:v>3.7479166666671517</c:v>
                </c:pt>
                <c:pt idx="11">
                  <c:v>2.7444444444408873</c:v>
                </c:pt>
                <c:pt idx="12">
                  <c:v>1.7055555555562023</c:v>
                </c:pt>
                <c:pt idx="13">
                  <c:v>0.73402777777664596</c:v>
                </c:pt>
                <c:pt idx="14">
                  <c:v>0.73680555555620231</c:v>
                </c:pt>
              </c:numCache>
            </c:numRef>
          </c:xVal>
          <c:yVal>
            <c:numRef>
              <c:f>'Expt 12 '!$I$10:$I$24</c:f>
              <c:numCache>
                <c:formatCode>0.0</c:formatCode>
                <c:ptCount val="15"/>
                <c:pt idx="0">
                  <c:v>1820.88</c:v>
                </c:pt>
                <c:pt idx="1">
                  <c:v>1544.54</c:v>
                </c:pt>
                <c:pt idx="2">
                  <c:v>1988.39</c:v>
                </c:pt>
                <c:pt idx="3">
                  <c:v>2046.86</c:v>
                </c:pt>
                <c:pt idx="4">
                  <c:v>1423.15</c:v>
                </c:pt>
                <c:pt idx="5">
                  <c:v>1285.58</c:v>
                </c:pt>
                <c:pt idx="6">
                  <c:v>1349.61</c:v>
                </c:pt>
                <c:pt idx="7" formatCode="General">
                  <c:v>1871.5</c:v>
                </c:pt>
                <c:pt idx="8" formatCode="General">
                  <c:v>920.34900000000005</c:v>
                </c:pt>
                <c:pt idx="9" formatCode="General">
                  <c:v>673.24199999999996</c:v>
                </c:pt>
                <c:pt idx="10" formatCode="0.00">
                  <c:v>635.726</c:v>
                </c:pt>
                <c:pt idx="11" formatCode="General">
                  <c:v>405.78500000000003</c:v>
                </c:pt>
                <c:pt idx="12" formatCode="General">
                  <c:v>281.029</c:v>
                </c:pt>
                <c:pt idx="13" formatCode="General">
                  <c:v>99.165599999999998</c:v>
                </c:pt>
                <c:pt idx="14" formatCode="General">
                  <c:v>88.039199999999994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8E-4F7A-9BBE-1595E95DA5B2}"/>
            </c:ext>
          </c:extLst>
        </c:ser>
        <c:ser>
          <c:idx val="1"/>
          <c:order val="1"/>
          <c:tx>
            <c:v>pH 6.5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0000">
                  <a:alpha val="50000"/>
                </a:srgbClr>
              </a:solidFill>
              <a:ln w="12700">
                <a:solidFill>
                  <a:srgbClr val="FF0000"/>
                </a:solidFill>
              </a:ln>
              <a:effectLst/>
            </c:spPr>
          </c:marker>
          <c:trendline>
            <c:spPr>
              <a:ln w="158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4522562793660171"/>
                  <c:y val="6.787331611819928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116x; R² = 0.99</a:t>
                    </a:r>
                    <a:endParaRPr lang="en-US" sz="140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'Expt 12 '!$N$41:$N$46</c:f>
              <c:numCache>
                <c:formatCode>0.00</c:formatCode>
                <c:ptCount val="6"/>
                <c:pt idx="0">
                  <c:v>3.75</c:v>
                </c:pt>
                <c:pt idx="1">
                  <c:v>3.7361111111167702</c:v>
                </c:pt>
                <c:pt idx="2">
                  <c:v>3.2604166666642413</c:v>
                </c:pt>
                <c:pt idx="3">
                  <c:v>1.7166666666598758</c:v>
                </c:pt>
                <c:pt idx="4">
                  <c:v>0.73611111110949423</c:v>
                </c:pt>
                <c:pt idx="5">
                  <c:v>0.73680555555620231</c:v>
                </c:pt>
              </c:numCache>
            </c:numRef>
          </c:xVal>
          <c:yVal>
            <c:numRef>
              <c:f>'Expt 12 '!$I$41:$I$46</c:f>
              <c:numCache>
                <c:formatCode>0.0</c:formatCode>
                <c:ptCount val="6"/>
                <c:pt idx="0">
                  <c:v>456.86200000000002</c:v>
                </c:pt>
                <c:pt idx="1">
                  <c:v>442.637</c:v>
                </c:pt>
                <c:pt idx="2">
                  <c:v>353.25799999999998</c:v>
                </c:pt>
                <c:pt idx="3">
                  <c:v>200.15899999999999</c:v>
                </c:pt>
                <c:pt idx="4">
                  <c:v>71.893100000000004</c:v>
                </c:pt>
                <c:pt idx="5">
                  <c:v>66.885400000000004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8E-4F7A-9BBE-1595E95D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324880"/>
        <c:axId val="479325208"/>
      </c:scatterChart>
      <c:valAx>
        <c:axId val="47932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Reaction Time (days)</a:t>
                </a:r>
              </a:p>
            </c:rich>
          </c:tx>
          <c:layout>
            <c:manualLayout>
              <c:xMode val="edge"/>
              <c:yMode val="edge"/>
              <c:x val="0.39281288366210965"/>
              <c:y val="0.89594007988500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325208"/>
        <c:crosses val="autoZero"/>
        <c:crossBetween val="midCat"/>
      </c:valAx>
      <c:valAx>
        <c:axId val="479325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[Nitrous Oxide(g)]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(ppm)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5157964940783342E-2"/>
              <c:y val="0.27443298182234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32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017687251065761"/>
          <c:y val="0.28617794743782771"/>
          <c:w val="0.10825081120106289"/>
          <c:h val="0.16074619287804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14661521077245"/>
          <c:y val="7.9951829763684673E-2"/>
          <c:w val="0.73694564557114439"/>
          <c:h val="0.7469287840433516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00FF">
                  <a:alpha val="50000"/>
                </a:srgbClr>
              </a:solidFill>
              <a:ln w="9525">
                <a:solidFill>
                  <a:srgbClr val="0000FF"/>
                </a:solidFill>
              </a:ln>
              <a:effectLst/>
            </c:spPr>
          </c:marker>
          <c:trendline>
            <c:spPr>
              <a:ln w="222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2.7"/>
            <c:dispRSqr val="1"/>
            <c:dispEq val="1"/>
            <c:trendlineLbl>
              <c:layout>
                <c:manualLayout>
                  <c:x val="6.7880667097828168E-2"/>
                  <c:y val="-0.4353294357940072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[N2O] (ppm)  = -981 Degass Time (hours) + 9500; R² = 0.995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'Expt 15'!$D$18:$D$21</c:f>
              <c:numCache>
                <c:formatCode>0.00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</c:numCache>
            </c:numRef>
          </c:xVal>
          <c:yVal>
            <c:numRef>
              <c:f>'Expt 15'!$F$18:$F$21</c:f>
              <c:numCache>
                <c:formatCode>0.00</c:formatCode>
                <c:ptCount val="4"/>
                <c:pt idx="0">
                  <c:v>8662</c:v>
                </c:pt>
                <c:pt idx="1">
                  <c:v>6448</c:v>
                </c:pt>
                <c:pt idx="2">
                  <c:v>4400</c:v>
                </c:pt>
                <c:pt idx="3">
                  <c:v>2808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51-44E9-AFA8-D5E52E0D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324880"/>
        <c:axId val="479325208"/>
      </c:scatterChart>
      <c:valAx>
        <c:axId val="479324880"/>
        <c:scaling>
          <c:orientation val="minMax"/>
          <c:max val="1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Degassing Time (hours)</a:t>
                </a:r>
              </a:p>
            </c:rich>
          </c:tx>
          <c:layout>
            <c:manualLayout>
              <c:xMode val="edge"/>
              <c:yMode val="edge"/>
              <c:x val="0.43977306591767668"/>
              <c:y val="0.88583036262845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325208"/>
        <c:crosses val="autoZero"/>
        <c:crossBetween val="midCat"/>
      </c:valAx>
      <c:valAx>
        <c:axId val="47932520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[Nitrous Oxide(g)]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(ppm)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2390711593279639E-2"/>
              <c:y val="0.27038904439173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7932488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99043964694684"/>
          <c:y val="5.5555555555555552E-2"/>
          <c:w val="0.7592475927301211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'Expt 15'!$E$32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cat>
            <c:strRef>
              <c:f>'Expt 15'!$E$31</c:f>
              <c:strCache>
                <c:ptCount val="1"/>
                <c:pt idx="0">
                  <c:v>Hydroxylamine Applications</c:v>
                </c:pt>
              </c:strCache>
            </c:strRef>
          </c:cat>
          <c:val>
            <c:numRef>
              <c:f>'Expt 15'!$E$34</c:f>
              <c:numCache>
                <c:formatCode>0.0</c:formatCode>
                <c:ptCount val="1"/>
                <c:pt idx="0">
                  <c:v>18005.75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4-4A62-90BC-0D71E96E9980}"/>
            </c:ext>
          </c:extLst>
        </c:ser>
        <c:ser>
          <c:idx val="1"/>
          <c:order val="1"/>
          <c:tx>
            <c:strRef>
              <c:f>'Expt 15'!$E$38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0000FF">
                <a:alpha val="4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cat>
            <c:strRef>
              <c:f>'Expt 15'!$E$31</c:f>
              <c:strCache>
                <c:ptCount val="1"/>
                <c:pt idx="0">
                  <c:v>Hydroxylamine Applications</c:v>
                </c:pt>
              </c:strCache>
            </c:strRef>
          </c:cat>
          <c:val>
            <c:numRef>
              <c:f>'Expt 15'!$E$40</c:f>
              <c:numCache>
                <c:formatCode>0.0</c:formatCode>
                <c:ptCount val="1"/>
                <c:pt idx="0">
                  <c:v>19482.5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4-4A62-90BC-0D71E96E9980}"/>
            </c:ext>
          </c:extLst>
        </c:ser>
        <c:ser>
          <c:idx val="2"/>
          <c:order val="2"/>
          <c:tx>
            <c:strRef>
              <c:f>'Expt 15'!$E$44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0000FF">
                <a:alpha val="3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cat>
            <c:strRef>
              <c:f>'Expt 15'!$E$31</c:f>
              <c:strCache>
                <c:ptCount val="1"/>
                <c:pt idx="0">
                  <c:v>Hydroxylamine Applications</c:v>
                </c:pt>
              </c:strCache>
            </c:strRef>
          </c:cat>
          <c:val>
            <c:numRef>
              <c:f>'Expt 15'!$E$46</c:f>
              <c:numCache>
                <c:formatCode>0.0</c:formatCode>
                <c:ptCount val="1"/>
                <c:pt idx="0">
                  <c:v>17970.5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4-4A62-90BC-0D71E96E9980}"/>
            </c:ext>
          </c:extLst>
        </c:ser>
        <c:ser>
          <c:idx val="3"/>
          <c:order val="3"/>
          <c:tx>
            <c:strRef>
              <c:f>'Expt 15'!$E$50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0000FF">
                <a:alpha val="19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cat>
            <c:strRef>
              <c:f>'Expt 15'!$E$31</c:f>
              <c:strCache>
                <c:ptCount val="1"/>
                <c:pt idx="0">
                  <c:v>Hydroxylamine Applications</c:v>
                </c:pt>
              </c:strCache>
            </c:strRef>
          </c:cat>
          <c:val>
            <c:numRef>
              <c:f>'Expt 15'!$E$52</c:f>
              <c:numCache>
                <c:formatCode>0.0</c:formatCode>
                <c:ptCount val="1"/>
                <c:pt idx="0">
                  <c:v>20575.75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4-4A62-90BC-0D71E96E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27"/>
        <c:axId val="574880912"/>
        <c:axId val="574880584"/>
      </c:barChart>
      <c:catAx>
        <c:axId val="57488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880584"/>
        <c:crosses val="autoZero"/>
        <c:auto val="1"/>
        <c:lblAlgn val="ctr"/>
        <c:lblOffset val="100"/>
        <c:noMultiLvlLbl val="0"/>
      </c:catAx>
      <c:valAx>
        <c:axId val="574880584"/>
        <c:scaling>
          <c:orientation val="minMax"/>
          <c:max val="2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[Nitrous Oxide] (ppm)</a:t>
                </a:r>
              </a:p>
            </c:rich>
          </c:tx>
          <c:layout>
            <c:manualLayout>
              <c:xMode val="edge"/>
              <c:yMode val="edge"/>
              <c:x val="5.8985506404976809E-2"/>
              <c:y val="0.298204215807110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rgbClr val="0000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8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75568872310151"/>
          <c:y val="0.83405794063121597"/>
          <c:w val="0.78630228251879664"/>
          <c:h val="2.503051526206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68953485152"/>
          <c:y val="2.827140549273021E-2"/>
          <c:w val="0.78030607582317157"/>
          <c:h val="0.81219709208400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'Expt 14'!$Z$4</c:f>
              <c:strCache>
                <c:ptCount val="1"/>
                <c:pt idx="0">
                  <c:v>NO2- + NO3-</c:v>
                </c:pt>
              </c:strCache>
            </c:strRef>
          </c:tx>
          <c:spPr>
            <a:solidFill>
              <a:srgbClr val="0000FF">
                <a:alpha val="3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14'!$Z$15</c:f>
              <c:numCache>
                <c:formatCode>0.0</c:formatCode>
                <c:ptCount val="1"/>
                <c:pt idx="0">
                  <c:v>14.209971428571427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9-4874-94CC-DA7C31F41B7F}"/>
            </c:ext>
          </c:extLst>
        </c:ser>
        <c:ser>
          <c:idx val="1"/>
          <c:order val="1"/>
          <c:tx>
            <c:strRef>
              <c:f>'Expt 14'!$Y$4</c:f>
              <c:strCache>
                <c:ptCount val="1"/>
                <c:pt idx="0">
                  <c:v>N2O(g) + N2O(aq)</c:v>
                </c:pt>
              </c:strCache>
            </c:strRef>
          </c:tx>
          <c:spPr>
            <a:solidFill>
              <a:srgbClr val="0000FF">
                <a:alpha val="4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14'!$Y$15</c:f>
              <c:numCache>
                <c:formatCode>0.0</c:formatCode>
                <c:ptCount val="1"/>
                <c:pt idx="0">
                  <c:v>82.07833533690102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9-4874-94CC-DA7C31F41B7F}"/>
            </c:ext>
          </c:extLst>
        </c:ser>
        <c:ser>
          <c:idx val="2"/>
          <c:order val="2"/>
          <c:tx>
            <c:strRef>
              <c:f>'Expt 14'!$P$27</c:f>
              <c:strCache>
                <c:ptCount val="1"/>
                <c:pt idx="0">
                  <c:v>Total N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14'!$P$26</c:f>
              <c:numCache>
                <c:formatCode>0.0</c:formatCode>
                <c:ptCount val="1"/>
                <c:pt idx="0">
                  <c:v>96.288306765472456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9-4874-94CC-DA7C31F41B7F}"/>
            </c:ext>
          </c:extLst>
        </c:ser>
        <c:ser>
          <c:idx val="3"/>
          <c:order val="3"/>
          <c:tx>
            <c:strRef>
              <c:f>'Expt 14'!$Z$4</c:f>
              <c:strCache>
                <c:ptCount val="1"/>
                <c:pt idx="0">
                  <c:v>NO2- + NO3-</c:v>
                </c:pt>
              </c:strCache>
            </c:strRef>
          </c:tx>
          <c:spPr>
            <a:solidFill>
              <a:srgbClr val="FF0000">
                <a:alpha val="30000"/>
              </a:srgbClr>
            </a:solidFill>
            <a:ln w="19050"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12 '!$AB$12</c:f>
              <c:numCache>
                <c:formatCode>0.0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E-4C44-9B49-364FE854B31C}"/>
            </c:ext>
          </c:extLst>
        </c:ser>
        <c:ser>
          <c:idx val="4"/>
          <c:order val="4"/>
          <c:tx>
            <c:strRef>
              <c:f>'Expt 14'!$Y$4</c:f>
              <c:strCache>
                <c:ptCount val="1"/>
                <c:pt idx="0">
                  <c:v>N2O(g) + N2O(aq)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  <a:ln w="19050"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12 '!$Z$12</c:f>
              <c:numCache>
                <c:formatCode>0.0</c:formatCode>
                <c:ptCount val="1"/>
                <c:pt idx="0">
                  <c:v>8.6836732351386452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E-4C44-9B49-364FE854B31C}"/>
            </c:ext>
          </c:extLst>
        </c:ser>
        <c:ser>
          <c:idx val="5"/>
          <c:order val="5"/>
          <c:tx>
            <c:strRef>
              <c:f>'Expt 12 '!$Y$3</c:f>
              <c:strCache>
                <c:ptCount val="1"/>
                <c:pt idx="0">
                  <c:v>Total Nitrogen</c:v>
                </c:pt>
              </c:strCache>
            </c:strRef>
          </c:tx>
          <c:spPr>
            <a:solidFill>
              <a:srgbClr val="FF0000">
                <a:alpha val="40000"/>
              </a:srgbClr>
            </a:solidFill>
            <a:ln w="19050"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12 '!$Y$10</c:f>
              <c:numCache>
                <c:formatCode>0.0</c:formatCode>
                <c:ptCount val="1"/>
                <c:pt idx="0">
                  <c:v>8.7536732351386455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E-4C44-9B49-364FE854B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-26"/>
        <c:axId val="736530272"/>
        <c:axId val="558627912"/>
      </c:barChart>
      <c:catAx>
        <c:axId val="7365302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Nitrogen</a:t>
                </a:r>
                <a:r>
                  <a:rPr lang="en-US" sz="16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Species</a:t>
                </a:r>
                <a:endParaRPr lang="en-US" sz="16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134867773735649"/>
              <c:y val="0.92934198813989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558627912"/>
        <c:crosses val="autoZero"/>
        <c:auto val="1"/>
        <c:lblAlgn val="ctr"/>
        <c:lblOffset val="100"/>
        <c:noMultiLvlLbl val="0"/>
      </c:catAx>
      <c:valAx>
        <c:axId val="55862791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Nitrogen Reovery (%)</a:t>
                </a:r>
                <a:endParaRPr lang="en-US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653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68953485152"/>
          <c:y val="2.827140549273021E-2"/>
          <c:w val="0.78030607582317157"/>
          <c:h val="0.81219709208400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'Expt 14'!$Z$4</c:f>
              <c:strCache>
                <c:ptCount val="1"/>
                <c:pt idx="0">
                  <c:v>NO2- + NO3-</c:v>
                </c:pt>
              </c:strCache>
            </c:strRef>
          </c:tx>
          <c:spPr>
            <a:solidFill>
              <a:srgbClr val="0000FF">
                <a:alpha val="4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12 '!$AB$12</c:f>
              <c:numCache>
                <c:formatCode>0.0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5-4011-B2F2-7CECD7C43ED5}"/>
            </c:ext>
          </c:extLst>
        </c:ser>
        <c:ser>
          <c:idx val="1"/>
          <c:order val="1"/>
          <c:tx>
            <c:strRef>
              <c:f>'Expt 14'!$Y$4</c:f>
              <c:strCache>
                <c:ptCount val="1"/>
                <c:pt idx="0">
                  <c:v>N2O(g) + N2O(aq)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12 '!$Z$12</c:f>
              <c:numCache>
                <c:formatCode>0.0</c:formatCode>
                <c:ptCount val="1"/>
                <c:pt idx="0">
                  <c:v>8.6836732351386452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5-4011-B2F2-7CECD7C43ED5}"/>
            </c:ext>
          </c:extLst>
        </c:ser>
        <c:ser>
          <c:idx val="2"/>
          <c:order val="2"/>
          <c:tx>
            <c:strRef>
              <c:f>'Expt 12 '!$Y$3</c:f>
              <c:strCache>
                <c:ptCount val="1"/>
                <c:pt idx="0">
                  <c:v>Total Nitrogen</c:v>
                </c:pt>
              </c:strCache>
            </c:strRef>
          </c:tx>
          <c:spPr>
            <a:solidFill>
              <a:srgbClr val="0000FF">
                <a:alpha val="60000"/>
              </a:srgbClr>
            </a:solidFill>
            <a:ln w="19050">
              <a:solidFill>
                <a:srgbClr val="0000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'Expt 12 '!$Y$10</c:f>
              <c:numCache>
                <c:formatCode>0.0</c:formatCode>
                <c:ptCount val="1"/>
                <c:pt idx="0">
                  <c:v>8.7536732351386455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5-4011-B2F2-7CECD7C43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530272"/>
        <c:axId val="558627912"/>
      </c:barChart>
      <c:catAx>
        <c:axId val="7365302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Nitrogen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Species</a:t>
                </a:r>
                <a:endParaRPr lang="en-US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6602369127950449"/>
              <c:y val="0.91316639741518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558627912"/>
        <c:crosses val="autoZero"/>
        <c:auto val="1"/>
        <c:lblAlgn val="ctr"/>
        <c:lblOffset val="100"/>
        <c:noMultiLvlLbl val="0"/>
      </c:catAx>
      <c:valAx>
        <c:axId val="55862791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  <a:r>
                  <a:rPr lang="en-US" sz="16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Nitrogen Reovery (%)</a:t>
                </a:r>
                <a:endParaRPr lang="en-US" sz="16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653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orientation="landscape" verticalDpi="597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orientation="landscape" verticalDpi="597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orientation="landscape" verticalDpi="597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pageSetup orientation="portrait" verticalDpi="597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0.22138</cdr:x>
      <cdr:y>0.07452</cdr:y>
    </cdr:from>
    <cdr:to>
      <cdr:x>0.44025</cdr:x>
      <cdr:y>0.17158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15897" y="468093"/>
          <a:ext cx="1894103" cy="609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l-GR" sz="1600">
              <a:latin typeface="Times New Roman" panose="02020603050405020304" pitchFamily="18" charset="0"/>
              <a:cs typeface="Times New Roman" panose="02020603050405020304" pitchFamily="18" charset="0"/>
            </a:rPr>
            <a:t>α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-FeOOH (Goethite)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catalyzed reaction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0.31698</cdr:x>
      <cdr:y>0.09012</cdr:y>
    </cdr:from>
    <cdr:to>
      <cdr:x>0.93459</cdr:x>
      <cdr:y>0.20797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43229" y="566058"/>
          <a:ext cx="5344858" cy="740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Note: Immediate loss of N2O(g) occurred from vial headspace when the cap was opened.</a:t>
          </a:r>
        </a:p>
        <a:p xmlns:a="http://schemas.openxmlformats.org/drawingml/2006/main">
          <a:r>
            <a:rPr lang="en-US" sz="1100"/>
            <a:t>The [N2O(g)] decreased from 17,990-18,100</a:t>
          </a:r>
          <a:r>
            <a:rPr lang="en-US" sz="1100" baseline="0"/>
            <a:t> ppm to 9500 ppm in minutes, then degassed</a:t>
          </a:r>
        </a:p>
        <a:p xmlns:a="http://schemas.openxmlformats.org/drawingml/2006/main">
          <a:r>
            <a:rPr lang="en-US" sz="1100" baseline="0"/>
            <a:t>at a slower rate.</a:t>
          </a:r>
          <a:endParaRPr lang="en-US" sz="1100"/>
        </a:p>
      </cdr:txBody>
    </cdr:sp>
  </cdr:relSizeAnchor>
  <cdr:relSizeAnchor xmlns:cdr="http://schemas.openxmlformats.org/drawingml/2006/chartDrawing">
    <cdr:from>
      <cdr:x>0.2</cdr:x>
      <cdr:y>0.12825</cdr:y>
    </cdr:from>
    <cdr:to>
      <cdr:x>0.26164</cdr:x>
      <cdr:y>0.12825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4AD8D3C9-D6E2-4D53-B83A-097E91706BA1}"/>
            </a:ext>
          </a:extLst>
        </cdr:cNvPr>
        <cdr:cNvCxnSpPr/>
      </cdr:nvCxnSpPr>
      <cdr:spPr>
        <a:xfrm xmlns:a="http://schemas.openxmlformats.org/drawingml/2006/main">
          <a:off x="1730829" y="805542"/>
          <a:ext cx="533399" cy="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0.20713</cdr:x>
      <cdr:y>0.69266</cdr:y>
    </cdr:from>
    <cdr:to>
      <cdr:x>0.71908</cdr:x>
      <cdr:y>0.81629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92502" y="4350645"/>
          <a:ext cx="4430488" cy="776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Note:The slow (linear) loss</a:t>
          </a:r>
          <a:r>
            <a:rPr lang="en-US" sz="1100" baseline="0"/>
            <a:t> of N2O(g) with time suggests that N2O diffusion</a:t>
          </a:r>
        </a:p>
        <a:p xmlns:a="http://schemas.openxmlformats.org/drawingml/2006/main">
          <a:r>
            <a:rPr lang="en-US" sz="1100" baseline="0"/>
            <a:t>in the water, and volatilization at the surface of the water is the rate</a:t>
          </a:r>
        </a:p>
        <a:p xmlns:a="http://schemas.openxmlformats.org/drawingml/2006/main">
          <a:r>
            <a:rPr lang="en-US" sz="1100" baseline="0"/>
            <a:t>limiting process.  We need to wait  at least 10 hours for the N2O(g) to </a:t>
          </a:r>
        </a:p>
        <a:p xmlns:a="http://schemas.openxmlformats.org/drawingml/2006/main">
          <a:r>
            <a:rPr lang="en-US" sz="1100" baseline="0"/>
            <a:t>degass from the test reactors before HA is re-amended. </a:t>
          </a:r>
          <a:endParaRPr lang="en-US" sz="1100"/>
        </a:p>
      </cdr:txBody>
    </cdr:sp>
  </cdr:relSizeAnchor>
  <cdr:relSizeAnchor xmlns:cdr="http://schemas.openxmlformats.org/drawingml/2006/chartDrawing">
    <cdr:from>
      <cdr:x>0.26038</cdr:x>
      <cdr:y>0.09532</cdr:y>
    </cdr:from>
    <cdr:to>
      <cdr:x>0.26164</cdr:x>
      <cdr:y>0.26516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54180C7-4829-4239-BFD1-5E98D9E0FC2B}"/>
            </a:ext>
          </a:extLst>
        </cdr:cNvPr>
        <cdr:cNvCxnSpPr/>
      </cdr:nvCxnSpPr>
      <cdr:spPr>
        <a:xfrm xmlns:a="http://schemas.openxmlformats.org/drawingml/2006/main">
          <a:off x="2253343" y="598714"/>
          <a:ext cx="10886" cy="10668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6379243" cy="8572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0.25217</cdr:x>
      <cdr:y>0.14401</cdr:y>
    </cdr:from>
    <cdr:to>
      <cdr:x>0.43043</cdr:x>
      <cdr:y>0.18608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7128" y="1233052"/>
          <a:ext cx="1136072" cy="360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(17,900-18,100)</a:t>
          </a:r>
        </a:p>
      </cdr:txBody>
    </cdr:sp>
  </cdr:relSizeAnchor>
  <cdr:relSizeAnchor xmlns:cdr="http://schemas.openxmlformats.org/drawingml/2006/chartDrawing">
    <cdr:from>
      <cdr:x>0.42101</cdr:x>
      <cdr:y>0.09169</cdr:y>
    </cdr:from>
    <cdr:to>
      <cdr:x>0.59928</cdr:x>
      <cdr:y>0.13376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83164" y="785091"/>
          <a:ext cx="1136072" cy="360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(19,300-19,700)</a:t>
          </a:r>
        </a:p>
      </cdr:txBody>
    </cdr:sp>
  </cdr:relSizeAnchor>
  <cdr:relSizeAnchor xmlns:cdr="http://schemas.openxmlformats.org/drawingml/2006/chartDrawing">
    <cdr:from>
      <cdr:x>0.59058</cdr:x>
      <cdr:y>0.14186</cdr:y>
    </cdr:from>
    <cdr:to>
      <cdr:x>0.76884</cdr:x>
      <cdr:y>0.18393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763819" y="1214580"/>
          <a:ext cx="1136072" cy="360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(17,700-18,300)</a:t>
          </a:r>
        </a:p>
      </cdr:txBody>
    </cdr:sp>
  </cdr:relSizeAnchor>
  <cdr:relSizeAnchor xmlns:cdr="http://schemas.openxmlformats.org/drawingml/2006/chartDrawing">
    <cdr:from>
      <cdr:x>0.7558</cdr:x>
      <cdr:y>0.04962</cdr:y>
    </cdr:from>
    <cdr:to>
      <cdr:x>0.93406</cdr:x>
      <cdr:y>0.09169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16763" y="424873"/>
          <a:ext cx="1136072" cy="360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(20,100-21,100)</a:t>
          </a:r>
        </a:p>
      </cdr:txBody>
    </cdr:sp>
  </cdr:relSizeAnchor>
  <cdr:relSizeAnchor xmlns:cdr="http://schemas.openxmlformats.org/drawingml/2006/chartDrawing">
    <cdr:from>
      <cdr:x>0.17174</cdr:x>
      <cdr:y>0.00162</cdr:y>
    </cdr:from>
    <cdr:to>
      <cdr:x>0.31522</cdr:x>
      <cdr:y>0.06149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094509" y="13855"/>
          <a:ext cx="914400" cy="512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Pre-application</a:t>
          </a:r>
        </a:p>
        <a:p xmlns:a="http://schemas.openxmlformats.org/drawingml/2006/main">
          <a:r>
            <a:rPr lang="en-US" sz="1200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Avg. pH = 6.8</a:t>
          </a:r>
        </a:p>
      </cdr:txBody>
    </cdr:sp>
  </cdr:relSizeAnchor>
  <cdr:relSizeAnchor xmlns:cdr="http://schemas.openxmlformats.org/drawingml/2006/chartDrawing">
    <cdr:from>
      <cdr:x>0.5058</cdr:x>
      <cdr:y>0.00108</cdr:y>
    </cdr:from>
    <cdr:to>
      <cdr:x>0.64928</cdr:x>
      <cdr:y>0.04315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223492" y="9236"/>
          <a:ext cx="914400" cy="3602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Post-2nd application</a:t>
          </a:r>
        </a:p>
        <a:p xmlns:a="http://schemas.openxmlformats.org/drawingml/2006/main">
          <a:r>
            <a:rPr lang="en-US" sz="1200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Avg. pH = 6.1</a:t>
          </a:r>
        </a:p>
      </cdr:txBody>
    </cdr:sp>
  </cdr:relSizeAnchor>
  <cdr:relSizeAnchor xmlns:cdr="http://schemas.openxmlformats.org/drawingml/2006/chartDrawing">
    <cdr:from>
      <cdr:x>0.77101</cdr:x>
      <cdr:y>0.0027</cdr:y>
    </cdr:from>
    <cdr:to>
      <cdr:x>0.97826</cdr:x>
      <cdr:y>0.04531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3745" y="23089"/>
          <a:ext cx="1320800" cy="364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Post-4th application</a:t>
          </a:r>
        </a:p>
        <a:p xmlns:a="http://schemas.openxmlformats.org/drawingml/2006/main">
          <a:r>
            <a:rPr lang="en-US" sz="1200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Avg. pH = 6.5</a:t>
          </a:r>
        </a:p>
      </cdr:txBody>
    </cdr:sp>
  </cdr:relSizeAnchor>
  <cdr:relSizeAnchor xmlns:cdr="http://schemas.openxmlformats.org/drawingml/2006/chartDrawing">
    <cdr:from>
      <cdr:x>0.24565</cdr:x>
      <cdr:y>0.04693</cdr:y>
    </cdr:from>
    <cdr:to>
      <cdr:x>0.24783</cdr:x>
      <cdr:y>0.1068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5770D41D-DBD7-4932-A185-9551B59F4D7B}"/>
            </a:ext>
          </a:extLst>
        </cdr:cNvPr>
        <cdr:cNvCxnSpPr/>
      </cdr:nvCxnSpPr>
      <cdr:spPr>
        <a:xfrm xmlns:a="http://schemas.openxmlformats.org/drawingml/2006/main" flipH="1">
          <a:off x="1565563" y="401782"/>
          <a:ext cx="13855" cy="512618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0000FF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0.9558</cdr:x>
      <cdr:y>0.04477</cdr:y>
    </cdr:from>
    <cdr:to>
      <cdr:x>0.95797</cdr:x>
      <cdr:y>0.10464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5F4055C4-47F2-4882-A298-3AD4062BE8BA}"/>
            </a:ext>
          </a:extLst>
        </cdr:cNvPr>
        <cdr:cNvCxnSpPr/>
      </cdr:nvCxnSpPr>
      <cdr:spPr>
        <a:xfrm xmlns:a="http://schemas.openxmlformats.org/drawingml/2006/main" flipH="1">
          <a:off x="6091382" y="383309"/>
          <a:ext cx="13855" cy="512618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0000FF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0.60362</cdr:x>
      <cdr:y>0.04962</cdr:y>
    </cdr:from>
    <cdr:to>
      <cdr:x>0.6058</cdr:x>
      <cdr:y>0.10949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FE6247FD-85D3-4F1E-BE5D-BCE92FDA5214}"/>
            </a:ext>
          </a:extLst>
        </cdr:cNvPr>
        <cdr:cNvCxnSpPr/>
      </cdr:nvCxnSpPr>
      <cdr:spPr>
        <a:xfrm xmlns:a="http://schemas.openxmlformats.org/drawingml/2006/main" flipH="1">
          <a:off x="3846945" y="424872"/>
          <a:ext cx="13855" cy="512618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0000FF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0.28428</cdr:x>
      <cdr:y>0.18564</cdr:y>
    </cdr:from>
    <cdr:to>
      <cdr:x>0.39295</cdr:x>
      <cdr:y>0.21264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1824182" y="1593272"/>
          <a:ext cx="697346" cy="23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(88.2%)</a:t>
          </a:r>
        </a:p>
      </cdr:txBody>
    </cdr:sp>
  </cdr:relSizeAnchor>
  <cdr:relSizeAnchor xmlns:cdr="http://schemas.openxmlformats.org/drawingml/2006/chartDrawing">
    <cdr:from>
      <cdr:x>0.45053</cdr:x>
      <cdr:y>0.1356</cdr:y>
    </cdr:from>
    <cdr:to>
      <cdr:x>0.5592</cdr:x>
      <cdr:y>0.1626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890982" y="1163782"/>
          <a:ext cx="697346" cy="23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(91.5%)</a:t>
          </a:r>
        </a:p>
      </cdr:txBody>
    </cdr:sp>
  </cdr:relSizeAnchor>
  <cdr:relSizeAnchor xmlns:cdr="http://schemas.openxmlformats.org/drawingml/2006/chartDrawing">
    <cdr:from>
      <cdr:x>0.6211</cdr:x>
      <cdr:y>0.17219</cdr:y>
    </cdr:from>
    <cdr:to>
      <cdr:x>0.72977</cdr:x>
      <cdr:y>0.19919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985492" y="1477818"/>
          <a:ext cx="697346" cy="23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(84.4%)</a:t>
          </a:r>
        </a:p>
      </cdr:txBody>
    </cdr:sp>
  </cdr:relSizeAnchor>
  <cdr:relSizeAnchor xmlns:cdr="http://schemas.openxmlformats.org/drawingml/2006/chartDrawing">
    <cdr:from>
      <cdr:x>0.78951</cdr:x>
      <cdr:y>0.08502</cdr:y>
    </cdr:from>
    <cdr:to>
      <cdr:x>0.89818</cdr:x>
      <cdr:y>0.11202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066146" y="729673"/>
          <a:ext cx="697346" cy="231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(96.7%)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0.15179</cdr:x>
      <cdr:y>0.83601</cdr:y>
    </cdr:from>
    <cdr:to>
      <cdr:x>0.24151</cdr:x>
      <cdr:y>0.94454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3652" y="5251016"/>
          <a:ext cx="776405" cy="681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 baseline="30000">
              <a:latin typeface="Times New Roman" panose="02020603050405020304" pitchFamily="18" charset="0"/>
              <a:cs typeface="Times New Roman" panose="02020603050405020304" pitchFamily="18" charset="0"/>
            </a:rPr>
            <a:t>-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 +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en-US" sz="1600" baseline="30000">
              <a:latin typeface="Times New Roman" panose="02020603050405020304" pitchFamily="18" charset="0"/>
              <a:cs typeface="Times New Roman" panose="02020603050405020304" pitchFamily="18" charset="0"/>
            </a:rPr>
            <a:t>-</a:t>
          </a:r>
        </a:p>
      </cdr:txBody>
    </cdr:sp>
  </cdr:relSizeAnchor>
  <cdr:relSizeAnchor xmlns:cdr="http://schemas.openxmlformats.org/drawingml/2006/chartDrawing">
    <cdr:from>
      <cdr:x>0.2782</cdr:x>
      <cdr:y>0.8389</cdr:y>
    </cdr:from>
    <cdr:to>
      <cdr:x>0.37484</cdr:x>
      <cdr:y>0.91333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407598" y="5269169"/>
          <a:ext cx="836345" cy="467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 baseline="0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(g) 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+ 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 (aq)</a:t>
          </a:r>
        </a:p>
      </cdr:txBody>
    </cdr:sp>
  </cdr:relSizeAnchor>
  <cdr:relSizeAnchor xmlns:cdr="http://schemas.openxmlformats.org/drawingml/2006/chartDrawing">
    <cdr:from>
      <cdr:x>0.40307</cdr:x>
      <cdr:y>0.83542</cdr:y>
    </cdr:from>
    <cdr:to>
      <cdr:x>0.49811</cdr:x>
      <cdr:y>0.90985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488251" y="5247337"/>
          <a:ext cx="822493" cy="467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Total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Nitrogen</a:t>
          </a:r>
          <a:endParaRPr lang="en-US" sz="16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0.54675</cdr:x>
      <cdr:y>0.83824</cdr:y>
    </cdr:from>
    <cdr:to>
      <cdr:x>0.63647</cdr:x>
      <cdr:y>0.94678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731657" y="5265057"/>
          <a:ext cx="776405" cy="681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 baseline="30000">
              <a:latin typeface="Times New Roman" panose="02020603050405020304" pitchFamily="18" charset="0"/>
              <a:cs typeface="Times New Roman" panose="02020603050405020304" pitchFamily="18" charset="0"/>
            </a:rPr>
            <a:t>-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 +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en-US" sz="1600" baseline="30000">
              <a:latin typeface="Times New Roman" panose="02020603050405020304" pitchFamily="18" charset="0"/>
              <a:cs typeface="Times New Roman" panose="02020603050405020304" pitchFamily="18" charset="0"/>
            </a:rPr>
            <a:t>-</a:t>
          </a:r>
        </a:p>
      </cdr:txBody>
    </cdr:sp>
  </cdr:relSizeAnchor>
  <cdr:relSizeAnchor xmlns:cdr="http://schemas.openxmlformats.org/drawingml/2006/chartDrawing">
    <cdr:from>
      <cdr:x>0.66122</cdr:x>
      <cdr:y>0.84171</cdr:y>
    </cdr:from>
    <cdr:to>
      <cdr:x>0.75786</cdr:x>
      <cdr:y>0.91614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722258" y="5286828"/>
          <a:ext cx="836345" cy="467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 baseline="0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(g) 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+ 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 (aq)</a:t>
          </a:r>
        </a:p>
      </cdr:txBody>
    </cdr:sp>
  </cdr:relSizeAnchor>
  <cdr:relSizeAnchor xmlns:cdr="http://schemas.openxmlformats.org/drawingml/2006/chartDrawing">
    <cdr:from>
      <cdr:x>0.79706</cdr:x>
      <cdr:y>0.84518</cdr:y>
    </cdr:from>
    <cdr:to>
      <cdr:x>0.89211</cdr:x>
      <cdr:y>0.91961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897914" y="5308600"/>
          <a:ext cx="822493" cy="467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Total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Nitrogen</a:t>
          </a:r>
          <a:endParaRPr lang="en-US" sz="16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0.16855</cdr:x>
      <cdr:y>0.06239</cdr:y>
    </cdr:from>
    <cdr:to>
      <cdr:x>0.3761</cdr:x>
      <cdr:y>0.12305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58684" y="391886"/>
          <a:ext cx="17961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rgbClr val="0000FF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Pyrolusite-amended</a:t>
          </a:r>
        </a:p>
      </cdr:txBody>
    </cdr:sp>
  </cdr:relSizeAnchor>
  <cdr:relSizeAnchor xmlns:cdr="http://schemas.openxmlformats.org/drawingml/2006/chartDrawing">
    <cdr:from>
      <cdr:x>0.62222</cdr:x>
      <cdr:y>0.62507</cdr:y>
    </cdr:from>
    <cdr:to>
      <cdr:x>0.82977</cdr:x>
      <cdr:y>0.68573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384799" y="3926115"/>
          <a:ext cx="17961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Goethite-amended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0.28387</cdr:x>
      <cdr:y>0.84814</cdr:y>
    </cdr:from>
    <cdr:to>
      <cdr:x>0.42581</cdr:x>
      <cdr:y>0.92257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0169" y="5334000"/>
          <a:ext cx="1230086" cy="468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 baseline="30000">
              <a:latin typeface="Times New Roman" panose="02020603050405020304" pitchFamily="18" charset="0"/>
              <a:cs typeface="Times New Roman" panose="02020603050405020304" pitchFamily="18" charset="0"/>
            </a:rPr>
            <a:t>-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 + 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en-US" sz="1600" baseline="30000">
              <a:latin typeface="Times New Roman" panose="02020603050405020304" pitchFamily="18" charset="0"/>
              <a:cs typeface="Times New Roman" panose="02020603050405020304" pitchFamily="18" charset="0"/>
            </a:rPr>
            <a:t>-</a:t>
          </a:r>
        </a:p>
      </cdr:txBody>
    </cdr:sp>
  </cdr:relSizeAnchor>
  <cdr:relSizeAnchor xmlns:cdr="http://schemas.openxmlformats.org/drawingml/2006/chartDrawing">
    <cdr:from>
      <cdr:x>0.43795</cdr:x>
      <cdr:y>0.85103</cdr:y>
    </cdr:from>
    <cdr:to>
      <cdr:x>0.61171</cdr:x>
      <cdr:y>0.92546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795485" y="5352142"/>
          <a:ext cx="1505857" cy="468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 baseline="0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(g) 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+ N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 (aq)</a:t>
          </a:r>
        </a:p>
      </cdr:txBody>
    </cdr:sp>
  </cdr:relSizeAnchor>
  <cdr:relSizeAnchor xmlns:cdr="http://schemas.openxmlformats.org/drawingml/2006/chartDrawing">
    <cdr:from>
      <cdr:x>0.61062</cdr:x>
      <cdr:y>0.85622</cdr:y>
    </cdr:from>
    <cdr:to>
      <cdr:x>0.75255</cdr:x>
      <cdr:y>0.93065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91908" y="5384799"/>
          <a:ext cx="1230086" cy="468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Total Nitrogen</a:t>
          </a:r>
          <a:endParaRPr lang="en-US" sz="16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0.55772</cdr:x>
      <cdr:y>0.64786</cdr:y>
    </cdr:from>
    <cdr:to>
      <cdr:x>0.83315</cdr:x>
      <cdr:y>0.70646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35246" y="4074036"/>
          <a:ext cx="2387894" cy="368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Day 1 Reaction</a:t>
          </a:r>
          <a:r>
            <a:rPr lang="en-US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Period</a:t>
          </a:r>
          <a:endParaRPr 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0.14698</cdr:x>
      <cdr:y>0.02836</cdr:y>
    </cdr:from>
    <cdr:to>
      <cdr:x>0.37638</cdr:x>
      <cdr:y>0.09641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3974" y="178607"/>
          <a:ext cx="1988381" cy="428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Goethite (</a:t>
          </a:r>
          <a:r>
            <a:rPr lang="el-GR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α</a:t>
          </a:r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-FeOOH)</a:t>
          </a:r>
          <a:endParaRPr lang="en-US" sz="1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0.15659</cdr:x>
      <cdr:y>0.01513</cdr:y>
    </cdr:from>
    <cdr:to>
      <cdr:x>0.48489</cdr:x>
      <cdr:y>0.08318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57283" y="95266"/>
          <a:ext cx="2845622" cy="428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Ferrihydrite (amorphous FeOOH)</a:t>
          </a:r>
        </a:p>
        <a:p xmlns:a="http://schemas.openxmlformats.org/drawingml/2006/main"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0.56478</cdr:x>
      <cdr:y>0.13865</cdr:y>
    </cdr:from>
    <cdr:to>
      <cdr:x>0.87421</cdr:x>
      <cdr:y>0.82322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887685" y="870857"/>
          <a:ext cx="2677886" cy="4299857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>
            <a:alpha val="10000"/>
          </a:srgbClr>
        </a:solidFill>
        <a:ln xmlns:a="http://schemas.openxmlformats.org/drawingml/2006/main">
          <a:solidFill>
            <a:srgbClr val="0000F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0.61761</cdr:x>
      <cdr:y>0.34489</cdr:y>
    </cdr:from>
    <cdr:to>
      <cdr:x>0.86415</cdr:x>
      <cdr:y>0.5338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4886" y="2166274"/>
          <a:ext cx="2133599" cy="1186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HA reaction complete</a:t>
          </a:r>
        </a:p>
        <a:p xmlns:a="http://schemas.openxmlformats.org/drawingml/2006/main">
          <a:r>
            <a:rPr lang="en-US" sz="1400"/>
            <a:t>N</a:t>
          </a:r>
          <a:r>
            <a:rPr lang="en-US" sz="1400" baseline="-25000"/>
            <a:t>2</a:t>
          </a:r>
          <a:r>
            <a:rPr lang="en-US" sz="1400"/>
            <a:t>O(g) equilibrium;</a:t>
          </a:r>
          <a:r>
            <a:rPr lang="en-US" sz="1400" baseline="0"/>
            <a:t> </a:t>
          </a:r>
          <a:endParaRPr lang="en-US" sz="1400"/>
        </a:p>
        <a:p xmlns:a="http://schemas.openxmlformats.org/drawingml/2006/main">
          <a:r>
            <a:rPr lang="en-US" sz="1400"/>
            <a:t>[NO</a:t>
          </a:r>
          <a:r>
            <a:rPr lang="en-US" sz="1400" baseline="-25000"/>
            <a:t>2</a:t>
          </a:r>
          <a:r>
            <a:rPr lang="en-US" sz="1400" baseline="30000"/>
            <a:t>-</a:t>
          </a:r>
          <a:r>
            <a:rPr lang="en-US" sz="1400"/>
            <a:t>] = 6.7 mg/L;</a:t>
          </a:r>
        </a:p>
        <a:p xmlns:a="http://schemas.openxmlformats.org/drawingml/2006/main">
          <a:r>
            <a:rPr lang="en-US" sz="1400"/>
            <a:t>[ NO</a:t>
          </a:r>
          <a:r>
            <a:rPr lang="en-US" sz="1400" baseline="-25000"/>
            <a:t>3</a:t>
          </a:r>
          <a:r>
            <a:rPr lang="en-US" sz="1400" baseline="30000"/>
            <a:t>-</a:t>
          </a:r>
          <a:r>
            <a:rPr lang="en-US" sz="1400"/>
            <a:t>]= 0.1 mg/L</a:t>
          </a:r>
        </a:p>
      </cdr:txBody>
    </cdr:sp>
  </cdr:relSizeAnchor>
  <cdr:relSizeAnchor xmlns:cdr="http://schemas.openxmlformats.org/drawingml/2006/chartDrawing">
    <cdr:from>
      <cdr:x>0.56604</cdr:x>
      <cdr:y>0.37262</cdr:y>
    </cdr:from>
    <cdr:to>
      <cdr:x>0.61887</cdr:x>
      <cdr:y>0.37262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8D2B9E6A-9D56-461B-9689-0D90466CCEA1}"/>
            </a:ext>
          </a:extLst>
        </cdr:cNvPr>
        <cdr:cNvCxnSpPr/>
      </cdr:nvCxnSpPr>
      <cdr:spPr>
        <a:xfrm xmlns:a="http://schemas.openxmlformats.org/drawingml/2006/main" flipH="1">
          <a:off x="4898572" y="2340429"/>
          <a:ext cx="457199" cy="0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0000FF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0.81384</cdr:x>
      <cdr:y>0.36742</cdr:y>
    </cdr:from>
    <cdr:to>
      <cdr:x>0.87547</cdr:x>
      <cdr:y>0.36742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D5E6931F-8065-4252-B8BE-C329E91018ED}"/>
            </a:ext>
          </a:extLst>
        </cdr:cNvPr>
        <cdr:cNvCxnSpPr/>
      </cdr:nvCxnSpPr>
      <cdr:spPr>
        <a:xfrm xmlns:a="http://schemas.openxmlformats.org/drawingml/2006/main">
          <a:off x="7043057" y="2307771"/>
          <a:ext cx="533400" cy="1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0000FF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</cdr:x>
      <cdr:y>0.13941</cdr:y>
    </cdr:from>
    <cdr:to>
      <cdr:x>0.89434</cdr:x>
      <cdr:y>0.82149</cdr:y>
    </cdr:to>
    <cdr:sp macro="" textlink="">
      <cdr:nvSpPr>
        <cdr:cNvPr id="2" name="Freeform 1"/>
        <cdr:cNvSpPr/>
      </cdr:nvSpPr>
      <cdr:spPr>
        <a:xfrm xmlns:a="http://schemas.openxmlformats.org/drawingml/2006/main">
          <a:off x="1730829" y="875613"/>
          <a:ext cx="6008914" cy="4284216"/>
        </a:xfrm>
        <a:custGeom xmlns:a="http://schemas.openxmlformats.org/drawingml/2006/main">
          <a:avLst/>
          <a:gdLst>
            <a:gd name="connsiteX0" fmla="*/ 0 w 6008914"/>
            <a:gd name="connsiteY0" fmla="*/ 4284216 h 4284216"/>
            <a:gd name="connsiteX1" fmla="*/ 478971 w 6008914"/>
            <a:gd name="connsiteY1" fmla="*/ 1377730 h 4284216"/>
            <a:gd name="connsiteX2" fmla="*/ 1807028 w 6008914"/>
            <a:gd name="connsiteY2" fmla="*/ 278273 h 4284216"/>
            <a:gd name="connsiteX3" fmla="*/ 3222171 w 6008914"/>
            <a:gd name="connsiteY3" fmla="*/ 27901 h 4284216"/>
            <a:gd name="connsiteX4" fmla="*/ 6008914 w 6008914"/>
            <a:gd name="connsiteY4" fmla="*/ 6130 h 4284216"/>
            <a:gd name="connsiteX5" fmla="*/ 6008914 w 6008914"/>
            <a:gd name="connsiteY5" fmla="*/ 6130 h 4284216"/>
            <a:gd name="connsiteX6" fmla="*/ 6008914 w 6008914"/>
            <a:gd name="connsiteY6" fmla="*/ 6130 h 42842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008914" h="4284216">
              <a:moveTo>
                <a:pt x="0" y="4284216"/>
              </a:moveTo>
              <a:cubicBezTo>
                <a:pt x="88900" y="3164801"/>
                <a:pt x="177800" y="2045387"/>
                <a:pt x="478971" y="1377730"/>
              </a:cubicBezTo>
              <a:cubicBezTo>
                <a:pt x="780142" y="710073"/>
                <a:pt x="1349828" y="503244"/>
                <a:pt x="1807028" y="278273"/>
              </a:cubicBezTo>
              <a:cubicBezTo>
                <a:pt x="2264228" y="53302"/>
                <a:pt x="2521857" y="73258"/>
                <a:pt x="3222171" y="27901"/>
              </a:cubicBezTo>
              <a:cubicBezTo>
                <a:pt x="3922485" y="-17456"/>
                <a:pt x="6008914" y="6130"/>
                <a:pt x="6008914" y="6130"/>
              </a:cubicBezTo>
              <a:lnTo>
                <a:pt x="6008914" y="6130"/>
              </a:lnTo>
              <a:lnTo>
                <a:pt x="6008914" y="6130"/>
              </a:lnTo>
            </a:path>
          </a:pathLst>
        </a:custGeom>
        <a:noFill xmlns:a="http://schemas.openxmlformats.org/drawingml/2006/main"/>
        <a:ln xmlns:a="http://schemas.openxmlformats.org/drawingml/2006/main" w="19050">
          <a:solidFill>
            <a:srgbClr val="0000FF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0.26625</cdr:x>
      <cdr:y>0.57481</cdr:y>
    </cdr:from>
    <cdr:to>
      <cdr:x>0.44277</cdr:x>
      <cdr:y>0.65338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04142" y="3610429"/>
          <a:ext cx="1527629" cy="493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MnO</a:t>
          </a:r>
          <a:r>
            <a:rPr lang="en-US" sz="16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(s) (Pyrolusite)</a:t>
          </a:r>
        </a:p>
        <a:p xmlns:a="http://schemas.openxmlformats.org/drawingml/2006/main"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 catalyzed reaction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abSelected="1" zoomScale="80" zoomScaleNormal="80" workbookViewId="0">
      <selection activeCell="L33" sqref="L33"/>
    </sheetView>
  </sheetViews>
  <sheetFormatPr defaultRowHeight="15" x14ac:dyDescent="0.25"/>
  <cols>
    <col min="1" max="1" width="9" customWidth="1"/>
    <col min="2" max="2" width="11.28515625" customWidth="1"/>
    <col min="4" max="4" width="13.42578125" customWidth="1"/>
    <col min="5" max="5" width="18.7109375" customWidth="1"/>
    <col min="6" max="6" width="11.42578125" customWidth="1"/>
    <col min="7" max="7" width="8.85546875" customWidth="1"/>
    <col min="8" max="8" width="13.28515625" customWidth="1"/>
    <col min="9" max="9" width="10.42578125" customWidth="1"/>
    <col min="10" max="10" width="14.7109375" customWidth="1"/>
    <col min="11" max="11" width="12.42578125" customWidth="1"/>
    <col min="12" max="12" width="18.42578125" customWidth="1"/>
    <col min="13" max="13" width="14.7109375" customWidth="1"/>
    <col min="15" max="15" width="11.28515625" customWidth="1"/>
    <col min="16" max="16" width="17.5703125" customWidth="1"/>
    <col min="17" max="17" width="11.140625" customWidth="1"/>
    <col min="20" max="20" width="16.42578125" customWidth="1"/>
    <col min="21" max="21" width="17.140625" customWidth="1"/>
    <col min="22" max="22" width="15.28515625" customWidth="1"/>
    <col min="23" max="23" width="14.85546875" bestFit="1" customWidth="1"/>
    <col min="24" max="24" width="11.28515625" customWidth="1"/>
    <col min="25" max="25" width="13.42578125" customWidth="1"/>
    <col min="28" max="28" width="14.28515625" customWidth="1"/>
  </cols>
  <sheetData>
    <row r="1" spans="1:34" x14ac:dyDescent="0.25">
      <c r="A1" s="76" t="s">
        <v>325</v>
      </c>
      <c r="B1" s="61"/>
      <c r="C1" s="61"/>
      <c r="D1" s="61"/>
      <c r="E1" s="61"/>
      <c r="F1" s="61"/>
      <c r="G1" s="61"/>
      <c r="H1" s="61"/>
      <c r="I1" s="76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x14ac:dyDescent="0.25">
      <c r="A2" s="76" t="s">
        <v>48</v>
      </c>
      <c r="B2" s="61"/>
      <c r="C2" s="61"/>
      <c r="D2" s="61"/>
      <c r="E2" s="61"/>
      <c r="F2" s="61"/>
      <c r="G2" s="61"/>
      <c r="H2" s="61"/>
      <c r="I2" s="76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x14ac:dyDescent="0.25">
      <c r="A3" s="61" t="s">
        <v>49</v>
      </c>
      <c r="B3" s="61"/>
      <c r="C3" s="61"/>
      <c r="D3" s="61"/>
      <c r="E3" s="61"/>
      <c r="F3" s="61"/>
      <c r="G3" s="61"/>
      <c r="H3" s="61"/>
      <c r="I3" s="77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 t="s">
        <v>179</v>
      </c>
      <c r="Z3" s="61"/>
      <c r="AA3" s="61"/>
      <c r="AB3" s="61"/>
      <c r="AC3" s="61"/>
      <c r="AD3" s="61"/>
      <c r="AE3" s="61"/>
      <c r="AF3" s="61"/>
      <c r="AG3" s="61"/>
      <c r="AH3" s="61"/>
    </row>
    <row r="4" spans="1:34" x14ac:dyDescent="0.25">
      <c r="A4" s="61" t="s">
        <v>18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x14ac:dyDescent="0.25">
      <c r="A5" s="61" t="s">
        <v>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76" t="s">
        <v>153</v>
      </c>
      <c r="Z5" s="68" t="s">
        <v>154</v>
      </c>
      <c r="AA5" s="61"/>
      <c r="AB5" s="62" t="s">
        <v>177</v>
      </c>
      <c r="AC5" s="61"/>
      <c r="AD5" s="61"/>
      <c r="AE5" s="61"/>
      <c r="AF5" s="61"/>
      <c r="AG5" s="61"/>
      <c r="AH5" s="61"/>
    </row>
    <row r="6" spans="1:34" x14ac:dyDescent="0.25">
      <c r="A6" s="61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2" t="s">
        <v>55</v>
      </c>
      <c r="L6" s="61"/>
      <c r="M6" s="68" t="s">
        <v>46</v>
      </c>
      <c r="N6" s="68" t="s">
        <v>24</v>
      </c>
      <c r="O6" s="68" t="s">
        <v>24</v>
      </c>
      <c r="P6" s="61" t="s">
        <v>41</v>
      </c>
      <c r="Q6" s="68" t="s">
        <v>42</v>
      </c>
      <c r="R6" s="61"/>
      <c r="S6" s="61"/>
      <c r="T6" s="68" t="s">
        <v>54</v>
      </c>
      <c r="U6" s="61"/>
      <c r="V6" s="68" t="s">
        <v>59</v>
      </c>
      <c r="W6" s="68" t="s">
        <v>60</v>
      </c>
      <c r="X6" s="61"/>
      <c r="Y6" s="68" t="s">
        <v>150</v>
      </c>
      <c r="Z6" s="68" t="s">
        <v>155</v>
      </c>
      <c r="AA6" s="61"/>
      <c r="AB6" s="62" t="s">
        <v>155</v>
      </c>
      <c r="AC6" s="61"/>
      <c r="AD6" s="61"/>
      <c r="AE6" s="61"/>
      <c r="AF6" s="61"/>
      <c r="AG6" s="61"/>
      <c r="AH6" s="61"/>
    </row>
    <row r="7" spans="1:34" x14ac:dyDescent="0.25">
      <c r="A7" s="61"/>
      <c r="B7" s="61"/>
      <c r="C7" s="62" t="s">
        <v>40</v>
      </c>
      <c r="D7" s="62" t="s">
        <v>51</v>
      </c>
      <c r="E7" s="62" t="s">
        <v>51</v>
      </c>
      <c r="F7" s="61"/>
      <c r="G7" s="61"/>
      <c r="H7" s="61"/>
      <c r="I7" s="68"/>
      <c r="J7" s="68" t="s">
        <v>24</v>
      </c>
      <c r="K7" s="68" t="s">
        <v>32</v>
      </c>
      <c r="L7" s="68" t="s">
        <v>34</v>
      </c>
      <c r="M7" s="68" t="s">
        <v>45</v>
      </c>
      <c r="N7" s="68" t="s">
        <v>28</v>
      </c>
      <c r="O7" s="68" t="s">
        <v>33</v>
      </c>
      <c r="P7" s="68" t="s">
        <v>44</v>
      </c>
      <c r="Q7" s="68" t="s">
        <v>43</v>
      </c>
      <c r="R7" s="68" t="s">
        <v>10</v>
      </c>
      <c r="S7" s="68" t="s">
        <v>12</v>
      </c>
      <c r="T7" s="68" t="s">
        <v>24</v>
      </c>
      <c r="U7" s="68" t="s">
        <v>56</v>
      </c>
      <c r="V7" s="68" t="s">
        <v>10</v>
      </c>
      <c r="W7" s="68" t="s">
        <v>25</v>
      </c>
      <c r="X7" s="68" t="s">
        <v>14</v>
      </c>
      <c r="Y7" s="68" t="s">
        <v>151</v>
      </c>
      <c r="Z7" s="68" t="s">
        <v>156</v>
      </c>
      <c r="AA7" s="61"/>
      <c r="AB7" s="62" t="s">
        <v>178</v>
      </c>
      <c r="AC7" s="61"/>
      <c r="AD7" s="61"/>
      <c r="AE7" s="61"/>
      <c r="AF7" s="61"/>
      <c r="AG7" s="61"/>
      <c r="AH7" s="61"/>
    </row>
    <row r="8" spans="1:34" x14ac:dyDescent="0.25">
      <c r="A8" s="62" t="s">
        <v>6</v>
      </c>
      <c r="B8" s="62" t="s">
        <v>17</v>
      </c>
      <c r="C8" s="62" t="s">
        <v>47</v>
      </c>
      <c r="D8" s="62" t="s">
        <v>50</v>
      </c>
      <c r="E8" s="62" t="s">
        <v>39</v>
      </c>
      <c r="F8" s="62" t="s">
        <v>21</v>
      </c>
      <c r="G8" s="62" t="s">
        <v>3</v>
      </c>
      <c r="H8" s="62" t="s">
        <v>19</v>
      </c>
      <c r="I8" s="68" t="s">
        <v>38</v>
      </c>
      <c r="J8" s="68" t="s">
        <v>38</v>
      </c>
      <c r="K8" s="68" t="s">
        <v>36</v>
      </c>
      <c r="L8" s="68" t="s">
        <v>37</v>
      </c>
      <c r="M8" s="68" t="s">
        <v>30</v>
      </c>
      <c r="N8" s="68" t="s">
        <v>29</v>
      </c>
      <c r="O8" s="68" t="s">
        <v>29</v>
      </c>
      <c r="P8" s="68" t="s">
        <v>43</v>
      </c>
      <c r="Q8" s="68" t="s">
        <v>30</v>
      </c>
      <c r="R8" s="68" t="s">
        <v>26</v>
      </c>
      <c r="S8" s="68" t="s">
        <v>31</v>
      </c>
      <c r="T8" s="68" t="s">
        <v>36</v>
      </c>
      <c r="U8" s="68" t="s">
        <v>57</v>
      </c>
      <c r="V8" s="68" t="s">
        <v>39</v>
      </c>
      <c r="W8" s="68" t="s">
        <v>39</v>
      </c>
      <c r="X8" s="68" t="s">
        <v>62</v>
      </c>
      <c r="Y8" s="68" t="s">
        <v>152</v>
      </c>
      <c r="Z8" s="68" t="s">
        <v>22</v>
      </c>
      <c r="AA8" s="61"/>
      <c r="AB8" s="61"/>
      <c r="AC8" s="61"/>
      <c r="AD8" s="61"/>
      <c r="AE8" s="61"/>
      <c r="AF8" s="61"/>
      <c r="AG8" s="61"/>
      <c r="AH8" s="61"/>
    </row>
    <row r="9" spans="1:34" ht="17.25" x14ac:dyDescent="0.25">
      <c r="A9" s="62"/>
      <c r="B9" s="62" t="s">
        <v>11</v>
      </c>
      <c r="C9" s="62" t="s">
        <v>5</v>
      </c>
      <c r="D9" s="62"/>
      <c r="E9" s="62"/>
      <c r="F9" s="62" t="s">
        <v>20</v>
      </c>
      <c r="G9" s="62" t="s">
        <v>0</v>
      </c>
      <c r="H9" s="62" t="s">
        <v>0</v>
      </c>
      <c r="I9" s="68" t="s">
        <v>23</v>
      </c>
      <c r="J9" s="68" t="s">
        <v>27</v>
      </c>
      <c r="K9" s="68" t="s">
        <v>11</v>
      </c>
      <c r="L9" s="68" t="s">
        <v>11</v>
      </c>
      <c r="M9" s="68" t="s">
        <v>13</v>
      </c>
      <c r="N9" s="68" t="s">
        <v>13</v>
      </c>
      <c r="O9" s="68" t="s">
        <v>13</v>
      </c>
      <c r="P9" s="68" t="s">
        <v>11</v>
      </c>
      <c r="Q9" s="68" t="s">
        <v>13</v>
      </c>
      <c r="R9" s="68" t="s">
        <v>13</v>
      </c>
      <c r="S9" s="68" t="s">
        <v>4</v>
      </c>
      <c r="T9" s="68" t="s">
        <v>11</v>
      </c>
      <c r="U9" s="68" t="s">
        <v>58</v>
      </c>
      <c r="V9" s="68" t="s">
        <v>61</v>
      </c>
      <c r="W9" s="68" t="s">
        <v>61</v>
      </c>
      <c r="X9" s="68" t="s">
        <v>61</v>
      </c>
      <c r="Y9" s="68" t="s">
        <v>4</v>
      </c>
      <c r="Z9" s="68" t="s">
        <v>4</v>
      </c>
      <c r="AA9" s="61"/>
      <c r="AB9" s="68" t="s">
        <v>4</v>
      </c>
      <c r="AC9" s="61"/>
      <c r="AD9" s="61"/>
      <c r="AE9" s="61"/>
      <c r="AF9" s="61"/>
      <c r="AG9" s="61"/>
      <c r="AH9" s="61"/>
    </row>
    <row r="10" spans="1:34" x14ac:dyDescent="0.25">
      <c r="A10" s="62">
        <v>1</v>
      </c>
      <c r="B10" s="62">
        <v>50</v>
      </c>
      <c r="C10" s="62">
        <v>7.0300000000000001E-2</v>
      </c>
      <c r="D10" s="78">
        <v>42689</v>
      </c>
      <c r="E10" s="71">
        <v>42689.652777777781</v>
      </c>
      <c r="F10" s="72">
        <v>33.5</v>
      </c>
      <c r="G10" s="72">
        <v>1.5</v>
      </c>
      <c r="H10" s="72">
        <f>F10+G10</f>
        <v>35</v>
      </c>
      <c r="I10" s="65">
        <v>1820.88</v>
      </c>
      <c r="J10" s="65">
        <f t="shared" ref="J10:J26" si="0">(I10/1000000)*(1/22.71)*(44.01)*(1000000)</f>
        <v>3528.7066842800527</v>
      </c>
      <c r="K10" s="62">
        <v>3.8800000000000001E-2</v>
      </c>
      <c r="L10" s="72">
        <v>0</v>
      </c>
      <c r="M10" s="66">
        <f t="shared" ref="M10:M13" si="1">(J10)*(1/44.01)*(2*14*25)/(1000000)</f>
        <v>5.6125759577278722E-2</v>
      </c>
      <c r="N10" s="62">
        <f>(H10*K10/1000)</f>
        <v>1.358E-3</v>
      </c>
      <c r="O10" s="66">
        <f>(H10*L10/1000)</f>
        <v>0</v>
      </c>
      <c r="P10" s="62">
        <v>4.3600000000000003</v>
      </c>
      <c r="Q10" s="66">
        <f>(P10)*(1/44.01)*(2*14)*(0.0365)</f>
        <v>0.10124789820495342</v>
      </c>
      <c r="R10" s="62">
        <f t="shared" ref="R10:R16" si="2">(B10*F10/1000)</f>
        <v>1.675</v>
      </c>
      <c r="S10" s="74">
        <f>((M10+N10+O10+Q10)/(R10))*100</f>
        <v>9.476516882521322</v>
      </c>
      <c r="T10" s="62">
        <v>0.47899999999999998</v>
      </c>
      <c r="U10" s="106">
        <v>42706.339583333334</v>
      </c>
      <c r="V10" s="72">
        <f t="shared" ref="V10:V24" si="3">(E10)</f>
        <v>42689.652777777781</v>
      </c>
      <c r="W10" s="72">
        <f t="shared" ref="W10:W24" si="4">(U10)</f>
        <v>42706.339583333334</v>
      </c>
      <c r="X10" s="72">
        <f t="shared" ref="X10:X24" si="5">(W10-V10)</f>
        <v>16.686805555553292</v>
      </c>
      <c r="Y10" s="75">
        <f>AVERAGE(S10:S11)</f>
        <v>8.7536732351386455</v>
      </c>
      <c r="Z10" s="74">
        <f>((M10+Q10)/R10)*100</f>
        <v>9.3954422556556505</v>
      </c>
      <c r="AA10" s="61"/>
      <c r="AB10" s="74">
        <f>((N10+O10)/R10)*100</f>
        <v>8.1074626865671642E-2</v>
      </c>
      <c r="AC10" s="61"/>
      <c r="AD10" s="61"/>
      <c r="AE10" s="61"/>
      <c r="AF10" s="61"/>
      <c r="AG10" s="61"/>
      <c r="AH10" s="61"/>
    </row>
    <row r="11" spans="1:34" x14ac:dyDescent="0.25">
      <c r="A11" s="62">
        <v>2</v>
      </c>
      <c r="B11" s="62">
        <v>50</v>
      </c>
      <c r="C11" s="62">
        <v>6.9800000000000001E-2</v>
      </c>
      <c r="D11" s="78">
        <v>42689</v>
      </c>
      <c r="E11" s="71">
        <v>42689.65347222222</v>
      </c>
      <c r="F11" s="72">
        <v>33.5</v>
      </c>
      <c r="G11" s="72">
        <v>1.5</v>
      </c>
      <c r="H11" s="72">
        <f t="shared" ref="H11:H26" si="6">F11+G11</f>
        <v>35</v>
      </c>
      <c r="I11" s="65">
        <v>1544.54</v>
      </c>
      <c r="J11" s="65">
        <f t="shared" si="0"/>
        <v>2993.1838573315722</v>
      </c>
      <c r="K11" s="62">
        <v>2.8199999999999999E-2</v>
      </c>
      <c r="L11" s="72">
        <v>0</v>
      </c>
      <c r="M11" s="66">
        <f t="shared" si="1"/>
        <v>4.7608014090708937E-2</v>
      </c>
      <c r="N11" s="62">
        <f t="shared" ref="N11:N24" si="7">(H11*K11/1000)</f>
        <v>9.8700000000000003E-4</v>
      </c>
      <c r="O11" s="66">
        <f t="shared" ref="O11:O24" si="8">(H11*L11/1000)</f>
        <v>0</v>
      </c>
      <c r="P11" s="62">
        <v>3.7</v>
      </c>
      <c r="Q11" s="66">
        <f t="shared" ref="Q11:Q19" si="9">(P11)*(1/44.01)*(2*14)*(0.0365)</f>
        <v>8.5921381504203573E-2</v>
      </c>
      <c r="R11" s="62">
        <f t="shared" si="2"/>
        <v>1.675</v>
      </c>
      <c r="S11" s="74">
        <f t="shared" ref="S11:S18" si="10">((M11+N11+O11+Q11)/(R11))*100</f>
        <v>8.0308295877559708</v>
      </c>
      <c r="T11" s="62">
        <v>0.38300000000000001</v>
      </c>
      <c r="U11" s="106">
        <v>42706.34375</v>
      </c>
      <c r="V11" s="72">
        <f t="shared" si="3"/>
        <v>42689.65347222222</v>
      </c>
      <c r="W11" s="72">
        <f t="shared" si="4"/>
        <v>42706.34375</v>
      </c>
      <c r="X11" s="72">
        <f t="shared" si="5"/>
        <v>16.690277777779556</v>
      </c>
      <c r="Y11" s="74"/>
      <c r="Z11" s="74">
        <f>((M11+Q11)/R11)*100</f>
        <v>7.9719042146216417</v>
      </c>
      <c r="AA11" s="61"/>
      <c r="AB11" s="74">
        <f>((N11+O11)/R11)*100</f>
        <v>5.8925373134328357E-2</v>
      </c>
      <c r="AC11" s="61"/>
      <c r="AD11" s="61"/>
      <c r="AE11" s="61"/>
      <c r="AF11" s="61"/>
      <c r="AG11" s="61"/>
      <c r="AH11" s="61"/>
    </row>
    <row r="12" spans="1:34" x14ac:dyDescent="0.25">
      <c r="A12" s="62">
        <v>3</v>
      </c>
      <c r="B12" s="62">
        <v>50</v>
      </c>
      <c r="C12" s="62">
        <v>6.9699999999999998E-2</v>
      </c>
      <c r="D12" s="78">
        <v>42690</v>
      </c>
      <c r="E12" s="71">
        <v>42690.175000000003</v>
      </c>
      <c r="F12" s="72">
        <v>33.5</v>
      </c>
      <c r="G12" s="72">
        <v>1.5</v>
      </c>
      <c r="H12" s="72">
        <f t="shared" si="6"/>
        <v>35</v>
      </c>
      <c r="I12" s="65">
        <v>1988.39</v>
      </c>
      <c r="J12" s="65">
        <f t="shared" si="0"/>
        <v>3853.3264597093785</v>
      </c>
      <c r="K12" s="62">
        <v>2.5999999999999999E-2</v>
      </c>
      <c r="L12" s="72">
        <v>0</v>
      </c>
      <c r="M12" s="66">
        <f t="shared" si="1"/>
        <v>6.1288991633641557E-2</v>
      </c>
      <c r="N12" s="62">
        <f t="shared" si="7"/>
        <v>9.0999999999999989E-4</v>
      </c>
      <c r="O12" s="66">
        <f t="shared" si="8"/>
        <v>0</v>
      </c>
      <c r="P12" s="62">
        <v>4.7699999999999996</v>
      </c>
      <c r="Q12" s="66">
        <f t="shared" si="9"/>
        <v>0.11076891615541921</v>
      </c>
      <c r="R12" s="62">
        <f t="shared" si="2"/>
        <v>1.675</v>
      </c>
      <c r="S12" s="74">
        <f t="shared" si="10"/>
        <v>10.326442256063329</v>
      </c>
      <c r="T12" s="62">
        <v>0.40400000000000003</v>
      </c>
      <c r="U12" s="106">
        <v>42706.347222222219</v>
      </c>
      <c r="V12" s="72">
        <f t="shared" si="3"/>
        <v>42690.175000000003</v>
      </c>
      <c r="W12" s="72">
        <f t="shared" si="4"/>
        <v>42706.347222222219</v>
      </c>
      <c r="X12" s="72">
        <f t="shared" si="5"/>
        <v>16.172222222216078</v>
      </c>
      <c r="Y12" s="61"/>
      <c r="Z12" s="75">
        <f>AVERAGE(Z10:Z11)</f>
        <v>8.6836732351386452</v>
      </c>
      <c r="AA12" s="68" t="s">
        <v>149</v>
      </c>
      <c r="AB12" s="75">
        <f>AVERAGE(AB10:AB11)</f>
        <v>7.0000000000000007E-2</v>
      </c>
      <c r="AC12" s="68" t="s">
        <v>149</v>
      </c>
      <c r="AD12" s="61"/>
      <c r="AE12" s="61"/>
      <c r="AF12" s="61"/>
      <c r="AG12" s="61"/>
      <c r="AH12" s="61"/>
    </row>
    <row r="13" spans="1:34" x14ac:dyDescent="0.25">
      <c r="A13" s="62">
        <v>4</v>
      </c>
      <c r="B13" s="62">
        <v>50</v>
      </c>
      <c r="C13" s="62">
        <v>7.0099999999999996E-2</v>
      </c>
      <c r="D13" s="78">
        <v>42691</v>
      </c>
      <c r="E13" s="71">
        <v>42691.60833333333</v>
      </c>
      <c r="F13" s="72">
        <v>33.5</v>
      </c>
      <c r="G13" s="72">
        <v>1.5</v>
      </c>
      <c r="H13" s="72">
        <f t="shared" si="6"/>
        <v>35</v>
      </c>
      <c r="I13" s="65">
        <v>2046.86</v>
      </c>
      <c r="J13" s="65">
        <f t="shared" si="0"/>
        <v>3966.6362219286648</v>
      </c>
      <c r="K13" s="62">
        <v>1.7500000000000002E-2</v>
      </c>
      <c r="L13" s="72">
        <v>0</v>
      </c>
      <c r="M13" s="66">
        <f t="shared" si="1"/>
        <v>6.3091237340378664E-2</v>
      </c>
      <c r="N13" s="62">
        <f t="shared" si="7"/>
        <v>6.1250000000000009E-4</v>
      </c>
      <c r="O13" s="66">
        <f t="shared" si="8"/>
        <v>0</v>
      </c>
      <c r="P13" s="62">
        <v>4.91</v>
      </c>
      <c r="Q13" s="66">
        <f t="shared" si="9"/>
        <v>0.11401999545557827</v>
      </c>
      <c r="R13" s="62">
        <f>(B14*F14/1000)</f>
        <v>1.675</v>
      </c>
      <c r="S13" s="74">
        <f t="shared" si="10"/>
        <v>10.610372107221309</v>
      </c>
      <c r="T13" s="62">
        <v>0.57199999999999995</v>
      </c>
      <c r="U13" s="106">
        <v>42706.352777777778</v>
      </c>
      <c r="V13" s="72">
        <f t="shared" si="3"/>
        <v>42691.60833333333</v>
      </c>
      <c r="W13" s="72">
        <f t="shared" si="4"/>
        <v>42706.352777777778</v>
      </c>
      <c r="X13" s="72">
        <f t="shared" si="5"/>
        <v>14.744444444448163</v>
      </c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spans="1:34" x14ac:dyDescent="0.25">
      <c r="A14" s="62">
        <v>5</v>
      </c>
      <c r="B14" s="62">
        <v>50</v>
      </c>
      <c r="C14" s="62">
        <v>7.0000000000000007E-2</v>
      </c>
      <c r="D14" s="78">
        <v>42692</v>
      </c>
      <c r="E14" s="71">
        <v>42692.647916666669</v>
      </c>
      <c r="F14" s="72">
        <v>33.5</v>
      </c>
      <c r="G14" s="72">
        <v>1.5</v>
      </c>
      <c r="H14" s="72">
        <f t="shared" si="6"/>
        <v>35</v>
      </c>
      <c r="I14" s="65">
        <v>1423.15</v>
      </c>
      <c r="J14" s="65">
        <f t="shared" si="0"/>
        <v>2757.9406208718624</v>
      </c>
      <c r="K14" s="62">
        <v>3.5900000000000001E-2</v>
      </c>
      <c r="L14" s="72">
        <v>0</v>
      </c>
      <c r="M14" s="66">
        <f t="shared" ref="M14:M24" si="11">(J14)*(1/44.01)*(2*14*25)/(1000000)</f>
        <v>4.3866358432408624E-2</v>
      </c>
      <c r="N14" s="62">
        <f t="shared" si="7"/>
        <v>1.2565E-3</v>
      </c>
      <c r="O14" s="66">
        <f t="shared" si="8"/>
        <v>0</v>
      </c>
      <c r="P14" s="62">
        <v>3.41</v>
      </c>
      <c r="Q14" s="66">
        <f t="shared" si="9"/>
        <v>7.9187002953874125E-2</v>
      </c>
      <c r="R14" s="62">
        <v>1.675</v>
      </c>
      <c r="S14" s="74">
        <f t="shared" si="10"/>
        <v>7.4214842618676267</v>
      </c>
      <c r="T14" s="62">
        <v>0.45700000000000002</v>
      </c>
      <c r="U14" s="106">
        <v>42706.356944444444</v>
      </c>
      <c r="V14" s="72">
        <f t="shared" si="3"/>
        <v>42692.647916666669</v>
      </c>
      <c r="W14" s="72">
        <f t="shared" si="4"/>
        <v>42706.356944444444</v>
      </c>
      <c r="X14" s="72">
        <f t="shared" si="5"/>
        <v>13.709027777775191</v>
      </c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spans="1:34" x14ac:dyDescent="0.25">
      <c r="A15" s="62">
        <v>6</v>
      </c>
      <c r="B15" s="62">
        <v>50</v>
      </c>
      <c r="C15" s="62">
        <v>6.9800000000000001E-2</v>
      </c>
      <c r="D15" s="78">
        <v>42695</v>
      </c>
      <c r="E15" s="71">
        <v>42695.684027777781</v>
      </c>
      <c r="F15" s="72">
        <v>33.5</v>
      </c>
      <c r="G15" s="72">
        <v>1.5</v>
      </c>
      <c r="H15" s="72">
        <f t="shared" si="6"/>
        <v>35</v>
      </c>
      <c r="I15" s="65">
        <v>1285.58</v>
      </c>
      <c r="J15" s="65">
        <f t="shared" si="0"/>
        <v>2491.3419550858648</v>
      </c>
      <c r="K15" s="62">
        <v>3.78E-2</v>
      </c>
      <c r="L15" s="72">
        <v>0</v>
      </c>
      <c r="M15" s="66">
        <f t="shared" si="11"/>
        <v>3.9625979744605896E-2</v>
      </c>
      <c r="N15" s="62">
        <f t="shared" si="7"/>
        <v>1.323E-3</v>
      </c>
      <c r="O15" s="66">
        <f t="shared" si="8"/>
        <v>0</v>
      </c>
      <c r="P15" s="62">
        <v>3.08</v>
      </c>
      <c r="Q15" s="66">
        <f t="shared" si="9"/>
        <v>7.1523744603499195E-2</v>
      </c>
      <c r="R15" s="62">
        <v>1.675</v>
      </c>
      <c r="S15" s="74">
        <f t="shared" si="10"/>
        <v>6.7147895133197082</v>
      </c>
      <c r="T15" s="62">
        <v>0.38300000000000001</v>
      </c>
      <c r="U15" s="106">
        <v>42706.36041666667</v>
      </c>
      <c r="V15" s="72">
        <f t="shared" si="3"/>
        <v>42695.684027777781</v>
      </c>
      <c r="W15" s="72">
        <f t="shared" si="4"/>
        <v>42706.36041666667</v>
      </c>
      <c r="X15" s="72">
        <f t="shared" si="5"/>
        <v>10.676388888889051</v>
      </c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x14ac:dyDescent="0.25">
      <c r="A16" s="62">
        <v>7</v>
      </c>
      <c r="B16" s="62">
        <v>50</v>
      </c>
      <c r="C16" s="62">
        <v>7.0000000000000007E-2</v>
      </c>
      <c r="D16" s="78">
        <v>42696</v>
      </c>
      <c r="E16" s="71">
        <v>42696.555555555555</v>
      </c>
      <c r="F16" s="72">
        <v>33.5</v>
      </c>
      <c r="G16" s="72">
        <v>1.5</v>
      </c>
      <c r="H16" s="72">
        <f t="shared" si="6"/>
        <v>35</v>
      </c>
      <c r="I16" s="88">
        <v>1349.61</v>
      </c>
      <c r="J16" s="65">
        <f t="shared" si="0"/>
        <v>2615.4265125495372</v>
      </c>
      <c r="K16" s="62">
        <v>2.23E-2</v>
      </c>
      <c r="L16" s="72">
        <v>0</v>
      </c>
      <c r="M16" s="66">
        <f t="shared" si="11"/>
        <v>4.1599603698811084E-2</v>
      </c>
      <c r="N16" s="62">
        <f t="shared" si="7"/>
        <v>7.8049999999999994E-4</v>
      </c>
      <c r="O16" s="66">
        <f t="shared" si="8"/>
        <v>0</v>
      </c>
      <c r="P16" s="62">
        <v>3.24</v>
      </c>
      <c r="Q16" s="66">
        <f t="shared" si="9"/>
        <v>7.5239263803680984E-2</v>
      </c>
      <c r="R16" s="62">
        <f t="shared" si="2"/>
        <v>1.675</v>
      </c>
      <c r="S16" s="74">
        <f t="shared" si="10"/>
        <v>7.0220517911935563</v>
      </c>
      <c r="T16" s="62">
        <v>0.315</v>
      </c>
      <c r="U16" s="106">
        <v>42706.364583333336</v>
      </c>
      <c r="V16" s="72">
        <f t="shared" si="3"/>
        <v>42696.555555555555</v>
      </c>
      <c r="W16" s="72">
        <f t="shared" si="4"/>
        <v>42706.364583333336</v>
      </c>
      <c r="X16" s="72">
        <f t="shared" si="5"/>
        <v>9.8090277777810115</v>
      </c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x14ac:dyDescent="0.25">
      <c r="A17" s="62">
        <v>8</v>
      </c>
      <c r="B17" s="62">
        <v>50</v>
      </c>
      <c r="C17" s="62">
        <v>7.0199999999999999E-2</v>
      </c>
      <c r="D17" s="78">
        <v>42698</v>
      </c>
      <c r="E17" s="71">
        <v>42698.395833333336</v>
      </c>
      <c r="F17" s="72">
        <v>33.5</v>
      </c>
      <c r="G17" s="72">
        <v>1.5</v>
      </c>
      <c r="H17" s="72">
        <f t="shared" si="6"/>
        <v>35</v>
      </c>
      <c r="I17" s="62">
        <v>1871.5</v>
      </c>
      <c r="J17" s="65">
        <f t="shared" si="0"/>
        <v>3626.8038309114918</v>
      </c>
      <c r="K17" s="62">
        <v>3.4000000000000002E-2</v>
      </c>
      <c r="L17" s="72">
        <v>0</v>
      </c>
      <c r="M17" s="66">
        <f t="shared" si="11"/>
        <v>5.7686041391457492E-2</v>
      </c>
      <c r="N17" s="62">
        <f t="shared" si="7"/>
        <v>1.1900000000000001E-3</v>
      </c>
      <c r="O17" s="66">
        <f t="shared" si="8"/>
        <v>0</v>
      </c>
      <c r="P17" s="62">
        <v>4.49</v>
      </c>
      <c r="Q17" s="66">
        <f t="shared" si="9"/>
        <v>0.10426675755510111</v>
      </c>
      <c r="R17" s="62">
        <v>1.675</v>
      </c>
      <c r="S17" s="74">
        <f t="shared" si="10"/>
        <v>9.7398685938243919</v>
      </c>
      <c r="T17" s="62">
        <v>0.36899999999999999</v>
      </c>
      <c r="U17" s="106">
        <v>42706.368055555555</v>
      </c>
      <c r="V17" s="72">
        <f t="shared" si="3"/>
        <v>42698.395833333336</v>
      </c>
      <c r="W17" s="72">
        <f t="shared" si="4"/>
        <v>42706.368055555555</v>
      </c>
      <c r="X17" s="72">
        <f t="shared" si="5"/>
        <v>7.9722222222189885</v>
      </c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x14ac:dyDescent="0.25">
      <c r="A18" s="62">
        <v>9</v>
      </c>
      <c r="B18" s="62">
        <v>50</v>
      </c>
      <c r="C18" s="62">
        <v>6.9800000000000001E-2</v>
      </c>
      <c r="D18" s="78">
        <v>42699</v>
      </c>
      <c r="E18" s="71">
        <v>42699.802083333336</v>
      </c>
      <c r="F18" s="72">
        <v>33.5</v>
      </c>
      <c r="G18" s="72">
        <v>1.5</v>
      </c>
      <c r="H18" s="72">
        <f t="shared" si="6"/>
        <v>35</v>
      </c>
      <c r="I18" s="62">
        <v>920.34900000000005</v>
      </c>
      <c r="J18" s="65">
        <f t="shared" si="0"/>
        <v>1783.5561202113604</v>
      </c>
      <c r="K18" s="62">
        <v>3.8699999999999998E-2</v>
      </c>
      <c r="L18" s="72">
        <v>0</v>
      </c>
      <c r="M18" s="66">
        <f t="shared" si="11"/>
        <v>2.836830911492734E-2</v>
      </c>
      <c r="N18" s="62">
        <f t="shared" si="7"/>
        <v>1.3545E-3</v>
      </c>
      <c r="O18" s="66">
        <f t="shared" si="8"/>
        <v>0</v>
      </c>
      <c r="P18" s="62">
        <v>2.21</v>
      </c>
      <c r="Q18" s="66">
        <f t="shared" si="9"/>
        <v>5.1320608952510789E-2</v>
      </c>
      <c r="R18" s="62">
        <f>(B15*F15/1000)</f>
        <v>1.675</v>
      </c>
      <c r="S18" s="74">
        <f t="shared" si="10"/>
        <v>4.8384130189515302</v>
      </c>
      <c r="T18" s="62">
        <v>0.318</v>
      </c>
      <c r="U18" s="106">
        <v>42706.372916666667</v>
      </c>
      <c r="V18" s="72">
        <f t="shared" si="3"/>
        <v>42699.802083333336</v>
      </c>
      <c r="W18" s="72">
        <f t="shared" si="4"/>
        <v>42706.372916666667</v>
      </c>
      <c r="X18" s="72">
        <f t="shared" si="5"/>
        <v>6.5708333333313931</v>
      </c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x14ac:dyDescent="0.25">
      <c r="A19" s="62">
        <v>10</v>
      </c>
      <c r="B19" s="62">
        <v>50</v>
      </c>
      <c r="C19" s="87">
        <v>7.0000000000000007E-2</v>
      </c>
      <c r="D19" s="78">
        <v>42701</v>
      </c>
      <c r="E19" s="71">
        <v>42701.631944444445</v>
      </c>
      <c r="F19" s="72">
        <v>33.5</v>
      </c>
      <c r="G19" s="72">
        <v>1.5</v>
      </c>
      <c r="H19" s="72">
        <f t="shared" si="6"/>
        <v>35</v>
      </c>
      <c r="I19" s="62">
        <v>673.24199999999996</v>
      </c>
      <c r="J19" s="65">
        <f t="shared" si="0"/>
        <v>1304.6842985468954</v>
      </c>
      <c r="K19" s="62">
        <v>3.2500000000000001E-2</v>
      </c>
      <c r="L19" s="72">
        <v>0</v>
      </c>
      <c r="M19" s="66">
        <f t="shared" si="11"/>
        <v>2.0751624834874499E-2</v>
      </c>
      <c r="N19" s="62">
        <f t="shared" si="7"/>
        <v>1.1375000000000001E-3</v>
      </c>
      <c r="O19" s="66">
        <f t="shared" si="8"/>
        <v>0</v>
      </c>
      <c r="P19" s="62">
        <v>1.61</v>
      </c>
      <c r="Q19" s="66">
        <f t="shared" si="9"/>
        <v>3.7387411951829125E-2</v>
      </c>
      <c r="R19" s="61"/>
      <c r="S19" s="61"/>
      <c r="T19" s="62">
        <v>0.34899999999999998</v>
      </c>
      <c r="U19" s="106">
        <v>42706.376388888886</v>
      </c>
      <c r="V19" s="72">
        <f t="shared" si="3"/>
        <v>42701.631944444445</v>
      </c>
      <c r="W19" s="72">
        <f t="shared" si="4"/>
        <v>42706.376388888886</v>
      </c>
      <c r="X19" s="72">
        <f t="shared" si="5"/>
        <v>4.7444444444408873</v>
      </c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x14ac:dyDescent="0.25">
      <c r="A20" s="62">
        <v>11</v>
      </c>
      <c r="B20" s="62">
        <v>50</v>
      </c>
      <c r="C20" s="87">
        <v>6.9800000000000001E-2</v>
      </c>
      <c r="D20" s="78">
        <v>42702</v>
      </c>
      <c r="E20" s="92">
        <v>42702.631944444445</v>
      </c>
      <c r="F20" s="72">
        <v>33.5</v>
      </c>
      <c r="G20" s="72">
        <v>1.5</v>
      </c>
      <c r="H20" s="72">
        <f t="shared" si="6"/>
        <v>35</v>
      </c>
      <c r="I20" s="72">
        <v>635.726</v>
      </c>
      <c r="J20" s="65">
        <f t="shared" si="0"/>
        <v>1231.981561426684</v>
      </c>
      <c r="K20" s="62">
        <v>1.2500000000000001E-2</v>
      </c>
      <c r="L20" s="72">
        <v>0</v>
      </c>
      <c r="M20" s="66">
        <f t="shared" si="11"/>
        <v>1.9595253192426242E-2</v>
      </c>
      <c r="N20" s="62">
        <f t="shared" si="7"/>
        <v>4.3750000000000001E-4</v>
      </c>
      <c r="O20" s="66">
        <f t="shared" si="8"/>
        <v>0</v>
      </c>
      <c r="P20" s="62"/>
      <c r="Q20" s="61"/>
      <c r="R20" s="61"/>
      <c r="S20" s="61"/>
      <c r="T20" s="62">
        <v>0.372</v>
      </c>
      <c r="U20" s="106">
        <v>42706.379861111112</v>
      </c>
      <c r="V20" s="72">
        <f t="shared" si="3"/>
        <v>42702.631944444445</v>
      </c>
      <c r="W20" s="72">
        <f t="shared" si="4"/>
        <v>42706.379861111112</v>
      </c>
      <c r="X20" s="72">
        <f t="shared" si="5"/>
        <v>3.7479166666671517</v>
      </c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x14ac:dyDescent="0.25">
      <c r="A21" s="62">
        <v>12</v>
      </c>
      <c r="B21" s="62">
        <v>50</v>
      </c>
      <c r="C21" s="87">
        <v>7.0300000000000001E-2</v>
      </c>
      <c r="D21" s="78">
        <v>42703</v>
      </c>
      <c r="E21" s="92">
        <v>42703.638888888891</v>
      </c>
      <c r="F21" s="72">
        <v>33.5</v>
      </c>
      <c r="G21" s="72">
        <v>1.5</v>
      </c>
      <c r="H21" s="72">
        <f t="shared" si="6"/>
        <v>35</v>
      </c>
      <c r="I21" s="87">
        <v>405.78500000000003</v>
      </c>
      <c r="J21" s="65">
        <f t="shared" si="0"/>
        <v>786.37595112285328</v>
      </c>
      <c r="K21" s="62">
        <v>3.2800000000000003E-2</v>
      </c>
      <c r="L21" s="72">
        <v>0</v>
      </c>
      <c r="M21" s="66">
        <f t="shared" si="11"/>
        <v>1.2507683839718184E-2</v>
      </c>
      <c r="N21" s="62">
        <f t="shared" si="7"/>
        <v>1.1480000000000001E-3</v>
      </c>
      <c r="O21" s="66">
        <f t="shared" si="8"/>
        <v>0</v>
      </c>
      <c r="P21" s="62"/>
      <c r="Q21" s="61"/>
      <c r="R21" s="61"/>
      <c r="S21" s="61"/>
      <c r="T21" s="62">
        <v>0.315</v>
      </c>
      <c r="U21" s="106">
        <v>42706.383333333331</v>
      </c>
      <c r="V21" s="72">
        <f t="shared" si="3"/>
        <v>42703.638888888891</v>
      </c>
      <c r="W21" s="72">
        <f t="shared" si="4"/>
        <v>42706.383333333331</v>
      </c>
      <c r="X21" s="72">
        <f t="shared" si="5"/>
        <v>2.7444444444408873</v>
      </c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x14ac:dyDescent="0.25">
      <c r="A22" s="62">
        <v>13</v>
      </c>
      <c r="B22" s="62">
        <v>50</v>
      </c>
      <c r="C22" s="62">
        <v>7.0199999999999999E-2</v>
      </c>
      <c r="D22" s="78">
        <v>42704</v>
      </c>
      <c r="E22" s="92">
        <v>42704.680555555555</v>
      </c>
      <c r="F22" s="72">
        <v>33.5</v>
      </c>
      <c r="G22" s="72">
        <v>1.5</v>
      </c>
      <c r="H22" s="72">
        <f t="shared" si="6"/>
        <v>35</v>
      </c>
      <c r="I22" s="87">
        <v>281.029</v>
      </c>
      <c r="J22" s="65">
        <f t="shared" si="0"/>
        <v>544.60970013210033</v>
      </c>
      <c r="K22" s="62">
        <v>2.47E-2</v>
      </c>
      <c r="L22" s="72">
        <v>0</v>
      </c>
      <c r="M22" s="66">
        <f t="shared" si="11"/>
        <v>8.6622765301629222E-3</v>
      </c>
      <c r="N22" s="62">
        <f t="shared" si="7"/>
        <v>8.6450000000000003E-4</v>
      </c>
      <c r="O22" s="66">
        <f t="shared" si="8"/>
        <v>0</v>
      </c>
      <c r="P22" s="62"/>
      <c r="Q22" s="61"/>
      <c r="R22" s="61"/>
      <c r="S22" s="61"/>
      <c r="T22" s="62">
        <v>0.32200000000000001</v>
      </c>
      <c r="U22" s="106">
        <v>42706.386111111111</v>
      </c>
      <c r="V22" s="72">
        <f t="shared" si="3"/>
        <v>42704.680555555555</v>
      </c>
      <c r="W22" s="72">
        <f t="shared" si="4"/>
        <v>42706.386111111111</v>
      </c>
      <c r="X22" s="72">
        <f t="shared" si="5"/>
        <v>1.7055555555562023</v>
      </c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x14ac:dyDescent="0.25">
      <c r="A23" s="62">
        <v>14</v>
      </c>
      <c r="B23" s="62">
        <v>50</v>
      </c>
      <c r="C23" s="87">
        <v>7.0000000000000007E-2</v>
      </c>
      <c r="D23" s="78">
        <v>42705</v>
      </c>
      <c r="E23" s="71">
        <v>42705.655555555553</v>
      </c>
      <c r="F23" s="72">
        <v>33.5</v>
      </c>
      <c r="G23" s="72">
        <v>1.5</v>
      </c>
      <c r="H23" s="72">
        <f t="shared" si="6"/>
        <v>35</v>
      </c>
      <c r="I23" s="87">
        <v>99.165599999999998</v>
      </c>
      <c r="J23" s="65">
        <f t="shared" si="0"/>
        <v>192.1742869220607</v>
      </c>
      <c r="K23" s="62">
        <v>2.3099999999999999E-2</v>
      </c>
      <c r="L23" s="72">
        <v>0</v>
      </c>
      <c r="M23" s="66">
        <f t="shared" si="11"/>
        <v>3.0566235138705408E-3</v>
      </c>
      <c r="N23" s="62">
        <f t="shared" si="7"/>
        <v>8.0849999999999997E-4</v>
      </c>
      <c r="O23" s="66">
        <f t="shared" si="8"/>
        <v>0</v>
      </c>
      <c r="P23" s="62"/>
      <c r="Q23" s="61"/>
      <c r="R23" s="61"/>
      <c r="S23" s="61"/>
      <c r="T23" s="62">
        <v>0.30199999999999999</v>
      </c>
      <c r="U23" s="106">
        <v>42706.38958333333</v>
      </c>
      <c r="V23" s="72">
        <f t="shared" si="3"/>
        <v>42705.655555555553</v>
      </c>
      <c r="W23" s="72">
        <f t="shared" si="4"/>
        <v>42706.38958333333</v>
      </c>
      <c r="X23" s="72">
        <f t="shared" si="5"/>
        <v>0.73402777777664596</v>
      </c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14.45" customHeight="1" x14ac:dyDescent="0.25">
      <c r="A24" s="62">
        <v>15</v>
      </c>
      <c r="B24" s="62">
        <v>50</v>
      </c>
      <c r="C24" s="87">
        <v>7.0199999999999999E-2</v>
      </c>
      <c r="D24" s="78">
        <v>42705</v>
      </c>
      <c r="E24" s="92">
        <v>42705.657638888886</v>
      </c>
      <c r="F24" s="72">
        <v>33.5</v>
      </c>
      <c r="G24" s="72">
        <v>1.5</v>
      </c>
      <c r="H24" s="72">
        <f t="shared" si="6"/>
        <v>35</v>
      </c>
      <c r="I24" s="87">
        <v>88.039199999999994</v>
      </c>
      <c r="J24" s="65">
        <f t="shared" si="0"/>
        <v>170.61229379128133</v>
      </c>
      <c r="K24" s="62">
        <v>2.0400000000000001E-2</v>
      </c>
      <c r="L24" s="72">
        <v>0</v>
      </c>
      <c r="M24" s="66">
        <f t="shared" si="11"/>
        <v>2.7136697490092467E-3</v>
      </c>
      <c r="N24" s="62">
        <f t="shared" si="7"/>
        <v>7.1400000000000012E-4</v>
      </c>
      <c r="O24" s="66">
        <f t="shared" si="8"/>
        <v>0</v>
      </c>
      <c r="P24" s="62"/>
      <c r="Q24" s="62"/>
      <c r="R24" s="62"/>
      <c r="S24" s="61"/>
      <c r="T24" s="62">
        <v>0.38600000000000001</v>
      </c>
      <c r="U24" s="106">
        <v>42706.394444444442</v>
      </c>
      <c r="V24" s="72">
        <f t="shared" si="3"/>
        <v>42705.657638888886</v>
      </c>
      <c r="W24" s="72">
        <f t="shared" si="4"/>
        <v>42706.394444444442</v>
      </c>
      <c r="X24" s="72">
        <f t="shared" si="5"/>
        <v>0.73680555555620231</v>
      </c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x14ac:dyDescent="0.25">
      <c r="A25" s="62"/>
      <c r="B25" s="87"/>
      <c r="C25" s="61"/>
      <c r="D25" s="78"/>
      <c r="E25" s="92"/>
      <c r="F25" s="72"/>
      <c r="G25" s="72"/>
      <c r="H25" s="72"/>
      <c r="I25" s="87"/>
      <c r="J25" s="65"/>
      <c r="K25" s="93"/>
      <c r="L25" s="64"/>
      <c r="M25" s="62"/>
      <c r="N25" s="66"/>
      <c r="O25" s="66"/>
      <c r="P25" s="66"/>
      <c r="Q25" s="62"/>
      <c r="R25" s="62"/>
      <c r="S25" s="61"/>
      <c r="T25" s="93"/>
      <c r="U25" s="106"/>
      <c r="V25" s="72"/>
      <c r="W25" s="72"/>
      <c r="X25" s="72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4.45" customHeight="1" x14ac:dyDescent="0.25">
      <c r="A26" s="62" t="s">
        <v>53</v>
      </c>
      <c r="B26" s="87">
        <v>0</v>
      </c>
      <c r="C26" s="87">
        <v>0</v>
      </c>
      <c r="D26" s="78">
        <v>42690</v>
      </c>
      <c r="E26" s="71">
        <v>42690.677083333336</v>
      </c>
      <c r="F26" s="72">
        <v>33.5</v>
      </c>
      <c r="G26" s="72">
        <v>1.5</v>
      </c>
      <c r="H26" s="72">
        <f t="shared" si="6"/>
        <v>35</v>
      </c>
      <c r="I26" s="87">
        <v>24.200600000000001</v>
      </c>
      <c r="J26" s="65">
        <f t="shared" si="0"/>
        <v>46.898652840158512</v>
      </c>
      <c r="K26" s="64">
        <v>1.1900000000000001E-2</v>
      </c>
      <c r="L26" s="64"/>
      <c r="M26" s="62"/>
      <c r="N26" s="66"/>
      <c r="O26" s="66"/>
      <c r="P26" s="66"/>
      <c r="Q26" s="62"/>
      <c r="R26" s="62"/>
      <c r="S26" s="61"/>
      <c r="T26" s="64">
        <v>2.6599999999999999E-2</v>
      </c>
      <c r="U26" s="106">
        <v>42706.409722222219</v>
      </c>
      <c r="V26" s="72">
        <f>(E26)</f>
        <v>42690.677083333336</v>
      </c>
      <c r="W26" s="72">
        <f>(U26)</f>
        <v>42706.409722222219</v>
      </c>
      <c r="X26" s="72">
        <f>(W26-V26)</f>
        <v>15.73263888888323</v>
      </c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x14ac:dyDescent="0.25">
      <c r="A27" s="61"/>
      <c r="B27" s="70"/>
      <c r="C27" s="61"/>
      <c r="D27" s="70"/>
      <c r="E27" s="61"/>
      <c r="F27" s="61"/>
      <c r="G27" s="61"/>
      <c r="H27" s="61"/>
      <c r="I27" s="61"/>
      <c r="J27" s="62"/>
      <c r="K27" s="93"/>
      <c r="L27" s="62"/>
      <c r="M27" s="62"/>
      <c r="N27" s="66"/>
      <c r="O27" s="66"/>
      <c r="P27" s="66"/>
      <c r="Q27" s="62"/>
      <c r="R27" s="62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62"/>
      <c r="K28" s="61"/>
      <c r="L28" s="7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x14ac:dyDescent="0.25">
      <c r="A29" s="70"/>
      <c r="B29" s="61"/>
      <c r="C29" s="70"/>
      <c r="D29" s="70"/>
      <c r="E29" s="70"/>
      <c r="F29" s="70"/>
      <c r="G29" s="70"/>
      <c r="H29" s="70"/>
      <c r="I29" s="70"/>
      <c r="J29" s="62"/>
      <c r="K29" s="61"/>
      <c r="L29" s="61"/>
      <c r="M29" s="70"/>
      <c r="N29" s="70"/>
      <c r="O29" s="70"/>
      <c r="P29" s="70"/>
      <c r="Q29" s="70"/>
      <c r="R29" s="70"/>
      <c r="S29" s="70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x14ac:dyDescent="0.25">
      <c r="A30" s="70"/>
      <c r="B30" s="70"/>
      <c r="C30" s="61"/>
      <c r="D30" s="61"/>
      <c r="E30" s="61"/>
      <c r="F30" s="61"/>
      <c r="G30" s="61"/>
      <c r="H30" s="61"/>
      <c r="I30" s="61"/>
      <c r="J30" s="62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x14ac:dyDescent="0.25">
      <c r="A31" s="7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x14ac:dyDescent="0.25">
      <c r="A32" s="67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62"/>
      <c r="N32" s="62"/>
      <c r="O32" s="62"/>
      <c r="P32" s="62"/>
      <c r="Q32" s="62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x14ac:dyDescent="0.25">
      <c r="A33" s="7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62"/>
      <c r="N33" s="62"/>
      <c r="O33" s="62"/>
      <c r="P33" s="62"/>
      <c r="Q33" s="62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2"/>
      <c r="L34" s="62"/>
      <c r="M34" s="62"/>
      <c r="N34" s="62"/>
      <c r="O34" s="62"/>
      <c r="P34" s="62"/>
      <c r="Q34" s="62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x14ac:dyDescent="0.25">
      <c r="A35" s="76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8" t="s">
        <v>59</v>
      </c>
      <c r="L37" s="61"/>
      <c r="M37" s="68" t="s">
        <v>60</v>
      </c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x14ac:dyDescent="0.25">
      <c r="A38" s="61"/>
      <c r="B38" s="61"/>
      <c r="C38" s="62" t="s">
        <v>40</v>
      </c>
      <c r="D38" s="62" t="s">
        <v>51</v>
      </c>
      <c r="E38" s="62" t="s">
        <v>51</v>
      </c>
      <c r="F38" s="61"/>
      <c r="G38" s="61"/>
      <c r="H38" s="61"/>
      <c r="I38" s="68"/>
      <c r="J38" s="68" t="s">
        <v>24</v>
      </c>
      <c r="K38" s="68" t="s">
        <v>10</v>
      </c>
      <c r="L38" s="68" t="s">
        <v>56</v>
      </c>
      <c r="M38" s="68" t="s">
        <v>25</v>
      </c>
      <c r="N38" s="68" t="s">
        <v>14</v>
      </c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x14ac:dyDescent="0.25">
      <c r="A39" s="62" t="s">
        <v>6</v>
      </c>
      <c r="B39" s="62" t="s">
        <v>17</v>
      </c>
      <c r="C39" s="62" t="s">
        <v>47</v>
      </c>
      <c r="D39" s="62" t="s">
        <v>50</v>
      </c>
      <c r="E39" s="62" t="s">
        <v>39</v>
      </c>
      <c r="F39" s="62" t="s">
        <v>21</v>
      </c>
      <c r="G39" s="62" t="s">
        <v>3</v>
      </c>
      <c r="H39" s="62" t="s">
        <v>19</v>
      </c>
      <c r="I39" s="68" t="s">
        <v>38</v>
      </c>
      <c r="J39" s="68" t="s">
        <v>38</v>
      </c>
      <c r="K39" s="68" t="s">
        <v>39</v>
      </c>
      <c r="L39" s="68" t="s">
        <v>57</v>
      </c>
      <c r="M39" s="68" t="s">
        <v>39</v>
      </c>
      <c r="N39" s="68" t="s">
        <v>62</v>
      </c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7.25" x14ac:dyDescent="0.25">
      <c r="A40" s="62"/>
      <c r="B40" s="62" t="s">
        <v>11</v>
      </c>
      <c r="C40" s="62" t="s">
        <v>5</v>
      </c>
      <c r="D40" s="62"/>
      <c r="E40" s="62"/>
      <c r="F40" s="62" t="s">
        <v>20</v>
      </c>
      <c r="G40" s="62" t="s">
        <v>0</v>
      </c>
      <c r="H40" s="62" t="s">
        <v>0</v>
      </c>
      <c r="I40" s="68" t="s">
        <v>23</v>
      </c>
      <c r="J40" s="68" t="s">
        <v>27</v>
      </c>
      <c r="K40" s="68" t="s">
        <v>61</v>
      </c>
      <c r="L40" s="68" t="s">
        <v>58</v>
      </c>
      <c r="M40" s="68" t="s">
        <v>61</v>
      </c>
      <c r="N40" s="68" t="s">
        <v>61</v>
      </c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x14ac:dyDescent="0.25">
      <c r="A41" s="62" t="s">
        <v>63</v>
      </c>
      <c r="B41" s="62">
        <v>50</v>
      </c>
      <c r="C41" s="62">
        <v>6.9900000000000004E-2</v>
      </c>
      <c r="D41" s="78">
        <v>42702</v>
      </c>
      <c r="E41" s="71">
        <v>42702.663194444445</v>
      </c>
      <c r="F41" s="72">
        <v>33.5</v>
      </c>
      <c r="G41" s="72">
        <v>1.5</v>
      </c>
      <c r="H41" s="72">
        <f>F41+G41</f>
        <v>35</v>
      </c>
      <c r="I41" s="65">
        <v>456.86200000000002</v>
      </c>
      <c r="J41" s="65">
        <f t="shared" ref="J41:J46" si="12">(I41/1000000)*(1/22.71)*(44.01)*(1000000)</f>
        <v>885.35872391017165</v>
      </c>
      <c r="K41" s="72">
        <f>(E41)</f>
        <v>42702.663194444445</v>
      </c>
      <c r="L41" s="71">
        <v>42706.413194444445</v>
      </c>
      <c r="M41" s="72">
        <f>(L41)</f>
        <v>42706.413194444445</v>
      </c>
      <c r="N41" s="72">
        <f t="shared" ref="N41:N46" si="13">(M41-K41)</f>
        <v>3.75</v>
      </c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x14ac:dyDescent="0.25">
      <c r="A42" s="62" t="s">
        <v>64</v>
      </c>
      <c r="B42" s="62">
        <v>50</v>
      </c>
      <c r="C42" s="62">
        <v>6.9900000000000004E-2</v>
      </c>
      <c r="D42" s="78">
        <v>42702</v>
      </c>
      <c r="E42" s="71">
        <v>42702.666666666664</v>
      </c>
      <c r="F42" s="72">
        <v>33.5</v>
      </c>
      <c r="G42" s="72">
        <v>1.5</v>
      </c>
      <c r="H42" s="72">
        <f t="shared" ref="H42:H46" si="14">F42+G42</f>
        <v>35</v>
      </c>
      <c r="I42" s="65">
        <v>442.637</v>
      </c>
      <c r="J42" s="65">
        <f t="shared" si="12"/>
        <v>857.79191413474234</v>
      </c>
      <c r="K42" s="72">
        <f t="shared" ref="K42:K46" si="15">(E42)</f>
        <v>42702.666666666664</v>
      </c>
      <c r="L42" s="71">
        <v>42706.402777777781</v>
      </c>
      <c r="M42" s="72">
        <f t="shared" ref="M42:M46" si="16">(L42)</f>
        <v>42706.402777777781</v>
      </c>
      <c r="N42" s="72">
        <f t="shared" si="13"/>
        <v>3.7361111111167702</v>
      </c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x14ac:dyDescent="0.25">
      <c r="A43" s="62" t="s">
        <v>65</v>
      </c>
      <c r="B43" s="62">
        <v>50</v>
      </c>
      <c r="C43" s="62">
        <v>7.0000000000000007E-2</v>
      </c>
      <c r="D43" s="78">
        <v>42703</v>
      </c>
      <c r="E43" s="71">
        <v>42703.145833333336</v>
      </c>
      <c r="F43" s="72">
        <v>33.5</v>
      </c>
      <c r="G43" s="72">
        <v>1.5</v>
      </c>
      <c r="H43" s="72">
        <f t="shared" si="14"/>
        <v>35</v>
      </c>
      <c r="I43" s="65">
        <v>353.25799999999998</v>
      </c>
      <c r="J43" s="65">
        <f t="shared" si="12"/>
        <v>684.58320475561402</v>
      </c>
      <c r="K43" s="72">
        <f t="shared" si="15"/>
        <v>42703.145833333336</v>
      </c>
      <c r="L43" s="71">
        <v>42706.40625</v>
      </c>
      <c r="M43" s="72">
        <f t="shared" si="16"/>
        <v>42706.40625</v>
      </c>
      <c r="N43" s="72">
        <f t="shared" si="13"/>
        <v>3.2604166666642413</v>
      </c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x14ac:dyDescent="0.25">
      <c r="A44" s="62" t="s">
        <v>66</v>
      </c>
      <c r="B44" s="62">
        <v>50</v>
      </c>
      <c r="C44" s="62">
        <v>6.9900000000000004E-2</v>
      </c>
      <c r="D44" s="78">
        <v>42704</v>
      </c>
      <c r="E44" s="71">
        <v>42704.693055555559</v>
      </c>
      <c r="F44" s="72">
        <v>33.5</v>
      </c>
      <c r="G44" s="72">
        <v>1.5</v>
      </c>
      <c r="H44" s="72">
        <f t="shared" si="14"/>
        <v>35</v>
      </c>
      <c r="I44" s="65">
        <v>200.15899999999999</v>
      </c>
      <c r="J44" s="65">
        <f t="shared" si="12"/>
        <v>387.89069088507262</v>
      </c>
      <c r="K44" s="72">
        <f t="shared" si="15"/>
        <v>42704.693055555559</v>
      </c>
      <c r="L44" s="71">
        <v>42706.409722222219</v>
      </c>
      <c r="M44" s="72">
        <f t="shared" si="16"/>
        <v>42706.409722222219</v>
      </c>
      <c r="N44" s="72">
        <f t="shared" si="13"/>
        <v>1.7166666666598758</v>
      </c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x14ac:dyDescent="0.25">
      <c r="A45" s="62" t="s">
        <v>67</v>
      </c>
      <c r="B45" s="62">
        <v>50</v>
      </c>
      <c r="C45" s="62">
        <v>7.0000000000000007E-2</v>
      </c>
      <c r="D45" s="78">
        <v>42705</v>
      </c>
      <c r="E45" s="71">
        <v>42705.677083333336</v>
      </c>
      <c r="F45" s="72">
        <v>33.5</v>
      </c>
      <c r="G45" s="72">
        <v>1.5</v>
      </c>
      <c r="H45" s="72">
        <f t="shared" si="14"/>
        <v>35</v>
      </c>
      <c r="I45" s="65">
        <v>71.893100000000004</v>
      </c>
      <c r="J45" s="65">
        <f t="shared" si="12"/>
        <v>139.32255970937914</v>
      </c>
      <c r="K45" s="72">
        <f t="shared" si="15"/>
        <v>42705.677083333336</v>
      </c>
      <c r="L45" s="71">
        <v>42706.413194444445</v>
      </c>
      <c r="M45" s="72">
        <f t="shared" si="16"/>
        <v>42706.413194444445</v>
      </c>
      <c r="N45" s="72">
        <f t="shared" si="13"/>
        <v>0.73611111110949423</v>
      </c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x14ac:dyDescent="0.25">
      <c r="A46" s="62" t="s">
        <v>68</v>
      </c>
      <c r="B46" s="62">
        <v>50</v>
      </c>
      <c r="C46" s="62">
        <v>7.0099999999999996E-2</v>
      </c>
      <c r="D46" s="78">
        <v>42705</v>
      </c>
      <c r="E46" s="71">
        <v>42705.679861111108</v>
      </c>
      <c r="F46" s="72">
        <v>33.5</v>
      </c>
      <c r="G46" s="72">
        <v>1.5</v>
      </c>
      <c r="H46" s="72">
        <f t="shared" si="14"/>
        <v>35</v>
      </c>
      <c r="I46" s="65">
        <v>66.885400000000004</v>
      </c>
      <c r="J46" s="65">
        <f t="shared" si="12"/>
        <v>129.61807371202113</v>
      </c>
      <c r="K46" s="72">
        <f t="shared" si="15"/>
        <v>42705.679861111108</v>
      </c>
      <c r="L46" s="71">
        <v>42706.416666666664</v>
      </c>
      <c r="M46" s="72">
        <f t="shared" si="16"/>
        <v>42706.416666666664</v>
      </c>
      <c r="N46" s="72">
        <f t="shared" si="13"/>
        <v>0.73680555555620231</v>
      </c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</row>
  </sheetData>
  <printOptions headings="1" gridLines="1"/>
  <pageMargins left="0.7" right="0.7" top="0.75" bottom="0.75" header="0.3" footer="0.3"/>
  <pageSetup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zoomScale="80" zoomScaleNormal="80" workbookViewId="0">
      <selection activeCell="J4" sqref="J4"/>
    </sheetView>
  </sheetViews>
  <sheetFormatPr defaultRowHeight="15" x14ac:dyDescent="0.25"/>
  <cols>
    <col min="1" max="1" width="9" customWidth="1"/>
    <col min="2" max="2" width="11.28515625" customWidth="1"/>
    <col min="4" max="4" width="10.5703125" bestFit="1" customWidth="1"/>
    <col min="5" max="5" width="20.28515625" customWidth="1"/>
    <col min="6" max="6" width="11.42578125" customWidth="1"/>
    <col min="7" max="7" width="8.85546875" customWidth="1"/>
    <col min="8" max="8" width="11.7109375" customWidth="1"/>
    <col min="9" max="9" width="11.85546875" customWidth="1"/>
    <col min="10" max="10" width="10.42578125" customWidth="1"/>
    <col min="11" max="11" width="14.7109375" customWidth="1"/>
    <col min="12" max="12" width="12.42578125" customWidth="1"/>
    <col min="13" max="13" width="18.42578125" customWidth="1"/>
    <col min="14" max="14" width="14.7109375" customWidth="1"/>
    <col min="16" max="16" width="11.28515625" customWidth="1"/>
    <col min="17" max="17" width="17.5703125" customWidth="1"/>
    <col min="18" max="18" width="11.140625" customWidth="1"/>
    <col min="19" max="19" width="16.7109375" bestFit="1" customWidth="1"/>
    <col min="20" max="20" width="11.7109375" customWidth="1"/>
    <col min="21" max="21" width="11.85546875" customWidth="1"/>
    <col min="22" max="22" width="15" customWidth="1"/>
    <col min="23" max="23" width="15.28515625" customWidth="1"/>
    <col min="24" max="24" width="17.28515625" customWidth="1"/>
    <col min="25" max="25" width="17.140625" customWidth="1"/>
    <col min="26" max="26" width="17.7109375" customWidth="1"/>
    <col min="28" max="28" width="11.7109375" customWidth="1"/>
    <col min="29" max="29" width="11" customWidth="1"/>
    <col min="31" max="31" width="8.85546875" customWidth="1"/>
  </cols>
  <sheetData>
    <row r="1" spans="1:55" x14ac:dyDescent="0.25">
      <c r="A1" s="58" t="s">
        <v>326</v>
      </c>
      <c r="B1" s="57"/>
      <c r="C1" s="57"/>
      <c r="D1" s="57"/>
      <c r="E1" s="57"/>
      <c r="F1" s="57"/>
      <c r="G1" s="57"/>
      <c r="H1" s="57"/>
      <c r="I1" s="58"/>
      <c r="J1" s="58"/>
      <c r="K1" s="57"/>
    </row>
    <row r="2" spans="1:55" x14ac:dyDescent="0.25">
      <c r="A2" s="58"/>
      <c r="B2" s="57"/>
      <c r="C2" s="57"/>
      <c r="D2" s="57"/>
      <c r="E2" s="57"/>
      <c r="F2" s="57"/>
      <c r="G2" s="57"/>
      <c r="H2" s="57"/>
      <c r="I2" s="58"/>
      <c r="J2" s="58"/>
      <c r="K2" s="57"/>
    </row>
    <row r="3" spans="1:55" x14ac:dyDescent="0.25">
      <c r="A3" s="57" t="s">
        <v>70</v>
      </c>
      <c r="B3" s="57"/>
      <c r="C3" s="57"/>
      <c r="D3" s="57"/>
      <c r="E3" s="57"/>
      <c r="F3" s="57"/>
      <c r="G3" s="57"/>
      <c r="H3" s="57"/>
      <c r="I3" s="59"/>
      <c r="J3" s="59"/>
      <c r="K3" s="57"/>
    </row>
    <row r="4" spans="1:55" ht="18.75" x14ac:dyDescent="0.35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U4" s="57"/>
      <c r="V4" s="57"/>
      <c r="W4" s="57"/>
      <c r="X4" s="57"/>
      <c r="Y4" s="36" t="s">
        <v>327</v>
      </c>
      <c r="Z4" s="36" t="s">
        <v>328</v>
      </c>
      <c r="AA4" s="56"/>
      <c r="AB4" s="56"/>
      <c r="AC4" s="56"/>
      <c r="AD4" s="57"/>
    </row>
    <row r="5" spans="1:55" x14ac:dyDescent="0.25">
      <c r="A5" s="61" t="s">
        <v>330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104"/>
      <c r="M5" s="104"/>
      <c r="N5" s="104"/>
      <c r="O5" s="104"/>
      <c r="P5" s="104"/>
      <c r="Q5" s="104"/>
      <c r="R5" s="104"/>
      <c r="S5" s="104"/>
      <c r="T5" s="104"/>
      <c r="U5" s="61"/>
      <c r="V5" s="61"/>
      <c r="W5" s="61"/>
      <c r="X5" s="61"/>
      <c r="Y5" s="61"/>
      <c r="Z5" s="61"/>
      <c r="AA5" s="61"/>
      <c r="AB5" s="61"/>
      <c r="AC5" s="61"/>
      <c r="AD5" s="61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</row>
    <row r="6" spans="1:55" x14ac:dyDescent="0.25">
      <c r="A6" s="61" t="s">
        <v>83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8" t="s">
        <v>24</v>
      </c>
      <c r="M6" s="61" t="s">
        <v>41</v>
      </c>
      <c r="N6" s="68" t="s">
        <v>24</v>
      </c>
      <c r="O6" s="68"/>
      <c r="P6" s="68"/>
      <c r="Q6" s="61"/>
      <c r="R6" s="68" t="s">
        <v>59</v>
      </c>
      <c r="S6" s="108" t="s">
        <v>60</v>
      </c>
      <c r="T6" s="104"/>
      <c r="U6" s="68"/>
      <c r="V6" s="61"/>
      <c r="W6" s="61"/>
      <c r="X6" s="68" t="s">
        <v>24</v>
      </c>
      <c r="Y6" s="68" t="s">
        <v>146</v>
      </c>
      <c r="Z6" s="68" t="s">
        <v>146</v>
      </c>
      <c r="AA6" s="61"/>
      <c r="AB6" s="61"/>
      <c r="AC6" s="61"/>
      <c r="AD6" s="61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</row>
    <row r="7" spans="1:55" x14ac:dyDescent="0.25">
      <c r="A7" s="61"/>
      <c r="B7" s="61"/>
      <c r="C7" s="62" t="s">
        <v>40</v>
      </c>
      <c r="D7" s="62" t="s">
        <v>51</v>
      </c>
      <c r="E7" s="62" t="s">
        <v>51</v>
      </c>
      <c r="F7" s="61"/>
      <c r="G7" s="61"/>
      <c r="H7" s="61"/>
      <c r="I7" s="68"/>
      <c r="J7" s="68"/>
      <c r="K7" s="68" t="s">
        <v>24</v>
      </c>
      <c r="L7" s="68" t="s">
        <v>45</v>
      </c>
      <c r="M7" s="68" t="s">
        <v>84</v>
      </c>
      <c r="N7" s="68" t="s">
        <v>43</v>
      </c>
      <c r="O7" s="68" t="s">
        <v>10</v>
      </c>
      <c r="P7" s="68" t="s">
        <v>329</v>
      </c>
      <c r="Q7" s="68" t="s">
        <v>56</v>
      </c>
      <c r="R7" s="68" t="s">
        <v>10</v>
      </c>
      <c r="S7" s="68" t="s">
        <v>25</v>
      </c>
      <c r="T7" s="68" t="s">
        <v>14</v>
      </c>
      <c r="U7" s="68" t="s">
        <v>14</v>
      </c>
      <c r="V7" s="61"/>
      <c r="W7" s="61"/>
      <c r="X7" s="68" t="s">
        <v>43</v>
      </c>
      <c r="Y7" s="68" t="s">
        <v>147</v>
      </c>
      <c r="Z7" s="68" t="s">
        <v>147</v>
      </c>
      <c r="AA7" s="61"/>
      <c r="AB7" s="61"/>
      <c r="AC7" s="61"/>
      <c r="AD7" s="61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</row>
    <row r="8" spans="1:55" x14ac:dyDescent="0.25">
      <c r="A8" s="62" t="s">
        <v>6</v>
      </c>
      <c r="B8" s="62" t="s">
        <v>17</v>
      </c>
      <c r="C8" s="62" t="s">
        <v>69</v>
      </c>
      <c r="D8" s="62" t="s">
        <v>50</v>
      </c>
      <c r="E8" s="62" t="s">
        <v>39</v>
      </c>
      <c r="F8" s="62" t="s">
        <v>21</v>
      </c>
      <c r="G8" s="62" t="s">
        <v>3</v>
      </c>
      <c r="H8" s="62" t="s">
        <v>19</v>
      </c>
      <c r="I8" s="68" t="s">
        <v>38</v>
      </c>
      <c r="J8" s="68" t="s">
        <v>38</v>
      </c>
      <c r="K8" s="68" t="s">
        <v>38</v>
      </c>
      <c r="L8" s="68" t="s">
        <v>30</v>
      </c>
      <c r="M8" s="68" t="s">
        <v>43</v>
      </c>
      <c r="N8" s="68" t="s">
        <v>30</v>
      </c>
      <c r="O8" s="68" t="s">
        <v>26</v>
      </c>
      <c r="P8" s="68" t="s">
        <v>31</v>
      </c>
      <c r="Q8" s="68" t="s">
        <v>57</v>
      </c>
      <c r="R8" s="68" t="s">
        <v>39</v>
      </c>
      <c r="S8" s="68" t="s">
        <v>39</v>
      </c>
      <c r="T8" s="68" t="s">
        <v>62</v>
      </c>
      <c r="U8" s="68" t="s">
        <v>62</v>
      </c>
      <c r="V8" s="68" t="s">
        <v>28</v>
      </c>
      <c r="W8" s="68" t="s">
        <v>33</v>
      </c>
      <c r="X8" s="68" t="s">
        <v>86</v>
      </c>
      <c r="Y8" s="68" t="s">
        <v>148</v>
      </c>
      <c r="Z8" s="68" t="s">
        <v>175</v>
      </c>
      <c r="AA8" s="61"/>
      <c r="AB8" s="61"/>
      <c r="AC8" s="61"/>
      <c r="AD8" s="61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</row>
    <row r="9" spans="1:55" ht="17.25" x14ac:dyDescent="0.25">
      <c r="A9" s="62"/>
      <c r="B9" s="62" t="s">
        <v>11</v>
      </c>
      <c r="C9" s="62" t="s">
        <v>5</v>
      </c>
      <c r="D9" s="62"/>
      <c r="E9" s="62"/>
      <c r="F9" s="62" t="s">
        <v>20</v>
      </c>
      <c r="G9" s="62" t="s">
        <v>0</v>
      </c>
      <c r="H9" s="62" t="s">
        <v>0</v>
      </c>
      <c r="I9" s="68" t="s">
        <v>77</v>
      </c>
      <c r="J9" s="68" t="s">
        <v>23</v>
      </c>
      <c r="K9" s="68" t="s">
        <v>27</v>
      </c>
      <c r="L9" s="68" t="s">
        <v>13</v>
      </c>
      <c r="M9" s="68" t="s">
        <v>11</v>
      </c>
      <c r="N9" s="68" t="s">
        <v>13</v>
      </c>
      <c r="O9" s="68" t="s">
        <v>13</v>
      </c>
      <c r="P9" s="68" t="s">
        <v>4</v>
      </c>
      <c r="Q9" s="68" t="s">
        <v>58</v>
      </c>
      <c r="R9" s="68" t="s">
        <v>61</v>
      </c>
      <c r="S9" s="68" t="s">
        <v>61</v>
      </c>
      <c r="T9" s="68" t="s">
        <v>61</v>
      </c>
      <c r="U9" s="68" t="s">
        <v>76</v>
      </c>
      <c r="V9" s="68" t="s">
        <v>85</v>
      </c>
      <c r="W9" s="68" t="s">
        <v>85</v>
      </c>
      <c r="X9" s="68" t="s">
        <v>13</v>
      </c>
      <c r="Y9" s="61"/>
      <c r="Z9" s="61"/>
      <c r="AA9" s="65"/>
      <c r="AB9" s="61"/>
      <c r="AC9" s="76" t="s">
        <v>15</v>
      </c>
      <c r="AD9" s="61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</row>
    <row r="10" spans="1:55" x14ac:dyDescent="0.25">
      <c r="A10" s="62">
        <v>1</v>
      </c>
      <c r="B10" s="62">
        <v>50</v>
      </c>
      <c r="C10" s="62">
        <v>7.0000000000000007E-2</v>
      </c>
      <c r="D10" s="78">
        <v>42761</v>
      </c>
      <c r="E10" s="71">
        <v>42761.647916666669</v>
      </c>
      <c r="F10" s="72">
        <v>35</v>
      </c>
      <c r="G10" s="72">
        <v>1.5</v>
      </c>
      <c r="H10" s="72">
        <f>F10+G10</f>
        <v>36.5</v>
      </c>
      <c r="I10" s="65">
        <f>$AC$12</f>
        <v>16800000</v>
      </c>
      <c r="J10" s="65">
        <f>I10/1000</f>
        <v>16800</v>
      </c>
      <c r="K10" s="65">
        <f>(J10/1000000)*(1/22.71)*(44.01)*(1000000)</f>
        <v>32556.93527080581</v>
      </c>
      <c r="L10" s="66">
        <f>(K10)*(1/44.01)*(2*14)*(60.9-36.5)/(1000000)</f>
        <v>0.50540554821664463</v>
      </c>
      <c r="M10" s="64">
        <v>40.29</v>
      </c>
      <c r="N10" s="66">
        <f>(M10)*(1/44.01)*(2*14)*(0.0365)</f>
        <v>0.93561417859577356</v>
      </c>
      <c r="O10" s="62">
        <f t="shared" ref="O10:O23" si="0">(B10*F10/1000)</f>
        <v>1.75</v>
      </c>
      <c r="P10" s="75">
        <f>((L10+N10+X10)/(O10))*100</f>
        <v>96.49347010356675</v>
      </c>
      <c r="Q10" s="71">
        <v>42762.625694444447</v>
      </c>
      <c r="R10" s="109">
        <f t="shared" ref="R10:R23" si="1">(E10)</f>
        <v>42761.647916666669</v>
      </c>
      <c r="S10" s="109">
        <f>(Q10)</f>
        <v>42762.625694444447</v>
      </c>
      <c r="T10" s="109">
        <f>(S10-R10)</f>
        <v>0.97777777777810115</v>
      </c>
      <c r="U10" s="72">
        <f>T10*24</f>
        <v>23.466666666674428</v>
      </c>
      <c r="V10" s="62">
        <v>6.67</v>
      </c>
      <c r="W10" s="62">
        <v>0.114</v>
      </c>
      <c r="X10" s="62">
        <f>(V10+W10)*(0.0365)</f>
        <v>0.24761599999999998</v>
      </c>
      <c r="Y10" s="65">
        <f>((L10+N10)/O10)*100</f>
        <v>82.343984389281033</v>
      </c>
      <c r="Z10" s="65">
        <f>(X10/O10)*100</f>
        <v>14.149485714285712</v>
      </c>
      <c r="AA10" s="61" t="s">
        <v>7</v>
      </c>
      <c r="AB10" s="65">
        <v>16840000</v>
      </c>
      <c r="AC10" s="69"/>
      <c r="AD10" s="61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</row>
    <row r="11" spans="1:55" x14ac:dyDescent="0.25">
      <c r="A11" s="62">
        <v>2</v>
      </c>
      <c r="B11" s="62">
        <v>50</v>
      </c>
      <c r="C11" s="62">
        <v>7.0099999999999996E-2</v>
      </c>
      <c r="D11" s="78">
        <v>42762</v>
      </c>
      <c r="E11" s="71">
        <v>42762.288888888892</v>
      </c>
      <c r="F11" s="72">
        <v>35</v>
      </c>
      <c r="G11" s="72">
        <v>1.5</v>
      </c>
      <c r="H11" s="72">
        <f t="shared" ref="H11:H23" si="2">F11+G11</f>
        <v>36.5</v>
      </c>
      <c r="I11" s="65">
        <f>$AC$15</f>
        <v>16440000</v>
      </c>
      <c r="J11" s="65">
        <f t="shared" ref="J11:J25" si="3">I11/1000</f>
        <v>16440</v>
      </c>
      <c r="K11" s="65">
        <f t="shared" ref="K11:K23" si="4">(J11/1000000)*(1/22.71)*(44.01)*(1000000)</f>
        <v>31859.286657859968</v>
      </c>
      <c r="L11" s="66">
        <f t="shared" ref="L11:L23" si="5">(K11)*(1/44.01)*(2*14*25)/(1000000)</f>
        <v>0.50673712021136053</v>
      </c>
      <c r="M11" s="64">
        <v>39.4</v>
      </c>
      <c r="N11" s="66">
        <f t="shared" ref="N11:N14" si="6">(M11)*(1/44.01)*(2*14)*(0.0365)</f>
        <v>0.91494660304476239</v>
      </c>
      <c r="O11" s="62">
        <f t="shared" si="0"/>
        <v>1.75</v>
      </c>
      <c r="P11" s="75">
        <f t="shared" ref="P11:P23" si="7">((L11+N11+X11)/(O11))*100</f>
        <v>97.363727043207021</v>
      </c>
      <c r="Q11" s="71">
        <v>42762.629166666666</v>
      </c>
      <c r="R11" s="109">
        <f t="shared" si="1"/>
        <v>42762.288888888892</v>
      </c>
      <c r="S11" s="109">
        <f t="shared" ref="S11:S23" si="8">(Q11)</f>
        <v>42762.629166666666</v>
      </c>
      <c r="T11" s="109">
        <f t="shared" ref="T11:T23" si="9">(S11-R11)</f>
        <v>0.34027777777373558</v>
      </c>
      <c r="U11" s="72">
        <f t="shared" ref="U11:U25" si="10">T11*24</f>
        <v>8.1666666665696539</v>
      </c>
      <c r="V11" s="62">
        <v>7.62</v>
      </c>
      <c r="W11" s="62">
        <v>0.111</v>
      </c>
      <c r="X11" s="62">
        <f t="shared" ref="X11:X14" si="11">(V11+W11)*(0.0365)</f>
        <v>0.28218149999999997</v>
      </c>
      <c r="Y11" s="65">
        <f t="shared" ref="Y11:Y14" si="12">((L11+N11)/O11)*100</f>
        <v>81.239069900349875</v>
      </c>
      <c r="Z11" s="65">
        <f t="shared" ref="Z11:Z14" si="13">(X11/O11)*100</f>
        <v>16.124657142857142</v>
      </c>
      <c r="AA11" s="61" t="s">
        <v>72</v>
      </c>
      <c r="AB11" s="65">
        <v>16930000</v>
      </c>
      <c r="AC11" s="69"/>
      <c r="AD11" s="61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</row>
    <row r="12" spans="1:55" x14ac:dyDescent="0.25">
      <c r="A12" s="62">
        <v>3</v>
      </c>
      <c r="B12" s="62">
        <v>50</v>
      </c>
      <c r="C12" s="62">
        <v>6.9900000000000004E-2</v>
      </c>
      <c r="D12" s="78">
        <v>42762</v>
      </c>
      <c r="E12" s="71">
        <v>42762.330555555556</v>
      </c>
      <c r="F12" s="72">
        <v>35</v>
      </c>
      <c r="G12" s="72">
        <v>1.5</v>
      </c>
      <c r="H12" s="72">
        <f t="shared" si="2"/>
        <v>36.5</v>
      </c>
      <c r="I12" s="65">
        <v>16720000</v>
      </c>
      <c r="J12" s="65">
        <f t="shared" si="3"/>
        <v>16720</v>
      </c>
      <c r="K12" s="65">
        <f t="shared" si="4"/>
        <v>32401.902245706729</v>
      </c>
      <c r="L12" s="66">
        <f t="shared" si="5"/>
        <v>0.51536767943637152</v>
      </c>
      <c r="M12" s="64">
        <v>40.090000000000003</v>
      </c>
      <c r="N12" s="66">
        <f t="shared" si="6"/>
        <v>0.93096977959554661</v>
      </c>
      <c r="O12" s="62">
        <f t="shared" si="0"/>
        <v>1.75</v>
      </c>
      <c r="P12" s="75">
        <f t="shared" si="7"/>
        <v>96.252969087538176</v>
      </c>
      <c r="Q12" s="71">
        <v>42762.632638888892</v>
      </c>
      <c r="R12" s="109">
        <f t="shared" si="1"/>
        <v>42762.330555555556</v>
      </c>
      <c r="S12" s="109">
        <f t="shared" si="8"/>
        <v>42762.632638888892</v>
      </c>
      <c r="T12" s="109">
        <f t="shared" si="9"/>
        <v>0.30208333333575865</v>
      </c>
      <c r="U12" s="72">
        <f t="shared" si="10"/>
        <v>7.2500000000582077</v>
      </c>
      <c r="V12" s="62">
        <v>6.41</v>
      </c>
      <c r="W12" s="62">
        <v>0.113</v>
      </c>
      <c r="X12" s="62">
        <f t="shared" si="11"/>
        <v>0.23808950000000001</v>
      </c>
      <c r="Y12" s="65">
        <f t="shared" si="12"/>
        <v>82.647854801823883</v>
      </c>
      <c r="Z12" s="65">
        <f t="shared" si="13"/>
        <v>13.605114285714286</v>
      </c>
      <c r="AA12" s="61" t="s">
        <v>73</v>
      </c>
      <c r="AB12" s="65">
        <v>16630000</v>
      </c>
      <c r="AC12" s="69">
        <f>AVERAGE(AB10:AB12)</f>
        <v>16800000</v>
      </c>
      <c r="AD12" s="61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</row>
    <row r="13" spans="1:55" x14ac:dyDescent="0.25">
      <c r="A13" s="62">
        <v>4</v>
      </c>
      <c r="B13" s="62">
        <v>50</v>
      </c>
      <c r="C13" s="62">
        <v>7.0000000000000007E-2</v>
      </c>
      <c r="D13" s="78">
        <v>42762</v>
      </c>
      <c r="E13" s="71">
        <v>42762.37222222222</v>
      </c>
      <c r="F13" s="72">
        <v>35</v>
      </c>
      <c r="G13" s="72">
        <v>1.5</v>
      </c>
      <c r="H13" s="72">
        <f t="shared" si="2"/>
        <v>36.5</v>
      </c>
      <c r="I13" s="65">
        <v>16670000</v>
      </c>
      <c r="J13" s="65">
        <f t="shared" si="3"/>
        <v>16670</v>
      </c>
      <c r="K13" s="65">
        <f t="shared" si="4"/>
        <v>32305.006605019807</v>
      </c>
      <c r="L13" s="66">
        <f t="shared" si="5"/>
        <v>0.51382650814619091</v>
      </c>
      <c r="M13" s="64">
        <v>39.97</v>
      </c>
      <c r="N13" s="66">
        <f t="shared" si="6"/>
        <v>0.92818314019541004</v>
      </c>
      <c r="O13" s="62">
        <f t="shared" si="0"/>
        <v>1.75</v>
      </c>
      <c r="P13" s="75">
        <f t="shared" si="7"/>
        <v>95.874265619520045</v>
      </c>
      <c r="Q13" s="71">
        <v>42762.636111111111</v>
      </c>
      <c r="R13" s="109">
        <f t="shared" si="1"/>
        <v>42762.37222222222</v>
      </c>
      <c r="S13" s="109">
        <f t="shared" si="8"/>
        <v>42762.636111111111</v>
      </c>
      <c r="T13" s="109">
        <f t="shared" si="9"/>
        <v>0.26388888889050577</v>
      </c>
      <c r="U13" s="72">
        <f t="shared" si="10"/>
        <v>6.3333333333721384</v>
      </c>
      <c r="V13" s="62">
        <v>6.41</v>
      </c>
      <c r="W13" s="62">
        <v>0.05</v>
      </c>
      <c r="X13" s="62">
        <f t="shared" si="11"/>
        <v>0.23578999999999997</v>
      </c>
      <c r="Y13" s="65">
        <f t="shared" si="12"/>
        <v>82.400551333805765</v>
      </c>
      <c r="Z13" s="65">
        <f t="shared" si="13"/>
        <v>13.473714285714284</v>
      </c>
      <c r="AA13" s="61" t="s">
        <v>8</v>
      </c>
      <c r="AB13" s="65">
        <v>16390000</v>
      </c>
      <c r="AC13" s="69"/>
      <c r="AD13" s="61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</row>
    <row r="14" spans="1:55" x14ac:dyDescent="0.25">
      <c r="A14" s="62">
        <v>5</v>
      </c>
      <c r="B14" s="62">
        <v>50</v>
      </c>
      <c r="C14" s="62">
        <v>7.0099999999999996E-2</v>
      </c>
      <c r="D14" s="78">
        <v>42762</v>
      </c>
      <c r="E14" s="71">
        <v>42762.413194444445</v>
      </c>
      <c r="F14" s="72">
        <v>35</v>
      </c>
      <c r="G14" s="72">
        <v>1.5</v>
      </c>
      <c r="H14" s="72">
        <f t="shared" si="2"/>
        <v>36.5</v>
      </c>
      <c r="I14" s="65">
        <v>16540000</v>
      </c>
      <c r="J14" s="65">
        <f t="shared" si="3"/>
        <v>16540</v>
      </c>
      <c r="K14" s="65">
        <f t="shared" si="4"/>
        <v>32053.077939233815</v>
      </c>
      <c r="L14" s="66">
        <f t="shared" si="5"/>
        <v>0.50981946279172163</v>
      </c>
      <c r="M14" s="64">
        <v>39.659999999999997</v>
      </c>
      <c r="N14" s="66">
        <f t="shared" si="6"/>
        <v>0.92098432174505784</v>
      </c>
      <c r="O14" s="62">
        <f t="shared" si="0"/>
        <v>1.75</v>
      </c>
      <c r="P14" s="75">
        <f t="shared" si="7"/>
        <v>95.457101973530271</v>
      </c>
      <c r="Q14" s="71">
        <v>42762.640277777777</v>
      </c>
      <c r="R14" s="109">
        <f t="shared" si="1"/>
        <v>42762.413194444445</v>
      </c>
      <c r="S14" s="109">
        <f t="shared" si="8"/>
        <v>42762.640277777777</v>
      </c>
      <c r="T14" s="109">
        <f t="shared" si="9"/>
        <v>0.22708333333139308</v>
      </c>
      <c r="U14" s="72">
        <f t="shared" si="10"/>
        <v>5.4499999999534339</v>
      </c>
      <c r="V14" s="62">
        <v>6.45</v>
      </c>
      <c r="W14" s="62">
        <v>0.11700000000000001</v>
      </c>
      <c r="X14" s="62">
        <f t="shared" si="11"/>
        <v>0.23969549999999998</v>
      </c>
      <c r="Y14" s="65">
        <f t="shared" si="12"/>
        <v>81.760216259244544</v>
      </c>
      <c r="Z14" s="65">
        <f t="shared" si="13"/>
        <v>13.696885714285715</v>
      </c>
      <c r="AA14" s="61" t="s">
        <v>74</v>
      </c>
      <c r="AB14" s="65">
        <v>16610000</v>
      </c>
      <c r="AC14" s="69"/>
      <c r="AD14" s="61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</row>
    <row r="15" spans="1:55" x14ac:dyDescent="0.25">
      <c r="A15" s="62">
        <v>6</v>
      </c>
      <c r="B15" s="62">
        <v>50</v>
      </c>
      <c r="C15" s="62">
        <v>7.0000000000000007E-2</v>
      </c>
      <c r="D15" s="78">
        <v>42762</v>
      </c>
      <c r="E15" s="71">
        <v>42762.454861111109</v>
      </c>
      <c r="F15" s="72">
        <v>35</v>
      </c>
      <c r="G15" s="72">
        <v>1.5</v>
      </c>
      <c r="H15" s="72">
        <f t="shared" si="2"/>
        <v>36.5</v>
      </c>
      <c r="I15" s="65">
        <v>16410000</v>
      </c>
      <c r="J15" s="65">
        <f t="shared" si="3"/>
        <v>16410</v>
      </c>
      <c r="K15" s="65">
        <f t="shared" si="4"/>
        <v>31801.14927344782</v>
      </c>
      <c r="L15" s="66">
        <f t="shared" si="5"/>
        <v>0.50581241743725225</v>
      </c>
      <c r="M15" s="64">
        <v>39.35</v>
      </c>
      <c r="N15" s="66">
        <f t="shared" ref="N15:N22" si="14">(M15)*(16/44)*(0.0365)</f>
        <v>0.52228181818181818</v>
      </c>
      <c r="O15" s="62">
        <f t="shared" si="0"/>
        <v>1.75</v>
      </c>
      <c r="P15" s="75">
        <f t="shared" si="7"/>
        <v>72.958213463946876</v>
      </c>
      <c r="Q15" s="71">
        <v>42762.644444444442</v>
      </c>
      <c r="R15" s="109">
        <f t="shared" si="1"/>
        <v>42762.454861111109</v>
      </c>
      <c r="S15" s="109">
        <f t="shared" si="8"/>
        <v>42762.644444444442</v>
      </c>
      <c r="T15" s="109">
        <f t="shared" si="9"/>
        <v>0.18958333333284827</v>
      </c>
      <c r="U15" s="72">
        <f t="shared" si="10"/>
        <v>4.5499999999883585</v>
      </c>
      <c r="V15" s="68">
        <f>AVERAGE(V10:V14)</f>
        <v>6.7120000000000006</v>
      </c>
      <c r="W15" s="68">
        <f>AVERAGE(W10:W14)</f>
        <v>0.10100000000000001</v>
      </c>
      <c r="X15" s="74">
        <f>AVERAGE(X10:X14)</f>
        <v>0.24867449999999999</v>
      </c>
      <c r="Y15" s="75">
        <f>AVERAGE(Y10:Y14)</f>
        <v>82.07833533690102</v>
      </c>
      <c r="Z15" s="75">
        <f>AVERAGE(Z10:Z14)</f>
        <v>14.209971428571427</v>
      </c>
      <c r="AA15" s="61" t="s">
        <v>75</v>
      </c>
      <c r="AB15" s="65">
        <v>16320000</v>
      </c>
      <c r="AC15" s="69">
        <f>AVERAGE(AB13:AB15)</f>
        <v>16440000</v>
      </c>
      <c r="AD15" s="61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</row>
    <row r="16" spans="1:55" x14ac:dyDescent="0.25">
      <c r="A16" s="62">
        <v>7</v>
      </c>
      <c r="B16" s="62">
        <v>50</v>
      </c>
      <c r="C16" s="62">
        <v>6.9900000000000004E-2</v>
      </c>
      <c r="D16" s="78">
        <v>42762</v>
      </c>
      <c r="E16" s="71">
        <v>42762.496527777781</v>
      </c>
      <c r="F16" s="72">
        <v>35</v>
      </c>
      <c r="G16" s="72">
        <v>1.5</v>
      </c>
      <c r="H16" s="72">
        <f t="shared" si="2"/>
        <v>36.5</v>
      </c>
      <c r="I16" s="88">
        <v>15980000</v>
      </c>
      <c r="J16" s="65">
        <f t="shared" si="3"/>
        <v>15980</v>
      </c>
      <c r="K16" s="65">
        <f t="shared" si="4"/>
        <v>30967.846763540289</v>
      </c>
      <c r="L16" s="66">
        <f t="shared" si="5"/>
        <v>0.49255834434169965</v>
      </c>
      <c r="M16" s="64">
        <v>38.32</v>
      </c>
      <c r="N16" s="66">
        <f t="shared" si="14"/>
        <v>0.50861090909090911</v>
      </c>
      <c r="O16" s="62">
        <f t="shared" si="0"/>
        <v>1.75</v>
      </c>
      <c r="P16" s="75">
        <f t="shared" si="7"/>
        <v>57.209671624720492</v>
      </c>
      <c r="Q16" s="71">
        <v>42762.647916666669</v>
      </c>
      <c r="R16" s="109">
        <f t="shared" si="1"/>
        <v>42762.496527777781</v>
      </c>
      <c r="S16" s="109">
        <f t="shared" si="8"/>
        <v>42762.647916666669</v>
      </c>
      <c r="T16" s="109">
        <f t="shared" si="9"/>
        <v>0.15138888888759539</v>
      </c>
      <c r="U16" s="72">
        <f t="shared" si="10"/>
        <v>3.6333333333022892</v>
      </c>
      <c r="V16" s="61"/>
      <c r="W16" s="61"/>
      <c r="X16" s="61"/>
      <c r="Y16" s="61"/>
      <c r="Z16" s="61"/>
      <c r="AA16" s="61"/>
      <c r="AB16" s="61"/>
      <c r="AC16" s="61"/>
      <c r="AD16" s="61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</row>
    <row r="17" spans="1:55" x14ac:dyDescent="0.25">
      <c r="A17" s="62">
        <v>8</v>
      </c>
      <c r="B17" s="62">
        <v>50</v>
      </c>
      <c r="C17" s="62">
        <v>7.0099999999999996E-2</v>
      </c>
      <c r="D17" s="78">
        <v>42762</v>
      </c>
      <c r="E17" s="71">
        <v>42762.545138888891</v>
      </c>
      <c r="F17" s="72">
        <v>35</v>
      </c>
      <c r="G17" s="72">
        <v>1.5</v>
      </c>
      <c r="H17" s="72">
        <f t="shared" si="2"/>
        <v>36.5</v>
      </c>
      <c r="I17" s="65">
        <v>15520000</v>
      </c>
      <c r="J17" s="65">
        <f t="shared" si="3"/>
        <v>15520</v>
      </c>
      <c r="K17" s="65">
        <f t="shared" si="4"/>
        <v>30076.406869220606</v>
      </c>
      <c r="L17" s="66">
        <f t="shared" si="5"/>
        <v>0.47837956847203872</v>
      </c>
      <c r="M17" s="64">
        <v>37.22</v>
      </c>
      <c r="N17" s="66">
        <f t="shared" si="14"/>
        <v>0.49401090909090906</v>
      </c>
      <c r="O17" s="62">
        <f t="shared" si="0"/>
        <v>1.75</v>
      </c>
      <c r="P17" s="75">
        <f t="shared" si="7"/>
        <v>55.565170146454157</v>
      </c>
      <c r="Q17" s="71">
        <v>42762.652083333334</v>
      </c>
      <c r="R17" s="109">
        <f t="shared" si="1"/>
        <v>42762.545138888891</v>
      </c>
      <c r="S17" s="109">
        <f t="shared" si="8"/>
        <v>42762.652083333334</v>
      </c>
      <c r="T17" s="109">
        <f t="shared" si="9"/>
        <v>0.10694444444379769</v>
      </c>
      <c r="U17" s="72">
        <f t="shared" si="10"/>
        <v>2.5666666666511446</v>
      </c>
      <c r="V17" s="61"/>
      <c r="W17" s="61"/>
      <c r="X17" s="61"/>
      <c r="Y17" s="61"/>
      <c r="Z17" s="61"/>
      <c r="AA17" s="61"/>
      <c r="AB17" s="61"/>
      <c r="AC17" s="61"/>
      <c r="AD17" s="61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</row>
    <row r="18" spans="1:55" x14ac:dyDescent="0.25">
      <c r="A18" s="62">
        <v>9</v>
      </c>
      <c r="B18" s="62">
        <v>50</v>
      </c>
      <c r="C18" s="62">
        <v>7.0000000000000007E-2</v>
      </c>
      <c r="D18" s="78">
        <v>42762</v>
      </c>
      <c r="E18" s="71">
        <v>42762.580555555556</v>
      </c>
      <c r="F18" s="72">
        <v>35</v>
      </c>
      <c r="G18" s="72">
        <v>1.5</v>
      </c>
      <c r="H18" s="72">
        <f t="shared" si="2"/>
        <v>36.5</v>
      </c>
      <c r="I18" s="65">
        <v>14520000</v>
      </c>
      <c r="J18" s="65">
        <f t="shared" si="3"/>
        <v>14520</v>
      </c>
      <c r="K18" s="65">
        <f t="shared" si="4"/>
        <v>28138.494055482159</v>
      </c>
      <c r="L18" s="66">
        <f t="shared" si="5"/>
        <v>0.44755614266842791</v>
      </c>
      <c r="M18" s="64">
        <v>34.82</v>
      </c>
      <c r="N18" s="66">
        <f t="shared" si="14"/>
        <v>0.46215636363636364</v>
      </c>
      <c r="O18" s="62">
        <f t="shared" si="0"/>
        <v>1.75</v>
      </c>
      <c r="P18" s="75">
        <f t="shared" si="7"/>
        <v>51.983571788845225</v>
      </c>
      <c r="Q18" s="71">
        <v>42762.655555555553</v>
      </c>
      <c r="R18" s="109">
        <f t="shared" si="1"/>
        <v>42762.580555555556</v>
      </c>
      <c r="S18" s="109">
        <f t="shared" si="8"/>
        <v>42762.655555555553</v>
      </c>
      <c r="T18" s="109">
        <f t="shared" si="9"/>
        <v>7.4999999997089617E-2</v>
      </c>
      <c r="U18" s="72">
        <f t="shared" si="10"/>
        <v>1.7999999999301508</v>
      </c>
      <c r="V18" s="61"/>
      <c r="W18" s="61"/>
      <c r="X18" s="61"/>
      <c r="Y18" s="61"/>
      <c r="Z18" s="61"/>
      <c r="AA18" s="61"/>
      <c r="AB18" s="61"/>
      <c r="AC18" s="61"/>
      <c r="AD18" s="61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</row>
    <row r="19" spans="1:55" x14ac:dyDescent="0.25">
      <c r="A19" s="62">
        <v>10</v>
      </c>
      <c r="B19" s="62">
        <v>50</v>
      </c>
      <c r="C19" s="87">
        <v>6.9900000000000004E-2</v>
      </c>
      <c r="D19" s="78">
        <v>42762</v>
      </c>
      <c r="E19" s="71">
        <v>42762.603472222225</v>
      </c>
      <c r="F19" s="72">
        <v>35</v>
      </c>
      <c r="G19" s="72">
        <v>1.5</v>
      </c>
      <c r="H19" s="72">
        <f t="shared" si="2"/>
        <v>36.5</v>
      </c>
      <c r="I19" s="65">
        <v>14030000</v>
      </c>
      <c r="J19" s="65">
        <f t="shared" si="3"/>
        <v>14030</v>
      </c>
      <c r="K19" s="65">
        <f t="shared" si="4"/>
        <v>27188.916776750331</v>
      </c>
      <c r="L19" s="66">
        <f t="shared" si="5"/>
        <v>0.43245266402465882</v>
      </c>
      <c r="M19" s="64">
        <v>33.64</v>
      </c>
      <c r="N19" s="66">
        <f t="shared" si="14"/>
        <v>0.44649454545454542</v>
      </c>
      <c r="O19" s="62">
        <f t="shared" si="0"/>
        <v>1.75</v>
      </c>
      <c r="P19" s="75">
        <f t="shared" si="7"/>
        <v>50.2255548273831</v>
      </c>
      <c r="Q19" s="71">
        <v>42762.658333333333</v>
      </c>
      <c r="R19" s="109">
        <f t="shared" si="1"/>
        <v>42762.603472222225</v>
      </c>
      <c r="S19" s="109">
        <f t="shared" si="8"/>
        <v>42762.658333333333</v>
      </c>
      <c r="T19" s="109">
        <f t="shared" si="9"/>
        <v>5.486111110803904E-2</v>
      </c>
      <c r="U19" s="72">
        <f t="shared" si="10"/>
        <v>1.316666666592937</v>
      </c>
      <c r="V19" s="61"/>
      <c r="W19" s="61"/>
      <c r="X19" s="61"/>
      <c r="Y19" s="61"/>
      <c r="Z19" s="61"/>
      <c r="AA19" s="61"/>
      <c r="AB19" s="61"/>
      <c r="AC19" s="61"/>
      <c r="AD19" s="61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</row>
    <row r="20" spans="1:55" x14ac:dyDescent="0.25">
      <c r="A20" s="62">
        <v>11</v>
      </c>
      <c r="B20" s="62">
        <v>50</v>
      </c>
      <c r="C20" s="87">
        <v>6.9900000000000004E-2</v>
      </c>
      <c r="D20" s="78">
        <v>42762</v>
      </c>
      <c r="E20" s="71">
        <v>42762.625</v>
      </c>
      <c r="F20" s="72">
        <v>35</v>
      </c>
      <c r="G20" s="72">
        <v>1.5</v>
      </c>
      <c r="H20" s="72">
        <f t="shared" si="2"/>
        <v>36.5</v>
      </c>
      <c r="I20" s="65">
        <v>12180000</v>
      </c>
      <c r="J20" s="65">
        <f t="shared" si="3"/>
        <v>12180</v>
      </c>
      <c r="K20" s="65">
        <f t="shared" si="4"/>
        <v>23603.778071334211</v>
      </c>
      <c r="L20" s="66">
        <f t="shared" si="5"/>
        <v>0.37542932628797882</v>
      </c>
      <c r="M20" s="64">
        <v>29.21</v>
      </c>
      <c r="N20" s="66">
        <f t="shared" si="14"/>
        <v>0.38769636363636367</v>
      </c>
      <c r="O20" s="62">
        <f t="shared" si="0"/>
        <v>1.75</v>
      </c>
      <c r="P20" s="75">
        <f t="shared" si="7"/>
        <v>43.607182281390998</v>
      </c>
      <c r="Q20" s="71">
        <v>42762.661805555559</v>
      </c>
      <c r="R20" s="109">
        <f t="shared" si="1"/>
        <v>42762.625</v>
      </c>
      <c r="S20" s="109">
        <f t="shared" si="8"/>
        <v>42762.661805555559</v>
      </c>
      <c r="T20" s="109">
        <f t="shared" si="9"/>
        <v>3.680555555911269E-2</v>
      </c>
      <c r="U20" s="109">
        <f t="shared" si="10"/>
        <v>0.88333333341870457</v>
      </c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</row>
    <row r="21" spans="1:55" x14ac:dyDescent="0.25">
      <c r="A21" s="62">
        <v>12</v>
      </c>
      <c r="B21" s="62">
        <v>50</v>
      </c>
      <c r="C21" s="87">
        <v>7.0000000000000007E-2</v>
      </c>
      <c r="D21" s="78">
        <v>42762</v>
      </c>
      <c r="E21" s="71">
        <v>42762.635416666664</v>
      </c>
      <c r="F21" s="72">
        <v>35</v>
      </c>
      <c r="G21" s="72">
        <v>1.5</v>
      </c>
      <c r="H21" s="72">
        <f t="shared" si="2"/>
        <v>36.5</v>
      </c>
      <c r="I21" s="88">
        <v>11160000</v>
      </c>
      <c r="J21" s="65">
        <f t="shared" si="3"/>
        <v>11160</v>
      </c>
      <c r="K21" s="65">
        <f t="shared" si="4"/>
        <v>21627.107001320997</v>
      </c>
      <c r="L21" s="66">
        <f t="shared" si="5"/>
        <v>0.34398943196829579</v>
      </c>
      <c r="M21" s="64">
        <v>26.76</v>
      </c>
      <c r="N21" s="66">
        <f t="shared" si="14"/>
        <v>0.35517818181818184</v>
      </c>
      <c r="O21" s="62">
        <f t="shared" si="0"/>
        <v>1.75</v>
      </c>
      <c r="P21" s="75">
        <f t="shared" si="7"/>
        <v>39.952435073513008</v>
      </c>
      <c r="Q21" s="71">
        <v>42762.665277777778</v>
      </c>
      <c r="R21" s="109">
        <f t="shared" si="1"/>
        <v>42762.635416666664</v>
      </c>
      <c r="S21" s="109">
        <f t="shared" si="8"/>
        <v>42762.665277777778</v>
      </c>
      <c r="T21" s="109">
        <f t="shared" si="9"/>
        <v>2.9861111113859806E-2</v>
      </c>
      <c r="U21" s="109">
        <f t="shared" si="10"/>
        <v>0.71666666673263535</v>
      </c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</row>
    <row r="22" spans="1:55" x14ac:dyDescent="0.25">
      <c r="A22" s="62">
        <v>13</v>
      </c>
      <c r="B22" s="62">
        <v>50</v>
      </c>
      <c r="C22" s="62">
        <v>7.0099999999999996E-2</v>
      </c>
      <c r="D22" s="78">
        <v>42762</v>
      </c>
      <c r="E22" s="71">
        <v>42762.645138888889</v>
      </c>
      <c r="F22" s="72">
        <v>35</v>
      </c>
      <c r="G22" s="72">
        <v>1.5</v>
      </c>
      <c r="H22" s="72">
        <f t="shared" si="2"/>
        <v>36.5</v>
      </c>
      <c r="I22" s="88">
        <v>9660000</v>
      </c>
      <c r="J22" s="65">
        <f t="shared" si="3"/>
        <v>9660</v>
      </c>
      <c r="K22" s="65">
        <f t="shared" si="4"/>
        <v>18720.237780713342</v>
      </c>
      <c r="L22" s="66">
        <f t="shared" si="5"/>
        <v>0.29775429326287978</v>
      </c>
      <c r="M22" s="64">
        <v>23.16</v>
      </c>
      <c r="N22" s="66">
        <f t="shared" si="14"/>
        <v>0.30739636363636363</v>
      </c>
      <c r="O22" s="62">
        <f t="shared" si="0"/>
        <v>1.75</v>
      </c>
      <c r="P22" s="75">
        <f t="shared" si="7"/>
        <v>34.580037537099621</v>
      </c>
      <c r="Q22" s="71">
        <v>42762.668749999997</v>
      </c>
      <c r="R22" s="109">
        <f t="shared" si="1"/>
        <v>42762.645138888889</v>
      </c>
      <c r="S22" s="109">
        <f t="shared" si="8"/>
        <v>42762.668749999997</v>
      </c>
      <c r="T22" s="109">
        <f t="shared" si="9"/>
        <v>2.361111110803904E-2</v>
      </c>
      <c r="U22" s="109">
        <f t="shared" si="10"/>
        <v>0.56666666659293696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</row>
    <row r="23" spans="1:55" x14ac:dyDescent="0.25">
      <c r="A23" s="62">
        <v>14</v>
      </c>
      <c r="B23" s="62">
        <v>50</v>
      </c>
      <c r="C23" s="87">
        <v>6.9900000000000004E-2</v>
      </c>
      <c r="D23" s="78">
        <v>42762</v>
      </c>
      <c r="E23" s="71">
        <v>42762.65625</v>
      </c>
      <c r="F23" s="72">
        <v>35</v>
      </c>
      <c r="G23" s="72">
        <v>1.5</v>
      </c>
      <c r="H23" s="72">
        <f t="shared" si="2"/>
        <v>36.5</v>
      </c>
      <c r="I23" s="88">
        <v>10700000</v>
      </c>
      <c r="J23" s="65">
        <f t="shared" si="3"/>
        <v>10700</v>
      </c>
      <c r="K23" s="65">
        <f t="shared" si="4"/>
        <v>20735.667107001318</v>
      </c>
      <c r="L23" s="66">
        <f t="shared" si="5"/>
        <v>0.32981065609863491</v>
      </c>
      <c r="M23" s="64">
        <v>25.66</v>
      </c>
      <c r="N23" s="66">
        <f>(M23)*(1/44.01)*(2*14)*(0.0365)</f>
        <v>0.59587639172915241</v>
      </c>
      <c r="O23" s="62">
        <f t="shared" si="0"/>
        <v>1.75</v>
      </c>
      <c r="P23" s="75">
        <f t="shared" si="7"/>
        <v>52.896402733016423</v>
      </c>
      <c r="Q23" s="71">
        <v>42762.67291666667</v>
      </c>
      <c r="R23" s="109">
        <f t="shared" si="1"/>
        <v>42762.65625</v>
      </c>
      <c r="S23" s="109">
        <f t="shared" si="8"/>
        <v>42762.67291666667</v>
      </c>
      <c r="T23" s="109">
        <f t="shared" si="9"/>
        <v>1.6666666670062114E-2</v>
      </c>
      <c r="U23" s="109">
        <f t="shared" si="10"/>
        <v>0.40000000008149073</v>
      </c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</row>
    <row r="24" spans="1:55" ht="14.45" customHeight="1" x14ac:dyDescent="0.25">
      <c r="A24" s="62"/>
      <c r="B24" s="62"/>
      <c r="C24" s="87"/>
      <c r="D24" s="78"/>
      <c r="E24" s="71"/>
      <c r="F24" s="72"/>
      <c r="G24" s="72"/>
      <c r="H24" s="72"/>
      <c r="I24" s="87"/>
      <c r="J24" s="65"/>
      <c r="K24" s="65"/>
      <c r="L24" s="66"/>
      <c r="M24" s="64"/>
      <c r="N24" s="66"/>
      <c r="O24" s="62"/>
      <c r="P24" s="75"/>
      <c r="Q24" s="106"/>
      <c r="R24" s="109"/>
      <c r="S24" s="109"/>
      <c r="T24" s="109"/>
      <c r="U24" s="62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</row>
    <row r="25" spans="1:55" x14ac:dyDescent="0.25">
      <c r="A25" s="62" t="s">
        <v>71</v>
      </c>
      <c r="B25" s="87">
        <v>0</v>
      </c>
      <c r="C25" s="87">
        <v>0</v>
      </c>
      <c r="D25" s="78">
        <v>42761</v>
      </c>
      <c r="E25" s="71">
        <v>42761.645833333336</v>
      </c>
      <c r="F25" s="72">
        <v>0</v>
      </c>
      <c r="G25" s="72">
        <v>35</v>
      </c>
      <c r="H25" s="72"/>
      <c r="I25" s="87">
        <v>2518</v>
      </c>
      <c r="J25" s="65">
        <f t="shared" si="3"/>
        <v>2.5179999999999998</v>
      </c>
      <c r="K25" s="75"/>
      <c r="L25" s="86"/>
      <c r="M25" s="73"/>
      <c r="N25" s="62"/>
      <c r="O25" s="66"/>
      <c r="P25" s="66"/>
      <c r="Q25" s="71">
        <v>42762.62222222222</v>
      </c>
      <c r="R25" s="109">
        <f>(E25)</f>
        <v>42761.645833333336</v>
      </c>
      <c r="S25" s="109">
        <f>(Q25)</f>
        <v>42762.62222222222</v>
      </c>
      <c r="T25" s="109">
        <f>(S25-R25)</f>
        <v>0.976388888884685</v>
      </c>
      <c r="U25" s="109">
        <f t="shared" si="10"/>
        <v>23.43333333323244</v>
      </c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</row>
    <row r="26" spans="1:55" ht="14.45" customHeight="1" x14ac:dyDescent="0.25">
      <c r="A26" s="62"/>
      <c r="B26" s="87"/>
      <c r="C26" s="87"/>
      <c r="D26" s="78"/>
      <c r="E26" s="71"/>
      <c r="F26" s="72"/>
      <c r="G26" s="72"/>
      <c r="H26" s="72"/>
      <c r="I26" s="87"/>
      <c r="J26" s="87"/>
      <c r="K26" s="65"/>
      <c r="L26" s="64"/>
      <c r="M26" s="64"/>
      <c r="N26" s="62"/>
      <c r="O26" s="66"/>
      <c r="P26" s="65">
        <f>AVERAGE(P10:P14)</f>
        <v>96.288306765472456</v>
      </c>
      <c r="Q26" s="61"/>
      <c r="R26" s="104"/>
      <c r="S26" s="104"/>
      <c r="T26" s="104"/>
      <c r="U26" s="6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</row>
    <row r="27" spans="1:55" x14ac:dyDescent="0.25">
      <c r="A27" s="61"/>
      <c r="B27" s="70"/>
      <c r="C27" s="61"/>
      <c r="D27" s="70"/>
      <c r="E27" s="61"/>
      <c r="F27" s="61"/>
      <c r="G27" s="61"/>
      <c r="H27" s="61"/>
      <c r="I27" s="62" t="s">
        <v>107</v>
      </c>
      <c r="J27" s="110">
        <f>AVERAGE(J10:J14)</f>
        <v>16634</v>
      </c>
      <c r="K27" s="62"/>
      <c r="L27" s="111"/>
      <c r="M27" s="112"/>
      <c r="N27" s="112"/>
      <c r="O27" s="113"/>
      <c r="P27" s="113" t="s">
        <v>176</v>
      </c>
      <c r="Q27" s="113"/>
      <c r="R27" s="112"/>
      <c r="S27" s="112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</row>
    <row r="28" spans="1:55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62"/>
      <c r="L28" s="104"/>
      <c r="M28" s="11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</row>
    <row r="29" spans="1:55" x14ac:dyDescent="0.25">
      <c r="A29" s="114"/>
      <c r="B29" s="104"/>
      <c r="C29" s="115"/>
      <c r="D29" s="115"/>
      <c r="E29" s="115"/>
      <c r="F29" s="114"/>
      <c r="G29" s="115"/>
      <c r="H29" s="115"/>
      <c r="I29" s="115"/>
      <c r="J29" s="115"/>
      <c r="K29" s="112"/>
      <c r="L29" s="104"/>
      <c r="M29" s="104"/>
      <c r="N29" s="115"/>
      <c r="O29" s="115"/>
      <c r="P29" s="115"/>
      <c r="Q29" s="115"/>
      <c r="R29" s="115"/>
      <c r="S29" s="115"/>
      <c r="T29" s="115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</row>
    <row r="30" spans="1:55" x14ac:dyDescent="0.25">
      <c r="A30" s="116"/>
      <c r="B30" s="114"/>
      <c r="C30" s="104"/>
      <c r="D30" s="104"/>
      <c r="E30" s="104"/>
      <c r="F30" s="104"/>
      <c r="G30" s="104"/>
      <c r="H30" s="104"/>
      <c r="I30" s="104"/>
      <c r="J30" s="104"/>
      <c r="K30" s="112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</row>
    <row r="31" spans="1:55" x14ac:dyDescent="0.25">
      <c r="A31" s="117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18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</row>
    <row r="32" spans="1:55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61"/>
      <c r="L32" s="63" t="s">
        <v>87</v>
      </c>
      <c r="M32" s="62"/>
      <c r="N32" s="112"/>
      <c r="O32" s="112"/>
      <c r="P32" s="104"/>
      <c r="Q32" s="61"/>
      <c r="R32" s="62"/>
      <c r="S32" s="61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</row>
    <row r="33" spans="1:55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 t="s">
        <v>89</v>
      </c>
      <c r="M33" s="112"/>
      <c r="N33" s="112"/>
      <c r="O33" s="112"/>
      <c r="P33" s="119">
        <f>STDEV(P10:P14)</f>
        <v>0.71801827922966299</v>
      </c>
      <c r="Q33" s="62" t="s">
        <v>88</v>
      </c>
      <c r="R33" s="62"/>
      <c r="S33" s="61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</row>
    <row r="34" spans="1:55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 t="s">
        <v>90</v>
      </c>
      <c r="M34" s="112"/>
      <c r="N34" s="112"/>
      <c r="O34" s="112"/>
      <c r="P34" s="120">
        <f>AVERAGE(P10:P14)</f>
        <v>96.288306765472456</v>
      </c>
      <c r="Q34" s="62" t="s">
        <v>9</v>
      </c>
      <c r="R34" s="62"/>
      <c r="S34" s="61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</row>
    <row r="35" spans="1:55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 t="s">
        <v>91</v>
      </c>
      <c r="M35" s="104"/>
      <c r="N35" s="104">
        <v>2.7759999999999998</v>
      </c>
      <c r="O35" s="104"/>
      <c r="P35" s="113">
        <f>(N35*P33)/(N36^0.5)</f>
        <v>0.89139452073823711</v>
      </c>
      <c r="Q35" s="62" t="s">
        <v>92</v>
      </c>
      <c r="R35" s="61"/>
      <c r="S35" s="61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</row>
    <row r="36" spans="1:55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 t="s">
        <v>93</v>
      </c>
      <c r="M36" s="104"/>
      <c r="N36" s="104">
        <v>5</v>
      </c>
      <c r="O36" s="104"/>
      <c r="P36" s="104"/>
      <c r="Q36" s="68" t="s">
        <v>94</v>
      </c>
      <c r="R36" s="101">
        <f>P34-P35</f>
        <v>95.396912244734224</v>
      </c>
      <c r="S36" s="101">
        <f>P34+P35</f>
        <v>97.179701286210687</v>
      </c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</row>
    <row r="37" spans="1:55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68"/>
      <c r="M37" s="104"/>
      <c r="N37" s="108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</row>
    <row r="38" spans="1:55" x14ac:dyDescent="0.25">
      <c r="A38" s="104"/>
      <c r="B38" s="104"/>
      <c r="C38" s="112"/>
      <c r="D38" s="112"/>
      <c r="E38" s="112"/>
      <c r="F38" s="104"/>
      <c r="G38" s="104"/>
      <c r="H38" s="104"/>
      <c r="I38" s="121"/>
      <c r="J38" s="121"/>
      <c r="K38" s="121"/>
      <c r="L38" s="68"/>
      <c r="M38" s="108"/>
      <c r="N38" s="68"/>
      <c r="O38" s="68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</row>
    <row r="39" spans="1:55" x14ac:dyDescent="0.25">
      <c r="A39" s="112"/>
      <c r="B39" s="112"/>
      <c r="C39" s="112"/>
      <c r="D39" s="112"/>
      <c r="E39" s="112"/>
      <c r="F39" s="112"/>
      <c r="G39" s="112"/>
      <c r="H39" s="112"/>
      <c r="I39" s="121"/>
      <c r="J39" s="121"/>
      <c r="K39" s="121"/>
      <c r="L39" s="68"/>
      <c r="M39" s="68"/>
      <c r="N39" s="68"/>
      <c r="O39" s="68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</row>
    <row r="40" spans="1:55" x14ac:dyDescent="0.25">
      <c r="A40" s="112"/>
      <c r="B40" s="112"/>
      <c r="C40" s="112"/>
      <c r="D40" s="112"/>
      <c r="E40" s="112"/>
      <c r="F40" s="112"/>
      <c r="G40" s="112"/>
      <c r="H40" s="112"/>
      <c r="I40" s="121"/>
      <c r="J40" s="121"/>
      <c r="K40" s="121"/>
      <c r="L40" s="68"/>
      <c r="M40" s="68"/>
      <c r="N40" s="68"/>
      <c r="O40" s="68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</row>
    <row r="41" spans="1:55" x14ac:dyDescent="0.25">
      <c r="A41" s="122"/>
      <c r="B41" s="112"/>
      <c r="C41" s="112"/>
      <c r="D41" s="123"/>
      <c r="E41" s="124"/>
      <c r="F41" s="109"/>
      <c r="G41" s="109"/>
      <c r="H41" s="109"/>
      <c r="I41" s="65"/>
      <c r="J41" s="65"/>
      <c r="K41" s="125"/>
      <c r="L41" s="109"/>
      <c r="M41" s="124"/>
      <c r="N41" s="109"/>
      <c r="O41" s="109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</row>
    <row r="42" spans="1:55" x14ac:dyDescent="0.25">
      <c r="A42" s="122"/>
      <c r="B42" s="112"/>
      <c r="C42" s="112"/>
      <c r="D42" s="123"/>
      <c r="E42" s="124"/>
      <c r="F42" s="109"/>
      <c r="G42" s="109"/>
      <c r="H42" s="109"/>
      <c r="I42" s="65"/>
      <c r="J42" s="65"/>
      <c r="K42" s="125"/>
      <c r="L42" s="109"/>
      <c r="M42" s="124"/>
      <c r="N42" s="109"/>
      <c r="O42" s="109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55" x14ac:dyDescent="0.25">
      <c r="A43" s="122"/>
      <c r="B43" s="112"/>
      <c r="C43" s="112"/>
      <c r="D43" s="123"/>
      <c r="E43" s="124"/>
      <c r="F43" s="109"/>
      <c r="G43" s="109"/>
      <c r="H43" s="109"/>
      <c r="I43" s="65"/>
      <c r="J43" s="65"/>
      <c r="K43" s="125"/>
      <c r="L43" s="109"/>
      <c r="M43" s="124"/>
      <c r="N43" s="109"/>
      <c r="O43" s="109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</row>
    <row r="44" spans="1:55" x14ac:dyDescent="0.25">
      <c r="A44" s="122"/>
      <c r="B44" s="112"/>
      <c r="C44" s="112"/>
      <c r="D44" s="123"/>
      <c r="E44" s="124"/>
      <c r="F44" s="109"/>
      <c r="G44" s="109"/>
      <c r="H44" s="109"/>
      <c r="I44" s="65"/>
      <c r="J44" s="65"/>
      <c r="K44" s="125"/>
      <c r="L44" s="109"/>
      <c r="M44" s="124"/>
      <c r="N44" s="109"/>
      <c r="O44" s="109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</row>
    <row r="45" spans="1:55" x14ac:dyDescent="0.25">
      <c r="A45" s="122"/>
      <c r="B45" s="112"/>
      <c r="C45" s="112"/>
      <c r="D45" s="123"/>
      <c r="E45" s="124"/>
      <c r="F45" s="109"/>
      <c r="G45" s="109"/>
      <c r="H45" s="109"/>
      <c r="I45" s="65"/>
      <c r="J45" s="65"/>
      <c r="K45" s="125"/>
      <c r="L45" s="109"/>
      <c r="M45" s="124"/>
      <c r="N45" s="109"/>
      <c r="O45" s="109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</row>
    <row r="46" spans="1:55" x14ac:dyDescent="0.25">
      <c r="A46" s="122"/>
      <c r="B46" s="112"/>
      <c r="C46" s="112"/>
      <c r="D46" s="123"/>
      <c r="E46" s="124"/>
      <c r="F46" s="109"/>
      <c r="G46" s="109"/>
      <c r="H46" s="109"/>
      <c r="I46" s="65"/>
      <c r="J46" s="65"/>
      <c r="K46" s="125"/>
      <c r="L46" s="109"/>
      <c r="M46" s="124"/>
      <c r="N46" s="109"/>
      <c r="O46" s="109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</row>
    <row r="47" spans="1:55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</row>
    <row r="48" spans="1:55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</row>
    <row r="49" spans="1:55" x14ac:dyDescent="0.2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</row>
    <row r="50" spans="1:55" x14ac:dyDescent="0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</row>
  </sheetData>
  <printOptions headings="1" gridLines="1"/>
  <pageMargins left="0.7" right="0.7" top="0.75" bottom="0.75" header="0.3" footer="0.3"/>
  <pageSetup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6"/>
  <sheetViews>
    <sheetView zoomScale="80" zoomScaleNormal="80" workbookViewId="0">
      <selection activeCell="D2" sqref="D2"/>
    </sheetView>
  </sheetViews>
  <sheetFormatPr defaultRowHeight="15" x14ac:dyDescent="0.25"/>
  <cols>
    <col min="1" max="1" width="9" customWidth="1"/>
    <col min="2" max="2" width="11.28515625" customWidth="1"/>
    <col min="4" max="4" width="10.5703125" bestFit="1" customWidth="1"/>
    <col min="5" max="5" width="20.28515625" customWidth="1"/>
    <col min="6" max="6" width="12.85546875" customWidth="1"/>
    <col min="7" max="7" width="8.85546875" customWidth="1"/>
    <col min="8" max="8" width="11.7109375" customWidth="1"/>
    <col min="9" max="9" width="16.7109375" customWidth="1"/>
    <col min="10" max="10" width="10.42578125" customWidth="1"/>
    <col min="11" max="11" width="14.7109375" customWidth="1"/>
    <col min="12" max="12" width="12.42578125" customWidth="1"/>
    <col min="13" max="13" width="18.42578125" customWidth="1"/>
    <col min="14" max="14" width="14.7109375" customWidth="1"/>
    <col min="16" max="16" width="11.28515625" customWidth="1"/>
    <col min="17" max="17" width="17.5703125" customWidth="1"/>
    <col min="18" max="18" width="12.28515625" customWidth="1"/>
    <col min="19" max="19" width="11" customWidth="1"/>
    <col min="20" max="20" width="11.7109375" customWidth="1"/>
    <col min="21" max="21" width="11.85546875" customWidth="1"/>
    <col min="22" max="22" width="15" customWidth="1"/>
    <col min="23" max="23" width="18.28515625" customWidth="1"/>
    <col min="24" max="24" width="14.85546875" bestFit="1" customWidth="1"/>
    <col min="25" max="25" width="15.5703125" customWidth="1"/>
    <col min="26" max="26" width="13.7109375" bestFit="1" customWidth="1"/>
    <col min="28" max="28" width="14.85546875" customWidth="1"/>
    <col min="31" max="31" width="10.5703125" customWidth="1"/>
    <col min="32" max="32" width="11.28515625" customWidth="1"/>
    <col min="33" max="33" width="10.85546875" customWidth="1"/>
  </cols>
  <sheetData>
    <row r="1" spans="1:35" x14ac:dyDescent="0.25">
      <c r="A1" s="76" t="s">
        <v>331</v>
      </c>
      <c r="B1" s="61"/>
      <c r="C1" s="61"/>
      <c r="D1" s="61"/>
      <c r="E1" s="61"/>
      <c r="F1" s="61"/>
      <c r="G1" s="61"/>
      <c r="H1" s="61"/>
      <c r="I1" s="76"/>
      <c r="J1" s="76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76" t="s">
        <v>121</v>
      </c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104"/>
    </row>
    <row r="2" spans="1:35" x14ac:dyDescent="0.25">
      <c r="A2" s="76"/>
      <c r="B2" s="61"/>
      <c r="C2" s="61"/>
      <c r="D2" s="61"/>
      <c r="E2" s="61"/>
      <c r="F2" s="61"/>
      <c r="G2" s="61"/>
      <c r="H2" s="61"/>
      <c r="I2" s="76"/>
      <c r="J2" s="76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 t="s">
        <v>120</v>
      </c>
      <c r="X2" s="62" t="s">
        <v>122</v>
      </c>
      <c r="Y2" s="61" t="s">
        <v>29</v>
      </c>
      <c r="Z2" s="61"/>
      <c r="AA2" s="61"/>
      <c r="AB2" s="61"/>
      <c r="AC2" s="61"/>
      <c r="AD2" s="61"/>
      <c r="AE2" s="61"/>
      <c r="AF2" s="61"/>
      <c r="AG2" s="61"/>
      <c r="AH2" s="61"/>
      <c r="AI2" s="104"/>
    </row>
    <row r="3" spans="1:35" x14ac:dyDescent="0.25">
      <c r="A3" s="61" t="s">
        <v>70</v>
      </c>
      <c r="B3" s="61"/>
      <c r="C3" s="61"/>
      <c r="D3" s="61"/>
      <c r="E3" s="61"/>
      <c r="F3" s="61"/>
      <c r="G3" s="61"/>
      <c r="H3" s="61"/>
      <c r="I3" s="77"/>
      <c r="J3" s="77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 t="s">
        <v>0</v>
      </c>
      <c r="X3" s="62" t="s">
        <v>2</v>
      </c>
      <c r="Y3" s="61" t="s">
        <v>123</v>
      </c>
      <c r="Z3" s="61"/>
      <c r="AA3" s="61"/>
      <c r="AB3" s="61"/>
      <c r="AC3" s="61"/>
      <c r="AD3" s="61"/>
      <c r="AE3" s="61"/>
      <c r="AF3" s="61"/>
      <c r="AG3" s="61"/>
      <c r="AH3" s="61"/>
      <c r="AI3" s="104"/>
    </row>
    <row r="4" spans="1:35" x14ac:dyDescent="0.25">
      <c r="A4" s="61" t="s">
        <v>18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>
        <v>9.06E-2</v>
      </c>
      <c r="X4" s="62">
        <v>20.149999999999999</v>
      </c>
      <c r="Y4" s="62">
        <f>(W4*X4)</f>
        <v>1.8255899999999998</v>
      </c>
      <c r="Z4" s="61"/>
      <c r="AA4" s="61"/>
      <c r="AB4" s="61"/>
      <c r="AC4" s="61"/>
      <c r="AD4" s="61"/>
      <c r="AE4" s="61"/>
      <c r="AF4" s="61"/>
      <c r="AG4" s="61"/>
      <c r="AH4" s="61"/>
      <c r="AI4" s="104"/>
    </row>
    <row r="5" spans="1:35" x14ac:dyDescent="0.25">
      <c r="A5" s="61" t="s">
        <v>330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62"/>
      <c r="Y5" s="62"/>
      <c r="Z5" s="61"/>
      <c r="AA5" s="61"/>
      <c r="AB5" s="61"/>
      <c r="AC5" s="61"/>
      <c r="AD5" s="61"/>
      <c r="AE5" s="61"/>
      <c r="AF5" s="61"/>
      <c r="AG5" s="61"/>
      <c r="AH5" s="61"/>
      <c r="AI5" s="104"/>
    </row>
    <row r="6" spans="1:35" x14ac:dyDescent="0.25">
      <c r="A6" s="61" t="s">
        <v>78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8" t="s">
        <v>24</v>
      </c>
      <c r="M6" s="61" t="s">
        <v>41</v>
      </c>
      <c r="N6" s="68" t="s">
        <v>24</v>
      </c>
      <c r="O6" s="68"/>
      <c r="P6" s="68"/>
      <c r="Q6" s="61"/>
      <c r="R6" s="68" t="s">
        <v>59</v>
      </c>
      <c r="S6" s="68" t="s">
        <v>60</v>
      </c>
      <c r="T6" s="61"/>
      <c r="U6" s="68"/>
      <c r="V6" s="61"/>
      <c r="W6" s="62"/>
      <c r="X6" s="62"/>
      <c r="Y6" s="62"/>
      <c r="Z6" s="61"/>
      <c r="AA6" s="61"/>
      <c r="AB6" s="61"/>
      <c r="AC6" s="61"/>
      <c r="AD6" s="61"/>
      <c r="AE6" s="61"/>
      <c r="AF6" s="61"/>
      <c r="AG6" s="61"/>
      <c r="AH6" s="61"/>
      <c r="AI6" s="104"/>
    </row>
    <row r="7" spans="1:35" x14ac:dyDescent="0.25">
      <c r="A7" s="61"/>
      <c r="B7" s="61"/>
      <c r="C7" s="62" t="s">
        <v>40</v>
      </c>
      <c r="D7" s="62" t="s">
        <v>51</v>
      </c>
      <c r="E7" s="62" t="s">
        <v>51</v>
      </c>
      <c r="F7" s="61"/>
      <c r="G7" s="61"/>
      <c r="H7" s="61"/>
      <c r="I7" s="68"/>
      <c r="J7" s="68"/>
      <c r="K7" s="68" t="s">
        <v>24</v>
      </c>
      <c r="L7" s="68" t="s">
        <v>45</v>
      </c>
      <c r="M7" s="68" t="s">
        <v>84</v>
      </c>
      <c r="N7" s="68" t="s">
        <v>43</v>
      </c>
      <c r="O7" s="68" t="s">
        <v>10</v>
      </c>
      <c r="P7" s="68" t="s">
        <v>12</v>
      </c>
      <c r="Q7" s="68" t="s">
        <v>56</v>
      </c>
      <c r="R7" s="68" t="s">
        <v>10</v>
      </c>
      <c r="S7" s="68" t="s">
        <v>25</v>
      </c>
      <c r="T7" s="68" t="s">
        <v>14</v>
      </c>
      <c r="U7" s="68" t="s">
        <v>14</v>
      </c>
      <c r="V7" s="61"/>
      <c r="W7" s="62"/>
      <c r="X7" s="62"/>
      <c r="Y7" s="62"/>
      <c r="Z7" s="61"/>
      <c r="AA7" s="61"/>
      <c r="AB7" s="61"/>
      <c r="AC7" s="61"/>
      <c r="AD7" s="61"/>
      <c r="AE7" s="61"/>
      <c r="AF7" s="61"/>
      <c r="AG7" s="61"/>
      <c r="AH7" s="61"/>
      <c r="AI7" s="104"/>
    </row>
    <row r="8" spans="1:35" x14ac:dyDescent="0.25">
      <c r="A8" s="62" t="s">
        <v>6</v>
      </c>
      <c r="B8" s="62" t="s">
        <v>17</v>
      </c>
      <c r="C8" s="62" t="s">
        <v>69</v>
      </c>
      <c r="D8" s="62" t="s">
        <v>50</v>
      </c>
      <c r="E8" s="62" t="s">
        <v>39</v>
      </c>
      <c r="F8" s="62" t="s">
        <v>21</v>
      </c>
      <c r="G8" s="62" t="s">
        <v>3</v>
      </c>
      <c r="H8" s="62" t="s">
        <v>19</v>
      </c>
      <c r="I8" s="68" t="s">
        <v>38</v>
      </c>
      <c r="J8" s="68" t="s">
        <v>38</v>
      </c>
      <c r="K8" s="68" t="s">
        <v>38</v>
      </c>
      <c r="L8" s="68" t="s">
        <v>30</v>
      </c>
      <c r="M8" s="68" t="s">
        <v>43</v>
      </c>
      <c r="N8" s="68" t="s">
        <v>30</v>
      </c>
      <c r="O8" s="68" t="s">
        <v>26</v>
      </c>
      <c r="P8" s="68" t="s">
        <v>31</v>
      </c>
      <c r="Q8" s="68" t="s">
        <v>57</v>
      </c>
      <c r="R8" s="68" t="s">
        <v>39</v>
      </c>
      <c r="S8" s="68" t="s">
        <v>39</v>
      </c>
      <c r="T8" s="68" t="s">
        <v>62</v>
      </c>
      <c r="U8" s="68" t="s">
        <v>62</v>
      </c>
      <c r="V8" s="61"/>
      <c r="W8" s="62"/>
      <c r="X8" s="65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104"/>
    </row>
    <row r="9" spans="1:35" ht="17.25" x14ac:dyDescent="0.25">
      <c r="A9" s="62"/>
      <c r="B9" s="62" t="s">
        <v>11</v>
      </c>
      <c r="C9" s="62" t="s">
        <v>5</v>
      </c>
      <c r="D9" s="62"/>
      <c r="E9" s="62"/>
      <c r="F9" s="62" t="s">
        <v>20</v>
      </c>
      <c r="G9" s="62" t="s">
        <v>0</v>
      </c>
      <c r="H9" s="62" t="s">
        <v>0</v>
      </c>
      <c r="I9" s="68" t="s">
        <v>77</v>
      </c>
      <c r="J9" s="68" t="s">
        <v>23</v>
      </c>
      <c r="K9" s="68" t="s">
        <v>27</v>
      </c>
      <c r="L9" s="68" t="s">
        <v>13</v>
      </c>
      <c r="M9" s="68" t="s">
        <v>11</v>
      </c>
      <c r="N9" s="68" t="s">
        <v>13</v>
      </c>
      <c r="O9" s="68" t="s">
        <v>13</v>
      </c>
      <c r="P9" s="68" t="s">
        <v>4</v>
      </c>
      <c r="Q9" s="68" t="s">
        <v>58</v>
      </c>
      <c r="R9" s="68" t="s">
        <v>61</v>
      </c>
      <c r="S9" s="68" t="s">
        <v>61</v>
      </c>
      <c r="T9" s="68" t="s">
        <v>61</v>
      </c>
      <c r="U9" s="68" t="s">
        <v>76</v>
      </c>
      <c r="V9" s="61"/>
      <c r="W9" s="61"/>
      <c r="X9" s="65"/>
      <c r="Y9" s="61"/>
      <c r="Z9" s="76"/>
      <c r="AA9" s="61"/>
      <c r="AB9" s="61"/>
      <c r="AC9" s="61"/>
      <c r="AD9" s="61"/>
      <c r="AE9" s="61"/>
      <c r="AF9" s="61"/>
      <c r="AG9" s="61"/>
      <c r="AH9" s="61"/>
      <c r="AI9" s="104"/>
    </row>
    <row r="10" spans="1:35" x14ac:dyDescent="0.25">
      <c r="A10" s="62">
        <v>15</v>
      </c>
      <c r="B10" s="62">
        <v>50</v>
      </c>
      <c r="C10" s="62">
        <v>7.0000000000000007E-2</v>
      </c>
      <c r="D10" s="78">
        <v>42765</v>
      </c>
      <c r="E10" s="71">
        <v>42765.647916666669</v>
      </c>
      <c r="F10" s="72">
        <v>35</v>
      </c>
      <c r="G10" s="72">
        <v>1.5</v>
      </c>
      <c r="H10" s="72">
        <f>F10+G10</f>
        <v>36.5</v>
      </c>
      <c r="I10" s="65">
        <v>18046000</v>
      </c>
      <c r="J10" s="65">
        <f>I10/1000</f>
        <v>18046</v>
      </c>
      <c r="K10" s="65">
        <f>(J10/1000000)*(1/22.71)*(44.01)*(1000000)</f>
        <v>34971.574636723904</v>
      </c>
      <c r="L10" s="66">
        <f>(K10)*(1/44.01)*(2*14*24.4)/(1000000)</f>
        <v>0.54288979304271223</v>
      </c>
      <c r="M10" s="64">
        <v>43.27</v>
      </c>
      <c r="N10" s="66">
        <f>(M10)*(1/44.01)*(2*14)*(0.0365)</f>
        <v>1.0048157236991593</v>
      </c>
      <c r="O10" s="62">
        <f t="shared" ref="O10:O13" si="0">(B10*F10/1000)</f>
        <v>1.75</v>
      </c>
      <c r="P10" s="75">
        <f>((L10+N10)/(O10))*100</f>
        <v>88.440315242392671</v>
      </c>
      <c r="Q10" s="71">
        <v>42766.381944444445</v>
      </c>
      <c r="R10" s="72">
        <f t="shared" ref="R10:R13" si="1">(E10)</f>
        <v>42765.647916666669</v>
      </c>
      <c r="S10" s="72">
        <f>(Q10)</f>
        <v>42766.381944444445</v>
      </c>
      <c r="T10" s="72">
        <f>(S10-R10)</f>
        <v>0.73402777777664596</v>
      </c>
      <c r="U10" s="72">
        <f>T10*24</f>
        <v>17.616666666639503</v>
      </c>
      <c r="V10" s="61"/>
      <c r="W10" s="61"/>
      <c r="X10" s="61"/>
      <c r="Y10" s="64"/>
      <c r="Z10" s="76"/>
      <c r="AA10" s="61"/>
      <c r="AB10" s="61"/>
      <c r="AC10" s="61"/>
      <c r="AD10" s="61"/>
      <c r="AE10" s="61"/>
      <c r="AF10" s="61"/>
      <c r="AG10" s="61"/>
      <c r="AH10" s="61"/>
      <c r="AI10" s="104"/>
    </row>
    <row r="11" spans="1:35" x14ac:dyDescent="0.25">
      <c r="A11" s="62">
        <v>16</v>
      </c>
      <c r="B11" s="62">
        <v>50</v>
      </c>
      <c r="C11" s="62">
        <v>6.9800000000000001E-2</v>
      </c>
      <c r="D11" s="78">
        <v>42765</v>
      </c>
      <c r="E11" s="71">
        <v>42765.647916666669</v>
      </c>
      <c r="F11" s="72">
        <v>35</v>
      </c>
      <c r="G11" s="72">
        <v>1.5</v>
      </c>
      <c r="H11" s="72">
        <f t="shared" ref="H11:H13" si="2">F11+G11</f>
        <v>36.5</v>
      </c>
      <c r="I11" s="65">
        <v>18073000</v>
      </c>
      <c r="J11" s="65">
        <f t="shared" ref="J11:J13" si="3">I11/1000</f>
        <v>18073</v>
      </c>
      <c r="K11" s="65">
        <f t="shared" ref="K11:K13" si="4">(J11/1000000)*(1/22.71)*(44.01)*(1000000)</f>
        <v>35023.898282694834</v>
      </c>
      <c r="L11" s="66">
        <f t="shared" ref="L11:L13" si="5">(K11)*(1/44.01)*(2*14*24.4)/(1000000)</f>
        <v>0.54370205195948895</v>
      </c>
      <c r="M11" s="64">
        <v>43.34</v>
      </c>
      <c r="N11" s="66">
        <f t="shared" ref="N11:N13" si="6">(M11)*(1/44.01)*(2*14)*(0.0365)</f>
        <v>1.0064412633492388</v>
      </c>
      <c r="O11" s="62">
        <f t="shared" si="0"/>
        <v>1.75</v>
      </c>
      <c r="P11" s="75">
        <f t="shared" ref="P11:P13" si="7">((L11+N11)/(O11))*100</f>
        <v>88.579618017641593</v>
      </c>
      <c r="Q11" s="71">
        <v>42766.386805555558</v>
      </c>
      <c r="R11" s="72">
        <f t="shared" si="1"/>
        <v>42765.647916666669</v>
      </c>
      <c r="S11" s="72">
        <f t="shared" ref="S11:S13" si="8">(Q11)</f>
        <v>42766.386805555558</v>
      </c>
      <c r="T11" s="72">
        <f t="shared" ref="T11:T13" si="9">(S11-R11)</f>
        <v>0.73888888888905058</v>
      </c>
      <c r="U11" s="72">
        <f t="shared" ref="U11:U13" si="10">T11*24</f>
        <v>17.733333333337214</v>
      </c>
      <c r="V11" s="61"/>
      <c r="W11" s="61"/>
      <c r="X11" s="61"/>
      <c r="Y11" s="64"/>
      <c r="Z11" s="76"/>
      <c r="AA11" s="61"/>
      <c r="AB11" s="61"/>
      <c r="AC11" s="61"/>
      <c r="AD11" s="61"/>
      <c r="AE11" s="61"/>
      <c r="AF11" s="61"/>
      <c r="AG11" s="61"/>
      <c r="AH11" s="61"/>
      <c r="AI11" s="104"/>
    </row>
    <row r="12" spans="1:35" x14ac:dyDescent="0.25">
      <c r="A12" s="62">
        <v>17</v>
      </c>
      <c r="B12" s="62">
        <v>50</v>
      </c>
      <c r="C12" s="62">
        <v>7.0099999999999996E-2</v>
      </c>
      <c r="D12" s="78">
        <v>42765</v>
      </c>
      <c r="E12" s="71">
        <v>42765.647916666669</v>
      </c>
      <c r="F12" s="72">
        <v>35</v>
      </c>
      <c r="G12" s="72">
        <v>1.5</v>
      </c>
      <c r="H12" s="72">
        <f t="shared" si="2"/>
        <v>36.5</v>
      </c>
      <c r="I12" s="65">
        <v>17992000</v>
      </c>
      <c r="J12" s="65">
        <f t="shared" si="3"/>
        <v>17992</v>
      </c>
      <c r="K12" s="65">
        <f t="shared" si="4"/>
        <v>34866.927344782031</v>
      </c>
      <c r="L12" s="66">
        <f t="shared" si="5"/>
        <v>0.54126527520915879</v>
      </c>
      <c r="M12" s="64">
        <v>43.14</v>
      </c>
      <c r="N12" s="66">
        <f t="shared" si="6"/>
        <v>1.0017968643490114</v>
      </c>
      <c r="O12" s="62">
        <f t="shared" si="0"/>
        <v>1.75</v>
      </c>
      <c r="P12" s="75">
        <f t="shared" si="7"/>
        <v>88.174979403324016</v>
      </c>
      <c r="Q12" s="71">
        <v>42766.390277777777</v>
      </c>
      <c r="R12" s="72">
        <f t="shared" si="1"/>
        <v>42765.647916666669</v>
      </c>
      <c r="S12" s="72">
        <f t="shared" si="8"/>
        <v>42766.390277777777</v>
      </c>
      <c r="T12" s="72">
        <f t="shared" si="9"/>
        <v>0.74236111110803904</v>
      </c>
      <c r="U12" s="72">
        <f t="shared" si="10"/>
        <v>17.816666666592937</v>
      </c>
      <c r="V12" s="61"/>
      <c r="W12" s="61"/>
      <c r="X12" s="61"/>
      <c r="Y12" s="64"/>
      <c r="Z12" s="79"/>
      <c r="AA12" s="61"/>
      <c r="AB12" s="61"/>
      <c r="AC12" s="61"/>
      <c r="AD12" s="61"/>
      <c r="AE12" s="61"/>
      <c r="AF12" s="61"/>
      <c r="AG12" s="61"/>
      <c r="AH12" s="61"/>
      <c r="AI12" s="104"/>
    </row>
    <row r="13" spans="1:35" x14ac:dyDescent="0.25">
      <c r="A13" s="62">
        <v>18</v>
      </c>
      <c r="B13" s="62">
        <v>50</v>
      </c>
      <c r="C13" s="62">
        <v>6.9900000000000004E-2</v>
      </c>
      <c r="D13" s="78">
        <v>42765</v>
      </c>
      <c r="E13" s="71">
        <v>42765.647916666669</v>
      </c>
      <c r="F13" s="72">
        <v>35</v>
      </c>
      <c r="G13" s="72">
        <v>1.5</v>
      </c>
      <c r="H13" s="72">
        <f t="shared" si="2"/>
        <v>36.5</v>
      </c>
      <c r="I13" s="65">
        <v>17912000</v>
      </c>
      <c r="J13" s="65">
        <f t="shared" si="3"/>
        <v>17912</v>
      </c>
      <c r="K13" s="65">
        <f t="shared" si="4"/>
        <v>34711.894319682957</v>
      </c>
      <c r="L13" s="66">
        <f t="shared" si="5"/>
        <v>0.538858582122413</v>
      </c>
      <c r="M13" s="64">
        <v>42.95</v>
      </c>
      <c r="N13" s="66">
        <f t="shared" si="6"/>
        <v>0.99738468529879565</v>
      </c>
      <c r="O13" s="62">
        <f t="shared" si="0"/>
        <v>1.75</v>
      </c>
      <c r="P13" s="75">
        <f t="shared" si="7"/>
        <v>87.785329566926208</v>
      </c>
      <c r="Q13" s="71">
        <v>42766.393750000003</v>
      </c>
      <c r="R13" s="72">
        <f t="shared" si="1"/>
        <v>42765.647916666669</v>
      </c>
      <c r="S13" s="72">
        <f t="shared" si="8"/>
        <v>42766.393750000003</v>
      </c>
      <c r="T13" s="72">
        <f t="shared" si="9"/>
        <v>0.74583333333430346</v>
      </c>
      <c r="U13" s="72">
        <f t="shared" si="10"/>
        <v>17.900000000023283</v>
      </c>
      <c r="V13" s="61"/>
      <c r="W13" s="61"/>
      <c r="X13" s="61"/>
      <c r="Y13" s="64"/>
      <c r="Z13" s="76"/>
      <c r="AA13" s="61"/>
      <c r="AB13" s="61"/>
      <c r="AC13" s="61"/>
      <c r="AD13" s="61"/>
      <c r="AE13" s="61"/>
      <c r="AF13" s="61"/>
      <c r="AG13" s="61"/>
      <c r="AH13" s="61"/>
      <c r="AI13" s="104"/>
    </row>
    <row r="14" spans="1:35" x14ac:dyDescent="0.25">
      <c r="A14" s="62"/>
      <c r="B14" s="62"/>
      <c r="C14" s="62"/>
      <c r="D14" s="78"/>
      <c r="E14" s="71"/>
      <c r="F14" s="72"/>
      <c r="G14" s="61"/>
      <c r="H14" s="68" t="s">
        <v>24</v>
      </c>
      <c r="I14" s="61" t="s">
        <v>41</v>
      </c>
      <c r="J14" s="68" t="s">
        <v>24</v>
      </c>
      <c r="K14" s="65"/>
      <c r="L14" s="66"/>
      <c r="M14" s="64"/>
      <c r="N14" s="81" t="s">
        <v>105</v>
      </c>
      <c r="O14" s="62"/>
      <c r="P14" s="75">
        <f>AVERAGE(P10:P13)</f>
        <v>88.245060557571122</v>
      </c>
      <c r="Q14" s="68" t="s">
        <v>24</v>
      </c>
      <c r="R14" s="61" t="s">
        <v>41</v>
      </c>
      <c r="S14" s="68" t="s">
        <v>24</v>
      </c>
      <c r="T14" s="61"/>
      <c r="U14" s="81" t="s">
        <v>115</v>
      </c>
      <c r="V14" s="62"/>
      <c r="W14" s="61"/>
      <c r="X14" s="68" t="s">
        <v>24</v>
      </c>
      <c r="Y14" s="61"/>
      <c r="Z14" s="68" t="s">
        <v>24</v>
      </c>
      <c r="AA14" s="61"/>
      <c r="AB14" s="81" t="s">
        <v>116</v>
      </c>
      <c r="AC14" s="62"/>
      <c r="AD14" s="61"/>
      <c r="AE14" s="68" t="s">
        <v>24</v>
      </c>
      <c r="AF14" s="61" t="s">
        <v>41</v>
      </c>
      <c r="AG14" s="68" t="s">
        <v>24</v>
      </c>
      <c r="AH14" s="61"/>
      <c r="AI14" s="104"/>
    </row>
    <row r="15" spans="1:35" x14ac:dyDescent="0.25">
      <c r="A15" s="61"/>
      <c r="B15" s="61"/>
      <c r="C15" s="61"/>
      <c r="D15" s="61"/>
      <c r="E15" s="61"/>
      <c r="F15" s="61"/>
      <c r="G15" s="68" t="s">
        <v>24</v>
      </c>
      <c r="H15" s="68" t="s">
        <v>45</v>
      </c>
      <c r="I15" s="68" t="s">
        <v>84</v>
      </c>
      <c r="J15" s="68" t="s">
        <v>43</v>
      </c>
      <c r="K15" s="65" t="s">
        <v>332</v>
      </c>
      <c r="L15" s="66" t="s">
        <v>97</v>
      </c>
      <c r="M15" s="61"/>
      <c r="N15" s="61"/>
      <c r="O15" s="68" t="s">
        <v>106</v>
      </c>
      <c r="P15" s="68" t="s">
        <v>24</v>
      </c>
      <c r="Q15" s="68" t="s">
        <v>45</v>
      </c>
      <c r="R15" s="68" t="s">
        <v>84</v>
      </c>
      <c r="S15" s="68" t="s">
        <v>43</v>
      </c>
      <c r="T15" s="68" t="s">
        <v>12</v>
      </c>
      <c r="U15" s="61"/>
      <c r="V15" s="68"/>
      <c r="W15" s="68" t="s">
        <v>24</v>
      </c>
      <c r="X15" s="68" t="s">
        <v>45</v>
      </c>
      <c r="Y15" s="68" t="s">
        <v>84</v>
      </c>
      <c r="Z15" s="68" t="s">
        <v>43</v>
      </c>
      <c r="AA15" s="68" t="s">
        <v>12</v>
      </c>
      <c r="AB15" s="61"/>
      <c r="AC15" s="68"/>
      <c r="AD15" s="68" t="s">
        <v>24</v>
      </c>
      <c r="AE15" s="68" t="s">
        <v>45</v>
      </c>
      <c r="AF15" s="68" t="s">
        <v>84</v>
      </c>
      <c r="AG15" s="68" t="s">
        <v>43</v>
      </c>
      <c r="AH15" s="68" t="s">
        <v>12</v>
      </c>
      <c r="AI15" s="104"/>
    </row>
    <row r="16" spans="1:35" x14ac:dyDescent="0.25">
      <c r="A16" s="67" t="s">
        <v>79</v>
      </c>
      <c r="B16" s="62"/>
      <c r="C16" s="62"/>
      <c r="D16" s="62" t="s">
        <v>81</v>
      </c>
      <c r="E16" s="61"/>
      <c r="F16" s="68" t="s">
        <v>38</v>
      </c>
      <c r="G16" s="68" t="s">
        <v>38</v>
      </c>
      <c r="H16" s="68" t="s">
        <v>30</v>
      </c>
      <c r="I16" s="68" t="s">
        <v>43</v>
      </c>
      <c r="J16" s="68" t="s">
        <v>30</v>
      </c>
      <c r="K16" s="65" t="s">
        <v>95</v>
      </c>
      <c r="L16" s="66" t="s">
        <v>98</v>
      </c>
      <c r="M16" s="65" t="s">
        <v>99</v>
      </c>
      <c r="N16" s="68" t="s">
        <v>38</v>
      </c>
      <c r="O16" s="68" t="s">
        <v>38</v>
      </c>
      <c r="P16" s="68" t="s">
        <v>38</v>
      </c>
      <c r="Q16" s="68" t="s">
        <v>30</v>
      </c>
      <c r="R16" s="68" t="s">
        <v>43</v>
      </c>
      <c r="S16" s="68" t="s">
        <v>30</v>
      </c>
      <c r="T16" s="68" t="s">
        <v>31</v>
      </c>
      <c r="U16" s="68" t="s">
        <v>38</v>
      </c>
      <c r="V16" s="68" t="s">
        <v>38</v>
      </c>
      <c r="W16" s="68" t="s">
        <v>38</v>
      </c>
      <c r="X16" s="68" t="s">
        <v>30</v>
      </c>
      <c r="Y16" s="68" t="s">
        <v>43</v>
      </c>
      <c r="Z16" s="68" t="s">
        <v>30</v>
      </c>
      <c r="AA16" s="68" t="s">
        <v>31</v>
      </c>
      <c r="AB16" s="68" t="s">
        <v>38</v>
      </c>
      <c r="AC16" s="68" t="s">
        <v>38</v>
      </c>
      <c r="AD16" s="68" t="s">
        <v>38</v>
      </c>
      <c r="AE16" s="68" t="s">
        <v>30</v>
      </c>
      <c r="AF16" s="68" t="s">
        <v>43</v>
      </c>
      <c r="AG16" s="68" t="s">
        <v>30</v>
      </c>
      <c r="AH16" s="68" t="s">
        <v>31</v>
      </c>
      <c r="AI16" s="104"/>
    </row>
    <row r="17" spans="1:35" ht="17.25" x14ac:dyDescent="0.25">
      <c r="A17" s="62"/>
      <c r="B17" s="62"/>
      <c r="C17" s="61"/>
      <c r="D17" s="78" t="s">
        <v>82</v>
      </c>
      <c r="E17" s="71" t="s">
        <v>80</v>
      </c>
      <c r="F17" s="68" t="s">
        <v>23</v>
      </c>
      <c r="G17" s="68" t="s">
        <v>27</v>
      </c>
      <c r="H17" s="68" t="s">
        <v>13</v>
      </c>
      <c r="I17" s="68" t="s">
        <v>11</v>
      </c>
      <c r="J17" s="68" t="s">
        <v>13</v>
      </c>
      <c r="K17" s="65" t="s">
        <v>96</v>
      </c>
      <c r="L17" s="66" t="s">
        <v>82</v>
      </c>
      <c r="M17" s="65" t="s">
        <v>100</v>
      </c>
      <c r="N17" s="68" t="s">
        <v>77</v>
      </c>
      <c r="O17" s="68" t="s">
        <v>23</v>
      </c>
      <c r="P17" s="68" t="s">
        <v>27</v>
      </c>
      <c r="Q17" s="68" t="s">
        <v>13</v>
      </c>
      <c r="R17" s="68" t="s">
        <v>11</v>
      </c>
      <c r="S17" s="68" t="s">
        <v>13</v>
      </c>
      <c r="T17" s="68" t="s">
        <v>4</v>
      </c>
      <c r="U17" s="68" t="s">
        <v>77</v>
      </c>
      <c r="V17" s="68" t="s">
        <v>23</v>
      </c>
      <c r="W17" s="68" t="s">
        <v>27</v>
      </c>
      <c r="X17" s="68" t="s">
        <v>13</v>
      </c>
      <c r="Y17" s="68" t="s">
        <v>11</v>
      </c>
      <c r="Z17" s="68" t="s">
        <v>13</v>
      </c>
      <c r="AA17" s="68" t="s">
        <v>4</v>
      </c>
      <c r="AB17" s="68" t="s">
        <v>77</v>
      </c>
      <c r="AC17" s="68" t="s">
        <v>23</v>
      </c>
      <c r="AD17" s="68" t="s">
        <v>27</v>
      </c>
      <c r="AE17" s="68" t="s">
        <v>13</v>
      </c>
      <c r="AF17" s="68" t="s">
        <v>11</v>
      </c>
      <c r="AG17" s="68" t="s">
        <v>13</v>
      </c>
      <c r="AH17" s="68" t="s">
        <v>4</v>
      </c>
      <c r="AI17" s="104"/>
    </row>
    <row r="18" spans="1:35" x14ac:dyDescent="0.25">
      <c r="A18" s="62">
        <v>15</v>
      </c>
      <c r="B18" s="62"/>
      <c r="C18" s="62"/>
      <c r="D18" s="72">
        <v>1</v>
      </c>
      <c r="E18" s="71">
        <v>42765.647916666669</v>
      </c>
      <c r="F18" s="72">
        <v>8662</v>
      </c>
      <c r="G18" s="65">
        <f>(F18/1000000)*(1/22.71)*(44.01)*(1000000)</f>
        <v>16786.200792602373</v>
      </c>
      <c r="H18" s="66">
        <f>(G18)*(1/44.01)*(2*14*24.4)/(1000000)</f>
        <v>0.26058469396741513</v>
      </c>
      <c r="I18" s="64">
        <v>20.77</v>
      </c>
      <c r="J18" s="66">
        <f>(I18)*(1/44.01)*(2*14)*(0.0365)</f>
        <v>0.48232083617359683</v>
      </c>
      <c r="K18" s="65">
        <v>11</v>
      </c>
      <c r="L18" s="65">
        <v>12</v>
      </c>
      <c r="M18" s="65">
        <v>647</v>
      </c>
      <c r="N18" s="65">
        <v>20247000</v>
      </c>
      <c r="O18" s="65">
        <f>(N18/1000)-M18</f>
        <v>19600</v>
      </c>
      <c r="P18" s="65">
        <f>(O18/1000000)*(1/22.71)*(44.01)*(1000000)</f>
        <v>37983.091149273445</v>
      </c>
      <c r="Q18" s="66">
        <f>(P18)*(1/44.01)*(2*14*24.4)/(1000000)</f>
        <v>0.58963980625275192</v>
      </c>
      <c r="R18" s="64">
        <v>47</v>
      </c>
      <c r="S18" s="66">
        <f>(R18)*(1/44.01)*(2*14)*(0.0365)</f>
        <v>1.0914337650533967</v>
      </c>
      <c r="T18" s="75">
        <f>((Q18+S18)/($Y$4))*100</f>
        <v>92.0838507718682</v>
      </c>
      <c r="U18" s="65">
        <v>17756000</v>
      </c>
      <c r="V18" s="65">
        <f>(U18/1000)</f>
        <v>17756</v>
      </c>
      <c r="W18" s="65">
        <f>(V18/1000000)*(1/22.71)*(44.01)*(1000000)</f>
        <v>34409.579920739758</v>
      </c>
      <c r="X18" s="66">
        <f>(W18)*(1/44.01)*(2*14*24.4)/(1000000)</f>
        <v>0.53416553060325833</v>
      </c>
      <c r="Y18" s="64">
        <v>42.58</v>
      </c>
      <c r="Z18" s="66">
        <f>(Y18)*(1/44.01)*(2*14)*(0.0365)</f>
        <v>0.98879254714837517</v>
      </c>
      <c r="AA18" s="75">
        <f>((X18+Z18)/($Y$4))*100</f>
        <v>83.422788126119983</v>
      </c>
      <c r="AB18" s="65">
        <v>20530000</v>
      </c>
      <c r="AC18" s="65">
        <f>(AB18/1000)</f>
        <v>20530</v>
      </c>
      <c r="AD18" s="65">
        <f>(AC18/1000000)*(1/22.71)*(44.01)*(1000000)</f>
        <v>39785.350066050189</v>
      </c>
      <c r="AE18" s="66">
        <f>(AD18)*(1/44.01)*(2*14*24.4)/(1000000)</f>
        <v>0.61761761338617327</v>
      </c>
      <c r="AF18" s="64">
        <v>49.23</v>
      </c>
      <c r="AG18" s="66">
        <f>(AF18)*(1/44.01)*(2*14)*(0.0365)</f>
        <v>1.1432188139059303</v>
      </c>
      <c r="AH18" s="75">
        <f>((AE18+AG18)/($Y$4))*100</f>
        <v>96.453005729221985</v>
      </c>
      <c r="AI18" s="104"/>
    </row>
    <row r="19" spans="1:35" x14ac:dyDescent="0.25">
      <c r="A19" s="62">
        <v>16</v>
      </c>
      <c r="B19" s="62"/>
      <c r="C19" s="62"/>
      <c r="D19" s="72">
        <v>3</v>
      </c>
      <c r="E19" s="71">
        <v>42765.647916666669</v>
      </c>
      <c r="F19" s="72">
        <v>6448</v>
      </c>
      <c r="G19" s="65">
        <f t="shared" ref="G19:G21" si="11">(F19/1000000)*(1/22.71)*(44.01)*(1000000)</f>
        <v>12495.661822985467</v>
      </c>
      <c r="H19" s="66">
        <f t="shared" ref="H19:H21" si="12">(G19)*(1/44.01)*(2*14*24.4)/(1000000)</f>
        <v>0.19397946279172165</v>
      </c>
      <c r="I19" s="64">
        <v>16.46</v>
      </c>
      <c r="J19" s="66">
        <f t="shared" ref="J19:J21" si="13">(I19)*(1/44.01)*(2*14)*(0.0365)</f>
        <v>0.38223403771870029</v>
      </c>
      <c r="K19" s="65">
        <v>11</v>
      </c>
      <c r="L19" s="65">
        <v>14</v>
      </c>
      <c r="M19" s="65">
        <v>462</v>
      </c>
      <c r="N19" s="65">
        <v>19982000</v>
      </c>
      <c r="O19" s="65">
        <f t="shared" ref="O19:O21" si="14">(N19/1000)-M19</f>
        <v>19520</v>
      </c>
      <c r="P19" s="65">
        <f t="shared" ref="P19:P21" si="15">(O19/1000000)*(1/22.71)*(44.01)*(1000000)</f>
        <v>37828.058124174364</v>
      </c>
      <c r="Q19" s="66">
        <f t="shared" ref="Q19:Q21" si="16">(P19)*(1/44.01)*(2*14*24.4)/(1000000)</f>
        <v>0.5872331131660059</v>
      </c>
      <c r="R19" s="64">
        <v>46.81</v>
      </c>
      <c r="S19" s="66">
        <f t="shared" ref="S19:S21" si="17">(R19)*(1/44.01)*(2*14)*(0.0365)</f>
        <v>1.0870215860031811</v>
      </c>
      <c r="T19" s="75">
        <f t="shared" ref="T19:T21" si="18">((Q19+S19)/($Y$4))*100</f>
        <v>91.710334695588116</v>
      </c>
      <c r="U19" s="65">
        <v>18185000</v>
      </c>
      <c r="V19" s="65">
        <f t="shared" ref="V19:V21" si="19">(U19/1000)</f>
        <v>18185</v>
      </c>
      <c r="W19" s="65">
        <f t="shared" ref="W19:W21" si="20">(V19/1000000)*(1/22.71)*(44.01)*(1000000)</f>
        <v>35240.944517833545</v>
      </c>
      <c r="X19" s="66">
        <f t="shared" ref="X19:X21" si="21">(W19)*(1/44.01)*(2*14*24.4)/(1000000)</f>
        <v>0.54707142228093331</v>
      </c>
      <c r="Y19" s="64">
        <v>43.61</v>
      </c>
      <c r="Z19" s="66">
        <f t="shared" ref="Z19:Z21" si="22">(Y19)*(1/44.01)*(2*14)*(0.0365)</f>
        <v>1.0127112019995455</v>
      </c>
      <c r="AA19" s="75">
        <f t="shared" ref="AA19:AA21" si="23">((X19+Z19)/($Y$4))*100</f>
        <v>85.439919383896651</v>
      </c>
      <c r="AB19" s="65">
        <v>20152000</v>
      </c>
      <c r="AC19" s="65">
        <f t="shared" ref="AC19:AC21" si="24">(AB19/1000)</f>
        <v>20152</v>
      </c>
      <c r="AD19" s="65">
        <f t="shared" ref="AD19:AD21" si="25">(AC19/1000000)*(1/22.71)*(44.01)*(1000000)</f>
        <v>39052.819022457057</v>
      </c>
      <c r="AE19" s="66">
        <f t="shared" ref="AE19:AE21" si="26">(AD19)*(1/44.01)*(2*14*24.4)/(1000000)</f>
        <v>0.60624598855129874</v>
      </c>
      <c r="AF19" s="64">
        <v>48.32</v>
      </c>
      <c r="AG19" s="66">
        <f t="shared" ref="AG19:AG21" si="27">(AF19)*(1/44.01)*(2*14)*(0.0365)</f>
        <v>1.1220867984548966</v>
      </c>
      <c r="AH19" s="75">
        <f t="shared" ref="AH19:AH21" si="28">((AE19+AG19)/($Y$4))*100</f>
        <v>94.672559939865764</v>
      </c>
      <c r="AI19" s="104"/>
    </row>
    <row r="20" spans="1:35" x14ac:dyDescent="0.25">
      <c r="A20" s="62">
        <v>17</v>
      </c>
      <c r="B20" s="62"/>
      <c r="C20" s="87"/>
      <c r="D20" s="72">
        <v>5</v>
      </c>
      <c r="E20" s="71">
        <v>42765.647916666669</v>
      </c>
      <c r="F20" s="72">
        <v>4400</v>
      </c>
      <c r="G20" s="65">
        <f t="shared" si="11"/>
        <v>8526.8163804491396</v>
      </c>
      <c r="H20" s="66">
        <f t="shared" si="12"/>
        <v>0.13236811977102592</v>
      </c>
      <c r="I20" s="64">
        <v>10.55</v>
      </c>
      <c r="J20" s="66">
        <f t="shared" si="13"/>
        <v>0.2449920472619859</v>
      </c>
      <c r="K20" s="65">
        <v>11</v>
      </c>
      <c r="L20" s="65">
        <v>16</v>
      </c>
      <c r="M20" s="65">
        <v>289</v>
      </c>
      <c r="N20" s="65">
        <v>19745000</v>
      </c>
      <c r="O20" s="65">
        <f t="shared" si="14"/>
        <v>19456</v>
      </c>
      <c r="P20" s="65">
        <f t="shared" si="15"/>
        <v>37704.031704095105</v>
      </c>
      <c r="Q20" s="66">
        <f t="shared" si="16"/>
        <v>0.58530775869660934</v>
      </c>
      <c r="R20" s="64">
        <v>46.65</v>
      </c>
      <c r="S20" s="66">
        <f t="shared" si="17"/>
        <v>1.0833060668029992</v>
      </c>
      <c r="T20" s="75">
        <f t="shared" si="18"/>
        <v>91.401345619750813</v>
      </c>
      <c r="U20" s="65">
        <v>17998000</v>
      </c>
      <c r="V20" s="65">
        <f t="shared" si="19"/>
        <v>17998</v>
      </c>
      <c r="W20" s="65">
        <f t="shared" si="20"/>
        <v>34878.55482166446</v>
      </c>
      <c r="X20" s="66">
        <f t="shared" si="21"/>
        <v>0.54144577719066478</v>
      </c>
      <c r="Y20" s="64">
        <v>43.16</v>
      </c>
      <c r="Z20" s="66">
        <f t="shared" si="22"/>
        <v>1.0022613042490343</v>
      </c>
      <c r="AA20" s="75">
        <f t="shared" si="23"/>
        <v>84.559352397838467</v>
      </c>
      <c r="AB20" s="65">
        <v>20919000</v>
      </c>
      <c r="AC20" s="65">
        <f t="shared" si="24"/>
        <v>20919</v>
      </c>
      <c r="AD20" s="65">
        <f t="shared" si="25"/>
        <v>40539.198150594442</v>
      </c>
      <c r="AE20" s="66">
        <f t="shared" si="26"/>
        <v>0.6293201585204754</v>
      </c>
      <c r="AF20" s="64">
        <v>50.16</v>
      </c>
      <c r="AG20" s="66">
        <f t="shared" si="27"/>
        <v>1.1648152692569866</v>
      </c>
      <c r="AH20" s="75">
        <f t="shared" si="28"/>
        <v>98.277018814600339</v>
      </c>
      <c r="AI20" s="104"/>
    </row>
    <row r="21" spans="1:35" x14ac:dyDescent="0.25">
      <c r="A21" s="62">
        <v>18</v>
      </c>
      <c r="B21" s="62"/>
      <c r="C21" s="87"/>
      <c r="D21" s="72">
        <v>7</v>
      </c>
      <c r="E21" s="71">
        <v>42765.647916666669</v>
      </c>
      <c r="F21" s="72">
        <v>2808</v>
      </c>
      <c r="G21" s="65">
        <f t="shared" si="11"/>
        <v>5441.6591809775427</v>
      </c>
      <c r="H21" s="66">
        <f t="shared" si="12"/>
        <v>8.4474927344782014E-2</v>
      </c>
      <c r="I21" s="64">
        <v>6.73</v>
      </c>
      <c r="J21" s="66">
        <f t="shared" si="13"/>
        <v>0.15628402635764599</v>
      </c>
      <c r="K21" s="65">
        <v>11</v>
      </c>
      <c r="L21" s="65">
        <v>18</v>
      </c>
      <c r="M21" s="65">
        <v>165</v>
      </c>
      <c r="N21" s="65">
        <v>19519000</v>
      </c>
      <c r="O21" s="65">
        <f t="shared" si="14"/>
        <v>19354</v>
      </c>
      <c r="P21" s="65">
        <f t="shared" si="15"/>
        <v>37506.364597093787</v>
      </c>
      <c r="Q21" s="66">
        <f t="shared" si="16"/>
        <v>0.58223922501100822</v>
      </c>
      <c r="R21" s="64">
        <v>46.41</v>
      </c>
      <c r="S21" s="66">
        <f t="shared" si="17"/>
        <v>1.0777327880027265</v>
      </c>
      <c r="T21" s="75">
        <f t="shared" si="18"/>
        <v>90.927974682909905</v>
      </c>
      <c r="U21" s="65">
        <v>17943000</v>
      </c>
      <c r="V21" s="65">
        <f t="shared" si="19"/>
        <v>17943</v>
      </c>
      <c r="W21" s="65">
        <f t="shared" si="20"/>
        <v>34771.969616908849</v>
      </c>
      <c r="X21" s="66">
        <f t="shared" si="21"/>
        <v>0.53979117569352697</v>
      </c>
      <c r="Y21" s="64">
        <v>43.03</v>
      </c>
      <c r="Z21" s="66">
        <f t="shared" si="22"/>
        <v>0.99924244489888658</v>
      </c>
      <c r="AA21" s="75">
        <f t="shared" si="23"/>
        <v>84.303355112178181</v>
      </c>
      <c r="AB21" s="65">
        <v>20702000</v>
      </c>
      <c r="AC21" s="65">
        <f t="shared" si="24"/>
        <v>20702</v>
      </c>
      <c r="AD21" s="65">
        <f t="shared" si="25"/>
        <v>40118.671070013203</v>
      </c>
      <c r="AE21" s="66">
        <f t="shared" si="26"/>
        <v>0.62279200352267705</v>
      </c>
      <c r="AF21" s="64">
        <v>49.64</v>
      </c>
      <c r="AG21" s="66">
        <f t="shared" si="27"/>
        <v>1.1527398318563962</v>
      </c>
      <c r="AH21" s="75">
        <f t="shared" si="28"/>
        <v>97.257973333501681</v>
      </c>
      <c r="AI21" s="104"/>
    </row>
    <row r="22" spans="1:35" x14ac:dyDescent="0.25">
      <c r="A22" s="61"/>
      <c r="B22" s="61"/>
      <c r="C22" s="61"/>
      <c r="D22" s="61"/>
      <c r="E22" s="71"/>
      <c r="F22" s="72"/>
      <c r="G22" s="72"/>
      <c r="H22" s="72"/>
      <c r="I22" s="88"/>
      <c r="J22" s="65"/>
      <c r="K22" s="65"/>
      <c r="L22" s="66"/>
      <c r="M22" s="64"/>
      <c r="N22" s="66"/>
      <c r="O22" s="62"/>
      <c r="P22" s="75"/>
      <c r="Q22" s="71"/>
      <c r="R22" s="72"/>
      <c r="S22" s="72"/>
      <c r="T22" s="75">
        <f>AVERAGE(T18:T21)</f>
        <v>91.530876442529262</v>
      </c>
      <c r="U22" s="72"/>
      <c r="V22" s="61"/>
      <c r="W22" s="75"/>
      <c r="X22" s="71"/>
      <c r="Y22" s="72"/>
      <c r="Z22" s="72"/>
      <c r="AA22" s="75">
        <f>AVERAGE(AA18:AA21)</f>
        <v>84.431353755008317</v>
      </c>
      <c r="AB22" s="61"/>
      <c r="AC22" s="61"/>
      <c r="AD22" s="61"/>
      <c r="AE22" s="61"/>
      <c r="AF22" s="61"/>
      <c r="AG22" s="61"/>
      <c r="AH22" s="75">
        <f>AVERAGE(AH18:AH21)</f>
        <v>96.665139454297446</v>
      </c>
      <c r="AI22" s="104"/>
    </row>
    <row r="23" spans="1:35" x14ac:dyDescent="0.25">
      <c r="A23" s="70"/>
      <c r="B23" s="61"/>
      <c r="C23" s="61"/>
      <c r="D23" s="61"/>
      <c r="E23" s="71"/>
      <c r="F23" s="72"/>
      <c r="G23" s="72"/>
      <c r="H23" s="72"/>
      <c r="I23" s="88"/>
      <c r="J23" s="65"/>
      <c r="K23" s="65"/>
      <c r="L23" s="66"/>
      <c r="M23" s="64"/>
      <c r="N23" s="66"/>
      <c r="O23" s="62"/>
      <c r="P23" s="75"/>
      <c r="Q23" s="71"/>
      <c r="R23" s="72"/>
      <c r="S23" s="72"/>
      <c r="T23" s="72"/>
      <c r="U23" s="72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04"/>
    </row>
    <row r="24" spans="1:35" ht="14.45" customHeight="1" x14ac:dyDescent="0.25">
      <c r="A24" s="70"/>
      <c r="B24" s="61"/>
      <c r="C24" s="61"/>
      <c r="D24" s="61"/>
      <c r="E24" s="71"/>
      <c r="F24" s="72"/>
      <c r="G24" s="72"/>
      <c r="H24" s="72"/>
      <c r="I24" s="87"/>
      <c r="J24" s="65"/>
      <c r="K24" s="65"/>
      <c r="L24" s="66"/>
      <c r="M24" s="64"/>
      <c r="N24" s="66"/>
      <c r="O24" s="62"/>
      <c r="P24" s="75"/>
      <c r="Q24" s="106"/>
      <c r="R24" s="72"/>
      <c r="S24" s="72"/>
      <c r="T24" s="107"/>
      <c r="U24" s="62"/>
      <c r="V24" s="75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04"/>
    </row>
    <row r="25" spans="1:35" x14ac:dyDescent="0.25">
      <c r="A25" s="62"/>
      <c r="B25" s="87"/>
      <c r="C25" s="87"/>
      <c r="D25" s="78"/>
      <c r="E25" s="92"/>
      <c r="F25" s="72"/>
      <c r="G25" s="72"/>
      <c r="H25" s="72"/>
      <c r="I25" s="87"/>
      <c r="J25" s="65"/>
      <c r="K25" s="65"/>
      <c r="L25" s="93"/>
      <c r="M25" s="64"/>
      <c r="N25" s="62"/>
      <c r="O25" s="66"/>
      <c r="P25" s="66"/>
      <c r="Q25" s="106"/>
      <c r="R25" s="72"/>
      <c r="S25" s="72"/>
      <c r="T25" s="72"/>
      <c r="U25" s="93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104"/>
    </row>
    <row r="26" spans="1:35" ht="14.45" customHeight="1" x14ac:dyDescent="0.25">
      <c r="A26" s="67"/>
      <c r="B26" s="62"/>
      <c r="C26" s="62"/>
      <c r="D26" s="78"/>
      <c r="E26" s="71"/>
      <c r="F26" s="72"/>
      <c r="G26" s="72"/>
      <c r="H26" s="72"/>
      <c r="I26" s="87"/>
      <c r="J26" s="87"/>
      <c r="K26" s="65"/>
      <c r="L26" s="64"/>
      <c r="M26" s="64"/>
      <c r="N26" s="62"/>
      <c r="O26" s="66"/>
      <c r="P26" s="66"/>
      <c r="Q26" s="71"/>
      <c r="R26" s="72"/>
      <c r="S26" s="72"/>
      <c r="T26" s="72"/>
      <c r="U26" s="64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104"/>
    </row>
    <row r="27" spans="1:35" x14ac:dyDescent="0.25">
      <c r="A27" s="62"/>
      <c r="B27" s="67"/>
      <c r="C27" s="87"/>
      <c r="D27" s="78"/>
      <c r="E27" s="61"/>
      <c r="F27" s="61"/>
      <c r="G27" s="61"/>
      <c r="H27" s="61"/>
      <c r="I27" s="61"/>
      <c r="J27" s="61"/>
      <c r="K27" s="62"/>
      <c r="L27" s="93"/>
      <c r="M27" s="62"/>
      <c r="N27" s="62"/>
      <c r="O27" s="66"/>
      <c r="P27" s="66"/>
      <c r="Q27" s="66"/>
      <c r="R27" s="62"/>
      <c r="S27" s="62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104"/>
    </row>
    <row r="28" spans="1:35" x14ac:dyDescent="0.25">
      <c r="A28" s="62"/>
      <c r="B28" s="67"/>
      <c r="C28" s="95"/>
      <c r="D28" s="78"/>
      <c r="E28" s="70"/>
      <c r="F28" s="70"/>
      <c r="G28" s="70"/>
      <c r="H28" s="70"/>
      <c r="I28" s="70"/>
      <c r="J28" s="70"/>
      <c r="K28" s="62"/>
      <c r="L28" s="61"/>
      <c r="M28" s="70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104"/>
    </row>
    <row r="29" spans="1:35" x14ac:dyDescent="0.25">
      <c r="A29" s="61"/>
      <c r="B29" s="61"/>
      <c r="C29" s="61"/>
      <c r="D29" s="61"/>
      <c r="E29" s="70"/>
      <c r="F29" s="70"/>
      <c r="G29" s="70"/>
      <c r="H29" s="70"/>
      <c r="I29" s="70"/>
      <c r="J29" s="70"/>
      <c r="K29" s="62"/>
      <c r="L29" s="61"/>
      <c r="M29" s="61"/>
      <c r="N29" s="70"/>
      <c r="O29" s="70"/>
      <c r="P29" s="70"/>
      <c r="Q29" s="70"/>
      <c r="R29" s="70"/>
      <c r="S29" s="70"/>
      <c r="T29" s="70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104"/>
    </row>
    <row r="30" spans="1:35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2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104"/>
    </row>
    <row r="31" spans="1:35" x14ac:dyDescent="0.25">
      <c r="A31" s="61"/>
      <c r="B31" s="61"/>
      <c r="C31" s="61"/>
      <c r="D31" s="61"/>
      <c r="E31" s="61" t="s">
        <v>118</v>
      </c>
      <c r="F31" s="61"/>
      <c r="G31" s="61"/>
      <c r="H31" s="61"/>
      <c r="I31" s="61" t="s">
        <v>119</v>
      </c>
      <c r="J31" s="84" t="s">
        <v>124</v>
      </c>
      <c r="K31" s="61"/>
      <c r="L31" s="76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104"/>
    </row>
    <row r="32" spans="1:35" x14ac:dyDescent="0.25">
      <c r="A32" s="63" t="s">
        <v>101</v>
      </c>
      <c r="B32" s="62"/>
      <c r="C32" s="62"/>
      <c r="D32" s="62"/>
      <c r="E32" s="62">
        <v>1</v>
      </c>
      <c r="F32" s="61"/>
      <c r="G32" s="62"/>
      <c r="H32" s="61"/>
      <c r="I32" s="87">
        <v>6.84</v>
      </c>
      <c r="J32" s="68"/>
      <c r="K32" s="61"/>
      <c r="L32" s="61"/>
      <c r="M32" s="62"/>
      <c r="N32" s="62"/>
      <c r="O32" s="62"/>
      <c r="P32" s="62"/>
      <c r="Q32" s="62"/>
      <c r="R32" s="62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104"/>
    </row>
    <row r="33" spans="1:35" x14ac:dyDescent="0.25">
      <c r="A33" s="61" t="s">
        <v>89</v>
      </c>
      <c r="B33" s="62"/>
      <c r="C33" s="62"/>
      <c r="D33" s="62"/>
      <c r="E33" s="64">
        <f>STDEV(J10:J13)</f>
        <v>70.994718113392068</v>
      </c>
      <c r="F33" s="62" t="s">
        <v>88</v>
      </c>
      <c r="G33" s="62"/>
      <c r="H33" s="61"/>
      <c r="I33" s="87"/>
      <c r="J33" s="68"/>
      <c r="K33" s="61"/>
      <c r="L33" s="61"/>
      <c r="M33" s="62"/>
      <c r="N33" s="62"/>
      <c r="O33" s="62"/>
      <c r="P33" s="62"/>
      <c r="Q33" s="62"/>
      <c r="R33" s="62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104"/>
    </row>
    <row r="34" spans="1:35" x14ac:dyDescent="0.25">
      <c r="A34" s="61" t="s">
        <v>90</v>
      </c>
      <c r="B34" s="62"/>
      <c r="C34" s="62"/>
      <c r="D34" s="62"/>
      <c r="E34" s="65">
        <f>AVERAGE(J10:J13)</f>
        <v>18005.75</v>
      </c>
      <c r="F34" s="62" t="s">
        <v>9</v>
      </c>
      <c r="G34" s="62"/>
      <c r="H34" s="61"/>
      <c r="I34" s="87"/>
      <c r="J34" s="68"/>
      <c r="K34" s="61"/>
      <c r="L34" s="61"/>
      <c r="M34" s="62"/>
      <c r="N34" s="62"/>
      <c r="O34" s="62"/>
      <c r="P34" s="62"/>
      <c r="Q34" s="62"/>
      <c r="R34" s="62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104"/>
    </row>
    <row r="35" spans="1:35" x14ac:dyDescent="0.25">
      <c r="A35" s="61" t="s">
        <v>104</v>
      </c>
      <c r="B35" s="61"/>
      <c r="C35" s="61"/>
      <c r="D35" s="61">
        <v>3.1829999999999998</v>
      </c>
      <c r="E35" s="66">
        <f>(D35*E33)/(C36^0.5)</f>
        <v>112.98809387746347</v>
      </c>
      <c r="F35" s="62" t="s">
        <v>92</v>
      </c>
      <c r="G35" s="61"/>
      <c r="H35" s="61"/>
      <c r="I35" s="87"/>
      <c r="J35" s="68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104"/>
    </row>
    <row r="36" spans="1:35" x14ac:dyDescent="0.25">
      <c r="A36" s="61" t="s">
        <v>93</v>
      </c>
      <c r="B36" s="61"/>
      <c r="C36" s="62">
        <v>4</v>
      </c>
      <c r="D36" s="61"/>
      <c r="E36" s="61"/>
      <c r="F36" s="68" t="s">
        <v>94</v>
      </c>
      <c r="G36" s="69">
        <f>E34-E35</f>
        <v>17892.761906122538</v>
      </c>
      <c r="H36" s="69">
        <f>E34+E35</f>
        <v>18118.738093877462</v>
      </c>
      <c r="I36" s="87"/>
      <c r="J36" s="68">
        <v>88.2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104"/>
    </row>
    <row r="37" spans="1:35" x14ac:dyDescent="0.25">
      <c r="A37" s="61"/>
      <c r="B37" s="61"/>
      <c r="C37" s="61"/>
      <c r="D37" s="61"/>
      <c r="E37" s="61"/>
      <c r="F37" s="61"/>
      <c r="G37" s="61"/>
      <c r="H37" s="61"/>
      <c r="I37" s="87"/>
      <c r="J37" s="68"/>
      <c r="K37" s="61"/>
      <c r="L37" s="68"/>
      <c r="M37" s="61"/>
      <c r="N37" s="68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104"/>
    </row>
    <row r="38" spans="1:35" x14ac:dyDescent="0.25">
      <c r="A38" s="63" t="s">
        <v>102</v>
      </c>
      <c r="B38" s="62"/>
      <c r="C38" s="62"/>
      <c r="D38" s="62"/>
      <c r="E38" s="62">
        <v>2</v>
      </c>
      <c r="F38" s="61"/>
      <c r="G38" s="62"/>
      <c r="H38" s="61"/>
      <c r="I38" s="99"/>
      <c r="J38" s="68"/>
      <c r="K38" s="68"/>
      <c r="L38" s="68"/>
      <c r="M38" s="68"/>
      <c r="N38" s="68"/>
      <c r="O38" s="68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04"/>
    </row>
    <row r="39" spans="1:35" x14ac:dyDescent="0.25">
      <c r="A39" s="61" t="s">
        <v>89</v>
      </c>
      <c r="B39" s="62"/>
      <c r="C39" s="62"/>
      <c r="D39" s="62"/>
      <c r="E39" s="64">
        <f>STDEV(O18:O21)</f>
        <v>103.96634070698073</v>
      </c>
      <c r="F39" s="62" t="s">
        <v>88</v>
      </c>
      <c r="G39" s="62"/>
      <c r="H39" s="61"/>
      <c r="I39" s="99"/>
      <c r="J39" s="68"/>
      <c r="K39" s="68"/>
      <c r="L39" s="68"/>
      <c r="M39" s="68"/>
      <c r="N39" s="68"/>
      <c r="O39" s="68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04"/>
    </row>
    <row r="40" spans="1:35" x14ac:dyDescent="0.25">
      <c r="A40" s="61" t="s">
        <v>90</v>
      </c>
      <c r="B40" s="62"/>
      <c r="C40" s="62"/>
      <c r="D40" s="62"/>
      <c r="E40" s="65">
        <f>AVERAGE(O18:O21)</f>
        <v>19482.5</v>
      </c>
      <c r="F40" s="62" t="s">
        <v>9</v>
      </c>
      <c r="G40" s="62"/>
      <c r="H40" s="61"/>
      <c r="I40" s="99"/>
      <c r="J40" s="68"/>
      <c r="K40" s="68"/>
      <c r="L40" s="68"/>
      <c r="M40" s="68"/>
      <c r="N40" s="68"/>
      <c r="O40" s="68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104"/>
    </row>
    <row r="41" spans="1:35" x14ac:dyDescent="0.25">
      <c r="A41" s="61" t="s">
        <v>104</v>
      </c>
      <c r="B41" s="61"/>
      <c r="C41" s="61"/>
      <c r="D41" s="61">
        <f>$D$35</f>
        <v>3.1829999999999998</v>
      </c>
      <c r="E41" s="66">
        <f>(D41*E39)/(C42^0.5)</f>
        <v>165.46243123515981</v>
      </c>
      <c r="F41" s="62" t="s">
        <v>92</v>
      </c>
      <c r="G41" s="61"/>
      <c r="H41" s="61"/>
      <c r="I41" s="88"/>
      <c r="J41" s="75"/>
      <c r="K41" s="65"/>
      <c r="L41" s="72"/>
      <c r="M41" s="71"/>
      <c r="N41" s="72"/>
      <c r="O41" s="72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104"/>
    </row>
    <row r="42" spans="1:35" x14ac:dyDescent="0.25">
      <c r="A42" s="61" t="s">
        <v>93</v>
      </c>
      <c r="B42" s="61"/>
      <c r="C42" s="62">
        <v>4</v>
      </c>
      <c r="D42" s="61"/>
      <c r="E42" s="61"/>
      <c r="F42" s="68" t="s">
        <v>94</v>
      </c>
      <c r="G42" s="101">
        <f>E40-E41</f>
        <v>19317.037568764841</v>
      </c>
      <c r="H42" s="101">
        <f>E40+E41</f>
        <v>19647.962431235159</v>
      </c>
      <c r="I42" s="88">
        <v>6.1</v>
      </c>
      <c r="J42" s="75">
        <v>91.5</v>
      </c>
      <c r="K42" s="65"/>
      <c r="L42" s="72"/>
      <c r="M42" s="71"/>
      <c r="N42" s="72"/>
      <c r="O42" s="72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104"/>
    </row>
    <row r="43" spans="1:35" x14ac:dyDescent="0.25">
      <c r="A43" s="62"/>
      <c r="B43" s="62"/>
      <c r="C43" s="62"/>
      <c r="D43" s="78"/>
      <c r="E43" s="71"/>
      <c r="F43" s="72"/>
      <c r="G43" s="72"/>
      <c r="H43" s="72"/>
      <c r="I43" s="88"/>
      <c r="J43" s="75"/>
      <c r="K43" s="65"/>
      <c r="L43" s="72"/>
      <c r="M43" s="71"/>
      <c r="N43" s="72"/>
      <c r="O43" s="72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104"/>
    </row>
    <row r="44" spans="1:35" x14ac:dyDescent="0.25">
      <c r="A44" s="63" t="s">
        <v>103</v>
      </c>
      <c r="B44" s="62"/>
      <c r="C44" s="62"/>
      <c r="D44" s="62"/>
      <c r="E44" s="62">
        <v>3</v>
      </c>
      <c r="F44" s="61"/>
      <c r="G44" s="62"/>
      <c r="H44" s="61"/>
      <c r="I44" s="88"/>
      <c r="J44" s="75"/>
      <c r="K44" s="65"/>
      <c r="L44" s="72"/>
      <c r="M44" s="71"/>
      <c r="N44" s="72"/>
      <c r="O44" s="72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104"/>
    </row>
    <row r="45" spans="1:35" x14ac:dyDescent="0.25">
      <c r="A45" s="61" t="s">
        <v>89</v>
      </c>
      <c r="B45" s="62"/>
      <c r="C45" s="62"/>
      <c r="D45" s="62"/>
      <c r="E45" s="64">
        <f>STDEV(V18:V21)</f>
        <v>176.57198720823942</v>
      </c>
      <c r="F45" s="62" t="s">
        <v>88</v>
      </c>
      <c r="G45" s="62"/>
      <c r="H45" s="61"/>
      <c r="I45" s="88"/>
      <c r="J45" s="75"/>
      <c r="K45" s="65"/>
      <c r="L45" s="72"/>
      <c r="M45" s="71"/>
      <c r="N45" s="72"/>
      <c r="O45" s="72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104"/>
    </row>
    <row r="46" spans="1:35" x14ac:dyDescent="0.25">
      <c r="A46" s="61" t="s">
        <v>90</v>
      </c>
      <c r="B46" s="62"/>
      <c r="C46" s="62"/>
      <c r="D46" s="62"/>
      <c r="E46" s="65">
        <f>AVERAGE(V18:V21)</f>
        <v>17970.5</v>
      </c>
      <c r="F46" s="62" t="s">
        <v>9</v>
      </c>
      <c r="G46" s="62"/>
      <c r="H46" s="61"/>
      <c r="I46" s="88"/>
      <c r="J46" s="75"/>
      <c r="K46" s="65"/>
      <c r="L46" s="72"/>
      <c r="M46" s="71"/>
      <c r="N46" s="72"/>
      <c r="O46" s="72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104"/>
    </row>
    <row r="47" spans="1:35" x14ac:dyDescent="0.25">
      <c r="A47" s="61" t="s">
        <v>104</v>
      </c>
      <c r="B47" s="61"/>
      <c r="C47" s="61"/>
      <c r="D47" s="61">
        <f>$D$35</f>
        <v>3.1829999999999998</v>
      </c>
      <c r="E47" s="66">
        <f>(D47*E45)/(C48^0.5)</f>
        <v>281.01431764191301</v>
      </c>
      <c r="F47" s="62" t="s">
        <v>92</v>
      </c>
      <c r="G47" s="61"/>
      <c r="H47" s="61"/>
      <c r="I47" s="87"/>
      <c r="J47" s="68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104"/>
    </row>
    <row r="48" spans="1:35" x14ac:dyDescent="0.25">
      <c r="A48" s="61" t="s">
        <v>93</v>
      </c>
      <c r="B48" s="61"/>
      <c r="C48" s="62">
        <v>4</v>
      </c>
      <c r="D48" s="61"/>
      <c r="E48" s="61"/>
      <c r="F48" s="68" t="s">
        <v>94</v>
      </c>
      <c r="G48" s="101">
        <f>E46-E47</f>
        <v>17689.485682358089</v>
      </c>
      <c r="H48" s="101">
        <f>E46+E47</f>
        <v>18251.514317641911</v>
      </c>
      <c r="I48" s="87"/>
      <c r="J48" s="68">
        <v>84.4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104"/>
    </row>
    <row r="49" spans="1:35" x14ac:dyDescent="0.25">
      <c r="A49" s="61"/>
      <c r="B49" s="61"/>
      <c r="C49" s="61"/>
      <c r="D49" s="61"/>
      <c r="E49" s="61"/>
      <c r="F49" s="61"/>
      <c r="G49" s="61"/>
      <c r="H49" s="61"/>
      <c r="I49" s="87"/>
      <c r="J49" s="68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104"/>
    </row>
    <row r="50" spans="1:35" x14ac:dyDescent="0.25">
      <c r="A50" s="63" t="s">
        <v>117</v>
      </c>
      <c r="B50" s="62"/>
      <c r="C50" s="62"/>
      <c r="D50" s="62"/>
      <c r="E50" s="62">
        <v>4</v>
      </c>
      <c r="F50" s="61"/>
      <c r="G50" s="62"/>
      <c r="H50" s="61"/>
      <c r="I50" s="87"/>
      <c r="J50" s="68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104"/>
    </row>
    <row r="51" spans="1:35" x14ac:dyDescent="0.25">
      <c r="A51" s="61" t="s">
        <v>89</v>
      </c>
      <c r="B51" s="62"/>
      <c r="C51" s="62"/>
      <c r="D51" s="62"/>
      <c r="E51" s="64">
        <f>STDEV(AC18:AC21)</f>
        <v>324.25131713944768</v>
      </c>
      <c r="F51" s="62" t="s">
        <v>88</v>
      </c>
      <c r="G51" s="62"/>
      <c r="H51" s="61"/>
      <c r="I51" s="87"/>
      <c r="J51" s="68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104"/>
    </row>
    <row r="52" spans="1:35" x14ac:dyDescent="0.25">
      <c r="A52" s="61" t="s">
        <v>90</v>
      </c>
      <c r="B52" s="62"/>
      <c r="C52" s="62"/>
      <c r="D52" s="62"/>
      <c r="E52" s="65">
        <f>AVERAGE(AC18:AC21)</f>
        <v>20575.75</v>
      </c>
      <c r="F52" s="62" t="s">
        <v>9</v>
      </c>
      <c r="G52" s="62"/>
      <c r="H52" s="61"/>
      <c r="I52" s="87"/>
      <c r="J52" s="68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104"/>
    </row>
    <row r="53" spans="1:35" x14ac:dyDescent="0.25">
      <c r="A53" s="61" t="s">
        <v>104</v>
      </c>
      <c r="B53" s="61"/>
      <c r="C53" s="61"/>
      <c r="D53" s="61">
        <f>$D$35</f>
        <v>3.1829999999999998</v>
      </c>
      <c r="E53" s="66">
        <f>(D53*E51)/(C54^0.5)</f>
        <v>516.04597122743098</v>
      </c>
      <c r="F53" s="62" t="s">
        <v>92</v>
      </c>
      <c r="G53" s="61"/>
      <c r="H53" s="61"/>
      <c r="I53" s="87"/>
      <c r="J53" s="68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104"/>
    </row>
    <row r="54" spans="1:35" x14ac:dyDescent="0.25">
      <c r="A54" s="61" t="s">
        <v>93</v>
      </c>
      <c r="B54" s="61"/>
      <c r="C54" s="62">
        <v>4</v>
      </c>
      <c r="D54" s="61"/>
      <c r="E54" s="61"/>
      <c r="F54" s="68" t="s">
        <v>94</v>
      </c>
      <c r="G54" s="101">
        <f>E52-E53</f>
        <v>20059.704028772569</v>
      </c>
      <c r="H54" s="101">
        <f>E52+E53</f>
        <v>21091.795971227431</v>
      </c>
      <c r="I54" s="87">
        <v>6.48</v>
      </c>
      <c r="J54" s="68">
        <v>96.7</v>
      </c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104"/>
    </row>
    <row r="55" spans="1:35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104"/>
    </row>
    <row r="56" spans="1:3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</row>
    <row r="57" spans="1:3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</row>
    <row r="58" spans="1:3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</row>
    <row r="59" spans="1:3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</row>
    <row r="60" spans="1:3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</row>
    <row r="62" spans="1:3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</row>
    <row r="63" spans="1:3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</row>
    <row r="64" spans="1:3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</row>
    <row r="65" spans="1:34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</row>
    <row r="66" spans="1:34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</row>
    <row r="67" spans="1:34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</row>
    <row r="68" spans="1:34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</row>
    <row r="69" spans="1:34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</row>
    <row r="70" spans="1:34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</row>
    <row r="71" spans="1:34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</row>
    <row r="72" spans="1:34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</row>
    <row r="73" spans="1:34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</row>
    <row r="74" spans="1:34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</row>
    <row r="75" spans="1:34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</row>
    <row r="76" spans="1:34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</row>
    <row r="77" spans="1:34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</row>
    <row r="78" spans="1:34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</row>
    <row r="79" spans="1:34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</row>
    <row r="80" spans="1:34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</row>
    <row r="81" spans="1:34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</row>
    <row r="82" spans="1:34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</row>
    <row r="83" spans="1:34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</row>
    <row r="84" spans="1:34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</row>
    <row r="85" spans="1:34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</row>
    <row r="86" spans="1:34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</row>
    <row r="87" spans="1:34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</row>
    <row r="88" spans="1:34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</row>
    <row r="89" spans="1:34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</row>
    <row r="90" spans="1:34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</row>
    <row r="91" spans="1:34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</row>
    <row r="92" spans="1:34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</row>
    <row r="93" spans="1:34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</row>
    <row r="94" spans="1:34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</row>
    <row r="95" spans="1:34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</row>
    <row r="96" spans="1:34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</row>
    <row r="97" spans="1:34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</row>
    <row r="98" spans="1:34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</row>
    <row r="99" spans="1:34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</row>
    <row r="100" spans="1:34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</row>
    <row r="101" spans="1:34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</row>
    <row r="102" spans="1:34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</row>
    <row r="103" spans="1:34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</row>
    <row r="104" spans="1:34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</row>
    <row r="105" spans="1:34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</row>
    <row r="106" spans="1:34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</row>
    <row r="107" spans="1:34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</row>
    <row r="108" spans="1:34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</row>
    <row r="109" spans="1:34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</row>
    <row r="110" spans="1:34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</row>
    <row r="111" spans="1:34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</row>
    <row r="112" spans="1:34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</row>
    <row r="113" spans="1:34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</row>
    <row r="114" spans="1:34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</row>
    <row r="115" spans="1:34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</row>
    <row r="116" spans="1:34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</row>
    <row r="117" spans="1:34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</row>
    <row r="118" spans="1:34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</row>
    <row r="119" spans="1:34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</row>
    <row r="120" spans="1:34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</row>
    <row r="121" spans="1:34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</row>
    <row r="122" spans="1:34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</row>
    <row r="123" spans="1:34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</row>
    <row r="124" spans="1:34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</row>
    <row r="125" spans="1:34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</row>
    <row r="126" spans="1:34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</row>
    <row r="127" spans="1:34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</row>
    <row r="128" spans="1:34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</row>
    <row r="129" spans="1:34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</row>
    <row r="130" spans="1:34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</row>
    <row r="131" spans="1:34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</row>
    <row r="132" spans="1:34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</row>
    <row r="133" spans="1:34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</row>
    <row r="134" spans="1:34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</row>
    <row r="135" spans="1:34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</row>
    <row r="136" spans="1:34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</row>
    <row r="137" spans="1:34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</row>
    <row r="138" spans="1:34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</row>
    <row r="139" spans="1:34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</row>
    <row r="140" spans="1:34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</row>
    <row r="141" spans="1:34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</row>
    <row r="142" spans="1:34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</row>
    <row r="143" spans="1:34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</row>
    <row r="144" spans="1:34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</row>
    <row r="145" spans="1:34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</row>
    <row r="146" spans="1:34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</row>
    <row r="147" spans="1:34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</row>
    <row r="148" spans="1:34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</row>
    <row r="149" spans="1:34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</row>
    <row r="150" spans="1:34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</row>
    <row r="151" spans="1:34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</row>
    <row r="152" spans="1:34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</row>
    <row r="153" spans="1:34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</row>
    <row r="154" spans="1:34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</row>
    <row r="155" spans="1:34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</row>
    <row r="156" spans="1:34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</row>
    <row r="157" spans="1:34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</row>
    <row r="158" spans="1:34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</row>
    <row r="159" spans="1:34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</row>
    <row r="160" spans="1:34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</row>
    <row r="161" spans="1:34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</row>
    <row r="162" spans="1:34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</row>
    <row r="163" spans="1:34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</row>
    <row r="164" spans="1:34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</row>
    <row r="165" spans="1:34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</row>
    <row r="166" spans="1:34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</row>
    <row r="167" spans="1:34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</row>
    <row r="168" spans="1:34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</row>
    <row r="169" spans="1:34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</row>
    <row r="170" spans="1:34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</row>
    <row r="171" spans="1:34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</row>
    <row r="172" spans="1:34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</row>
    <row r="173" spans="1:34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</row>
    <row r="174" spans="1:34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</row>
    <row r="175" spans="1:34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</row>
    <row r="176" spans="1:34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</row>
    <row r="177" spans="1:34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</row>
    <row r="178" spans="1:34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</row>
    <row r="179" spans="1:34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</row>
    <row r="180" spans="1:34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</row>
    <row r="181" spans="1:34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</row>
    <row r="182" spans="1:34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</row>
    <row r="183" spans="1:34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</row>
    <row r="184" spans="1:34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</row>
    <row r="185" spans="1:34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</row>
    <row r="186" spans="1:34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</row>
  </sheetData>
  <printOptions headings="1" gridLines="1"/>
  <pageMargins left="0.7" right="0.7" top="0.75" bottom="0.75" header="0.3" footer="0.3"/>
  <pageSetup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="80" zoomScaleNormal="80" workbookViewId="0">
      <selection activeCell="I34" sqref="I34"/>
    </sheetView>
  </sheetViews>
  <sheetFormatPr defaultRowHeight="15" x14ac:dyDescent="0.25"/>
  <cols>
    <col min="1" max="1" width="9.28515625" bestFit="1" customWidth="1"/>
    <col min="2" max="2" width="12.140625" customWidth="1"/>
    <col min="3" max="4" width="9.28515625" bestFit="1" customWidth="1"/>
    <col min="5" max="5" width="17" customWidth="1"/>
    <col min="6" max="7" width="9.28515625" bestFit="1" customWidth="1"/>
    <col min="8" max="8" width="11" customWidth="1"/>
    <col min="9" max="9" width="12.28515625" customWidth="1"/>
    <col min="10" max="10" width="9.28515625" bestFit="1" customWidth="1"/>
    <col min="11" max="11" width="10.7109375" customWidth="1"/>
    <col min="12" max="12" width="11.7109375" customWidth="1"/>
    <col min="13" max="13" width="14.7109375" customWidth="1"/>
    <col min="14" max="14" width="10.85546875" customWidth="1"/>
    <col min="15" max="15" width="9.28515625" bestFit="1" customWidth="1"/>
    <col min="16" max="16" width="12.28515625" customWidth="1"/>
    <col min="17" max="17" width="16" bestFit="1" customWidth="1"/>
    <col min="18" max="21" width="9.28515625" bestFit="1" customWidth="1"/>
    <col min="22" max="22" width="12.42578125" customWidth="1"/>
    <col min="23" max="23" width="11.7109375" customWidth="1"/>
    <col min="24" max="24" width="15.28515625" customWidth="1"/>
    <col min="25" max="31" width="9.28515625" bestFit="1" customWidth="1"/>
  </cols>
  <sheetData>
    <row r="1" spans="1:33" x14ac:dyDescent="0.25">
      <c r="A1" s="61" t="s">
        <v>333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57"/>
      <c r="AG1" s="57"/>
    </row>
    <row r="2" spans="1:33" x14ac:dyDescent="0.25">
      <c r="A2" s="61" t="s">
        <v>108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57"/>
      <c r="AG2" s="57"/>
    </row>
    <row r="3" spans="1:33" x14ac:dyDescent="0.25">
      <c r="A3" s="61" t="s">
        <v>110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7"/>
      <c r="AG3" s="57"/>
    </row>
    <row r="4" spans="1:33" x14ac:dyDescent="0.25">
      <c r="A4" s="70" t="s">
        <v>111</v>
      </c>
      <c r="B4" s="61"/>
      <c r="C4" s="61"/>
      <c r="D4" s="61"/>
      <c r="E4" s="71"/>
      <c r="F4" s="72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57"/>
      <c r="AG4" s="57"/>
    </row>
    <row r="5" spans="1:33" x14ac:dyDescent="0.25">
      <c r="A5" s="70" t="s">
        <v>114</v>
      </c>
      <c r="B5" s="61"/>
      <c r="C5" s="61"/>
      <c r="D5" s="61"/>
      <c r="E5" s="71"/>
      <c r="F5" s="72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57"/>
      <c r="AG5" s="57"/>
    </row>
    <row r="6" spans="1:33" x14ac:dyDescent="0.25">
      <c r="A6" s="61"/>
      <c r="B6" s="61"/>
      <c r="C6" s="61"/>
      <c r="D6" s="61"/>
      <c r="E6" s="61"/>
      <c r="F6" s="61"/>
      <c r="G6" s="61"/>
      <c r="H6" s="61"/>
      <c r="I6" s="68"/>
      <c r="J6" s="61"/>
      <c r="K6" s="61"/>
      <c r="L6" s="68" t="s">
        <v>24</v>
      </c>
      <c r="M6" s="61" t="s">
        <v>41</v>
      </c>
      <c r="N6" s="68" t="s">
        <v>24</v>
      </c>
      <c r="O6" s="68"/>
      <c r="P6" s="68"/>
      <c r="Q6" s="61"/>
      <c r="R6" s="68" t="s">
        <v>59</v>
      </c>
      <c r="S6" s="68" t="s">
        <v>60</v>
      </c>
      <c r="T6" s="61"/>
      <c r="U6" s="68"/>
      <c r="V6" s="61"/>
      <c r="W6" s="61"/>
      <c r="X6" s="68" t="s">
        <v>24</v>
      </c>
      <c r="Y6" s="61"/>
      <c r="Z6" s="61"/>
      <c r="AA6" s="61"/>
      <c r="AB6" s="61"/>
      <c r="AC6" s="61"/>
      <c r="AD6" s="61"/>
      <c r="AE6" s="61"/>
      <c r="AF6" s="57"/>
      <c r="AG6" s="57"/>
    </row>
    <row r="7" spans="1:33" x14ac:dyDescent="0.25">
      <c r="A7" s="61"/>
      <c r="B7" s="61"/>
      <c r="C7" s="62" t="s">
        <v>112</v>
      </c>
      <c r="D7" s="62" t="s">
        <v>40</v>
      </c>
      <c r="E7" s="62" t="s">
        <v>51</v>
      </c>
      <c r="F7" s="61"/>
      <c r="G7" s="61"/>
      <c r="H7" s="61"/>
      <c r="I7" s="61"/>
      <c r="J7" s="61"/>
      <c r="K7" s="68" t="s">
        <v>24</v>
      </c>
      <c r="L7" s="68" t="s">
        <v>45</v>
      </c>
      <c r="M7" s="68" t="s">
        <v>84</v>
      </c>
      <c r="N7" s="68" t="s">
        <v>43</v>
      </c>
      <c r="O7" s="68" t="s">
        <v>10</v>
      </c>
      <c r="P7" s="68" t="s">
        <v>12</v>
      </c>
      <c r="Q7" s="68" t="s">
        <v>56</v>
      </c>
      <c r="R7" s="68" t="s">
        <v>10</v>
      </c>
      <c r="S7" s="68" t="s">
        <v>25</v>
      </c>
      <c r="T7" s="68" t="s">
        <v>14</v>
      </c>
      <c r="U7" s="68" t="s">
        <v>14</v>
      </c>
      <c r="V7" s="61"/>
      <c r="W7" s="61"/>
      <c r="X7" s="68" t="s">
        <v>43</v>
      </c>
      <c r="Y7" s="61"/>
      <c r="Z7" s="61"/>
      <c r="AA7" s="61"/>
      <c r="AB7" s="61"/>
      <c r="AC7" s="61"/>
      <c r="AD7" s="61"/>
      <c r="AE7" s="61"/>
      <c r="AF7" s="57"/>
      <c r="AG7" s="57"/>
    </row>
    <row r="8" spans="1:33" x14ac:dyDescent="0.25">
      <c r="A8" s="62" t="s">
        <v>6</v>
      </c>
      <c r="B8" s="62" t="s">
        <v>113</v>
      </c>
      <c r="C8" s="62" t="s">
        <v>1</v>
      </c>
      <c r="D8" s="62" t="s">
        <v>69</v>
      </c>
      <c r="E8" s="62" t="s">
        <v>39</v>
      </c>
      <c r="F8" s="62" t="s">
        <v>109</v>
      </c>
      <c r="G8" s="62" t="s">
        <v>3</v>
      </c>
      <c r="H8" s="62" t="s">
        <v>19</v>
      </c>
      <c r="I8" s="68" t="s">
        <v>38</v>
      </c>
      <c r="J8" s="68" t="s">
        <v>38</v>
      </c>
      <c r="K8" s="68" t="s">
        <v>38</v>
      </c>
      <c r="L8" s="68" t="s">
        <v>30</v>
      </c>
      <c r="M8" s="68" t="s">
        <v>43</v>
      </c>
      <c r="N8" s="68" t="s">
        <v>30</v>
      </c>
      <c r="O8" s="68" t="s">
        <v>26</v>
      </c>
      <c r="P8" s="68" t="s">
        <v>31</v>
      </c>
      <c r="Q8" s="68" t="s">
        <v>57</v>
      </c>
      <c r="R8" s="68" t="s">
        <v>39</v>
      </c>
      <c r="S8" s="68" t="s">
        <v>39</v>
      </c>
      <c r="T8" s="68" t="s">
        <v>62</v>
      </c>
      <c r="U8" s="68" t="s">
        <v>62</v>
      </c>
      <c r="V8" s="68" t="s">
        <v>28</v>
      </c>
      <c r="W8" s="68" t="s">
        <v>33</v>
      </c>
      <c r="X8" s="68" t="s">
        <v>86</v>
      </c>
      <c r="Y8" s="61"/>
      <c r="Z8" s="61"/>
      <c r="AA8" s="61"/>
      <c r="AB8" s="61"/>
      <c r="AC8" s="61"/>
      <c r="AD8" s="61"/>
      <c r="AE8" s="61"/>
      <c r="AF8" s="57"/>
      <c r="AG8" s="57"/>
    </row>
    <row r="9" spans="1:33" ht="17.25" x14ac:dyDescent="0.25">
      <c r="A9" s="62"/>
      <c r="B9" s="62" t="s">
        <v>11</v>
      </c>
      <c r="C9" s="62" t="s">
        <v>5</v>
      </c>
      <c r="D9" s="62" t="s">
        <v>5</v>
      </c>
      <c r="E9" s="62"/>
      <c r="F9" s="62" t="s">
        <v>20</v>
      </c>
      <c r="G9" s="62" t="s">
        <v>0</v>
      </c>
      <c r="H9" s="62" t="s">
        <v>0</v>
      </c>
      <c r="I9" s="68" t="s">
        <v>77</v>
      </c>
      <c r="J9" s="68" t="s">
        <v>23</v>
      </c>
      <c r="K9" s="68" t="s">
        <v>27</v>
      </c>
      <c r="L9" s="68" t="s">
        <v>13</v>
      </c>
      <c r="M9" s="68" t="s">
        <v>11</v>
      </c>
      <c r="N9" s="68" t="s">
        <v>13</v>
      </c>
      <c r="O9" s="68" t="s">
        <v>13</v>
      </c>
      <c r="P9" s="68" t="s">
        <v>4</v>
      </c>
      <c r="Q9" s="68"/>
      <c r="R9" s="68" t="s">
        <v>61</v>
      </c>
      <c r="S9" s="68" t="s">
        <v>61</v>
      </c>
      <c r="T9" s="68" t="s">
        <v>61</v>
      </c>
      <c r="U9" s="68" t="s">
        <v>76</v>
      </c>
      <c r="V9" s="68" t="s">
        <v>85</v>
      </c>
      <c r="W9" s="68" t="s">
        <v>85</v>
      </c>
      <c r="X9" s="68" t="s">
        <v>13</v>
      </c>
      <c r="Y9" s="61"/>
      <c r="Z9" s="61"/>
      <c r="AA9" s="61"/>
      <c r="AB9" s="61"/>
      <c r="AC9" s="61"/>
      <c r="AD9" s="61"/>
      <c r="AE9" s="61"/>
      <c r="AF9" s="57"/>
      <c r="AG9" s="57"/>
    </row>
    <row r="10" spans="1:33" x14ac:dyDescent="0.25">
      <c r="A10" s="62">
        <v>19</v>
      </c>
      <c r="B10" s="62">
        <v>50</v>
      </c>
      <c r="C10" s="62">
        <v>7.0000000000000007E-2</v>
      </c>
      <c r="D10" s="62">
        <v>7.0000000000000007E-2</v>
      </c>
      <c r="E10" s="71">
        <v>42775.34375</v>
      </c>
      <c r="F10" s="72">
        <v>35</v>
      </c>
      <c r="G10" s="72">
        <v>1.5</v>
      </c>
      <c r="H10" s="72">
        <f>F10+G10</f>
        <v>36.5</v>
      </c>
      <c r="I10" s="65">
        <v>906</v>
      </c>
      <c r="J10" s="61">
        <f>I10/1000</f>
        <v>0.90600000000000003</v>
      </c>
      <c r="K10" s="64">
        <f>(J10/1000000)*(1/22.71)*(44.01)*(1000000)</f>
        <v>1.7557490092470274</v>
      </c>
      <c r="L10" s="105">
        <f>(K10)*(1/44.01)*(2*14*24.4)/(1000000)</f>
        <v>2.7255799207397614E-5</v>
      </c>
      <c r="M10" s="64">
        <v>2.17</v>
      </c>
      <c r="N10" s="66">
        <f>(M10)*(1/44.01)*(2*14)*(0.0365)</f>
        <v>5.0391729152465342E-2</v>
      </c>
      <c r="O10" s="62">
        <f>(B10*F10/1000)</f>
        <v>1.75</v>
      </c>
      <c r="P10" s="75">
        <f>((L10+N10)/(O10))*100</f>
        <v>2.8810848543812995</v>
      </c>
      <c r="Q10" s="71">
        <v>42776.361805555556</v>
      </c>
      <c r="R10" s="72">
        <f>(E10)</f>
        <v>42775.34375</v>
      </c>
      <c r="S10" s="72">
        <f>(Q10)</f>
        <v>42776.361805555556</v>
      </c>
      <c r="T10" s="72">
        <f>(S10-R10)</f>
        <v>1.0180555555562023</v>
      </c>
      <c r="U10" s="72">
        <f>T10*24</f>
        <v>24.433333333348855</v>
      </c>
      <c r="V10" s="62">
        <v>0</v>
      </c>
      <c r="W10" s="62">
        <v>49.5</v>
      </c>
      <c r="X10" s="72">
        <f>(V10+W10)*(0.0365)</f>
        <v>1.8067499999999999</v>
      </c>
      <c r="Y10" s="61"/>
      <c r="Z10" s="61"/>
      <c r="AA10" s="61"/>
      <c r="AB10" s="61"/>
      <c r="AC10" s="61"/>
      <c r="AD10" s="61"/>
      <c r="AE10" s="61"/>
      <c r="AF10" s="57"/>
      <c r="AG10" s="57"/>
    </row>
    <row r="11" spans="1:33" x14ac:dyDescent="0.25">
      <c r="A11" s="62">
        <v>20</v>
      </c>
      <c r="B11" s="62">
        <v>50</v>
      </c>
      <c r="C11" s="62">
        <v>7.0000000000000007E-2</v>
      </c>
      <c r="D11" s="62">
        <v>7.0300000000000001E-2</v>
      </c>
      <c r="E11" s="71">
        <v>42775.34375</v>
      </c>
      <c r="F11" s="72">
        <v>35</v>
      </c>
      <c r="G11" s="72">
        <v>1.5</v>
      </c>
      <c r="H11" s="72">
        <f t="shared" ref="H11:H13" si="0">F11+G11</f>
        <v>36.5</v>
      </c>
      <c r="I11" s="65">
        <v>836</v>
      </c>
      <c r="J11" s="61">
        <f t="shared" ref="J11:J13" si="1">I11/1000</f>
        <v>0.83599999999999997</v>
      </c>
      <c r="K11" s="64">
        <f t="shared" ref="K11:K13" si="2">(J11/1000000)*(1/22.71)*(44.01)*(1000000)</f>
        <v>1.6200951122853364</v>
      </c>
      <c r="L11" s="105">
        <f t="shared" ref="L11:L13" si="3">(K11)*(1/44.01)*(2*14*24.4)/(1000000)</f>
        <v>2.514994275649493E-5</v>
      </c>
      <c r="M11" s="64">
        <v>2</v>
      </c>
      <c r="N11" s="66">
        <f t="shared" ref="N11:N13" si="4">(M11)*(1/44.01)*(2*14)*(0.0365)</f>
        <v>4.6443990002272208E-2</v>
      </c>
      <c r="O11" s="62">
        <f>(B11*F11/1000)</f>
        <v>1.75</v>
      </c>
      <c r="P11" s="75">
        <f t="shared" ref="P11:P13" si="5">((L11+N11)/(O11))*100</f>
        <v>2.6553794254302114</v>
      </c>
      <c r="Q11" s="71">
        <v>42776.365972222222</v>
      </c>
      <c r="R11" s="72">
        <f t="shared" ref="R11:R13" si="6">(E11)</f>
        <v>42775.34375</v>
      </c>
      <c r="S11" s="72">
        <f t="shared" ref="S11:S13" si="7">(Q11)</f>
        <v>42776.365972222222</v>
      </c>
      <c r="T11" s="72">
        <f t="shared" ref="T11:T13" si="8">(S11-R11)</f>
        <v>1.0222222222218988</v>
      </c>
      <c r="U11" s="72">
        <f t="shared" ref="U11:U13" si="9">T11*24</f>
        <v>24.533333333325572</v>
      </c>
      <c r="V11" s="62">
        <v>0</v>
      </c>
      <c r="W11" s="62">
        <v>48.8</v>
      </c>
      <c r="X11" s="72">
        <f>(V11+W11)*(0.0365)</f>
        <v>1.7811999999999999</v>
      </c>
      <c r="Y11" s="61"/>
      <c r="Z11" s="61"/>
      <c r="AA11" s="61"/>
      <c r="AB11" s="61"/>
      <c r="AC11" s="61"/>
      <c r="AD11" s="61"/>
      <c r="AE11" s="61"/>
      <c r="AF11" s="57"/>
      <c r="AG11" s="57"/>
    </row>
    <row r="12" spans="1:33" x14ac:dyDescent="0.25">
      <c r="A12" s="62">
        <v>21</v>
      </c>
      <c r="B12" s="62">
        <v>50</v>
      </c>
      <c r="C12" s="62">
        <v>7.0000000000000007E-2</v>
      </c>
      <c r="D12" s="62">
        <v>7.0000000000000007E-2</v>
      </c>
      <c r="E12" s="71">
        <v>42775.34375</v>
      </c>
      <c r="F12" s="72">
        <v>35</v>
      </c>
      <c r="G12" s="72">
        <v>1.5</v>
      </c>
      <c r="H12" s="72">
        <f t="shared" si="0"/>
        <v>36.5</v>
      </c>
      <c r="I12" s="65">
        <v>748</v>
      </c>
      <c r="J12" s="61">
        <f t="shared" si="1"/>
        <v>0.748</v>
      </c>
      <c r="K12" s="64">
        <f t="shared" si="2"/>
        <v>1.4495587846763538</v>
      </c>
      <c r="L12" s="105">
        <f t="shared" si="3"/>
        <v>2.2502580361074406E-5</v>
      </c>
      <c r="M12" s="64">
        <v>1.79</v>
      </c>
      <c r="N12" s="66">
        <f t="shared" si="4"/>
        <v>4.1567371052033626E-2</v>
      </c>
      <c r="O12" s="62">
        <f>(B12*F12/1000)</f>
        <v>1.75</v>
      </c>
      <c r="P12" s="75">
        <f t="shared" si="5"/>
        <v>2.3765642075654116</v>
      </c>
      <c r="Q12" s="71">
        <v>42776.370833333334</v>
      </c>
      <c r="R12" s="72">
        <f t="shared" si="6"/>
        <v>42775.34375</v>
      </c>
      <c r="S12" s="72">
        <f t="shared" si="7"/>
        <v>42776.370833333334</v>
      </c>
      <c r="T12" s="72">
        <f t="shared" si="8"/>
        <v>1.0270833333343035</v>
      </c>
      <c r="U12" s="72">
        <f t="shared" si="9"/>
        <v>24.650000000023283</v>
      </c>
      <c r="V12" s="62">
        <v>0</v>
      </c>
      <c r="W12" s="62">
        <v>49.5</v>
      </c>
      <c r="X12" s="72">
        <f>(V12+W12)*(0.0365)</f>
        <v>1.8067499999999999</v>
      </c>
      <c r="Y12" s="61"/>
      <c r="Z12" s="61"/>
      <c r="AA12" s="61"/>
      <c r="AB12" s="61"/>
      <c r="AC12" s="61"/>
      <c r="AD12" s="61"/>
      <c r="AE12" s="61"/>
      <c r="AF12" s="57"/>
      <c r="AG12" s="57"/>
    </row>
    <row r="13" spans="1:33" x14ac:dyDescent="0.25">
      <c r="A13" s="62">
        <v>22</v>
      </c>
      <c r="B13" s="62">
        <v>50</v>
      </c>
      <c r="C13" s="62">
        <v>7.0000000000000007E-2</v>
      </c>
      <c r="D13" s="62">
        <v>7.0000000000000007E-2</v>
      </c>
      <c r="E13" s="71">
        <v>42775.34375</v>
      </c>
      <c r="F13" s="72">
        <v>35</v>
      </c>
      <c r="G13" s="72">
        <v>1.5</v>
      </c>
      <c r="H13" s="72">
        <f t="shared" si="0"/>
        <v>36.5</v>
      </c>
      <c r="I13" s="65">
        <v>790</v>
      </c>
      <c r="J13" s="61">
        <f t="shared" si="1"/>
        <v>0.79</v>
      </c>
      <c r="K13" s="64">
        <f t="shared" si="2"/>
        <v>1.5309511228533685</v>
      </c>
      <c r="L13" s="105">
        <f t="shared" si="3"/>
        <v>2.3766094231616023E-5</v>
      </c>
      <c r="M13" s="64">
        <v>1.89</v>
      </c>
      <c r="N13" s="66">
        <f t="shared" si="4"/>
        <v>4.3889570552147233E-2</v>
      </c>
      <c r="O13" s="62">
        <f>(B13*F13/1000)</f>
        <v>1.75</v>
      </c>
      <c r="P13" s="75">
        <f t="shared" si="5"/>
        <v>2.5093335226502198</v>
      </c>
      <c r="Q13" s="71">
        <v>42776.396527777775</v>
      </c>
      <c r="R13" s="72">
        <f t="shared" si="6"/>
        <v>42775.34375</v>
      </c>
      <c r="S13" s="72">
        <f t="shared" si="7"/>
        <v>42776.396527777775</v>
      </c>
      <c r="T13" s="72">
        <f t="shared" si="8"/>
        <v>1.0527777777751908</v>
      </c>
      <c r="U13" s="72">
        <f t="shared" si="9"/>
        <v>25.266666666604578</v>
      </c>
      <c r="V13" s="62">
        <v>0</v>
      </c>
      <c r="W13" s="62">
        <v>49.9</v>
      </c>
      <c r="X13" s="72">
        <f>(V13+W13)*(0.0365)</f>
        <v>1.8213499999999998</v>
      </c>
      <c r="Y13" s="61"/>
      <c r="Z13" s="61"/>
      <c r="AA13" s="61"/>
      <c r="AB13" s="61"/>
      <c r="AC13" s="61"/>
      <c r="AD13" s="61"/>
      <c r="AE13" s="61"/>
      <c r="AF13" s="57"/>
      <c r="AG13" s="57"/>
    </row>
    <row r="14" spans="1:33" x14ac:dyDescent="0.25">
      <c r="A14" s="61"/>
      <c r="B14" s="61"/>
      <c r="C14" s="61"/>
      <c r="D14" s="61"/>
      <c r="E14" s="61"/>
      <c r="F14" s="61"/>
      <c r="G14" s="61"/>
      <c r="H14" s="61"/>
      <c r="I14" s="76"/>
      <c r="J14" s="61"/>
      <c r="K14" s="61"/>
      <c r="L14" s="61"/>
      <c r="M14" s="61"/>
      <c r="N14" s="61"/>
      <c r="O14" s="61"/>
      <c r="P14" s="75">
        <f>AVERAGE(P10:P13)</f>
        <v>2.6055905025067858</v>
      </c>
      <c r="Q14" s="61"/>
      <c r="R14" s="61"/>
      <c r="S14" s="61"/>
      <c r="T14" s="61"/>
      <c r="U14" s="61"/>
      <c r="V14" s="74">
        <f>AVERAGE(V10:V12)</f>
        <v>0</v>
      </c>
      <c r="W14" s="74">
        <f>AVERAGE(W10:W12)</f>
        <v>49.266666666666673</v>
      </c>
      <c r="X14" s="74">
        <f t="shared" ref="X14" si="10">(V14+W14)*(0.0365)</f>
        <v>1.7982333333333334</v>
      </c>
      <c r="Y14" s="75">
        <f>(X14/O13)*100</f>
        <v>102.75619047619047</v>
      </c>
      <c r="Z14" s="76" t="s">
        <v>169</v>
      </c>
      <c r="AA14" s="61"/>
      <c r="AB14" s="61"/>
      <c r="AC14" s="61"/>
      <c r="AD14" s="61"/>
      <c r="AE14" s="61"/>
      <c r="AF14" s="57"/>
      <c r="AG14" s="57"/>
    </row>
    <row r="15" spans="1:33" x14ac:dyDescent="0.25">
      <c r="A15" s="61" t="s">
        <v>157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57"/>
      <c r="AG15" s="57"/>
    </row>
    <row r="16" spans="1:33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57"/>
      <c r="AG16" s="57"/>
    </row>
    <row r="17" spans="1:33" x14ac:dyDescent="0.25">
      <c r="A17" s="61"/>
      <c r="B17" s="61" t="s">
        <v>158</v>
      </c>
      <c r="C17" s="62">
        <v>49.6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3" t="s">
        <v>170</v>
      </c>
      <c r="X17" s="62"/>
      <c r="Y17" s="62"/>
      <c r="Z17" s="62"/>
      <c r="AA17" s="62">
        <v>1</v>
      </c>
      <c r="AB17" s="61"/>
      <c r="AC17" s="62"/>
      <c r="AD17" s="61"/>
      <c r="AE17" s="61"/>
      <c r="AF17" s="57"/>
      <c r="AG17" s="57"/>
    </row>
    <row r="18" spans="1:33" x14ac:dyDescent="0.25">
      <c r="A18" s="61"/>
      <c r="B18" s="61" t="s">
        <v>159</v>
      </c>
      <c r="C18" s="62">
        <v>49.6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 t="s">
        <v>89</v>
      </c>
      <c r="X18" s="62"/>
      <c r="Y18" s="62"/>
      <c r="Z18" s="62"/>
      <c r="AA18" s="64">
        <f>STDEV(W10:W13)</f>
        <v>0.4573474244670756</v>
      </c>
      <c r="AB18" s="62" t="s">
        <v>88</v>
      </c>
      <c r="AC18" s="62"/>
      <c r="AD18" s="61"/>
      <c r="AE18" s="61"/>
      <c r="AF18" s="57"/>
      <c r="AG18" s="57"/>
    </row>
    <row r="19" spans="1:33" x14ac:dyDescent="0.25">
      <c r="A19" s="61"/>
      <c r="B19" s="61" t="s">
        <v>160</v>
      </c>
      <c r="C19" s="62">
        <v>50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 t="s">
        <v>90</v>
      </c>
      <c r="X19" s="62"/>
      <c r="Y19" s="62"/>
      <c r="Z19" s="62"/>
      <c r="AA19" s="65">
        <f>AVERAGE(W10:W13)</f>
        <v>49.425000000000004</v>
      </c>
      <c r="AB19" s="62" t="s">
        <v>9</v>
      </c>
      <c r="AC19" s="62"/>
      <c r="AD19" s="61"/>
      <c r="AE19" s="61"/>
      <c r="AF19" s="57"/>
      <c r="AG19" s="57"/>
    </row>
    <row r="20" spans="1:33" x14ac:dyDescent="0.25">
      <c r="A20" s="61"/>
      <c r="B20" s="63" t="s">
        <v>171</v>
      </c>
      <c r="C20" s="62"/>
      <c r="D20" s="62"/>
      <c r="E20" s="62"/>
      <c r="F20" s="62">
        <v>1</v>
      </c>
      <c r="G20" s="61"/>
      <c r="H20" s="62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 t="s">
        <v>104</v>
      </c>
      <c r="X20" s="61"/>
      <c r="Y20" s="61"/>
      <c r="Z20" s="61">
        <v>3.1829999999999998</v>
      </c>
      <c r="AA20" s="66">
        <f>(Z20*AA18)/(Y21^0.5)</f>
        <v>0.72786842603935076</v>
      </c>
      <c r="AB20" s="67" t="s">
        <v>92</v>
      </c>
      <c r="AC20" s="61"/>
      <c r="AD20" s="61"/>
      <c r="AE20" s="61"/>
      <c r="AF20" s="57"/>
      <c r="AG20" s="57"/>
    </row>
    <row r="21" spans="1:33" x14ac:dyDescent="0.25">
      <c r="A21" s="61"/>
      <c r="B21" s="61" t="s">
        <v>89</v>
      </c>
      <c r="C21" s="62"/>
      <c r="D21" s="62"/>
      <c r="E21" s="62"/>
      <c r="F21" s="64">
        <f>STDEV(C17:C19)</f>
        <v>0.23094010767584949</v>
      </c>
      <c r="G21" s="62" t="s">
        <v>88</v>
      </c>
      <c r="H21" s="62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 t="s">
        <v>93</v>
      </c>
      <c r="X21" s="61"/>
      <c r="Y21" s="62">
        <v>4</v>
      </c>
      <c r="Z21" s="61"/>
      <c r="AA21" s="61"/>
      <c r="AB21" s="68" t="s">
        <v>94</v>
      </c>
      <c r="AC21" s="69">
        <f>AA19-AA20</f>
        <v>48.697131573960654</v>
      </c>
      <c r="AD21" s="69">
        <f>AA19+AA20</f>
        <v>50.152868426039355</v>
      </c>
      <c r="AE21" s="61"/>
      <c r="AF21" s="57"/>
      <c r="AG21" s="57"/>
    </row>
    <row r="22" spans="1:33" x14ac:dyDescent="0.25">
      <c r="A22" s="61"/>
      <c r="B22" s="61" t="s">
        <v>90</v>
      </c>
      <c r="C22" s="62"/>
      <c r="D22" s="62"/>
      <c r="E22" s="62"/>
      <c r="F22" s="65">
        <f>AVERAGE(C17:C19)</f>
        <v>49.733333333333327</v>
      </c>
      <c r="G22" s="62" t="s">
        <v>9</v>
      </c>
      <c r="H22" s="62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57"/>
      <c r="AG22" s="57"/>
    </row>
    <row r="23" spans="1:33" x14ac:dyDescent="0.25">
      <c r="A23" s="61"/>
      <c r="B23" s="61" t="s">
        <v>161</v>
      </c>
      <c r="C23" s="61"/>
      <c r="D23" s="61"/>
      <c r="E23" s="61">
        <v>4.3029999999999999</v>
      </c>
      <c r="F23" s="66">
        <f>(E23*F21)/(D24^0.5)</f>
        <v>0.57373333333333132</v>
      </c>
      <c r="G23" s="67" t="s">
        <v>92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5">
        <f>(X10/O10)*100</f>
        <v>103.24285714285712</v>
      </c>
      <c r="X23" s="61"/>
      <c r="Y23" s="61"/>
      <c r="Z23" s="61"/>
      <c r="AA23" s="61"/>
      <c r="AB23" s="61"/>
      <c r="AC23" s="61"/>
      <c r="AD23" s="61"/>
      <c r="AE23" s="61"/>
      <c r="AF23" s="57"/>
      <c r="AG23" s="57"/>
    </row>
    <row r="24" spans="1:33" x14ac:dyDescent="0.25">
      <c r="A24" s="61"/>
      <c r="B24" s="61" t="s">
        <v>93</v>
      </c>
      <c r="C24" s="61"/>
      <c r="D24" s="62">
        <v>3</v>
      </c>
      <c r="E24" s="61"/>
      <c r="F24" s="61"/>
      <c r="G24" s="68" t="s">
        <v>94</v>
      </c>
      <c r="H24" s="69">
        <f>F22-F23</f>
        <v>49.159599999999998</v>
      </c>
      <c r="I24" s="69">
        <f>F22+F23</f>
        <v>50.307066666666657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5">
        <f t="shared" ref="W24:W26" si="11">(X11/O11)*100</f>
        <v>101.78285714285713</v>
      </c>
      <c r="X24" s="63" t="s">
        <v>174</v>
      </c>
      <c r="Y24" s="62"/>
      <c r="Z24" s="62"/>
      <c r="AA24" s="62"/>
      <c r="AB24" s="62"/>
      <c r="AC24" s="61"/>
      <c r="AD24" s="62"/>
      <c r="AE24" s="61"/>
      <c r="AF24" s="57"/>
      <c r="AG24" s="57"/>
    </row>
    <row r="25" spans="1:33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5">
        <f t="shared" si="11"/>
        <v>103.24285714285712</v>
      </c>
      <c r="X25" s="61" t="s">
        <v>89</v>
      </c>
      <c r="Y25" s="62"/>
      <c r="Z25" s="62"/>
      <c r="AA25" s="62"/>
      <c r="AB25" s="64">
        <f>STDEV(W23:W26)</f>
        <v>0.95389605674561462</v>
      </c>
      <c r="AC25" s="62" t="s">
        <v>88</v>
      </c>
      <c r="AD25" s="62"/>
      <c r="AE25" s="61"/>
      <c r="AF25" s="57"/>
      <c r="AG25" s="57"/>
    </row>
    <row r="26" spans="1:33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5">
        <f t="shared" si="11"/>
        <v>104.07714285714285</v>
      </c>
      <c r="X26" s="61" t="s">
        <v>90</v>
      </c>
      <c r="Y26" s="62"/>
      <c r="Z26" s="62"/>
      <c r="AA26" s="62"/>
      <c r="AB26" s="65">
        <f>AVERAGE(W23:W26)</f>
        <v>103.08642857142856</v>
      </c>
      <c r="AC26" s="62" t="s">
        <v>9</v>
      </c>
      <c r="AD26" s="62"/>
      <c r="AE26" s="61"/>
      <c r="AF26" s="57"/>
      <c r="AG26" s="57"/>
    </row>
    <row r="27" spans="1:33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 t="s">
        <v>104</v>
      </c>
      <c r="Y27" s="61"/>
      <c r="Z27" s="61"/>
      <c r="AA27" s="61">
        <v>3.1829999999999998</v>
      </c>
      <c r="AB27" s="66">
        <f>(AA27*AB25)/(Z28^0.5)</f>
        <v>1.5181255743106457</v>
      </c>
      <c r="AC27" s="67" t="s">
        <v>92</v>
      </c>
      <c r="AD27" s="61"/>
      <c r="AE27" s="61"/>
      <c r="AF27" s="57"/>
      <c r="AG27" s="57"/>
    </row>
    <row r="28" spans="1:33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 t="s">
        <v>93</v>
      </c>
      <c r="Y28" s="61"/>
      <c r="Z28" s="62">
        <v>4</v>
      </c>
      <c r="AA28" s="61"/>
      <c r="AB28" s="61"/>
      <c r="AC28" s="68" t="s">
        <v>94</v>
      </c>
      <c r="AD28" s="69">
        <f>AB26-AB27</f>
        <v>101.56830299711791</v>
      </c>
      <c r="AE28" s="69">
        <f>AB26+AB27</f>
        <v>104.6045541457392</v>
      </c>
      <c r="AF28" s="57"/>
      <c r="AG28" s="57"/>
    </row>
  </sheetData>
  <pageMargins left="0.7" right="0.7" top="0.75" bottom="0.75" header="0.3" footer="0.3"/>
  <pageSetup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zoomScale="80" zoomScaleNormal="80" workbookViewId="0">
      <selection activeCell="R34" sqref="R34"/>
    </sheetView>
  </sheetViews>
  <sheetFormatPr defaultRowHeight="15" x14ac:dyDescent="0.25"/>
  <cols>
    <col min="1" max="1" width="8" customWidth="1"/>
    <col min="2" max="2" width="12.140625" customWidth="1"/>
    <col min="3" max="4" width="9.28515625" bestFit="1" customWidth="1"/>
    <col min="5" max="5" width="19.7109375" customWidth="1"/>
    <col min="6" max="6" width="9.28515625" bestFit="1" customWidth="1"/>
    <col min="7" max="7" width="10.42578125" customWidth="1"/>
    <col min="8" max="8" width="11" customWidth="1"/>
    <col min="9" max="9" width="9.140625" customWidth="1"/>
    <col min="10" max="11" width="9.28515625" bestFit="1" customWidth="1"/>
    <col min="12" max="12" width="15.28515625" customWidth="1"/>
    <col min="13" max="13" width="14.7109375" customWidth="1"/>
    <col min="14" max="14" width="10.85546875" customWidth="1"/>
    <col min="15" max="15" width="9.28515625" bestFit="1" customWidth="1"/>
    <col min="16" max="16" width="13" customWidth="1"/>
    <col min="17" max="17" width="17" customWidth="1"/>
    <col min="18" max="18" width="10.28515625" customWidth="1"/>
    <col min="19" max="19" width="15.85546875" bestFit="1" customWidth="1"/>
    <col min="20" max="21" width="9.28515625" bestFit="1" customWidth="1"/>
    <col min="22" max="22" width="12.140625" customWidth="1"/>
    <col min="23" max="23" width="12.7109375" customWidth="1"/>
    <col min="24" max="24" width="15.140625" customWidth="1"/>
    <col min="25" max="33" width="9.28515625" bestFit="1" customWidth="1"/>
  </cols>
  <sheetData>
    <row r="1" spans="1:39" x14ac:dyDescent="0.25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57"/>
      <c r="AI1" s="57"/>
      <c r="AJ1" s="57"/>
      <c r="AK1" s="57"/>
      <c r="AL1" s="57"/>
      <c r="AM1" s="57"/>
    </row>
    <row r="2" spans="1:39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 t="s">
        <v>157</v>
      </c>
      <c r="M2" s="61"/>
      <c r="N2" s="61"/>
      <c r="O2" s="61"/>
      <c r="P2" s="61"/>
      <c r="Q2" s="61"/>
      <c r="R2" s="61"/>
      <c r="S2" s="61"/>
      <c r="T2" s="61"/>
      <c r="U2" s="61"/>
      <c r="V2" s="61" t="s">
        <v>165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57"/>
      <c r="AI2" s="57"/>
      <c r="AJ2" s="57"/>
      <c r="AK2" s="57"/>
      <c r="AL2" s="57"/>
      <c r="AM2" s="57"/>
    </row>
    <row r="3" spans="1:3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57"/>
      <c r="AI3" s="57"/>
      <c r="AJ3" s="57"/>
      <c r="AK3" s="57"/>
      <c r="AL3" s="57"/>
      <c r="AM3" s="57"/>
    </row>
    <row r="4" spans="1:39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 t="s">
        <v>162</v>
      </c>
      <c r="N4" s="62">
        <v>48.7</v>
      </c>
      <c r="O4" s="61"/>
      <c r="P4" s="61"/>
      <c r="Q4" s="61"/>
      <c r="R4" s="61"/>
      <c r="S4" s="61"/>
      <c r="T4" s="61"/>
      <c r="U4" s="61"/>
      <c r="V4" s="61"/>
      <c r="W4" s="61" t="s">
        <v>166</v>
      </c>
      <c r="X4" s="61">
        <v>45.9</v>
      </c>
      <c r="Y4" s="61"/>
      <c r="Z4" s="61"/>
      <c r="AA4" s="61"/>
      <c r="AB4" s="61"/>
      <c r="AC4" s="61"/>
      <c r="AD4" s="61"/>
      <c r="AE4" s="61"/>
      <c r="AF4" s="61"/>
      <c r="AG4" s="61"/>
      <c r="AH4" s="57"/>
      <c r="AI4" s="57"/>
      <c r="AJ4" s="57"/>
      <c r="AK4" s="57"/>
      <c r="AL4" s="57"/>
      <c r="AM4" s="57"/>
    </row>
    <row r="5" spans="1:39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 t="s">
        <v>163</v>
      </c>
      <c r="N5" s="62">
        <v>48.6</v>
      </c>
      <c r="O5" s="61"/>
      <c r="P5" s="61"/>
      <c r="Q5" s="61"/>
      <c r="R5" s="61"/>
      <c r="S5" s="61"/>
      <c r="T5" s="61"/>
      <c r="U5" s="61"/>
      <c r="V5" s="61"/>
      <c r="W5" s="61" t="s">
        <v>167</v>
      </c>
      <c r="X5" s="61">
        <v>47</v>
      </c>
      <c r="Y5" s="61"/>
      <c r="Z5" s="61"/>
      <c r="AA5" s="61"/>
      <c r="AB5" s="61"/>
      <c r="AC5" s="61"/>
      <c r="AD5" s="61"/>
      <c r="AE5" s="61"/>
      <c r="AF5" s="61"/>
      <c r="AG5" s="61"/>
      <c r="AH5" s="57"/>
      <c r="AI5" s="57"/>
      <c r="AJ5" s="57"/>
      <c r="AK5" s="57"/>
      <c r="AL5" s="57"/>
      <c r="AM5" s="57"/>
    </row>
    <row r="6" spans="1:39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 t="s">
        <v>164</v>
      </c>
      <c r="N6" s="62">
        <v>48.7</v>
      </c>
      <c r="O6" s="61"/>
      <c r="P6" s="61"/>
      <c r="Q6" s="61"/>
      <c r="R6" s="61"/>
      <c r="S6" s="61"/>
      <c r="T6" s="61"/>
      <c r="U6" s="61"/>
      <c r="V6" s="61"/>
      <c r="W6" s="61" t="s">
        <v>168</v>
      </c>
      <c r="X6" s="61">
        <v>49.1</v>
      </c>
      <c r="Y6" s="61"/>
      <c r="Z6" s="61"/>
      <c r="AA6" s="61"/>
      <c r="AB6" s="61"/>
      <c r="AC6" s="61"/>
      <c r="AD6" s="61"/>
      <c r="AE6" s="61"/>
      <c r="AF6" s="61"/>
      <c r="AG6" s="61"/>
      <c r="AH6" s="57"/>
      <c r="AI6" s="57"/>
      <c r="AJ6" s="57"/>
      <c r="AK6" s="57"/>
      <c r="AL6" s="57"/>
      <c r="AM6" s="57"/>
    </row>
    <row r="7" spans="1:39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3" t="s">
        <v>171</v>
      </c>
      <c r="N7" s="62"/>
      <c r="O7" s="62"/>
      <c r="P7" s="62"/>
      <c r="Q7" s="62">
        <v>1</v>
      </c>
      <c r="R7" s="61"/>
      <c r="S7" s="62"/>
      <c r="T7" s="61"/>
      <c r="U7" s="62"/>
      <c r="V7" s="61"/>
      <c r="W7" s="63" t="s">
        <v>172</v>
      </c>
      <c r="X7" s="62"/>
      <c r="Y7" s="62"/>
      <c r="Z7" s="62"/>
      <c r="AA7" s="62">
        <v>1</v>
      </c>
      <c r="AB7" s="61"/>
      <c r="AC7" s="62"/>
      <c r="AD7" s="61"/>
      <c r="AE7" s="61"/>
      <c r="AF7" s="61"/>
      <c r="AG7" s="61"/>
      <c r="AH7" s="57"/>
      <c r="AI7" s="57"/>
      <c r="AJ7" s="57"/>
      <c r="AK7" s="57"/>
      <c r="AL7" s="57"/>
      <c r="AM7" s="57"/>
    </row>
    <row r="8" spans="1:39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 t="s">
        <v>89</v>
      </c>
      <c r="N8" s="62"/>
      <c r="O8" s="62"/>
      <c r="P8" s="62"/>
      <c r="Q8" s="64">
        <f>STDEV(N4:N6)</f>
        <v>5.7735026918963393E-2</v>
      </c>
      <c r="R8" s="62" t="s">
        <v>88</v>
      </c>
      <c r="S8" s="62"/>
      <c r="T8" s="61"/>
      <c r="U8" s="62"/>
      <c r="V8" s="61"/>
      <c r="W8" s="61" t="s">
        <v>89</v>
      </c>
      <c r="X8" s="62"/>
      <c r="Y8" s="62"/>
      <c r="Z8" s="62"/>
      <c r="AA8" s="64">
        <f>STDEV(X4:X6)</f>
        <v>1.6258331197676279</v>
      </c>
      <c r="AB8" s="62" t="s">
        <v>88</v>
      </c>
      <c r="AC8" s="62"/>
      <c r="AD8" s="61"/>
      <c r="AE8" s="61"/>
      <c r="AF8" s="61"/>
      <c r="AG8" s="61"/>
      <c r="AH8" s="57"/>
      <c r="AI8" s="57"/>
      <c r="AJ8" s="57"/>
      <c r="AK8" s="57"/>
      <c r="AL8" s="57"/>
      <c r="AM8" s="57"/>
    </row>
    <row r="9" spans="1:39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 t="s">
        <v>90</v>
      </c>
      <c r="N9" s="62"/>
      <c r="O9" s="62"/>
      <c r="P9" s="62"/>
      <c r="Q9" s="65">
        <f>AVERAGE(N4:N6)</f>
        <v>48.666666666666664</v>
      </c>
      <c r="R9" s="62" t="s">
        <v>9</v>
      </c>
      <c r="S9" s="62"/>
      <c r="T9" s="61"/>
      <c r="U9" s="62"/>
      <c r="V9" s="61"/>
      <c r="W9" s="61" t="s">
        <v>90</v>
      </c>
      <c r="X9" s="62"/>
      <c r="Y9" s="62"/>
      <c r="Z9" s="62"/>
      <c r="AA9" s="65">
        <f>AVERAGE(X4:X6)</f>
        <v>47.333333333333336</v>
      </c>
      <c r="AB9" s="62" t="s">
        <v>9</v>
      </c>
      <c r="AC9" s="62"/>
      <c r="AD9" s="61"/>
      <c r="AE9" s="61"/>
      <c r="AF9" s="61"/>
      <c r="AG9" s="61"/>
      <c r="AH9" s="57"/>
      <c r="AI9" s="57"/>
      <c r="AJ9" s="57"/>
      <c r="AK9" s="57"/>
      <c r="AL9" s="57"/>
      <c r="AM9" s="57"/>
    </row>
    <row r="10" spans="1:39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 t="s">
        <v>161</v>
      </c>
      <c r="N10" s="61"/>
      <c r="O10" s="61"/>
      <c r="P10" s="61">
        <v>4.3029999999999999</v>
      </c>
      <c r="Q10" s="66">
        <f>(P10*Q8)/(O11^0.5)</f>
        <v>0.14343333333333538</v>
      </c>
      <c r="R10" s="62" t="s">
        <v>92</v>
      </c>
      <c r="S10" s="61"/>
      <c r="T10" s="61"/>
      <c r="U10" s="61"/>
      <c r="V10" s="61"/>
      <c r="W10" s="61" t="s">
        <v>161</v>
      </c>
      <c r="X10" s="61"/>
      <c r="Y10" s="61"/>
      <c r="Z10" s="61">
        <v>4.3029999999999999</v>
      </c>
      <c r="AA10" s="66">
        <f>(Z10*AA8)/(Y11^0.5)</f>
        <v>4.0391193397956364</v>
      </c>
      <c r="AB10" s="67" t="s">
        <v>92</v>
      </c>
      <c r="AC10" s="61"/>
      <c r="AD10" s="61"/>
      <c r="AE10" s="61"/>
      <c r="AF10" s="61"/>
      <c r="AG10" s="61"/>
      <c r="AH10" s="57"/>
      <c r="AI10" s="57"/>
      <c r="AJ10" s="57"/>
      <c r="AK10" s="57"/>
      <c r="AL10" s="57"/>
      <c r="AM10" s="57"/>
    </row>
    <row r="11" spans="1:39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 t="s">
        <v>93</v>
      </c>
      <c r="N11" s="61"/>
      <c r="O11" s="62">
        <v>3</v>
      </c>
      <c r="P11" s="61"/>
      <c r="Q11" s="61"/>
      <c r="R11" s="68" t="s">
        <v>94</v>
      </c>
      <c r="S11" s="69">
        <f>Q9-Q10</f>
        <v>48.52323333333333</v>
      </c>
      <c r="T11" s="69">
        <f>Q9+Q10</f>
        <v>48.810099999999998</v>
      </c>
      <c r="U11" s="69"/>
      <c r="V11" s="61"/>
      <c r="W11" s="61" t="s">
        <v>93</v>
      </c>
      <c r="X11" s="61"/>
      <c r="Y11" s="62">
        <v>3</v>
      </c>
      <c r="Z11" s="61"/>
      <c r="AA11" s="61"/>
      <c r="AB11" s="68" t="s">
        <v>94</v>
      </c>
      <c r="AC11" s="69">
        <f>AA9-AA10</f>
        <v>43.294213993537696</v>
      </c>
      <c r="AD11" s="69">
        <f>AA9+AA10</f>
        <v>51.372452673128976</v>
      </c>
      <c r="AE11" s="61"/>
      <c r="AF11" s="61"/>
      <c r="AG11" s="61"/>
      <c r="AH11" s="57"/>
      <c r="AI11" s="57"/>
      <c r="AJ11" s="57"/>
      <c r="AK11" s="57"/>
      <c r="AL11" s="57"/>
      <c r="AM11" s="57"/>
    </row>
    <row r="12" spans="1:39" x14ac:dyDescent="0.25">
      <c r="A12" s="61" t="s">
        <v>335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57"/>
      <c r="AI12" s="57"/>
      <c r="AJ12" s="57"/>
      <c r="AK12" s="57"/>
      <c r="AL12" s="57"/>
      <c r="AM12" s="57"/>
    </row>
    <row r="13" spans="1:39" x14ac:dyDescent="0.25">
      <c r="A13" s="61" t="s">
        <v>125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57"/>
      <c r="AI13" s="57"/>
      <c r="AJ13" s="57"/>
      <c r="AK13" s="57"/>
      <c r="AL13" s="57"/>
      <c r="AM13" s="57"/>
    </row>
    <row r="14" spans="1:39" x14ac:dyDescent="0.25">
      <c r="A14" s="70" t="s">
        <v>126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57"/>
      <c r="AI14" s="57"/>
      <c r="AJ14" s="57"/>
      <c r="AK14" s="57"/>
      <c r="AL14" s="57"/>
      <c r="AM14" s="57"/>
    </row>
    <row r="15" spans="1:39" x14ac:dyDescent="0.25">
      <c r="A15" s="70" t="s">
        <v>127</v>
      </c>
      <c r="B15" s="61"/>
      <c r="C15" s="61"/>
      <c r="D15" s="61"/>
      <c r="E15" s="61"/>
      <c r="F15" s="61"/>
      <c r="G15" s="61"/>
      <c r="H15" s="61"/>
      <c r="I15" s="68"/>
      <c r="J15" s="61"/>
      <c r="K15" s="61"/>
      <c r="L15" s="68" t="s">
        <v>24</v>
      </c>
      <c r="M15" s="61" t="s">
        <v>41</v>
      </c>
      <c r="N15" s="68" t="s">
        <v>24</v>
      </c>
      <c r="O15" s="68"/>
      <c r="P15" s="68"/>
      <c r="Q15" s="61"/>
      <c r="R15" s="68" t="s">
        <v>59</v>
      </c>
      <c r="S15" s="68" t="s">
        <v>60</v>
      </c>
      <c r="T15" s="61"/>
      <c r="U15" s="68"/>
      <c r="V15" s="61"/>
      <c r="W15" s="61"/>
      <c r="X15" s="68" t="s">
        <v>24</v>
      </c>
      <c r="Y15" s="61"/>
      <c r="Z15" s="61"/>
      <c r="AA15" s="61"/>
      <c r="AB15" s="61"/>
      <c r="AC15" s="61"/>
      <c r="AD15" s="61"/>
      <c r="AE15" s="61"/>
      <c r="AF15" s="61"/>
      <c r="AG15" s="61"/>
      <c r="AH15" s="57"/>
      <c r="AI15" s="57"/>
      <c r="AJ15" s="57"/>
      <c r="AK15" s="57"/>
      <c r="AL15" s="57"/>
      <c r="AM15" s="57"/>
    </row>
    <row r="16" spans="1:39" x14ac:dyDescent="0.25">
      <c r="A16" s="61"/>
      <c r="B16" s="61"/>
      <c r="C16" s="62" t="s">
        <v>112</v>
      </c>
      <c r="D16" s="62" t="s">
        <v>40</v>
      </c>
      <c r="E16" s="62" t="s">
        <v>51</v>
      </c>
      <c r="F16" s="61"/>
      <c r="G16" s="61"/>
      <c r="H16" s="61"/>
      <c r="I16" s="61"/>
      <c r="J16" s="61"/>
      <c r="K16" s="68" t="s">
        <v>24</v>
      </c>
      <c r="L16" s="68" t="s">
        <v>45</v>
      </c>
      <c r="M16" s="68" t="s">
        <v>84</v>
      </c>
      <c r="N16" s="68" t="s">
        <v>43</v>
      </c>
      <c r="O16" s="68" t="s">
        <v>10</v>
      </c>
      <c r="P16" s="68" t="s">
        <v>12</v>
      </c>
      <c r="Q16" s="68" t="s">
        <v>56</v>
      </c>
      <c r="R16" s="68" t="s">
        <v>10</v>
      </c>
      <c r="S16" s="68" t="s">
        <v>25</v>
      </c>
      <c r="T16" s="68" t="s">
        <v>14</v>
      </c>
      <c r="U16" s="68" t="s">
        <v>14</v>
      </c>
      <c r="V16" s="61"/>
      <c r="W16" s="61"/>
      <c r="X16" s="68" t="s">
        <v>43</v>
      </c>
      <c r="Y16" s="61"/>
      <c r="Z16" s="61"/>
      <c r="AA16" s="61"/>
      <c r="AB16" s="61"/>
      <c r="AC16" s="61"/>
      <c r="AD16" s="61"/>
      <c r="AE16" s="61"/>
      <c r="AF16" s="61"/>
      <c r="AG16" s="61"/>
      <c r="AH16" s="57"/>
      <c r="AI16" s="57"/>
      <c r="AJ16" s="57"/>
      <c r="AK16" s="57"/>
      <c r="AL16" s="57"/>
      <c r="AM16" s="57"/>
    </row>
    <row r="17" spans="1:39" x14ac:dyDescent="0.25">
      <c r="A17" s="62" t="s">
        <v>6</v>
      </c>
      <c r="B17" s="62" t="s">
        <v>131</v>
      </c>
      <c r="C17" s="62" t="s">
        <v>1</v>
      </c>
      <c r="D17" s="62" t="s">
        <v>69</v>
      </c>
      <c r="E17" s="62" t="s">
        <v>39</v>
      </c>
      <c r="F17" s="62" t="s">
        <v>128</v>
      </c>
      <c r="G17" s="62" t="s">
        <v>3</v>
      </c>
      <c r="H17" s="62" t="s">
        <v>19</v>
      </c>
      <c r="I17" s="68" t="s">
        <v>38</v>
      </c>
      <c r="J17" s="68" t="s">
        <v>38</v>
      </c>
      <c r="K17" s="68" t="s">
        <v>38</v>
      </c>
      <c r="L17" s="68" t="s">
        <v>30</v>
      </c>
      <c r="M17" s="68" t="s">
        <v>43</v>
      </c>
      <c r="N17" s="68" t="s">
        <v>30</v>
      </c>
      <c r="O17" s="68" t="s">
        <v>26</v>
      </c>
      <c r="P17" s="68" t="s">
        <v>31</v>
      </c>
      <c r="Q17" s="68" t="s">
        <v>57</v>
      </c>
      <c r="R17" s="68" t="s">
        <v>39</v>
      </c>
      <c r="S17" s="68" t="s">
        <v>39</v>
      </c>
      <c r="T17" s="68" t="s">
        <v>62</v>
      </c>
      <c r="U17" s="68" t="s">
        <v>62</v>
      </c>
      <c r="V17" s="68" t="s">
        <v>28</v>
      </c>
      <c r="W17" s="68" t="s">
        <v>33</v>
      </c>
      <c r="X17" s="68" t="s">
        <v>86</v>
      </c>
      <c r="Y17" s="63" t="s">
        <v>173</v>
      </c>
      <c r="Z17" s="62"/>
      <c r="AA17" s="62"/>
      <c r="AB17" s="62"/>
      <c r="AC17" s="62"/>
      <c r="AD17" s="61"/>
      <c r="AE17" s="62"/>
      <c r="AF17" s="61"/>
      <c r="AG17" s="61"/>
      <c r="AH17" s="57"/>
      <c r="AI17" s="57"/>
      <c r="AJ17" s="57"/>
      <c r="AK17" s="57"/>
      <c r="AL17" s="57"/>
      <c r="AM17" s="57"/>
    </row>
    <row r="18" spans="1:39" ht="17.25" x14ac:dyDescent="0.25">
      <c r="A18" s="62"/>
      <c r="B18" s="62" t="s">
        <v>11</v>
      </c>
      <c r="C18" s="62" t="s">
        <v>5</v>
      </c>
      <c r="D18" s="62" t="s">
        <v>5</v>
      </c>
      <c r="E18" s="62"/>
      <c r="F18" s="62" t="s">
        <v>20</v>
      </c>
      <c r="G18" s="62" t="s">
        <v>0</v>
      </c>
      <c r="H18" s="62" t="s">
        <v>0</v>
      </c>
      <c r="I18" s="68" t="s">
        <v>77</v>
      </c>
      <c r="J18" s="68" t="s">
        <v>23</v>
      </c>
      <c r="K18" s="68" t="s">
        <v>27</v>
      </c>
      <c r="L18" s="68" t="s">
        <v>13</v>
      </c>
      <c r="M18" s="68" t="s">
        <v>11</v>
      </c>
      <c r="N18" s="68" t="s">
        <v>13</v>
      </c>
      <c r="O18" s="68" t="s">
        <v>13</v>
      </c>
      <c r="P18" s="68" t="s">
        <v>4</v>
      </c>
      <c r="Q18" s="68"/>
      <c r="R18" s="68" t="s">
        <v>61</v>
      </c>
      <c r="S18" s="68" t="s">
        <v>61</v>
      </c>
      <c r="T18" s="68" t="s">
        <v>61</v>
      </c>
      <c r="U18" s="68" t="s">
        <v>76</v>
      </c>
      <c r="V18" s="68" t="s">
        <v>85</v>
      </c>
      <c r="W18" s="68" t="s">
        <v>85</v>
      </c>
      <c r="X18" s="68" t="s">
        <v>13</v>
      </c>
      <c r="Y18" s="61" t="s">
        <v>89</v>
      </c>
      <c r="Z18" s="62"/>
      <c r="AA18" s="62"/>
      <c r="AB18" s="62"/>
      <c r="AC18" s="64">
        <f>STDEV(V19:V22)</f>
        <v>1.7368553960150703</v>
      </c>
      <c r="AD18" s="62" t="s">
        <v>88</v>
      </c>
      <c r="AE18" s="62"/>
      <c r="AF18" s="61"/>
      <c r="AG18" s="61"/>
      <c r="AH18" s="57"/>
      <c r="AI18" s="57"/>
      <c r="AJ18" s="57"/>
      <c r="AK18" s="57"/>
      <c r="AL18" s="57"/>
      <c r="AM18" s="57"/>
    </row>
    <row r="19" spans="1:39" x14ac:dyDescent="0.25">
      <c r="A19" s="62">
        <v>23</v>
      </c>
      <c r="B19" s="62">
        <v>50</v>
      </c>
      <c r="C19" s="62">
        <v>7.0000000000000007E-2</v>
      </c>
      <c r="D19" s="62">
        <v>7.0199999999999999E-2</v>
      </c>
      <c r="E19" s="71">
        <v>42807.5</v>
      </c>
      <c r="F19" s="72">
        <v>35</v>
      </c>
      <c r="G19" s="72">
        <v>1.5</v>
      </c>
      <c r="H19" s="72">
        <f>F19+G19</f>
        <v>36.5</v>
      </c>
      <c r="I19" s="65">
        <v>2021</v>
      </c>
      <c r="J19" s="62">
        <f>I19/1000</f>
        <v>2.0209999999999999</v>
      </c>
      <c r="K19" s="66">
        <f>(J19/1000000)*(1/22.71)*(44.01)*(1000000)</f>
        <v>3.9165217965653882</v>
      </c>
      <c r="L19" s="64">
        <f>(K19)*(1/44.01)*(2*14*24.4)/(1000000)</f>
        <v>6.079908410391895E-5</v>
      </c>
      <c r="M19" s="64">
        <v>4.7999999999999996E-3</v>
      </c>
      <c r="N19" s="66">
        <f>(M19)*(1/44.01)*(2*14)*(0.0365)</f>
        <v>1.1146557600545329E-4</v>
      </c>
      <c r="O19" s="62">
        <f>(B19*F19/1000)</f>
        <v>1.75</v>
      </c>
      <c r="P19" s="73">
        <f>((L19+N19)/(O19))*100</f>
        <v>9.8436948633926994E-3</v>
      </c>
      <c r="Q19" s="71">
        <v>42808.502083333333</v>
      </c>
      <c r="R19" s="72">
        <f>(E19)</f>
        <v>42807.5</v>
      </c>
      <c r="S19" s="72">
        <f>(Q19)</f>
        <v>42808.502083333333</v>
      </c>
      <c r="T19" s="72">
        <f>(S19-R19)</f>
        <v>1.0020833333328483</v>
      </c>
      <c r="U19" s="72">
        <f>T19*24</f>
        <v>24.049999999988358</v>
      </c>
      <c r="V19" s="62">
        <v>50.2</v>
      </c>
      <c r="W19" s="62">
        <v>0</v>
      </c>
      <c r="X19" s="72">
        <f>(V19+W19)*(0.0365)</f>
        <v>1.8323</v>
      </c>
      <c r="Y19" s="61" t="s">
        <v>90</v>
      </c>
      <c r="Z19" s="62"/>
      <c r="AA19" s="62"/>
      <c r="AB19" s="62"/>
      <c r="AC19" s="65">
        <f>AVERAGE(V19:V22)</f>
        <v>48.55</v>
      </c>
      <c r="AD19" s="62" t="s">
        <v>9</v>
      </c>
      <c r="AE19" s="62"/>
      <c r="AF19" s="61"/>
      <c r="AG19" s="61"/>
      <c r="AH19" s="57"/>
      <c r="AI19" s="57"/>
      <c r="AJ19" s="57"/>
      <c r="AK19" s="57"/>
      <c r="AL19" s="57"/>
      <c r="AM19" s="57"/>
    </row>
    <row r="20" spans="1:39" x14ac:dyDescent="0.25">
      <c r="A20" s="62">
        <v>24</v>
      </c>
      <c r="B20" s="62">
        <v>50</v>
      </c>
      <c r="C20" s="62">
        <v>7.0000000000000007E-2</v>
      </c>
      <c r="D20" s="62">
        <v>7.0199999999999999E-2</v>
      </c>
      <c r="E20" s="71">
        <v>42807.5</v>
      </c>
      <c r="F20" s="72">
        <v>35</v>
      </c>
      <c r="G20" s="72">
        <v>1.5</v>
      </c>
      <c r="H20" s="72">
        <f t="shared" ref="H20:H22" si="0">F20+G20</f>
        <v>36.5</v>
      </c>
      <c r="I20" s="65">
        <v>2028</v>
      </c>
      <c r="J20" s="62">
        <f t="shared" ref="J20:J22" si="1">I20/1000</f>
        <v>2.028</v>
      </c>
      <c r="K20" s="66">
        <f t="shared" ref="K20:K22" si="2">(J20/1000000)*(1/22.71)*(44.01)*(1000000)</f>
        <v>3.9300871862615576</v>
      </c>
      <c r="L20" s="64">
        <f t="shared" ref="L20:L22" si="3">(K20)*(1/44.01)*(2*14*24.4)/(1000000)</f>
        <v>6.1009669749009228E-5</v>
      </c>
      <c r="M20" s="64">
        <v>4.8999999999999998E-3</v>
      </c>
      <c r="N20" s="66">
        <f t="shared" ref="N20:N22" si="4">(M20)*(1/44.01)*(2*14)*(0.0365)</f>
        <v>1.137877755055669E-4</v>
      </c>
      <c r="O20" s="62">
        <f>(B20*F20/1000)</f>
        <v>1.75</v>
      </c>
      <c r="P20" s="73">
        <f t="shared" ref="P20:P22" si="5">((L20+N20)/(O20))*100</f>
        <v>9.988425443118636E-3</v>
      </c>
      <c r="Q20" s="71">
        <v>42808.506249999999</v>
      </c>
      <c r="R20" s="72">
        <f t="shared" ref="R20:R22" si="6">(E20)</f>
        <v>42807.5</v>
      </c>
      <c r="S20" s="72">
        <f t="shared" ref="S20:S22" si="7">(Q20)</f>
        <v>42808.506249999999</v>
      </c>
      <c r="T20" s="72">
        <f t="shared" ref="T20:T22" si="8">(S20-R20)</f>
        <v>1.0062499999985448</v>
      </c>
      <c r="U20" s="72">
        <f t="shared" ref="U20:U22" si="9">T20*24</f>
        <v>24.149999999965075</v>
      </c>
      <c r="V20" s="62">
        <v>49.9</v>
      </c>
      <c r="W20" s="62">
        <v>0</v>
      </c>
      <c r="X20" s="72">
        <f t="shared" ref="X20:X23" si="10">(V20+W20)*(0.0365)</f>
        <v>1.8213499999999998</v>
      </c>
      <c r="Y20" s="61" t="s">
        <v>104</v>
      </c>
      <c r="Z20" s="61"/>
      <c r="AA20" s="61"/>
      <c r="AB20" s="61">
        <v>3.1829999999999998</v>
      </c>
      <c r="AC20" s="66">
        <f>(AB20*AC18)/(AA21^0.5)</f>
        <v>2.7642053627579841</v>
      </c>
      <c r="AD20" s="67" t="s">
        <v>92</v>
      </c>
      <c r="AE20" s="61"/>
      <c r="AF20" s="61"/>
      <c r="AG20" s="61"/>
      <c r="AH20" s="57"/>
      <c r="AI20" s="57"/>
      <c r="AJ20" s="57"/>
      <c r="AK20" s="57"/>
      <c r="AL20" s="57"/>
      <c r="AM20" s="57"/>
    </row>
    <row r="21" spans="1:39" x14ac:dyDescent="0.25">
      <c r="A21" s="62">
        <v>25</v>
      </c>
      <c r="B21" s="62">
        <v>50</v>
      </c>
      <c r="C21" s="62">
        <v>7.0000000000000007E-2</v>
      </c>
      <c r="D21" s="62">
        <v>7.0199999999999999E-2</v>
      </c>
      <c r="E21" s="71">
        <v>42807.5</v>
      </c>
      <c r="F21" s="72">
        <v>35</v>
      </c>
      <c r="G21" s="72">
        <v>1.5</v>
      </c>
      <c r="H21" s="72">
        <f t="shared" si="0"/>
        <v>36.5</v>
      </c>
      <c r="I21" s="65">
        <v>2038</v>
      </c>
      <c r="J21" s="62">
        <f t="shared" si="1"/>
        <v>2.0379999999999998</v>
      </c>
      <c r="K21" s="66">
        <f t="shared" si="2"/>
        <v>3.9494663143989421</v>
      </c>
      <c r="L21" s="64">
        <f t="shared" si="3"/>
        <v>6.131050638485246E-5</v>
      </c>
      <c r="M21" s="64">
        <v>4.8999999999999998E-3</v>
      </c>
      <c r="N21" s="66">
        <f t="shared" si="4"/>
        <v>1.137877755055669E-4</v>
      </c>
      <c r="O21" s="62">
        <f>(B21*F21/1000)</f>
        <v>1.75</v>
      </c>
      <c r="P21" s="73">
        <f t="shared" si="5"/>
        <v>1.0005616108023963E-2</v>
      </c>
      <c r="Q21" s="71">
        <v>42808.509722222225</v>
      </c>
      <c r="R21" s="72">
        <f t="shared" si="6"/>
        <v>42807.5</v>
      </c>
      <c r="S21" s="72">
        <f t="shared" si="7"/>
        <v>42808.509722222225</v>
      </c>
      <c r="T21" s="72">
        <f t="shared" si="8"/>
        <v>1.0097222222248092</v>
      </c>
      <c r="U21" s="72">
        <f t="shared" si="9"/>
        <v>24.233333333395422</v>
      </c>
      <c r="V21" s="62">
        <v>47</v>
      </c>
      <c r="W21" s="62">
        <v>0</v>
      </c>
      <c r="X21" s="72">
        <f t="shared" si="10"/>
        <v>1.7154999999999998</v>
      </c>
      <c r="Y21" s="61" t="s">
        <v>93</v>
      </c>
      <c r="Z21" s="61"/>
      <c r="AA21" s="62">
        <v>4</v>
      </c>
      <c r="AB21" s="61"/>
      <c r="AC21" s="61"/>
      <c r="AD21" s="68" t="s">
        <v>94</v>
      </c>
      <c r="AE21" s="69">
        <f>AC19-AC20</f>
        <v>45.785794637242013</v>
      </c>
      <c r="AF21" s="69">
        <f>AC19+AC20</f>
        <v>51.314205362757981</v>
      </c>
      <c r="AG21" s="61"/>
      <c r="AH21" s="57"/>
      <c r="AI21" s="57"/>
      <c r="AJ21" s="57"/>
      <c r="AK21" s="57"/>
      <c r="AL21" s="57"/>
      <c r="AM21" s="57"/>
    </row>
    <row r="22" spans="1:39" x14ac:dyDescent="0.25">
      <c r="A22" s="62">
        <v>26</v>
      </c>
      <c r="B22" s="62">
        <v>50</v>
      </c>
      <c r="C22" s="62">
        <v>7.0000000000000007E-2</v>
      </c>
      <c r="D22" s="62">
        <v>7.0000000000000007E-2</v>
      </c>
      <c r="E22" s="71">
        <v>42807.5</v>
      </c>
      <c r="F22" s="72">
        <v>35</v>
      </c>
      <c r="G22" s="72">
        <v>1.5</v>
      </c>
      <c r="H22" s="72">
        <f t="shared" si="0"/>
        <v>36.5</v>
      </c>
      <c r="I22" s="65">
        <v>2047</v>
      </c>
      <c r="J22" s="62">
        <f t="shared" si="1"/>
        <v>2.0470000000000002</v>
      </c>
      <c r="K22" s="66">
        <f t="shared" si="2"/>
        <v>3.9669075297225884</v>
      </c>
      <c r="L22" s="64">
        <f t="shared" si="3"/>
        <v>6.1581259357111382E-5</v>
      </c>
      <c r="M22" s="64">
        <v>4.8999999999999998E-3</v>
      </c>
      <c r="N22" s="66">
        <f t="shared" si="4"/>
        <v>1.137877755055669E-4</v>
      </c>
      <c r="O22" s="62">
        <f>(B22*F22/1000)</f>
        <v>1.75</v>
      </c>
      <c r="P22" s="73">
        <f t="shared" si="5"/>
        <v>1.0021087706438758E-2</v>
      </c>
      <c r="Q22" s="71">
        <v>42808.513194444444</v>
      </c>
      <c r="R22" s="72">
        <f t="shared" si="6"/>
        <v>42807.5</v>
      </c>
      <c r="S22" s="72">
        <f t="shared" si="7"/>
        <v>42808.513194444444</v>
      </c>
      <c r="T22" s="72">
        <f t="shared" si="8"/>
        <v>1.0131944444437977</v>
      </c>
      <c r="U22" s="72">
        <f t="shared" si="9"/>
        <v>24.316666666651145</v>
      </c>
      <c r="V22" s="62">
        <v>47.1</v>
      </c>
      <c r="W22" s="62">
        <v>0</v>
      </c>
      <c r="X22" s="72">
        <f t="shared" si="10"/>
        <v>1.71915</v>
      </c>
      <c r="Y22" s="61"/>
      <c r="Z22" s="61"/>
      <c r="AA22" s="61"/>
      <c r="AB22" s="61"/>
      <c r="AC22" s="61"/>
      <c r="AD22" s="61"/>
      <c r="AE22" s="61"/>
      <c r="AF22" s="61"/>
      <c r="AG22" s="61"/>
      <c r="AH22" s="57"/>
      <c r="AI22" s="57"/>
      <c r="AJ22" s="57"/>
      <c r="AK22" s="57"/>
      <c r="AL22" s="57"/>
      <c r="AM22" s="57"/>
    </row>
    <row r="23" spans="1:3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74">
        <f>AVERAGE(V19:V22)</f>
        <v>48.55</v>
      </c>
      <c r="W23" s="74">
        <f>AVERAGE(W19:W21)</f>
        <v>0</v>
      </c>
      <c r="X23" s="74">
        <f t="shared" si="10"/>
        <v>1.7720749999999998</v>
      </c>
      <c r="Y23" s="75">
        <f>(X23/O22)*100</f>
        <v>101.26142857142857</v>
      </c>
      <c r="Z23" s="76" t="s">
        <v>169</v>
      </c>
      <c r="AA23" s="61"/>
      <c r="AB23" s="61"/>
      <c r="AC23" s="61"/>
      <c r="AD23" s="61"/>
      <c r="AE23" s="61"/>
      <c r="AF23" s="61"/>
      <c r="AG23" s="61"/>
      <c r="AH23" s="57"/>
      <c r="AI23" s="57"/>
      <c r="AJ23" s="57"/>
      <c r="AK23" s="57"/>
      <c r="AL23" s="57"/>
      <c r="AM23" s="57"/>
    </row>
    <row r="24" spans="1:39" x14ac:dyDescent="0.25">
      <c r="A24" s="61" t="s">
        <v>336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5">
        <f>(X19/O19)*100</f>
        <v>104.70285714285714</v>
      </c>
      <c r="Z24" s="63" t="s">
        <v>174</v>
      </c>
      <c r="AA24" s="62"/>
      <c r="AB24" s="62"/>
      <c r="AC24" s="62"/>
      <c r="AD24" s="62"/>
      <c r="AE24" s="61"/>
      <c r="AF24" s="62"/>
      <c r="AG24" s="61"/>
      <c r="AH24" s="57"/>
      <c r="AI24" s="57"/>
      <c r="AJ24" s="57"/>
      <c r="AK24" s="57"/>
      <c r="AL24" s="57"/>
      <c r="AM24" s="57"/>
    </row>
    <row r="25" spans="1:39" x14ac:dyDescent="0.25">
      <c r="A25" s="61" t="s">
        <v>125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5">
        <f t="shared" ref="Y25:Y27" si="11">(X20/O20)*100</f>
        <v>104.07714285714285</v>
      </c>
      <c r="Z25" s="61" t="s">
        <v>89</v>
      </c>
      <c r="AA25" s="62"/>
      <c r="AB25" s="62"/>
      <c r="AC25" s="62"/>
      <c r="AD25" s="64">
        <f>STDEV(Y24:Y27)</f>
        <v>3.6225841116885733</v>
      </c>
      <c r="AE25" s="62" t="s">
        <v>88</v>
      </c>
      <c r="AF25" s="62"/>
      <c r="AG25" s="61"/>
      <c r="AH25" s="57"/>
      <c r="AI25" s="57"/>
      <c r="AJ25" s="57"/>
      <c r="AK25" s="57"/>
      <c r="AL25" s="57"/>
      <c r="AM25" s="57"/>
    </row>
    <row r="26" spans="1:39" x14ac:dyDescent="0.25">
      <c r="A26" s="70" t="s">
        <v>126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5">
        <f t="shared" si="11"/>
        <v>98.028571428571425</v>
      </c>
      <c r="Z26" s="61" t="s">
        <v>90</v>
      </c>
      <c r="AA26" s="62"/>
      <c r="AB26" s="62"/>
      <c r="AC26" s="62"/>
      <c r="AD26" s="65">
        <f>AVERAGE(Y24:Y27)</f>
        <v>101.26142857142855</v>
      </c>
      <c r="AE26" s="62" t="s">
        <v>9</v>
      </c>
      <c r="AF26" s="62"/>
      <c r="AG26" s="61"/>
      <c r="AH26" s="57"/>
      <c r="AI26" s="57"/>
      <c r="AJ26" s="57"/>
      <c r="AK26" s="57"/>
      <c r="AL26" s="57"/>
      <c r="AM26" s="57"/>
    </row>
    <row r="27" spans="1:39" x14ac:dyDescent="0.25">
      <c r="A27" s="70" t="s">
        <v>140</v>
      </c>
      <c r="B27" s="61"/>
      <c r="C27" s="61"/>
      <c r="D27" s="61"/>
      <c r="E27" s="61"/>
      <c r="F27" s="61"/>
      <c r="G27" s="61"/>
      <c r="H27" s="61"/>
      <c r="I27" s="68"/>
      <c r="J27" s="61"/>
      <c r="K27" s="61"/>
      <c r="L27" s="68" t="s">
        <v>24</v>
      </c>
      <c r="M27" s="61" t="s">
        <v>41</v>
      </c>
      <c r="N27" s="68" t="s">
        <v>24</v>
      </c>
      <c r="O27" s="68"/>
      <c r="P27" s="68"/>
      <c r="Q27" s="61"/>
      <c r="R27" s="68" t="s">
        <v>59</v>
      </c>
      <c r="S27" s="68" t="s">
        <v>60</v>
      </c>
      <c r="T27" s="61"/>
      <c r="U27" s="68"/>
      <c r="V27" s="61"/>
      <c r="W27" s="61"/>
      <c r="X27" s="68" t="s">
        <v>24</v>
      </c>
      <c r="Y27" s="65">
        <f t="shared" si="11"/>
        <v>98.237142857142857</v>
      </c>
      <c r="Z27" s="61" t="s">
        <v>104</v>
      </c>
      <c r="AA27" s="61"/>
      <c r="AB27" s="61"/>
      <c r="AC27" s="61">
        <v>3.1829999999999998</v>
      </c>
      <c r="AD27" s="66">
        <f>(AC27*AD25)/(AB28^0.5)</f>
        <v>5.765342613752364</v>
      </c>
      <c r="AE27" s="67" t="s">
        <v>92</v>
      </c>
      <c r="AF27" s="61"/>
      <c r="AG27" s="61"/>
      <c r="AH27" s="57"/>
      <c r="AI27" s="57"/>
      <c r="AJ27" s="57"/>
      <c r="AK27" s="57"/>
      <c r="AL27" s="57"/>
      <c r="AM27" s="57"/>
    </row>
    <row r="28" spans="1:39" x14ac:dyDescent="0.25">
      <c r="A28" s="61"/>
      <c r="B28" s="61"/>
      <c r="C28" s="62" t="s">
        <v>112</v>
      </c>
      <c r="D28" s="62" t="s">
        <v>40</v>
      </c>
      <c r="E28" s="62" t="s">
        <v>51</v>
      </c>
      <c r="F28" s="61"/>
      <c r="G28" s="61"/>
      <c r="H28" s="61"/>
      <c r="I28" s="61"/>
      <c r="J28" s="61"/>
      <c r="K28" s="68" t="s">
        <v>24</v>
      </c>
      <c r="L28" s="68" t="s">
        <v>45</v>
      </c>
      <c r="M28" s="68" t="s">
        <v>84</v>
      </c>
      <c r="N28" s="68" t="s">
        <v>43</v>
      </c>
      <c r="O28" s="68" t="s">
        <v>10</v>
      </c>
      <c r="P28" s="68" t="s">
        <v>12</v>
      </c>
      <c r="Q28" s="68" t="s">
        <v>56</v>
      </c>
      <c r="R28" s="68" t="s">
        <v>10</v>
      </c>
      <c r="S28" s="68" t="s">
        <v>25</v>
      </c>
      <c r="T28" s="68" t="s">
        <v>14</v>
      </c>
      <c r="U28" s="68" t="s">
        <v>14</v>
      </c>
      <c r="V28" s="61"/>
      <c r="W28" s="61"/>
      <c r="X28" s="68" t="s">
        <v>43</v>
      </c>
      <c r="Y28" s="61"/>
      <c r="Z28" s="61" t="s">
        <v>93</v>
      </c>
      <c r="AA28" s="61"/>
      <c r="AB28" s="62">
        <v>4</v>
      </c>
      <c r="AC28" s="61"/>
      <c r="AD28" s="61"/>
      <c r="AE28" s="68" t="s">
        <v>94</v>
      </c>
      <c r="AF28" s="69">
        <f>AD26-AD27</f>
        <v>95.496085957676186</v>
      </c>
      <c r="AG28" s="69">
        <f>AD26+AD27</f>
        <v>107.02677118518092</v>
      </c>
      <c r="AH28" s="57"/>
      <c r="AI28" s="57"/>
      <c r="AJ28" s="57"/>
      <c r="AK28" s="57"/>
      <c r="AL28" s="57"/>
      <c r="AM28" s="57"/>
    </row>
    <row r="29" spans="1:39" x14ac:dyDescent="0.25">
      <c r="A29" s="62" t="s">
        <v>6</v>
      </c>
      <c r="B29" s="62" t="s">
        <v>131</v>
      </c>
      <c r="C29" s="62" t="s">
        <v>129</v>
      </c>
      <c r="D29" s="62" t="s">
        <v>130</v>
      </c>
      <c r="E29" s="62" t="s">
        <v>39</v>
      </c>
      <c r="F29" s="62" t="s">
        <v>128</v>
      </c>
      <c r="G29" s="62" t="s">
        <v>3</v>
      </c>
      <c r="H29" s="62" t="s">
        <v>19</v>
      </c>
      <c r="I29" s="68" t="s">
        <v>38</v>
      </c>
      <c r="J29" s="68" t="s">
        <v>38</v>
      </c>
      <c r="K29" s="68" t="s">
        <v>38</v>
      </c>
      <c r="L29" s="68" t="s">
        <v>30</v>
      </c>
      <c r="M29" s="68" t="s">
        <v>43</v>
      </c>
      <c r="N29" s="68" t="s">
        <v>30</v>
      </c>
      <c r="O29" s="68" t="s">
        <v>26</v>
      </c>
      <c r="P29" s="68" t="s">
        <v>31</v>
      </c>
      <c r="Q29" s="68" t="s">
        <v>57</v>
      </c>
      <c r="R29" s="68" t="s">
        <v>39</v>
      </c>
      <c r="S29" s="68" t="s">
        <v>39</v>
      </c>
      <c r="T29" s="68" t="s">
        <v>62</v>
      </c>
      <c r="U29" s="68" t="s">
        <v>62</v>
      </c>
      <c r="V29" s="68" t="s">
        <v>28</v>
      </c>
      <c r="W29" s="68" t="s">
        <v>33</v>
      </c>
      <c r="X29" s="68" t="s">
        <v>86</v>
      </c>
      <c r="Y29" s="63" t="s">
        <v>173</v>
      </c>
      <c r="Z29" s="62"/>
      <c r="AA29" s="62"/>
      <c r="AB29" s="62"/>
      <c r="AC29" s="62"/>
      <c r="AD29" s="61"/>
      <c r="AE29" s="62"/>
      <c r="AF29" s="61"/>
      <c r="AG29" s="61"/>
      <c r="AH29" s="57"/>
      <c r="AI29" s="57"/>
      <c r="AJ29" s="57"/>
      <c r="AK29" s="57"/>
      <c r="AL29" s="57"/>
      <c r="AM29" s="57"/>
    </row>
    <row r="30" spans="1:39" ht="17.25" x14ac:dyDescent="0.25">
      <c r="A30" s="62"/>
      <c r="B30" s="62" t="s">
        <v>11</v>
      </c>
      <c r="C30" s="62" t="s">
        <v>5</v>
      </c>
      <c r="D30" s="62" t="s">
        <v>5</v>
      </c>
      <c r="E30" s="62"/>
      <c r="F30" s="62" t="s">
        <v>20</v>
      </c>
      <c r="G30" s="62" t="s">
        <v>0</v>
      </c>
      <c r="H30" s="62" t="s">
        <v>0</v>
      </c>
      <c r="I30" s="68" t="s">
        <v>77</v>
      </c>
      <c r="J30" s="68" t="s">
        <v>23</v>
      </c>
      <c r="K30" s="68" t="s">
        <v>27</v>
      </c>
      <c r="L30" s="68" t="s">
        <v>13</v>
      </c>
      <c r="M30" s="68" t="s">
        <v>11</v>
      </c>
      <c r="N30" s="68" t="s">
        <v>13</v>
      </c>
      <c r="O30" s="68" t="s">
        <v>13</v>
      </c>
      <c r="P30" s="68" t="s">
        <v>4</v>
      </c>
      <c r="Q30" s="68"/>
      <c r="R30" s="68" t="s">
        <v>61</v>
      </c>
      <c r="S30" s="68" t="s">
        <v>61</v>
      </c>
      <c r="T30" s="68" t="s">
        <v>61</v>
      </c>
      <c r="U30" s="68" t="s">
        <v>76</v>
      </c>
      <c r="V30" s="68" t="s">
        <v>85</v>
      </c>
      <c r="W30" s="68" t="s">
        <v>85</v>
      </c>
      <c r="X30" s="68" t="s">
        <v>13</v>
      </c>
      <c r="Y30" s="61" t="s">
        <v>89</v>
      </c>
      <c r="Z30" s="62"/>
      <c r="AA30" s="62"/>
      <c r="AB30" s="62"/>
      <c r="AC30" s="64">
        <f>STDEV(V31:V34)</f>
        <v>0.58523499553598046</v>
      </c>
      <c r="AD30" s="62" t="s">
        <v>88</v>
      </c>
      <c r="AE30" s="62"/>
      <c r="AF30" s="61"/>
      <c r="AG30" s="61"/>
      <c r="AH30" s="57"/>
      <c r="AI30" s="57"/>
      <c r="AJ30" s="57"/>
      <c r="AK30" s="57"/>
      <c r="AL30" s="57"/>
      <c r="AM30" s="57"/>
    </row>
    <row r="31" spans="1:39" x14ac:dyDescent="0.25">
      <c r="A31" s="62">
        <v>27</v>
      </c>
      <c r="B31" s="62">
        <v>50</v>
      </c>
      <c r="C31" s="62">
        <v>7.0000000000000007E-2</v>
      </c>
      <c r="D31" s="62">
        <v>7.0199999999999999E-2</v>
      </c>
      <c r="E31" s="71">
        <v>42807.503472222219</v>
      </c>
      <c r="F31" s="72">
        <v>35</v>
      </c>
      <c r="G31" s="72">
        <v>1.5</v>
      </c>
      <c r="H31" s="72">
        <f>F31+G31</f>
        <v>36.5</v>
      </c>
      <c r="I31" s="65">
        <v>3471</v>
      </c>
      <c r="J31" s="62">
        <f t="shared" ref="J31:J34" si="12">I31/1000</f>
        <v>3.4710000000000001</v>
      </c>
      <c r="K31" s="66">
        <f t="shared" ref="K31:K34" si="13">(J31/1000000)*(1/22.71)*(44.01)*(1000000)</f>
        <v>6.7264953764861284</v>
      </c>
      <c r="L31" s="66">
        <f>(K31)*(1/44.01)*(2*14*24.4)/(1000000)</f>
        <v>1.0442039630118888E-4</v>
      </c>
      <c r="M31" s="64">
        <v>8.0000000000000002E-3</v>
      </c>
      <c r="N31" s="66">
        <f>(M31)*(1/44.01)*(2*14)*(0.0365)</f>
        <v>1.8577596000908883E-4</v>
      </c>
      <c r="O31" s="62">
        <f>(B31*F31/1000)</f>
        <v>1.75</v>
      </c>
      <c r="P31" s="73">
        <f>((L31+N31)/(O31))*100</f>
        <v>1.6582648932015869E-2</v>
      </c>
      <c r="Q31" s="71">
        <v>42811.496527777781</v>
      </c>
      <c r="R31" s="72">
        <f t="shared" ref="R31:R34" si="14">(E31)</f>
        <v>42807.503472222219</v>
      </c>
      <c r="S31" s="72">
        <f>(Q31)</f>
        <v>42811.496527777781</v>
      </c>
      <c r="T31" s="72">
        <f t="shared" ref="T31:T34" si="15">(S31-R31)</f>
        <v>3.9930555555620231</v>
      </c>
      <c r="U31" s="72">
        <f>T31*24</f>
        <v>95.833333333488554</v>
      </c>
      <c r="V31" s="62">
        <v>48</v>
      </c>
      <c r="W31" s="62">
        <v>0</v>
      </c>
      <c r="X31" s="72">
        <f>(V31+W31)*(0.0365)</f>
        <v>1.7519999999999998</v>
      </c>
      <c r="Y31" s="61" t="s">
        <v>90</v>
      </c>
      <c r="Z31" s="62"/>
      <c r="AA31" s="62"/>
      <c r="AB31" s="62"/>
      <c r="AC31" s="65">
        <f>AVERAGE(V31:V34)</f>
        <v>48.725000000000001</v>
      </c>
      <c r="AD31" s="62" t="s">
        <v>9</v>
      </c>
      <c r="AE31" s="62"/>
      <c r="AF31" s="61"/>
      <c r="AG31" s="61"/>
      <c r="AH31" s="57"/>
      <c r="AI31" s="57"/>
      <c r="AJ31" s="57"/>
      <c r="AK31" s="57"/>
      <c r="AL31" s="57"/>
      <c r="AM31" s="57"/>
    </row>
    <row r="32" spans="1:39" x14ac:dyDescent="0.25">
      <c r="A32" s="62">
        <v>28</v>
      </c>
      <c r="B32" s="62">
        <v>50</v>
      </c>
      <c r="C32" s="62">
        <v>7.0000000000000007E-2</v>
      </c>
      <c r="D32" s="62">
        <v>7.0000000000000007E-2</v>
      </c>
      <c r="E32" s="71">
        <v>42807.503472222219</v>
      </c>
      <c r="F32" s="72">
        <v>35</v>
      </c>
      <c r="G32" s="72">
        <v>1.5</v>
      </c>
      <c r="H32" s="72">
        <f t="shared" ref="H32:H34" si="16">F32+G32</f>
        <v>36.5</v>
      </c>
      <c r="I32" s="65">
        <v>3576</v>
      </c>
      <c r="J32" s="62">
        <f t="shared" si="12"/>
        <v>3.5760000000000001</v>
      </c>
      <c r="K32" s="66">
        <f t="shared" si="13"/>
        <v>6.9299762219286647</v>
      </c>
      <c r="L32" s="66">
        <f t="shared" ref="L32:L34" si="17">(K32)*(1/44.01)*(2*14*24.4)/(1000000)</f>
        <v>1.075791809775429E-4</v>
      </c>
      <c r="M32" s="64">
        <v>8.6E-3</v>
      </c>
      <c r="N32" s="66">
        <f t="shared" ref="N32:N34" si="18">(M32)*(1/44.01)*(2*14)*(0.0365)</f>
        <v>1.9970915700977051E-4</v>
      </c>
      <c r="O32" s="62">
        <f>(B32*F32/1000)</f>
        <v>1.75</v>
      </c>
      <c r="P32" s="73">
        <f t="shared" ref="P32:P34" si="19">((L32+N32)/(O32))*100</f>
        <v>1.755933359927505E-2</v>
      </c>
      <c r="Q32" s="71">
        <v>42811.501388888886</v>
      </c>
      <c r="R32" s="72">
        <f t="shared" si="14"/>
        <v>42807.503472222219</v>
      </c>
      <c r="S32" s="72">
        <f t="shared" ref="S32:S34" si="20">(Q32)</f>
        <v>42811.501388888886</v>
      </c>
      <c r="T32" s="72">
        <f t="shared" si="15"/>
        <v>3.9979166666671517</v>
      </c>
      <c r="U32" s="72">
        <f t="shared" ref="U32:U34" si="21">T32*24</f>
        <v>95.950000000011642</v>
      </c>
      <c r="V32" s="62">
        <v>48.6</v>
      </c>
      <c r="W32" s="62">
        <v>0</v>
      </c>
      <c r="X32" s="72">
        <f t="shared" ref="X32:X34" si="22">(V32+W32)*(0.0365)</f>
        <v>1.7739</v>
      </c>
      <c r="Y32" s="61" t="s">
        <v>104</v>
      </c>
      <c r="Z32" s="61"/>
      <c r="AA32" s="61"/>
      <c r="AB32" s="61">
        <v>3.1829999999999998</v>
      </c>
      <c r="AC32" s="66">
        <f>(AB32*AC30)/(AA33^0.5)</f>
        <v>0.93140149539551287</v>
      </c>
      <c r="AD32" s="67" t="s">
        <v>92</v>
      </c>
      <c r="AE32" s="61"/>
      <c r="AF32" s="61"/>
      <c r="AG32" s="61"/>
      <c r="AH32" s="57"/>
      <c r="AI32" s="57"/>
      <c r="AJ32" s="57"/>
      <c r="AK32" s="57"/>
      <c r="AL32" s="57"/>
      <c r="AM32" s="57"/>
    </row>
    <row r="33" spans="1:39" x14ac:dyDescent="0.25">
      <c r="A33" s="62">
        <v>29</v>
      </c>
      <c r="B33" s="62">
        <v>50</v>
      </c>
      <c r="C33" s="62">
        <v>7.0000000000000007E-2</v>
      </c>
      <c r="D33" s="62">
        <v>7.0000000000000007E-2</v>
      </c>
      <c r="E33" s="71">
        <v>42807.503472222219</v>
      </c>
      <c r="F33" s="72">
        <v>35</v>
      </c>
      <c r="G33" s="72">
        <v>1.5</v>
      </c>
      <c r="H33" s="72">
        <f t="shared" si="16"/>
        <v>36.5</v>
      </c>
      <c r="I33" s="65">
        <v>4167</v>
      </c>
      <c r="J33" s="62">
        <f t="shared" si="12"/>
        <v>4.1669999999999998</v>
      </c>
      <c r="K33" s="66">
        <f t="shared" si="13"/>
        <v>8.0752826948480845</v>
      </c>
      <c r="L33" s="66">
        <f t="shared" si="17"/>
        <v>1.2535862615587845E-4</v>
      </c>
      <c r="M33" s="64">
        <v>9.9000000000000008E-3</v>
      </c>
      <c r="N33" s="66">
        <f t="shared" si="18"/>
        <v>2.2989775051124745E-4</v>
      </c>
      <c r="O33" s="62">
        <f>(B33*F33/1000)</f>
        <v>1.75</v>
      </c>
      <c r="P33" s="73">
        <f t="shared" si="19"/>
        <v>2.0300364380978625E-2</v>
      </c>
      <c r="Q33" s="71">
        <v>42811.504861111112</v>
      </c>
      <c r="R33" s="72">
        <f t="shared" si="14"/>
        <v>42807.503472222219</v>
      </c>
      <c r="S33" s="72">
        <f t="shared" si="20"/>
        <v>42811.504861111112</v>
      </c>
      <c r="T33" s="72">
        <f t="shared" si="15"/>
        <v>4.0013888888934162</v>
      </c>
      <c r="U33" s="72">
        <f t="shared" si="21"/>
        <v>96.033333333441988</v>
      </c>
      <c r="V33" s="62">
        <v>48.9</v>
      </c>
      <c r="W33" s="62">
        <v>0</v>
      </c>
      <c r="X33" s="72">
        <f t="shared" si="22"/>
        <v>1.7848499999999998</v>
      </c>
      <c r="Y33" s="61" t="s">
        <v>93</v>
      </c>
      <c r="Z33" s="61"/>
      <c r="AA33" s="62">
        <v>4</v>
      </c>
      <c r="AB33" s="61"/>
      <c r="AC33" s="61"/>
      <c r="AD33" s="68" t="s">
        <v>94</v>
      </c>
      <c r="AE33" s="69">
        <f>AC31-AC32</f>
        <v>47.793598504604489</v>
      </c>
      <c r="AF33" s="69">
        <f>AC31+AC32</f>
        <v>49.656401495395514</v>
      </c>
      <c r="AG33" s="61"/>
      <c r="AH33" s="57"/>
      <c r="AI33" s="57"/>
      <c r="AJ33" s="57"/>
      <c r="AK33" s="57"/>
      <c r="AL33" s="57"/>
      <c r="AM33" s="57"/>
    </row>
    <row r="34" spans="1:39" x14ac:dyDescent="0.25">
      <c r="A34" s="62">
        <v>30</v>
      </c>
      <c r="B34" s="62">
        <v>50</v>
      </c>
      <c r="C34" s="62">
        <v>7.0000000000000007E-2</v>
      </c>
      <c r="D34" s="62">
        <v>7.0199999999999999E-2</v>
      </c>
      <c r="E34" s="71">
        <v>42807.503472222219</v>
      </c>
      <c r="F34" s="72">
        <v>35</v>
      </c>
      <c r="G34" s="72">
        <v>1.5</v>
      </c>
      <c r="H34" s="72">
        <f t="shared" si="16"/>
        <v>36.5</v>
      </c>
      <c r="I34" s="65">
        <v>3648</v>
      </c>
      <c r="J34" s="62">
        <f t="shared" si="12"/>
        <v>3.6480000000000001</v>
      </c>
      <c r="K34" s="66">
        <f t="shared" si="13"/>
        <v>7.0695059445178323</v>
      </c>
      <c r="L34" s="66">
        <f t="shared" si="17"/>
        <v>1.0974520475561424E-4</v>
      </c>
      <c r="M34" s="64">
        <v>8.8000000000000005E-3</v>
      </c>
      <c r="N34" s="66">
        <f t="shared" si="18"/>
        <v>2.0435355600999773E-4</v>
      </c>
      <c r="O34" s="62">
        <f>(B34*F34/1000)</f>
        <v>1.75</v>
      </c>
      <c r="P34" s="73">
        <f t="shared" si="19"/>
        <v>1.7948500615177828E-2</v>
      </c>
      <c r="Q34" s="71">
        <v>42811.509722222225</v>
      </c>
      <c r="R34" s="72">
        <f t="shared" si="14"/>
        <v>42807.503472222219</v>
      </c>
      <c r="S34" s="72">
        <f t="shared" si="20"/>
        <v>42811.509722222225</v>
      </c>
      <c r="T34" s="72">
        <f t="shared" si="15"/>
        <v>4.0062500000058208</v>
      </c>
      <c r="U34" s="72">
        <f t="shared" si="21"/>
        <v>96.150000000139698</v>
      </c>
      <c r="V34" s="62">
        <v>49.4</v>
      </c>
      <c r="W34" s="62">
        <v>0</v>
      </c>
      <c r="X34" s="72">
        <f t="shared" si="22"/>
        <v>1.8030999999999999</v>
      </c>
      <c r="Y34" s="61"/>
      <c r="Z34" s="61"/>
      <c r="AA34" s="61"/>
      <c r="AB34" s="61"/>
      <c r="AC34" s="61"/>
      <c r="AD34" s="61"/>
      <c r="AE34" s="61"/>
      <c r="AF34" s="61"/>
      <c r="AG34" s="61"/>
      <c r="AH34" s="57"/>
      <c r="AI34" s="57"/>
      <c r="AJ34" s="57"/>
      <c r="AK34" s="57"/>
      <c r="AL34" s="57"/>
      <c r="AM34" s="57"/>
    </row>
    <row r="35" spans="1:3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74">
        <f>AVERAGE(V31:V34)</f>
        <v>48.725000000000001</v>
      </c>
      <c r="W35" s="74">
        <f>AVERAGE(W31:W34)</f>
        <v>0</v>
      </c>
      <c r="X35" s="74">
        <f>(V35+W35)*(0.0365)</f>
        <v>1.7784624999999998</v>
      </c>
      <c r="Y35" s="75">
        <f>(X35/O34)*100</f>
        <v>101.62642857142856</v>
      </c>
      <c r="Z35" s="76" t="s">
        <v>169</v>
      </c>
      <c r="AA35" s="61"/>
      <c r="AB35" s="61"/>
      <c r="AC35" s="61"/>
      <c r="AD35" s="61"/>
      <c r="AE35" s="61"/>
      <c r="AF35" s="61"/>
      <c r="AG35" s="61"/>
      <c r="AH35" s="57"/>
      <c r="AI35" s="57"/>
      <c r="AJ35" s="57"/>
      <c r="AK35" s="57"/>
      <c r="AL35" s="57"/>
      <c r="AM35" s="57"/>
    </row>
    <row r="36" spans="1:39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57"/>
      <c r="AI36" s="57"/>
      <c r="AJ36" s="57"/>
      <c r="AK36" s="57"/>
      <c r="AL36" s="57"/>
      <c r="AM36" s="57"/>
    </row>
    <row r="37" spans="1:39" x14ac:dyDescent="0.25">
      <c r="A37" s="61" t="s">
        <v>337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5">
        <f>(X31/O31)*100</f>
        <v>100.11428571428571</v>
      </c>
      <c r="Z37" s="63" t="s">
        <v>174</v>
      </c>
      <c r="AA37" s="62"/>
      <c r="AB37" s="62"/>
      <c r="AC37" s="62"/>
      <c r="AD37" s="62"/>
      <c r="AE37" s="61"/>
      <c r="AF37" s="62"/>
      <c r="AG37" s="61"/>
      <c r="AH37" s="57"/>
      <c r="AI37" s="57"/>
      <c r="AJ37" s="57"/>
      <c r="AK37" s="57"/>
      <c r="AL37" s="57"/>
      <c r="AM37" s="57"/>
    </row>
    <row r="38" spans="1:39" x14ac:dyDescent="0.25">
      <c r="A38" s="61" t="s">
        <v>133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5">
        <f t="shared" ref="Y38:Y40" si="23">(X32/O32)*100</f>
        <v>101.36571428571428</v>
      </c>
      <c r="Z38" s="61" t="s">
        <v>89</v>
      </c>
      <c r="AA38" s="62"/>
      <c r="AB38" s="62"/>
      <c r="AC38" s="62"/>
      <c r="AD38" s="64">
        <f>STDEV(Y37:Y40)</f>
        <v>1.220632990689327</v>
      </c>
      <c r="AE38" s="62" t="s">
        <v>88</v>
      </c>
      <c r="AF38" s="62"/>
      <c r="AG38" s="61"/>
      <c r="AH38" s="57"/>
      <c r="AI38" s="57"/>
      <c r="AJ38" s="57"/>
      <c r="AK38" s="57"/>
      <c r="AL38" s="57"/>
      <c r="AM38" s="57"/>
    </row>
    <row r="39" spans="1:39" x14ac:dyDescent="0.25">
      <c r="A39" s="70" t="s">
        <v>324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5">
        <f t="shared" si="23"/>
        <v>101.99142857142856</v>
      </c>
      <c r="Z39" s="61" t="s">
        <v>90</v>
      </c>
      <c r="AA39" s="62"/>
      <c r="AB39" s="62"/>
      <c r="AC39" s="62"/>
      <c r="AD39" s="65">
        <f>AVERAGE(Y37:Y40)</f>
        <v>101.62642857142856</v>
      </c>
      <c r="AE39" s="62" t="s">
        <v>9</v>
      </c>
      <c r="AF39" s="62"/>
      <c r="AG39" s="61"/>
      <c r="AH39" s="57"/>
      <c r="AI39" s="57"/>
      <c r="AJ39" s="57"/>
      <c r="AK39" s="57"/>
      <c r="AL39" s="57"/>
      <c r="AM39" s="57"/>
    </row>
    <row r="40" spans="1:39" x14ac:dyDescent="0.25">
      <c r="A40" s="70" t="s">
        <v>139</v>
      </c>
      <c r="B40" s="61"/>
      <c r="C40" s="61"/>
      <c r="D40" s="61"/>
      <c r="E40" s="61"/>
      <c r="F40" s="61"/>
      <c r="G40" s="61"/>
      <c r="H40" s="61"/>
      <c r="I40" s="68"/>
      <c r="J40" s="61"/>
      <c r="K40" s="61"/>
      <c r="L40" s="68" t="s">
        <v>24</v>
      </c>
      <c r="M40" s="61" t="s">
        <v>41</v>
      </c>
      <c r="N40" s="68" t="s">
        <v>24</v>
      </c>
      <c r="O40" s="68"/>
      <c r="P40" s="68"/>
      <c r="Q40" s="61"/>
      <c r="R40" s="68" t="s">
        <v>59</v>
      </c>
      <c r="S40" s="68" t="s">
        <v>60</v>
      </c>
      <c r="T40" s="61"/>
      <c r="U40" s="68"/>
      <c r="V40" s="61"/>
      <c r="W40" s="61"/>
      <c r="X40" s="68" t="s">
        <v>24</v>
      </c>
      <c r="Y40" s="65">
        <f t="shared" si="23"/>
        <v>103.0342857142857</v>
      </c>
      <c r="Z40" s="61" t="s">
        <v>104</v>
      </c>
      <c r="AA40" s="61"/>
      <c r="AB40" s="61"/>
      <c r="AC40" s="61">
        <v>3.1829999999999998</v>
      </c>
      <c r="AD40" s="66">
        <f>(AC40*AD38)/(AB41^0.5)</f>
        <v>1.9426374046820638</v>
      </c>
      <c r="AE40" s="67" t="s">
        <v>92</v>
      </c>
      <c r="AF40" s="61"/>
      <c r="AG40" s="61"/>
      <c r="AH40" s="57"/>
      <c r="AI40" s="57"/>
      <c r="AJ40" s="57"/>
      <c r="AK40" s="57"/>
      <c r="AL40" s="57"/>
      <c r="AM40" s="57"/>
    </row>
    <row r="41" spans="1:39" x14ac:dyDescent="0.25">
      <c r="A41" s="61"/>
      <c r="B41" s="61"/>
      <c r="C41" s="62" t="s">
        <v>112</v>
      </c>
      <c r="D41" s="62" t="s">
        <v>40</v>
      </c>
      <c r="E41" s="62" t="s">
        <v>51</v>
      </c>
      <c r="F41" s="61"/>
      <c r="G41" s="61"/>
      <c r="H41" s="61"/>
      <c r="I41" s="61"/>
      <c r="J41" s="61"/>
      <c r="K41" s="68" t="s">
        <v>24</v>
      </c>
      <c r="L41" s="68" t="s">
        <v>45</v>
      </c>
      <c r="M41" s="68" t="s">
        <v>84</v>
      </c>
      <c r="N41" s="68" t="s">
        <v>43</v>
      </c>
      <c r="O41" s="68" t="s">
        <v>10</v>
      </c>
      <c r="P41" s="68" t="s">
        <v>12</v>
      </c>
      <c r="Q41" s="68" t="s">
        <v>56</v>
      </c>
      <c r="R41" s="68" t="s">
        <v>10</v>
      </c>
      <c r="S41" s="68" t="s">
        <v>25</v>
      </c>
      <c r="T41" s="68" t="s">
        <v>14</v>
      </c>
      <c r="U41" s="68" t="s">
        <v>14</v>
      </c>
      <c r="V41" s="61"/>
      <c r="W41" s="61"/>
      <c r="X41" s="68" t="s">
        <v>43</v>
      </c>
      <c r="Y41" s="61"/>
      <c r="Z41" s="61" t="s">
        <v>93</v>
      </c>
      <c r="AA41" s="61"/>
      <c r="AB41" s="62">
        <v>4</v>
      </c>
      <c r="AC41" s="61"/>
      <c r="AD41" s="61"/>
      <c r="AE41" s="68" t="s">
        <v>94</v>
      </c>
      <c r="AF41" s="69">
        <f>AD39-AD40</f>
        <v>99.683791166746502</v>
      </c>
      <c r="AG41" s="69">
        <f>AD39+AD40</f>
        <v>103.56906597611062</v>
      </c>
      <c r="AH41" s="57"/>
      <c r="AI41" s="57"/>
      <c r="AJ41" s="57"/>
      <c r="AK41" s="57"/>
      <c r="AL41" s="57"/>
      <c r="AM41" s="57"/>
    </row>
    <row r="42" spans="1:39" x14ac:dyDescent="0.25">
      <c r="A42" s="62" t="s">
        <v>6</v>
      </c>
      <c r="B42" s="62" t="s">
        <v>113</v>
      </c>
      <c r="C42" s="62" t="s">
        <v>129</v>
      </c>
      <c r="D42" s="62" t="s">
        <v>130</v>
      </c>
      <c r="E42" s="62" t="s">
        <v>39</v>
      </c>
      <c r="F42" s="62" t="s">
        <v>109</v>
      </c>
      <c r="G42" s="62" t="s">
        <v>3</v>
      </c>
      <c r="H42" s="62" t="s">
        <v>19</v>
      </c>
      <c r="I42" s="68" t="s">
        <v>38</v>
      </c>
      <c r="J42" s="68" t="s">
        <v>38</v>
      </c>
      <c r="K42" s="68" t="s">
        <v>38</v>
      </c>
      <c r="L42" s="68" t="s">
        <v>30</v>
      </c>
      <c r="M42" s="68" t="s">
        <v>43</v>
      </c>
      <c r="N42" s="68" t="s">
        <v>30</v>
      </c>
      <c r="O42" s="68" t="s">
        <v>26</v>
      </c>
      <c r="P42" s="68" t="s">
        <v>31</v>
      </c>
      <c r="Q42" s="68" t="s">
        <v>57</v>
      </c>
      <c r="R42" s="68" t="s">
        <v>39</v>
      </c>
      <c r="S42" s="68" t="s">
        <v>39</v>
      </c>
      <c r="T42" s="68" t="s">
        <v>62</v>
      </c>
      <c r="U42" s="68" t="s">
        <v>62</v>
      </c>
      <c r="V42" s="68" t="s">
        <v>28</v>
      </c>
      <c r="W42" s="68" t="s">
        <v>33</v>
      </c>
      <c r="X42" s="68" t="s">
        <v>86</v>
      </c>
      <c r="Y42" s="63" t="s">
        <v>170</v>
      </c>
      <c r="Z42" s="62"/>
      <c r="AA42" s="62"/>
      <c r="AB42" s="62"/>
      <c r="AC42" s="62"/>
      <c r="AD42" s="61"/>
      <c r="AE42" s="62"/>
      <c r="AF42" s="61"/>
      <c r="AG42" s="61"/>
      <c r="AH42" s="57"/>
      <c r="AI42" s="57"/>
      <c r="AJ42" s="57"/>
      <c r="AK42" s="57"/>
      <c r="AL42" s="57"/>
      <c r="AM42" s="57"/>
    </row>
    <row r="43" spans="1:39" ht="17.25" x14ac:dyDescent="0.25">
      <c r="A43" s="62"/>
      <c r="B43" s="62" t="s">
        <v>11</v>
      </c>
      <c r="C43" s="62" t="s">
        <v>5</v>
      </c>
      <c r="D43" s="62" t="s">
        <v>5</v>
      </c>
      <c r="E43" s="62"/>
      <c r="F43" s="62" t="s">
        <v>20</v>
      </c>
      <c r="G43" s="62" t="s">
        <v>0</v>
      </c>
      <c r="H43" s="62" t="s">
        <v>0</v>
      </c>
      <c r="I43" s="68" t="s">
        <v>77</v>
      </c>
      <c r="J43" s="68" t="s">
        <v>23</v>
      </c>
      <c r="K43" s="68" t="s">
        <v>27</v>
      </c>
      <c r="L43" s="68" t="s">
        <v>13</v>
      </c>
      <c r="M43" s="68" t="s">
        <v>11</v>
      </c>
      <c r="N43" s="68" t="s">
        <v>13</v>
      </c>
      <c r="O43" s="68" t="s">
        <v>13</v>
      </c>
      <c r="P43" s="68" t="s">
        <v>4</v>
      </c>
      <c r="Q43" s="68"/>
      <c r="R43" s="68" t="s">
        <v>61</v>
      </c>
      <c r="S43" s="68" t="s">
        <v>61</v>
      </c>
      <c r="T43" s="68" t="s">
        <v>61</v>
      </c>
      <c r="U43" s="68" t="s">
        <v>76</v>
      </c>
      <c r="V43" s="68" t="s">
        <v>85</v>
      </c>
      <c r="W43" s="68" t="s">
        <v>85</v>
      </c>
      <c r="X43" s="68" t="s">
        <v>13</v>
      </c>
      <c r="Y43" s="61" t="s">
        <v>89</v>
      </c>
      <c r="Z43" s="62"/>
      <c r="AA43" s="62"/>
      <c r="AB43" s="62"/>
      <c r="AC43" s="64">
        <f>STDEV(W44:W47)</f>
        <v>0.96781540939719524</v>
      </c>
      <c r="AD43" s="62" t="s">
        <v>88</v>
      </c>
      <c r="AE43" s="62"/>
      <c r="AF43" s="61"/>
      <c r="AG43" s="61"/>
      <c r="AH43" s="57"/>
      <c r="AI43" s="57"/>
      <c r="AJ43" s="57"/>
      <c r="AK43" s="57"/>
      <c r="AL43" s="57"/>
      <c r="AM43" s="57"/>
    </row>
    <row r="44" spans="1:39" x14ac:dyDescent="0.25">
      <c r="A44" s="62">
        <v>31</v>
      </c>
      <c r="B44" s="62">
        <v>50</v>
      </c>
      <c r="C44" s="62">
        <v>7.0000000000000007E-2</v>
      </c>
      <c r="D44" s="61">
        <v>7.0099999999999996E-2</v>
      </c>
      <c r="E44" s="71">
        <v>42807.509027777778</v>
      </c>
      <c r="F44" s="72">
        <v>35</v>
      </c>
      <c r="G44" s="72">
        <v>1.5</v>
      </c>
      <c r="H44" s="72">
        <f t="shared" ref="H44:H47" si="24">F44+G44</f>
        <v>36.5</v>
      </c>
      <c r="I44" s="72">
        <v>422</v>
      </c>
      <c r="J44" s="62">
        <f t="shared" ref="J44:J47" si="25">I44/1000</f>
        <v>0.42199999999999999</v>
      </c>
      <c r="K44" s="66">
        <f t="shared" ref="K44:K47" si="26">(J44/1000000)*(1/22.71)*(44.01)*(1000000)</f>
        <v>0.81779920739762202</v>
      </c>
      <c r="L44" s="64">
        <f t="shared" ref="L44:L47" si="27">(K44)*(1/44.01)*(2*14*24.4)/(1000000)</f>
        <v>1.2695306032584759E-5</v>
      </c>
      <c r="M44" s="62">
        <v>1E-3</v>
      </c>
      <c r="N44" s="66">
        <f t="shared" ref="N44:N47" si="28">(M44)*(1/44.01)*(2*14)*(0.0365)</f>
        <v>2.3221995001136104E-5</v>
      </c>
      <c r="O44" s="62">
        <f t="shared" ref="O44:O47" si="29">(B44*F44/1000)</f>
        <v>1.75</v>
      </c>
      <c r="P44" s="73">
        <f t="shared" ref="P44:P47" si="30">((L44+N44)/(O44))*100</f>
        <v>2.0524172019269066E-3</v>
      </c>
      <c r="Q44" s="71">
        <v>42811.512499999997</v>
      </c>
      <c r="R44" s="72">
        <f t="shared" ref="R44:R47" si="31">(E44)</f>
        <v>42807.509027777778</v>
      </c>
      <c r="S44" s="72">
        <f t="shared" ref="S44:S47" si="32">(Q44)</f>
        <v>42811.512499999997</v>
      </c>
      <c r="T44" s="72">
        <f t="shared" ref="T44:T47" si="33">(S44-R44)</f>
        <v>4.0034722222189885</v>
      </c>
      <c r="U44" s="72">
        <f t="shared" ref="U44:U47" si="34">T44*24</f>
        <v>96.083333333255723</v>
      </c>
      <c r="V44" s="62">
        <v>0</v>
      </c>
      <c r="W44" s="62">
        <v>47.8</v>
      </c>
      <c r="X44" s="72">
        <f>(V44+W44)*(0.0365)</f>
        <v>1.7446999999999997</v>
      </c>
      <c r="Y44" s="61" t="s">
        <v>90</v>
      </c>
      <c r="Z44" s="62"/>
      <c r="AA44" s="62"/>
      <c r="AB44" s="62"/>
      <c r="AC44" s="65">
        <f>AVERAGE(W44:W47)</f>
        <v>46.75</v>
      </c>
      <c r="AD44" s="62" t="s">
        <v>9</v>
      </c>
      <c r="AE44" s="62"/>
      <c r="AF44" s="61"/>
      <c r="AG44" s="61"/>
      <c r="AH44" s="57"/>
      <c r="AI44" s="57"/>
      <c r="AJ44" s="57"/>
      <c r="AK44" s="57"/>
      <c r="AL44" s="57"/>
      <c r="AM44" s="57"/>
    </row>
    <row r="45" spans="1:39" x14ac:dyDescent="0.25">
      <c r="A45" s="62">
        <v>32</v>
      </c>
      <c r="B45" s="62">
        <v>50</v>
      </c>
      <c r="C45" s="62">
        <v>7.0000000000000007E-2</v>
      </c>
      <c r="D45" s="61">
        <v>7.0000000000000007E-2</v>
      </c>
      <c r="E45" s="71">
        <v>42807.509027777778</v>
      </c>
      <c r="F45" s="72">
        <v>35</v>
      </c>
      <c r="G45" s="72">
        <v>1.5</v>
      </c>
      <c r="H45" s="72">
        <f t="shared" si="24"/>
        <v>36.5</v>
      </c>
      <c r="I45" s="72">
        <v>429</v>
      </c>
      <c r="J45" s="62">
        <f t="shared" si="25"/>
        <v>0.42899999999999999</v>
      </c>
      <c r="K45" s="66">
        <f t="shared" si="26"/>
        <v>0.83136459709379118</v>
      </c>
      <c r="L45" s="64">
        <f t="shared" si="27"/>
        <v>1.290589167767503E-5</v>
      </c>
      <c r="M45" s="62">
        <v>1E-3</v>
      </c>
      <c r="N45" s="66">
        <f t="shared" si="28"/>
        <v>2.3221995001136104E-5</v>
      </c>
      <c r="O45" s="62">
        <f t="shared" si="29"/>
        <v>1.75</v>
      </c>
      <c r="P45" s="73">
        <f t="shared" si="30"/>
        <v>2.0644506673606362E-3</v>
      </c>
      <c r="Q45" s="71">
        <v>42811.51666666667</v>
      </c>
      <c r="R45" s="72">
        <f t="shared" si="31"/>
        <v>42807.509027777778</v>
      </c>
      <c r="S45" s="72">
        <f t="shared" si="32"/>
        <v>42811.51666666667</v>
      </c>
      <c r="T45" s="72">
        <f t="shared" si="33"/>
        <v>4.007638888891961</v>
      </c>
      <c r="U45" s="72">
        <f t="shared" si="34"/>
        <v>96.183333333407063</v>
      </c>
      <c r="V45" s="62">
        <v>0</v>
      </c>
      <c r="W45" s="62">
        <v>45.7</v>
      </c>
      <c r="X45" s="72">
        <f t="shared" ref="X45:X48" si="35">(V45+W45)*(0.0365)</f>
        <v>1.66805</v>
      </c>
      <c r="Y45" s="61" t="s">
        <v>104</v>
      </c>
      <c r="Z45" s="61"/>
      <c r="AA45" s="61"/>
      <c r="AB45" s="61">
        <v>3.1829999999999998</v>
      </c>
      <c r="AC45" s="66">
        <f>(AB45*AC43)/(AA46^0.5)</f>
        <v>1.5402782240556361</v>
      </c>
      <c r="AD45" s="67" t="s">
        <v>92</v>
      </c>
      <c r="AE45" s="61"/>
      <c r="AF45" s="61"/>
      <c r="AG45" s="61"/>
      <c r="AH45" s="57"/>
      <c r="AI45" s="57"/>
      <c r="AJ45" s="57"/>
      <c r="AK45" s="57"/>
      <c r="AL45" s="57"/>
      <c r="AM45" s="57"/>
    </row>
    <row r="46" spans="1:39" x14ac:dyDescent="0.25">
      <c r="A46" s="62">
        <v>33</v>
      </c>
      <c r="B46" s="62">
        <v>50</v>
      </c>
      <c r="C46" s="62">
        <v>7.0000000000000007E-2</v>
      </c>
      <c r="D46" s="61">
        <v>7.0199999999999999E-2</v>
      </c>
      <c r="E46" s="71">
        <v>42807.509027777778</v>
      </c>
      <c r="F46" s="72">
        <v>35</v>
      </c>
      <c r="G46" s="72">
        <v>1.5</v>
      </c>
      <c r="H46" s="72">
        <f t="shared" si="24"/>
        <v>36.5</v>
      </c>
      <c r="I46" s="72">
        <v>415</v>
      </c>
      <c r="J46" s="62">
        <f t="shared" si="25"/>
        <v>0.41499999999999998</v>
      </c>
      <c r="K46" s="66">
        <f t="shared" si="26"/>
        <v>0.80423381770145297</v>
      </c>
      <c r="L46" s="64">
        <f t="shared" si="27"/>
        <v>1.2484720387494492E-5</v>
      </c>
      <c r="M46" s="62">
        <v>1E-3</v>
      </c>
      <c r="N46" s="66">
        <f t="shared" si="28"/>
        <v>2.3221995001136104E-5</v>
      </c>
      <c r="O46" s="62">
        <f t="shared" si="29"/>
        <v>1.75</v>
      </c>
      <c r="P46" s="73">
        <f t="shared" si="30"/>
        <v>2.040383736493177E-3</v>
      </c>
      <c r="Q46" s="71">
        <v>42811.520833333336</v>
      </c>
      <c r="R46" s="72">
        <f t="shared" si="31"/>
        <v>42807.509027777778</v>
      </c>
      <c r="S46" s="72">
        <f t="shared" si="32"/>
        <v>42811.520833333336</v>
      </c>
      <c r="T46" s="72">
        <f t="shared" si="33"/>
        <v>4.0118055555576575</v>
      </c>
      <c r="U46" s="72">
        <f t="shared" si="34"/>
        <v>96.28333333338378</v>
      </c>
      <c r="V46" s="62">
        <v>0</v>
      </c>
      <c r="W46" s="62">
        <v>46.2</v>
      </c>
      <c r="X46" s="72">
        <f t="shared" si="35"/>
        <v>1.6862999999999999</v>
      </c>
      <c r="Y46" s="61" t="s">
        <v>93</v>
      </c>
      <c r="Z46" s="61"/>
      <c r="AA46" s="62">
        <v>4</v>
      </c>
      <c r="AB46" s="61"/>
      <c r="AC46" s="61"/>
      <c r="AD46" s="68" t="s">
        <v>94</v>
      </c>
      <c r="AE46" s="69">
        <f>AC44-AC45</f>
        <v>45.209721775944367</v>
      </c>
      <c r="AF46" s="69">
        <f>AC44+AC45</f>
        <v>48.290278224055633</v>
      </c>
      <c r="AG46" s="61"/>
      <c r="AH46" s="57"/>
      <c r="AI46" s="57"/>
      <c r="AJ46" s="57"/>
      <c r="AK46" s="57"/>
      <c r="AL46" s="57"/>
      <c r="AM46" s="57"/>
    </row>
    <row r="47" spans="1:39" x14ac:dyDescent="0.25">
      <c r="A47" s="62">
        <v>34</v>
      </c>
      <c r="B47" s="62">
        <v>50</v>
      </c>
      <c r="C47" s="62">
        <v>7.0000000000000007E-2</v>
      </c>
      <c r="D47" s="61">
        <v>7.0300000000000001E-2</v>
      </c>
      <c r="E47" s="71">
        <v>42807.509027777778</v>
      </c>
      <c r="F47" s="72">
        <v>35</v>
      </c>
      <c r="G47" s="72">
        <v>1.5</v>
      </c>
      <c r="H47" s="72">
        <f t="shared" si="24"/>
        <v>36.5</v>
      </c>
      <c r="I47" s="72">
        <v>408</v>
      </c>
      <c r="J47" s="62">
        <f t="shared" si="25"/>
        <v>0.40799999999999997</v>
      </c>
      <c r="K47" s="66">
        <f t="shared" si="26"/>
        <v>0.79066842800528381</v>
      </c>
      <c r="L47" s="64">
        <f t="shared" si="27"/>
        <v>1.2274134742404224E-5</v>
      </c>
      <c r="M47" s="62">
        <v>1E-3</v>
      </c>
      <c r="N47" s="66">
        <f t="shared" si="28"/>
        <v>2.3221995001136104E-5</v>
      </c>
      <c r="O47" s="62">
        <f t="shared" si="29"/>
        <v>1.75</v>
      </c>
      <c r="P47" s="73">
        <f t="shared" si="30"/>
        <v>2.028350271059447E-3</v>
      </c>
      <c r="Q47" s="71">
        <v>42811.525694444441</v>
      </c>
      <c r="R47" s="72">
        <f t="shared" si="31"/>
        <v>42807.509027777778</v>
      </c>
      <c r="S47" s="72">
        <f t="shared" si="32"/>
        <v>42811.525694444441</v>
      </c>
      <c r="T47" s="72">
        <f t="shared" si="33"/>
        <v>4.0166666666627862</v>
      </c>
      <c r="U47" s="72">
        <f t="shared" si="34"/>
        <v>96.399999999906868</v>
      </c>
      <c r="V47" s="62">
        <v>0</v>
      </c>
      <c r="W47" s="62">
        <v>47.3</v>
      </c>
      <c r="X47" s="72">
        <f t="shared" si="35"/>
        <v>1.7264499999999998</v>
      </c>
      <c r="Y47" s="61"/>
      <c r="Z47" s="61"/>
      <c r="AA47" s="61"/>
      <c r="AB47" s="61"/>
      <c r="AC47" s="61"/>
      <c r="AD47" s="61"/>
      <c r="AE47" s="61"/>
      <c r="AF47" s="61"/>
      <c r="AG47" s="61"/>
      <c r="AH47" s="57"/>
      <c r="AI47" s="57"/>
      <c r="AJ47" s="57"/>
      <c r="AK47" s="57"/>
      <c r="AL47" s="57"/>
      <c r="AM47" s="57"/>
    </row>
    <row r="48" spans="1:39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74">
        <f>AVERAGE(V44:V47)</f>
        <v>0</v>
      </c>
      <c r="W48" s="74">
        <f>AVERAGE(W44:W46)</f>
        <v>46.566666666666663</v>
      </c>
      <c r="X48" s="74">
        <f t="shared" si="35"/>
        <v>1.699683333333333</v>
      </c>
      <c r="Y48" s="75">
        <f>(X48/O47)*100</f>
        <v>97.124761904761883</v>
      </c>
      <c r="Z48" s="76" t="s">
        <v>169</v>
      </c>
      <c r="AA48" s="61"/>
      <c r="AB48" s="61"/>
      <c r="AC48" s="61"/>
      <c r="AD48" s="61"/>
      <c r="AE48" s="61"/>
      <c r="AF48" s="61"/>
      <c r="AG48" s="61"/>
      <c r="AH48" s="57"/>
      <c r="AI48" s="57"/>
      <c r="AJ48" s="57"/>
      <c r="AK48" s="57"/>
      <c r="AL48" s="57"/>
      <c r="AM48" s="57"/>
    </row>
    <row r="49" spans="1:39" x14ac:dyDescent="0.25">
      <c r="A49" s="61" t="s">
        <v>338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57"/>
      <c r="AI49" s="57"/>
      <c r="AJ49" s="57"/>
      <c r="AK49" s="57"/>
      <c r="AL49" s="57"/>
      <c r="AM49" s="57"/>
    </row>
    <row r="50" spans="1:39" x14ac:dyDescent="0.25">
      <c r="A50" s="61" t="s">
        <v>144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5">
        <f>(X44/O44)*100</f>
        <v>99.697142857142836</v>
      </c>
      <c r="Z50" s="61"/>
      <c r="AA50" s="61"/>
      <c r="AB50" s="61"/>
      <c r="AC50" s="61"/>
      <c r="AD50" s="61"/>
      <c r="AE50" s="61"/>
      <c r="AF50" s="61"/>
      <c r="AG50" s="61"/>
      <c r="AH50" s="57"/>
      <c r="AI50" s="57"/>
      <c r="AJ50" s="57"/>
      <c r="AK50" s="57"/>
      <c r="AL50" s="57"/>
      <c r="AM50" s="57"/>
    </row>
    <row r="51" spans="1:39" x14ac:dyDescent="0.25">
      <c r="A51" s="61" t="s">
        <v>145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5">
        <f t="shared" ref="Y51:Y53" si="36">(X45/O45)*100</f>
        <v>95.317142857142855</v>
      </c>
      <c r="Z51" s="63" t="s">
        <v>174</v>
      </c>
      <c r="AA51" s="62"/>
      <c r="AB51" s="62"/>
      <c r="AC51" s="62"/>
      <c r="AD51" s="62"/>
      <c r="AE51" s="61"/>
      <c r="AF51" s="62"/>
      <c r="AG51" s="61"/>
      <c r="AH51" s="57"/>
      <c r="AI51" s="57"/>
      <c r="AJ51" s="57"/>
      <c r="AK51" s="57"/>
      <c r="AL51" s="57"/>
      <c r="AM51" s="57"/>
    </row>
    <row r="52" spans="1:39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5">
        <f t="shared" si="36"/>
        <v>96.359999999999985</v>
      </c>
      <c r="Z52" s="61" t="s">
        <v>89</v>
      </c>
      <c r="AA52" s="62"/>
      <c r="AB52" s="62"/>
      <c r="AC52" s="62"/>
      <c r="AD52" s="64">
        <f>STDEV(Y50:Y53)</f>
        <v>2.018586425314151</v>
      </c>
      <c r="AE52" s="62" t="s">
        <v>88</v>
      </c>
      <c r="AF52" s="62"/>
      <c r="AG52" s="61"/>
      <c r="AH52" s="57"/>
      <c r="AI52" s="57"/>
      <c r="AJ52" s="57"/>
      <c r="AK52" s="57"/>
      <c r="AL52" s="57"/>
      <c r="AM52" s="57"/>
    </row>
    <row r="53" spans="1:39" x14ac:dyDescent="0.25">
      <c r="A53" s="61" t="s">
        <v>143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5">
        <f t="shared" si="36"/>
        <v>98.654285714285706</v>
      </c>
      <c r="Z53" s="61" t="s">
        <v>90</v>
      </c>
      <c r="AA53" s="62"/>
      <c r="AB53" s="62"/>
      <c r="AC53" s="62"/>
      <c r="AD53" s="65">
        <f>AVERAGE(Y50:Y53)</f>
        <v>97.507142857142838</v>
      </c>
      <c r="AE53" s="62" t="s">
        <v>9</v>
      </c>
      <c r="AF53" s="62"/>
      <c r="AG53" s="61"/>
      <c r="AH53" s="57"/>
      <c r="AI53" s="57"/>
      <c r="AJ53" s="57"/>
      <c r="AK53" s="57"/>
      <c r="AL53" s="57"/>
      <c r="AM53" s="57"/>
    </row>
    <row r="54" spans="1:39" ht="17.25" x14ac:dyDescent="0.25">
      <c r="A54" s="70" t="s">
        <v>339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 t="s">
        <v>104</v>
      </c>
      <c r="AA54" s="61"/>
      <c r="AB54" s="61"/>
      <c r="AC54" s="61">
        <v>3.1829999999999998</v>
      </c>
      <c r="AD54" s="66">
        <f>(AC54*AD52)/(AB55^0.5)</f>
        <v>3.212580295887471</v>
      </c>
      <c r="AE54" s="67" t="s">
        <v>92</v>
      </c>
      <c r="AF54" s="61"/>
      <c r="AG54" s="61"/>
      <c r="AH54" s="57"/>
      <c r="AI54" s="57"/>
      <c r="AJ54" s="57"/>
      <c r="AK54" s="57"/>
      <c r="AL54" s="57"/>
      <c r="AM54" s="57"/>
    </row>
    <row r="55" spans="1:39" x14ac:dyDescent="0.25">
      <c r="A55" s="70" t="s">
        <v>323</v>
      </c>
      <c r="B55" s="61"/>
      <c r="C55" s="61"/>
      <c r="D55" s="61"/>
      <c r="E55" s="61"/>
      <c r="F55" s="61"/>
      <c r="G55" s="61"/>
      <c r="H55" s="61"/>
      <c r="I55" s="68"/>
      <c r="J55" s="61"/>
      <c r="K55" s="61"/>
      <c r="L55" s="68" t="s">
        <v>24</v>
      </c>
      <c r="M55" s="61" t="s">
        <v>41</v>
      </c>
      <c r="N55" s="68" t="s">
        <v>24</v>
      </c>
      <c r="O55" s="68"/>
      <c r="P55" s="68"/>
      <c r="Q55" s="61"/>
      <c r="R55" s="68" t="s">
        <v>59</v>
      </c>
      <c r="S55" s="68" t="s">
        <v>60</v>
      </c>
      <c r="T55" s="61"/>
      <c r="U55" s="68"/>
      <c r="V55" s="61"/>
      <c r="W55" s="61"/>
      <c r="X55" s="68" t="s">
        <v>24</v>
      </c>
      <c r="Y55" s="61"/>
      <c r="Z55" s="61" t="s">
        <v>93</v>
      </c>
      <c r="AA55" s="61"/>
      <c r="AB55" s="62">
        <v>4</v>
      </c>
      <c r="AC55" s="61"/>
      <c r="AD55" s="61"/>
      <c r="AE55" s="68" t="s">
        <v>94</v>
      </c>
      <c r="AF55" s="69">
        <f>AD53-AD54</f>
        <v>94.294562561255361</v>
      </c>
      <c r="AG55" s="69">
        <f>AD53+AD54</f>
        <v>100.71972315303032</v>
      </c>
      <c r="AH55" s="57"/>
      <c r="AI55" s="57"/>
      <c r="AJ55" s="57"/>
      <c r="AK55" s="57"/>
      <c r="AL55" s="57"/>
      <c r="AM55" s="57"/>
    </row>
    <row r="56" spans="1:39" x14ac:dyDescent="0.25">
      <c r="A56" s="61"/>
      <c r="B56" s="62" t="s">
        <v>134</v>
      </c>
      <c r="C56" s="62" t="s">
        <v>138</v>
      </c>
      <c r="D56" s="62"/>
      <c r="E56" s="62" t="s">
        <v>51</v>
      </c>
      <c r="F56" s="61"/>
      <c r="G56" s="61"/>
      <c r="H56" s="61"/>
      <c r="I56" s="61"/>
      <c r="J56" s="61"/>
      <c r="K56" s="68" t="s">
        <v>24</v>
      </c>
      <c r="L56" s="68" t="s">
        <v>45</v>
      </c>
      <c r="M56" s="68" t="s">
        <v>84</v>
      </c>
      <c r="N56" s="68" t="s">
        <v>43</v>
      </c>
      <c r="O56" s="68" t="s">
        <v>10</v>
      </c>
      <c r="P56" s="68" t="s">
        <v>12</v>
      </c>
      <c r="Q56" s="68" t="s">
        <v>56</v>
      </c>
      <c r="R56" s="68" t="s">
        <v>10</v>
      </c>
      <c r="S56" s="68" t="s">
        <v>25</v>
      </c>
      <c r="T56" s="68" t="s">
        <v>14</v>
      </c>
      <c r="U56" s="68" t="s">
        <v>14</v>
      </c>
      <c r="V56" s="61"/>
      <c r="W56" s="61"/>
      <c r="X56" s="68" t="s">
        <v>43</v>
      </c>
      <c r="Y56" s="61"/>
      <c r="Z56" s="61"/>
      <c r="AA56" s="61"/>
      <c r="AB56" s="61"/>
      <c r="AC56" s="61"/>
      <c r="AD56" s="61"/>
      <c r="AE56" s="61"/>
      <c r="AF56" s="61"/>
      <c r="AG56" s="61"/>
      <c r="AH56" s="57"/>
      <c r="AI56" s="57"/>
      <c r="AJ56" s="57"/>
      <c r="AK56" s="57"/>
      <c r="AL56" s="57"/>
      <c r="AM56" s="57"/>
    </row>
    <row r="57" spans="1:39" x14ac:dyDescent="0.25">
      <c r="A57" s="62" t="s">
        <v>6</v>
      </c>
      <c r="B57" s="62" t="s">
        <v>113</v>
      </c>
      <c r="C57" s="62" t="s">
        <v>132</v>
      </c>
      <c r="D57" s="62" t="s">
        <v>135</v>
      </c>
      <c r="E57" s="62" t="s">
        <v>39</v>
      </c>
      <c r="F57" s="62" t="s">
        <v>109</v>
      </c>
      <c r="G57" s="62" t="s">
        <v>141</v>
      </c>
      <c r="H57" s="62" t="s">
        <v>19</v>
      </c>
      <c r="I57" s="68" t="s">
        <v>38</v>
      </c>
      <c r="J57" s="68" t="s">
        <v>38</v>
      </c>
      <c r="K57" s="68" t="s">
        <v>38</v>
      </c>
      <c r="L57" s="68" t="s">
        <v>30</v>
      </c>
      <c r="M57" s="68" t="s">
        <v>43</v>
      </c>
      <c r="N57" s="68" t="s">
        <v>30</v>
      </c>
      <c r="O57" s="68" t="s">
        <v>26</v>
      </c>
      <c r="P57" s="68" t="s">
        <v>31</v>
      </c>
      <c r="Q57" s="68" t="s">
        <v>57</v>
      </c>
      <c r="R57" s="68" t="s">
        <v>39</v>
      </c>
      <c r="S57" s="68" t="s">
        <v>39</v>
      </c>
      <c r="T57" s="68" t="s">
        <v>62</v>
      </c>
      <c r="U57" s="68" t="s">
        <v>62</v>
      </c>
      <c r="V57" s="68" t="s">
        <v>28</v>
      </c>
      <c r="W57" s="68" t="s">
        <v>33</v>
      </c>
      <c r="X57" s="68" t="s">
        <v>86</v>
      </c>
      <c r="Y57" s="63" t="s">
        <v>170</v>
      </c>
      <c r="Z57" s="62"/>
      <c r="AA57" s="62"/>
      <c r="AB57" s="62"/>
      <c r="AC57" s="62"/>
      <c r="AD57" s="61"/>
      <c r="AE57" s="62"/>
      <c r="AF57" s="61"/>
      <c r="AG57" s="61"/>
      <c r="AH57" s="57"/>
      <c r="AI57" s="57"/>
      <c r="AJ57" s="57"/>
      <c r="AK57" s="57"/>
      <c r="AL57" s="57"/>
      <c r="AM57" s="57"/>
    </row>
    <row r="58" spans="1:39" ht="17.25" x14ac:dyDescent="0.25">
      <c r="A58" s="62"/>
      <c r="B58" s="62" t="s">
        <v>11</v>
      </c>
      <c r="C58" s="62" t="s">
        <v>0</v>
      </c>
      <c r="D58" s="62" t="s">
        <v>0</v>
      </c>
      <c r="E58" s="62"/>
      <c r="F58" s="62" t="s">
        <v>20</v>
      </c>
      <c r="G58" s="62" t="s">
        <v>142</v>
      </c>
      <c r="H58" s="62" t="s">
        <v>0</v>
      </c>
      <c r="I58" s="68" t="s">
        <v>77</v>
      </c>
      <c r="J58" s="68" t="s">
        <v>23</v>
      </c>
      <c r="K58" s="68" t="s">
        <v>27</v>
      </c>
      <c r="L58" s="68" t="s">
        <v>13</v>
      </c>
      <c r="M58" s="68" t="s">
        <v>11</v>
      </c>
      <c r="N58" s="68" t="s">
        <v>13</v>
      </c>
      <c r="O58" s="68" t="s">
        <v>13</v>
      </c>
      <c r="P58" s="68" t="s">
        <v>4</v>
      </c>
      <c r="Q58" s="68"/>
      <c r="R58" s="68" t="s">
        <v>61</v>
      </c>
      <c r="S58" s="68" t="s">
        <v>61</v>
      </c>
      <c r="T58" s="68" t="s">
        <v>61</v>
      </c>
      <c r="U58" s="68" t="s">
        <v>76</v>
      </c>
      <c r="V58" s="68" t="s">
        <v>85</v>
      </c>
      <c r="W58" s="68" t="s">
        <v>85</v>
      </c>
      <c r="X58" s="68" t="s">
        <v>13</v>
      </c>
      <c r="Y58" s="61" t="s">
        <v>89</v>
      </c>
      <c r="Z58" s="62"/>
      <c r="AA58" s="62"/>
      <c r="AB58" s="62"/>
      <c r="AC58" s="64">
        <f>STDEV(W59:W62)</f>
        <v>0.65574385243019906</v>
      </c>
      <c r="AD58" s="62" t="s">
        <v>88</v>
      </c>
      <c r="AE58" s="62"/>
      <c r="AF58" s="61"/>
      <c r="AG58" s="61"/>
      <c r="AH58" s="57"/>
      <c r="AI58" s="57"/>
      <c r="AJ58" s="57"/>
      <c r="AK58" s="57"/>
      <c r="AL58" s="57"/>
      <c r="AM58" s="57"/>
    </row>
    <row r="59" spans="1:39" x14ac:dyDescent="0.25">
      <c r="A59" s="62">
        <v>35</v>
      </c>
      <c r="B59" s="62">
        <v>50</v>
      </c>
      <c r="C59" s="62">
        <v>1.5</v>
      </c>
      <c r="D59" s="62">
        <v>0</v>
      </c>
      <c r="E59" s="71">
        <v>42807.52847222222</v>
      </c>
      <c r="F59" s="62">
        <v>35</v>
      </c>
      <c r="G59" s="62">
        <v>3</v>
      </c>
      <c r="H59" s="62">
        <f>C59+D59+F59</f>
        <v>36.5</v>
      </c>
      <c r="I59" s="62">
        <v>1973</v>
      </c>
      <c r="J59" s="62">
        <f t="shared" ref="J59:J62" si="37">I59/1000</f>
        <v>1.9730000000000001</v>
      </c>
      <c r="K59" s="66">
        <f t="shared" ref="K59:K62" si="38">(J59/1000000)*(1/22.71)*(44.01)*(1000000)</f>
        <v>3.8235019815059439</v>
      </c>
      <c r="L59" s="64">
        <f t="shared" ref="L59:L62" si="39">(K59)*(1/44.01)*(2*14*24.4)/(1000000)</f>
        <v>5.9355068251871403E-5</v>
      </c>
      <c r="M59" s="62">
        <v>4.7299999999999998E-3</v>
      </c>
      <c r="N59" s="66">
        <f t="shared" ref="N59:N62" si="40">(M59)*(1/44.01)*(2*14)*(0.0365)</f>
        <v>1.0984003635537377E-4</v>
      </c>
      <c r="O59" s="62">
        <f t="shared" ref="O59:O62" si="41">(B59*F59/1000)</f>
        <v>1.75</v>
      </c>
      <c r="P59" s="73">
        <f t="shared" ref="P59:P62" si="42">((L59+N59)/(O59))*100</f>
        <v>9.6682916918425805E-3</v>
      </c>
      <c r="Q59" s="71">
        <v>42808.51666666667</v>
      </c>
      <c r="R59" s="72">
        <f t="shared" ref="R59:R62" si="43">(E59)</f>
        <v>42807.52847222222</v>
      </c>
      <c r="S59" s="72">
        <f t="shared" ref="S59:S62" si="44">(Q59)</f>
        <v>42808.51666666667</v>
      </c>
      <c r="T59" s="72">
        <f t="shared" ref="T59:T62" si="45">(S59-R59)</f>
        <v>0.98819444444961846</v>
      </c>
      <c r="U59" s="72">
        <f t="shared" ref="U59:U62" si="46">T59*24</f>
        <v>23.716666666790843</v>
      </c>
      <c r="V59" s="62">
        <v>0</v>
      </c>
      <c r="W59" s="62">
        <v>49.2</v>
      </c>
      <c r="X59" s="72">
        <f>(V59+W59)*(0.0365)</f>
        <v>1.7958000000000001</v>
      </c>
      <c r="Y59" s="61" t="s">
        <v>90</v>
      </c>
      <c r="Z59" s="62"/>
      <c r="AA59" s="62"/>
      <c r="AB59" s="62"/>
      <c r="AC59" s="65">
        <f>AVERAGE(W59:W62)</f>
        <v>48.65</v>
      </c>
      <c r="AD59" s="62" t="s">
        <v>9</v>
      </c>
      <c r="AE59" s="62"/>
      <c r="AF59" s="61"/>
      <c r="AG59" s="61"/>
      <c r="AH59" s="57"/>
      <c r="AI59" s="57"/>
      <c r="AJ59" s="57"/>
      <c r="AK59" s="57"/>
      <c r="AL59" s="57"/>
      <c r="AM59" s="57"/>
    </row>
    <row r="60" spans="1:39" x14ac:dyDescent="0.25">
      <c r="A60" s="62">
        <v>36</v>
      </c>
      <c r="B60" s="62">
        <v>50</v>
      </c>
      <c r="C60" s="62">
        <v>1</v>
      </c>
      <c r="D60" s="62">
        <v>0.5</v>
      </c>
      <c r="E60" s="71">
        <v>42807.52847222222</v>
      </c>
      <c r="F60" s="62">
        <v>35</v>
      </c>
      <c r="G60" s="62">
        <v>2</v>
      </c>
      <c r="H60" s="62">
        <f t="shared" ref="H60:H62" si="47">C60+D60+F60</f>
        <v>36.5</v>
      </c>
      <c r="I60" s="62">
        <v>1981</v>
      </c>
      <c r="J60" s="62">
        <f t="shared" si="37"/>
        <v>1.9810000000000001</v>
      </c>
      <c r="K60" s="66">
        <f t="shared" si="38"/>
        <v>3.8390052840158515</v>
      </c>
      <c r="L60" s="64">
        <f t="shared" si="39"/>
        <v>5.9595737560545998E-5</v>
      </c>
      <c r="M60" s="62">
        <v>4.7499999999999999E-3</v>
      </c>
      <c r="N60" s="66">
        <f t="shared" si="40"/>
        <v>1.1030447625539648E-4</v>
      </c>
      <c r="O60" s="62">
        <f t="shared" si="41"/>
        <v>1.75</v>
      </c>
      <c r="P60" s="73">
        <f t="shared" si="42"/>
        <v>9.7085836466252844E-3</v>
      </c>
      <c r="Q60" s="71">
        <v>42808.520138888889</v>
      </c>
      <c r="R60" s="72">
        <f t="shared" si="43"/>
        <v>42807.52847222222</v>
      </c>
      <c r="S60" s="72">
        <f t="shared" si="44"/>
        <v>42808.520138888889</v>
      </c>
      <c r="T60" s="72">
        <f t="shared" si="45"/>
        <v>0.99166666666860692</v>
      </c>
      <c r="U60" s="72">
        <f t="shared" si="46"/>
        <v>23.800000000046566</v>
      </c>
      <c r="V60" s="62">
        <v>0</v>
      </c>
      <c r="W60" s="62">
        <v>47.7</v>
      </c>
      <c r="X60" s="72">
        <f t="shared" ref="X60:X63" si="48">(V60+W60)*(0.0365)</f>
        <v>1.74105</v>
      </c>
      <c r="Y60" s="61" t="s">
        <v>104</v>
      </c>
      <c r="Z60" s="61"/>
      <c r="AA60" s="61"/>
      <c r="AB60" s="61">
        <v>3.1829999999999998</v>
      </c>
      <c r="AC60" s="66">
        <f>(AB60*AC58)/(AA61^0.5)</f>
        <v>1.0436163411426618</v>
      </c>
      <c r="AD60" s="67" t="s">
        <v>92</v>
      </c>
      <c r="AE60" s="61"/>
      <c r="AF60" s="61"/>
      <c r="AG60" s="61"/>
      <c r="AH60" s="57"/>
      <c r="AI60" s="57"/>
      <c r="AJ60" s="57"/>
      <c r="AK60" s="57"/>
      <c r="AL60" s="57"/>
      <c r="AM60" s="57"/>
    </row>
    <row r="61" spans="1:39" x14ac:dyDescent="0.25">
      <c r="A61" s="62">
        <v>37</v>
      </c>
      <c r="B61" s="62">
        <v>50</v>
      </c>
      <c r="C61" s="62">
        <v>0.5</v>
      </c>
      <c r="D61" s="62">
        <v>1</v>
      </c>
      <c r="E61" s="71">
        <v>42807.52847222222</v>
      </c>
      <c r="F61" s="62">
        <v>35</v>
      </c>
      <c r="G61" s="62">
        <v>1</v>
      </c>
      <c r="H61" s="62">
        <f t="shared" si="47"/>
        <v>36.5</v>
      </c>
      <c r="I61" s="62">
        <v>1959</v>
      </c>
      <c r="J61" s="62">
        <f t="shared" si="37"/>
        <v>1.9590000000000001</v>
      </c>
      <c r="K61" s="66">
        <f t="shared" si="38"/>
        <v>3.7963712021136065</v>
      </c>
      <c r="L61" s="64">
        <f t="shared" si="39"/>
        <v>5.8933896961690875E-5</v>
      </c>
      <c r="M61" s="62">
        <v>4.7000000000000002E-3</v>
      </c>
      <c r="N61" s="66">
        <f t="shared" si="40"/>
        <v>1.0914337650533969E-4</v>
      </c>
      <c r="O61" s="62">
        <f t="shared" si="41"/>
        <v>1.75</v>
      </c>
      <c r="P61" s="73">
        <f t="shared" si="42"/>
        <v>9.6044156266874622E-3</v>
      </c>
      <c r="Q61" s="71">
        <v>42808.524305555555</v>
      </c>
      <c r="R61" s="72">
        <f t="shared" si="43"/>
        <v>42807.52847222222</v>
      </c>
      <c r="S61" s="72">
        <f t="shared" si="44"/>
        <v>42808.524305555555</v>
      </c>
      <c r="T61" s="72">
        <f t="shared" si="45"/>
        <v>0.99583333333430346</v>
      </c>
      <c r="U61" s="72">
        <f t="shared" si="46"/>
        <v>23.900000000023283</v>
      </c>
      <c r="V61" s="62">
        <v>0</v>
      </c>
      <c r="W61" s="62">
        <v>48.8</v>
      </c>
      <c r="X61" s="72">
        <f t="shared" si="48"/>
        <v>1.7811999999999999</v>
      </c>
      <c r="Y61" s="61" t="s">
        <v>93</v>
      </c>
      <c r="Z61" s="61"/>
      <c r="AA61" s="62">
        <v>4</v>
      </c>
      <c r="AB61" s="61"/>
      <c r="AC61" s="61"/>
      <c r="AD61" s="68" t="s">
        <v>94</v>
      </c>
      <c r="AE61" s="69">
        <f>AC59-AC60</f>
        <v>47.606383658857339</v>
      </c>
      <c r="AF61" s="69">
        <f>AC59+AC60</f>
        <v>49.693616341142658</v>
      </c>
      <c r="AG61" s="61"/>
      <c r="AH61" s="57"/>
      <c r="AI61" s="57"/>
      <c r="AJ61" s="57"/>
      <c r="AK61" s="57"/>
      <c r="AL61" s="57"/>
      <c r="AM61" s="57"/>
    </row>
    <row r="62" spans="1:39" x14ac:dyDescent="0.25">
      <c r="A62" s="62">
        <v>38</v>
      </c>
      <c r="B62" s="62">
        <v>50</v>
      </c>
      <c r="C62" s="62">
        <v>0</v>
      </c>
      <c r="D62" s="62">
        <v>1.5</v>
      </c>
      <c r="E62" s="71">
        <v>42807.52847222222</v>
      </c>
      <c r="F62" s="62">
        <v>35</v>
      </c>
      <c r="G62" s="62">
        <v>0</v>
      </c>
      <c r="H62" s="62">
        <f t="shared" si="47"/>
        <v>36.5</v>
      </c>
      <c r="I62" s="62">
        <v>2021</v>
      </c>
      <c r="J62" s="62">
        <f t="shared" si="37"/>
        <v>2.0209999999999999</v>
      </c>
      <c r="K62" s="66">
        <f t="shared" si="38"/>
        <v>3.9165217965653882</v>
      </c>
      <c r="L62" s="64">
        <f t="shared" si="39"/>
        <v>6.079908410391895E-5</v>
      </c>
      <c r="M62" s="62">
        <v>4.8500000000000001E-3</v>
      </c>
      <c r="N62" s="66">
        <f t="shared" si="40"/>
        <v>1.1262667575551009E-4</v>
      </c>
      <c r="O62" s="62">
        <f t="shared" si="41"/>
        <v>1.75</v>
      </c>
      <c r="P62" s="73">
        <f t="shared" si="42"/>
        <v>9.910043420538802E-3</v>
      </c>
      <c r="Q62" s="71">
        <v>42808.527777777781</v>
      </c>
      <c r="R62" s="72">
        <f t="shared" si="43"/>
        <v>42807.52847222222</v>
      </c>
      <c r="S62" s="72">
        <f t="shared" si="44"/>
        <v>42808.527777777781</v>
      </c>
      <c r="T62" s="72">
        <f t="shared" si="45"/>
        <v>0.99930555556056788</v>
      </c>
      <c r="U62" s="72">
        <f t="shared" si="46"/>
        <v>23.983333333453629</v>
      </c>
      <c r="V62" s="62">
        <v>0</v>
      </c>
      <c r="W62" s="62">
        <v>48.9</v>
      </c>
      <c r="X62" s="72">
        <f t="shared" si="48"/>
        <v>1.7848499999999998</v>
      </c>
      <c r="Y62" s="61"/>
      <c r="Z62" s="61"/>
      <c r="AA62" s="61"/>
      <c r="AB62" s="61"/>
      <c r="AC62" s="61"/>
      <c r="AD62" s="61"/>
      <c r="AE62" s="61"/>
      <c r="AF62" s="61"/>
      <c r="AG62" s="61"/>
      <c r="AH62" s="57"/>
      <c r="AI62" s="57"/>
      <c r="AJ62" s="57"/>
      <c r="AK62" s="57"/>
      <c r="AL62" s="57"/>
      <c r="AM62" s="57"/>
    </row>
    <row r="63" spans="1:39" x14ac:dyDescent="0.25">
      <c r="A63" s="61" t="s">
        <v>136</v>
      </c>
      <c r="B63" s="61"/>
      <c r="C63" s="61"/>
      <c r="D63" s="61"/>
      <c r="E63" s="61"/>
      <c r="F63" s="61"/>
      <c r="G63" s="61"/>
      <c r="H63" s="61"/>
      <c r="I63" s="76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74">
        <f>AVERAGE(V59:V62)</f>
        <v>0</v>
      </c>
      <c r="W63" s="74">
        <f>AVERAGE(W59:W62)</f>
        <v>48.65</v>
      </c>
      <c r="X63" s="74">
        <f t="shared" si="48"/>
        <v>1.7757249999999998</v>
      </c>
      <c r="Y63" s="75">
        <f>(X63/O62)*100</f>
        <v>101.47</v>
      </c>
      <c r="Z63" s="76" t="s">
        <v>169</v>
      </c>
      <c r="AA63" s="61"/>
      <c r="AB63" s="61"/>
      <c r="AC63" s="61"/>
      <c r="AD63" s="61"/>
      <c r="AE63" s="61"/>
      <c r="AF63" s="61"/>
      <c r="AG63" s="61"/>
      <c r="AH63" s="57"/>
      <c r="AI63" s="57"/>
      <c r="AJ63" s="57"/>
      <c r="AK63" s="57"/>
      <c r="AL63" s="57"/>
      <c r="AM63" s="57"/>
    </row>
    <row r="64" spans="1:39" x14ac:dyDescent="0.25">
      <c r="A64" s="61" t="s">
        <v>137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/>
      <c r="AI64" s="57"/>
      <c r="AJ64" s="57"/>
      <c r="AK64" s="57"/>
      <c r="AL64" s="57"/>
      <c r="AM64" s="57"/>
    </row>
    <row r="65" spans="1:39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5">
        <f>(X59/O59)*100</f>
        <v>102.61714285714285</v>
      </c>
      <c r="Z65" s="61"/>
      <c r="AA65" s="61"/>
      <c r="AB65" s="61"/>
      <c r="AC65" s="61"/>
      <c r="AD65" s="61"/>
      <c r="AE65" s="61"/>
      <c r="AF65" s="61"/>
      <c r="AG65" s="61"/>
      <c r="AH65" s="57"/>
      <c r="AI65" s="57"/>
      <c r="AJ65" s="57"/>
      <c r="AK65" s="57"/>
      <c r="AL65" s="57"/>
      <c r="AM65" s="57"/>
    </row>
    <row r="66" spans="1:39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5">
        <f t="shared" ref="Y66:Y68" si="49">(X60/O60)*100</f>
        <v>99.488571428571433</v>
      </c>
      <c r="Z66" s="63" t="s">
        <v>174</v>
      </c>
      <c r="AA66" s="62"/>
      <c r="AB66" s="62"/>
      <c r="AC66" s="62"/>
      <c r="AD66" s="62"/>
      <c r="AE66" s="61"/>
      <c r="AF66" s="62"/>
      <c r="AG66" s="61"/>
      <c r="AH66" s="57"/>
      <c r="AI66" s="57"/>
      <c r="AJ66" s="57"/>
      <c r="AK66" s="57"/>
      <c r="AL66" s="57"/>
      <c r="AM66" s="57"/>
    </row>
    <row r="67" spans="1:39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5">
        <f t="shared" si="49"/>
        <v>101.78285714285713</v>
      </c>
      <c r="Z67" s="61" t="s">
        <v>89</v>
      </c>
      <c r="AA67" s="62"/>
      <c r="AB67" s="62"/>
      <c r="AC67" s="62"/>
      <c r="AD67" s="64">
        <f>STDEV(Y65:Y68)</f>
        <v>1.3676943207829819</v>
      </c>
      <c r="AE67" s="62" t="s">
        <v>88</v>
      </c>
      <c r="AF67" s="62"/>
      <c r="AG67" s="61"/>
      <c r="AH67" s="57"/>
      <c r="AI67" s="57"/>
      <c r="AJ67" s="57"/>
      <c r="AK67" s="57"/>
      <c r="AL67" s="57"/>
      <c r="AM67" s="57"/>
    </row>
    <row r="68" spans="1:39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5">
        <f t="shared" si="49"/>
        <v>101.99142857142856</v>
      </c>
      <c r="Z68" s="61" t="s">
        <v>90</v>
      </c>
      <c r="AA68" s="62"/>
      <c r="AB68" s="62"/>
      <c r="AC68" s="62"/>
      <c r="AD68" s="65">
        <f>AVERAGE(Y65:Y68)</f>
        <v>101.46999999999998</v>
      </c>
      <c r="AE68" s="62" t="s">
        <v>9</v>
      </c>
      <c r="AF68" s="62"/>
      <c r="AG68" s="61"/>
      <c r="AH68" s="57"/>
      <c r="AI68" s="57"/>
      <c r="AJ68" s="57"/>
      <c r="AK68" s="57"/>
      <c r="AL68" s="57"/>
      <c r="AM68" s="57"/>
    </row>
    <row r="69" spans="1:39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 t="s">
        <v>104</v>
      </c>
      <c r="AA69" s="61"/>
      <c r="AB69" s="61"/>
      <c r="AC69" s="61">
        <v>3.1829999999999998</v>
      </c>
      <c r="AD69" s="66">
        <f>(AC69*AD67)/(AB70^0.5)</f>
        <v>2.1766855115261157</v>
      </c>
      <c r="AE69" s="67" t="s">
        <v>92</v>
      </c>
      <c r="AF69" s="61"/>
      <c r="AG69" s="61"/>
      <c r="AH69" s="57"/>
      <c r="AI69" s="57"/>
      <c r="AJ69" s="57"/>
      <c r="AK69" s="57"/>
      <c r="AL69" s="57"/>
      <c r="AM69" s="57"/>
    </row>
    <row r="70" spans="1:39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 t="s">
        <v>93</v>
      </c>
      <c r="AA70" s="61"/>
      <c r="AB70" s="62">
        <v>4</v>
      </c>
      <c r="AC70" s="61"/>
      <c r="AD70" s="61"/>
      <c r="AE70" s="68" t="s">
        <v>94</v>
      </c>
      <c r="AF70" s="69">
        <f>AD68-AD69</f>
        <v>99.293314488473868</v>
      </c>
      <c r="AG70" s="69">
        <f>AD68+AD69</f>
        <v>103.6466855115261</v>
      </c>
      <c r="AH70" s="57"/>
      <c r="AI70" s="57"/>
      <c r="AJ70" s="57"/>
      <c r="AK70" s="57"/>
      <c r="AL70" s="57"/>
      <c r="AM70" s="57"/>
    </row>
    <row r="71" spans="1:39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</row>
  </sheetData>
  <pageMargins left="0.7" right="0.7" top="0.75" bottom="0.75" header="0.3" footer="0.3"/>
  <pageSetup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2"/>
  <sheetViews>
    <sheetView topLeftCell="W1" zoomScale="80" zoomScaleNormal="80" workbookViewId="0">
      <selection activeCell="AI20" sqref="AI20"/>
    </sheetView>
  </sheetViews>
  <sheetFormatPr defaultRowHeight="15" x14ac:dyDescent="0.25"/>
  <cols>
    <col min="1" max="2" width="11.28515625" customWidth="1"/>
    <col min="4" max="4" width="13.140625" customWidth="1"/>
    <col min="5" max="5" width="20.28515625" customWidth="1"/>
    <col min="6" max="6" width="14" customWidth="1"/>
    <col min="7" max="7" width="12.28515625" customWidth="1"/>
    <col min="8" max="8" width="14.28515625" customWidth="1"/>
    <col min="9" max="9" width="16.7109375" customWidth="1"/>
    <col min="10" max="10" width="12.85546875" customWidth="1"/>
    <col min="11" max="11" width="14.7109375" customWidth="1"/>
    <col min="12" max="12" width="12.42578125" customWidth="1"/>
    <col min="13" max="13" width="18.42578125" customWidth="1"/>
    <col min="14" max="14" width="14.7109375" customWidth="1"/>
    <col min="15" max="15" width="10.5703125" customWidth="1"/>
    <col min="16" max="16" width="11.28515625" customWidth="1"/>
    <col min="17" max="17" width="17.5703125" customWidth="1"/>
    <col min="18" max="18" width="12.28515625" customWidth="1"/>
    <col min="19" max="19" width="14.42578125" customWidth="1"/>
    <col min="20" max="20" width="11.7109375" customWidth="1"/>
    <col min="21" max="21" width="14.7109375" customWidth="1"/>
    <col min="22" max="22" width="15" customWidth="1"/>
    <col min="23" max="23" width="19.85546875" customWidth="1"/>
    <col min="24" max="24" width="20.42578125" customWidth="1"/>
    <col min="25" max="25" width="22.5703125" customWidth="1"/>
    <col min="26" max="26" width="22.28515625" customWidth="1"/>
    <col min="27" max="27" width="25.5703125" customWidth="1"/>
    <col min="28" max="28" width="14.85546875" customWidth="1"/>
    <col min="31" max="31" width="10.5703125" customWidth="1"/>
    <col min="32" max="32" width="20" customWidth="1"/>
    <col min="33" max="33" width="10.85546875" customWidth="1"/>
  </cols>
  <sheetData>
    <row r="1" spans="1:48" x14ac:dyDescent="0.25">
      <c r="A1" s="76" t="s">
        <v>320</v>
      </c>
      <c r="B1" s="61"/>
      <c r="C1" s="61"/>
      <c r="D1" s="61"/>
      <c r="E1" s="61"/>
      <c r="F1" s="61"/>
      <c r="G1" s="61"/>
      <c r="H1" s="61"/>
      <c r="I1" s="76"/>
      <c r="J1" s="76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76"/>
      <c r="X1" s="61"/>
      <c r="Y1" s="61"/>
      <c r="Z1" s="61"/>
      <c r="AA1" s="61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</row>
    <row r="2" spans="1:48" x14ac:dyDescent="0.25">
      <c r="A2" s="76"/>
      <c r="B2" s="61"/>
      <c r="C2" s="61"/>
      <c r="D2" s="61"/>
      <c r="E2" s="61"/>
      <c r="F2" s="61"/>
      <c r="G2" s="61"/>
      <c r="H2" s="61"/>
      <c r="I2" s="76"/>
      <c r="J2" s="76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2"/>
      <c r="Y2" s="61"/>
      <c r="Z2" s="61"/>
      <c r="AA2" s="61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</row>
    <row r="3" spans="1:48" x14ac:dyDescent="0.25">
      <c r="A3" s="61" t="s">
        <v>206</v>
      </c>
      <c r="B3" s="61"/>
      <c r="C3" s="61"/>
      <c r="D3" s="61"/>
      <c r="E3" s="61"/>
      <c r="F3" s="61"/>
      <c r="G3" s="61"/>
      <c r="H3" s="61"/>
      <c r="I3" s="77"/>
      <c r="J3" s="77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2"/>
      <c r="Y3" s="61"/>
      <c r="Z3" s="61"/>
      <c r="AA3" s="61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8" x14ac:dyDescent="0.25">
      <c r="A4" s="61" t="s">
        <v>209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2"/>
      <c r="Y4" s="62"/>
      <c r="Z4" s="61"/>
      <c r="AA4" s="61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8" x14ac:dyDescent="0.25">
      <c r="A5" s="61" t="s">
        <v>340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62"/>
      <c r="Y5" s="62"/>
      <c r="Z5" s="61"/>
      <c r="AA5" s="61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</row>
    <row r="6" spans="1:48" x14ac:dyDescent="0.25">
      <c r="A6" s="61" t="s">
        <v>341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8" t="s">
        <v>24</v>
      </c>
      <c r="M6" s="61" t="s">
        <v>41</v>
      </c>
      <c r="N6" s="68" t="s">
        <v>24</v>
      </c>
      <c r="O6" s="68"/>
      <c r="P6" s="68" t="s">
        <v>282</v>
      </c>
      <c r="Q6" s="61"/>
      <c r="R6" s="68" t="s">
        <v>59</v>
      </c>
      <c r="S6" s="68" t="s">
        <v>60</v>
      </c>
      <c r="T6" s="61"/>
      <c r="U6" s="68"/>
      <c r="V6" s="61"/>
      <c r="W6" s="62"/>
      <c r="X6" s="62"/>
      <c r="Y6" s="62"/>
      <c r="Z6" s="61"/>
      <c r="AA6" s="61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</row>
    <row r="7" spans="1:48" x14ac:dyDescent="0.25">
      <c r="A7" s="61"/>
      <c r="B7" s="61"/>
      <c r="C7" s="62" t="s">
        <v>40</v>
      </c>
      <c r="D7" s="62" t="s">
        <v>51</v>
      </c>
      <c r="E7" s="62" t="s">
        <v>51</v>
      </c>
      <c r="F7" s="61"/>
      <c r="G7" s="61"/>
      <c r="H7" s="61"/>
      <c r="I7" s="68"/>
      <c r="J7" s="68"/>
      <c r="K7" s="68" t="s">
        <v>24</v>
      </c>
      <c r="L7" s="68" t="s">
        <v>45</v>
      </c>
      <c r="M7" s="68" t="s">
        <v>84</v>
      </c>
      <c r="N7" s="68" t="s">
        <v>43</v>
      </c>
      <c r="O7" s="68" t="s">
        <v>10</v>
      </c>
      <c r="P7" s="68" t="s">
        <v>12</v>
      </c>
      <c r="Q7" s="68" t="s">
        <v>56</v>
      </c>
      <c r="R7" s="68" t="s">
        <v>10</v>
      </c>
      <c r="S7" s="68" t="s">
        <v>25</v>
      </c>
      <c r="T7" s="68" t="s">
        <v>14</v>
      </c>
      <c r="U7" s="68" t="s">
        <v>14</v>
      </c>
      <c r="V7" s="61"/>
      <c r="W7" s="62"/>
      <c r="X7" s="62"/>
      <c r="Y7" s="62"/>
      <c r="Z7" s="61"/>
      <c r="AA7" s="61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</row>
    <row r="8" spans="1:48" x14ac:dyDescent="0.25">
      <c r="A8" s="62" t="s">
        <v>6</v>
      </c>
      <c r="B8" s="62" t="s">
        <v>17</v>
      </c>
      <c r="C8" s="62" t="s">
        <v>69</v>
      </c>
      <c r="D8" s="62" t="s">
        <v>50</v>
      </c>
      <c r="E8" s="62" t="s">
        <v>39</v>
      </c>
      <c r="F8" s="62" t="s">
        <v>21</v>
      </c>
      <c r="G8" s="62" t="s">
        <v>3</v>
      </c>
      <c r="H8" s="62" t="s">
        <v>19</v>
      </c>
      <c r="I8" s="68" t="s">
        <v>38</v>
      </c>
      <c r="J8" s="68" t="s">
        <v>38</v>
      </c>
      <c r="K8" s="68" t="s">
        <v>38</v>
      </c>
      <c r="L8" s="68" t="s">
        <v>30</v>
      </c>
      <c r="M8" s="68" t="s">
        <v>43</v>
      </c>
      <c r="N8" s="68" t="s">
        <v>30</v>
      </c>
      <c r="O8" s="68" t="s">
        <v>26</v>
      </c>
      <c r="P8" s="68" t="s">
        <v>31</v>
      </c>
      <c r="Q8" s="68" t="s">
        <v>57</v>
      </c>
      <c r="R8" s="68" t="s">
        <v>39</v>
      </c>
      <c r="S8" s="68" t="s">
        <v>39</v>
      </c>
      <c r="T8" s="68" t="s">
        <v>62</v>
      </c>
      <c r="U8" s="68" t="s">
        <v>62</v>
      </c>
      <c r="V8" s="61"/>
      <c r="W8" s="62"/>
      <c r="X8" s="65"/>
      <c r="Y8" s="61"/>
      <c r="Z8" s="61"/>
      <c r="AA8" s="61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</row>
    <row r="9" spans="1:48" ht="17.25" x14ac:dyDescent="0.25">
      <c r="A9" s="62"/>
      <c r="B9" s="62" t="s">
        <v>11</v>
      </c>
      <c r="C9" s="62" t="s">
        <v>5</v>
      </c>
      <c r="D9" s="62"/>
      <c r="E9" s="62"/>
      <c r="F9" s="62" t="s">
        <v>20</v>
      </c>
      <c r="G9" s="62" t="s">
        <v>0</v>
      </c>
      <c r="H9" s="62" t="s">
        <v>0</v>
      </c>
      <c r="I9" s="68" t="s">
        <v>77</v>
      </c>
      <c r="J9" s="68" t="s">
        <v>23</v>
      </c>
      <c r="K9" s="68" t="s">
        <v>27</v>
      </c>
      <c r="L9" s="68" t="s">
        <v>13</v>
      </c>
      <c r="M9" s="68" t="s">
        <v>11</v>
      </c>
      <c r="N9" s="68" t="s">
        <v>13</v>
      </c>
      <c r="O9" s="68" t="s">
        <v>13</v>
      </c>
      <c r="P9" s="68" t="s">
        <v>4</v>
      </c>
      <c r="Q9" s="68"/>
      <c r="R9" s="68" t="s">
        <v>61</v>
      </c>
      <c r="S9" s="68" t="s">
        <v>61</v>
      </c>
      <c r="T9" s="68" t="s">
        <v>61</v>
      </c>
      <c r="U9" s="68" t="s">
        <v>76</v>
      </c>
      <c r="V9" s="61"/>
      <c r="W9" s="61"/>
      <c r="X9" s="65"/>
      <c r="Y9" s="61"/>
      <c r="Z9" s="76"/>
      <c r="AA9" s="61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</row>
    <row r="10" spans="1:48" x14ac:dyDescent="0.25">
      <c r="A10" s="62" t="s">
        <v>207</v>
      </c>
      <c r="B10" s="62">
        <v>50</v>
      </c>
      <c r="C10" s="64">
        <f>S75</f>
        <v>0</v>
      </c>
      <c r="D10" s="78">
        <v>43024</v>
      </c>
      <c r="E10" s="71">
        <v>43024.375</v>
      </c>
      <c r="F10" s="72">
        <v>35</v>
      </c>
      <c r="G10" s="72">
        <v>1.5</v>
      </c>
      <c r="H10" s="72">
        <f>F10+G10</f>
        <v>36.5</v>
      </c>
      <c r="I10" s="72">
        <f>S23</f>
        <v>16646000</v>
      </c>
      <c r="J10" s="65">
        <f>I10/1000</f>
        <v>16646</v>
      </c>
      <c r="K10" s="65">
        <f>(J10/1000000)*(1/22.71)*(44.01)*(1000000)</f>
        <v>32258.496697490085</v>
      </c>
      <c r="L10" s="66">
        <f>(K10)*(1/44.01)*(2*14*24.4)/(1000000)</f>
        <v>0.50077266402465859</v>
      </c>
      <c r="M10" s="64">
        <v>39.9</v>
      </c>
      <c r="N10" s="66">
        <f>(M10)*(1/44.01)*(2*14)*(0.0365)</f>
        <v>0.92655760054533054</v>
      </c>
      <c r="O10" s="62">
        <f t="shared" ref="O10" si="0">(B10*F10/1000)</f>
        <v>1.75</v>
      </c>
      <c r="P10" s="75">
        <f>((L10+N10)/(O10))*100</f>
        <v>81.561729403999379</v>
      </c>
      <c r="Q10" s="71">
        <v>43025.375</v>
      </c>
      <c r="R10" s="72">
        <f t="shared" ref="R10:R16" si="1">(E10)</f>
        <v>43024.375</v>
      </c>
      <c r="S10" s="72">
        <f>(Q10)</f>
        <v>43025.375</v>
      </c>
      <c r="T10" s="72">
        <f>(S10-R10)</f>
        <v>1</v>
      </c>
      <c r="U10" s="72">
        <f>T10*24</f>
        <v>24</v>
      </c>
      <c r="V10" s="61"/>
      <c r="W10" s="61"/>
      <c r="X10" s="61"/>
      <c r="Y10" s="64"/>
      <c r="Z10" s="76"/>
      <c r="AA10" s="61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</row>
    <row r="11" spans="1:48" x14ac:dyDescent="0.25">
      <c r="A11" s="62" t="s">
        <v>208</v>
      </c>
      <c r="B11" s="62">
        <v>50</v>
      </c>
      <c r="C11" s="64">
        <f>S76</f>
        <v>0</v>
      </c>
      <c r="D11" s="78">
        <v>43024</v>
      </c>
      <c r="E11" s="71">
        <v>43024.375</v>
      </c>
      <c r="F11" s="72">
        <v>35</v>
      </c>
      <c r="G11" s="72">
        <v>1.5</v>
      </c>
      <c r="H11" s="72">
        <f t="shared" ref="H11:H13" si="2">F11+G11</f>
        <v>36.5</v>
      </c>
      <c r="I11" s="72">
        <f>S24</f>
        <v>17254000</v>
      </c>
      <c r="J11" s="65">
        <f t="shared" ref="J11:J13" si="3">I11/1000</f>
        <v>17254</v>
      </c>
      <c r="K11" s="65">
        <f t="shared" ref="K11:K13" si="4">(J11/1000000)*(1/22.71)*(44.01)*(1000000)</f>
        <v>33436.747688243056</v>
      </c>
      <c r="L11" s="66">
        <f t="shared" ref="L11:L13" si="5">(K11)*(1/44.01)*(2*14*24.4)/(1000000)</f>
        <v>0.51906353148392759</v>
      </c>
      <c r="M11" s="64">
        <v>41.38</v>
      </c>
      <c r="N11" s="66">
        <f t="shared" ref="N11:N13" si="6">(M11)*(1/44.01)*(2*14)*(0.0365)</f>
        <v>0.96092615314701191</v>
      </c>
      <c r="O11" s="62">
        <f t="shared" ref="O11:O13" si="7">(B11*F11/1000)</f>
        <v>1.75</v>
      </c>
      <c r="P11" s="75">
        <f t="shared" ref="P11:P13" si="8">((L11+N11)/(O11))*100</f>
        <v>84.570839121767975</v>
      </c>
      <c r="Q11" s="71">
        <v>43025.375</v>
      </c>
      <c r="R11" s="72">
        <f t="shared" si="1"/>
        <v>43024.375</v>
      </c>
      <c r="S11" s="72">
        <f t="shared" ref="S11:S13" si="9">(Q11)</f>
        <v>43025.375</v>
      </c>
      <c r="T11" s="72">
        <f t="shared" ref="T11:T13" si="10">(S11-R11)</f>
        <v>1</v>
      </c>
      <c r="U11" s="72">
        <f t="shared" ref="U11:U13" si="11">T11*24</f>
        <v>24</v>
      </c>
      <c r="V11" s="61"/>
      <c r="W11" s="61"/>
      <c r="X11" s="61"/>
      <c r="Y11" s="64"/>
      <c r="Z11" s="76"/>
      <c r="AA11" s="61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</row>
    <row r="12" spans="1:48" x14ac:dyDescent="0.25">
      <c r="A12" s="62" t="s">
        <v>210</v>
      </c>
      <c r="B12" s="62">
        <v>50</v>
      </c>
      <c r="C12" s="64">
        <f>S77</f>
        <v>0</v>
      </c>
      <c r="D12" s="78">
        <v>43024</v>
      </c>
      <c r="E12" s="71">
        <v>43024.375</v>
      </c>
      <c r="F12" s="72">
        <v>35</v>
      </c>
      <c r="G12" s="72">
        <v>1.5</v>
      </c>
      <c r="H12" s="72">
        <f t="shared" si="2"/>
        <v>36.5</v>
      </c>
      <c r="I12" s="72">
        <f>S25</f>
        <v>222.68</v>
      </c>
      <c r="J12" s="65">
        <f t="shared" si="3"/>
        <v>0.22268000000000002</v>
      </c>
      <c r="K12" s="65">
        <f t="shared" si="4"/>
        <v>0.43153442536327602</v>
      </c>
      <c r="L12" s="66">
        <f t="shared" si="5"/>
        <v>6.6990302069572864E-6</v>
      </c>
      <c r="M12" s="64">
        <v>0.53</v>
      </c>
      <c r="N12" s="66">
        <f t="shared" si="6"/>
        <v>1.2307657350602135E-2</v>
      </c>
      <c r="O12" s="62">
        <f t="shared" si="7"/>
        <v>1.75</v>
      </c>
      <c r="P12" s="75">
        <f t="shared" si="8"/>
        <v>0.70367750747480529</v>
      </c>
      <c r="Q12" s="71">
        <v>43025.375</v>
      </c>
      <c r="R12" s="72">
        <f t="shared" si="1"/>
        <v>43024.375</v>
      </c>
      <c r="S12" s="72">
        <f t="shared" si="9"/>
        <v>43025.375</v>
      </c>
      <c r="T12" s="72">
        <f t="shared" si="10"/>
        <v>1</v>
      </c>
      <c r="U12" s="72">
        <f t="shared" si="11"/>
        <v>24</v>
      </c>
      <c r="V12" s="61"/>
      <c r="W12" s="61"/>
      <c r="X12" s="61"/>
      <c r="Y12" s="64"/>
      <c r="Z12" s="79"/>
      <c r="AA12" s="61"/>
      <c r="AB12" s="61"/>
      <c r="AC12" s="61"/>
      <c r="AD12" s="61"/>
      <c r="AE12" s="61"/>
      <c r="AF12" s="61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</row>
    <row r="13" spans="1:48" x14ac:dyDescent="0.25">
      <c r="A13" s="62" t="s">
        <v>211</v>
      </c>
      <c r="B13" s="62">
        <v>50</v>
      </c>
      <c r="C13" s="64">
        <f>S78</f>
        <v>0</v>
      </c>
      <c r="D13" s="78">
        <v>43024</v>
      </c>
      <c r="E13" s="71">
        <v>43024.375</v>
      </c>
      <c r="F13" s="72">
        <v>35</v>
      </c>
      <c r="G13" s="72">
        <v>1.5</v>
      </c>
      <c r="H13" s="72">
        <f t="shared" si="2"/>
        <v>36.5</v>
      </c>
      <c r="I13" s="72">
        <f>S26</f>
        <v>3582.2</v>
      </c>
      <c r="J13" s="65">
        <f t="shared" si="3"/>
        <v>3.5821999999999998</v>
      </c>
      <c r="K13" s="65">
        <f t="shared" si="4"/>
        <v>6.9419912813738422</v>
      </c>
      <c r="L13" s="66">
        <f t="shared" si="5"/>
        <v>1.077656996917657E-4</v>
      </c>
      <c r="M13" s="64">
        <v>8.6</v>
      </c>
      <c r="N13" s="66">
        <f t="shared" si="6"/>
        <v>0.19970915700977049</v>
      </c>
      <c r="O13" s="62">
        <f t="shared" si="7"/>
        <v>1.75</v>
      </c>
      <c r="P13" s="75">
        <f t="shared" si="8"/>
        <v>11.418109869112127</v>
      </c>
      <c r="Q13" s="71">
        <v>43025.375</v>
      </c>
      <c r="R13" s="72">
        <f t="shared" si="1"/>
        <v>43024.375</v>
      </c>
      <c r="S13" s="72">
        <f t="shared" si="9"/>
        <v>43025.375</v>
      </c>
      <c r="T13" s="72">
        <f t="shared" si="10"/>
        <v>1</v>
      </c>
      <c r="U13" s="72">
        <f t="shared" si="11"/>
        <v>24</v>
      </c>
      <c r="V13" s="61"/>
      <c r="W13" s="61"/>
      <c r="X13" s="61"/>
      <c r="Y13" s="64"/>
      <c r="Z13" s="76"/>
      <c r="AA13" s="61"/>
      <c r="AB13" s="61"/>
      <c r="AC13" s="61"/>
      <c r="AD13" s="61"/>
      <c r="AE13" s="61"/>
      <c r="AF13" s="61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pans="1:48" x14ac:dyDescent="0.25">
      <c r="A14" s="62"/>
      <c r="B14" s="62"/>
      <c r="C14" s="62"/>
      <c r="D14" s="78"/>
      <c r="E14" s="71"/>
      <c r="F14" s="72"/>
      <c r="G14" s="61"/>
      <c r="H14" s="68"/>
      <c r="I14" s="80"/>
      <c r="J14" s="68"/>
      <c r="K14" s="65"/>
      <c r="L14" s="66"/>
      <c r="M14" s="64"/>
      <c r="N14" s="81"/>
      <c r="O14" s="62"/>
      <c r="P14" s="75"/>
      <c r="Q14" s="68"/>
      <c r="R14" s="61"/>
      <c r="S14" s="68"/>
      <c r="T14" s="61"/>
      <c r="U14" s="81"/>
      <c r="V14" s="62"/>
      <c r="W14" s="61"/>
      <c r="X14" s="68"/>
      <c r="Y14" s="61"/>
      <c r="Z14" s="68"/>
      <c r="AA14" s="61"/>
      <c r="AB14" s="81"/>
      <c r="AC14" s="62"/>
      <c r="AD14" s="61"/>
      <c r="AE14" s="68"/>
      <c r="AF14" s="61"/>
      <c r="AG14" s="18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pans="1:48" x14ac:dyDescent="0.25">
      <c r="A15" s="62" t="s">
        <v>212</v>
      </c>
      <c r="B15" s="62">
        <v>50</v>
      </c>
      <c r="C15" s="82">
        <f>S80</f>
        <v>0</v>
      </c>
      <c r="D15" s="78">
        <v>43024</v>
      </c>
      <c r="E15" s="71">
        <v>43024.375</v>
      </c>
      <c r="F15" s="72">
        <v>35</v>
      </c>
      <c r="G15" s="72">
        <v>1.5</v>
      </c>
      <c r="H15" s="72">
        <f t="shared" ref="H15:H16" si="12">F15+G15</f>
        <v>36.5</v>
      </c>
      <c r="I15" s="72">
        <f>S28</f>
        <v>994</v>
      </c>
      <c r="J15" s="65">
        <f t="shared" ref="J15:J16" si="13">I15/1000</f>
        <v>0.99399999999999999</v>
      </c>
      <c r="K15" s="65">
        <f t="shared" ref="K15:K16" si="14">(J15/1000000)*(1/22.71)*(44.01)*(1000000)</f>
        <v>1.92628533685601</v>
      </c>
      <c r="L15" s="66">
        <f t="shared" ref="L15:L16" si="15">(K15)*(1/44.01)*(2*14*24.4)/(1000000)</f>
        <v>2.9903161602818131E-5</v>
      </c>
      <c r="M15" s="66">
        <v>2.38</v>
      </c>
      <c r="N15" s="66">
        <f t="shared" ref="N15:N16" si="16">(M15)*(1/44.01)*(2*14)*(0.0365)</f>
        <v>5.5268348102703924E-2</v>
      </c>
      <c r="O15" s="62">
        <f t="shared" ref="O15:O16" si="17">(B15*F15/1000)</f>
        <v>1.75</v>
      </c>
      <c r="P15" s="75">
        <f t="shared" ref="P15:P16" si="18">((L15+N15)/(O15))*100</f>
        <v>3.1599000722460997</v>
      </c>
      <c r="Q15" s="71">
        <v>43028.375</v>
      </c>
      <c r="R15" s="72">
        <f t="shared" si="1"/>
        <v>43024.375</v>
      </c>
      <c r="S15" s="72">
        <f t="shared" ref="S15:S16" si="19">(Q15)</f>
        <v>43028.375</v>
      </c>
      <c r="T15" s="72">
        <f t="shared" ref="T15:T16" si="20">(S15-R15)</f>
        <v>4</v>
      </c>
      <c r="U15" s="72">
        <f t="shared" ref="U15:U16" si="21">T15*24</f>
        <v>96</v>
      </c>
      <c r="V15" s="68"/>
      <c r="W15" s="68"/>
      <c r="X15" s="68"/>
      <c r="Y15" s="68"/>
      <c r="Z15" s="68"/>
      <c r="AA15" s="68"/>
      <c r="AB15" s="61"/>
      <c r="AC15" s="68"/>
      <c r="AD15" s="68"/>
      <c r="AE15" s="68"/>
      <c r="AF15" s="68"/>
      <c r="AG15" s="18"/>
      <c r="AH15" s="18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pans="1:48" x14ac:dyDescent="0.25">
      <c r="A16" s="62" t="s">
        <v>213</v>
      </c>
      <c r="B16" s="62">
        <v>50</v>
      </c>
      <c r="C16" s="64">
        <f>S81</f>
        <v>0</v>
      </c>
      <c r="D16" s="78">
        <v>43024</v>
      </c>
      <c r="E16" s="71">
        <v>43024.375</v>
      </c>
      <c r="F16" s="72">
        <v>35</v>
      </c>
      <c r="G16" s="72">
        <v>1.5</v>
      </c>
      <c r="H16" s="72">
        <f t="shared" si="12"/>
        <v>36.5</v>
      </c>
      <c r="I16" s="72">
        <f>S29</f>
        <v>8257.36</v>
      </c>
      <c r="J16" s="65">
        <f t="shared" si="13"/>
        <v>8.2573600000000003</v>
      </c>
      <c r="K16" s="65">
        <f t="shared" si="14"/>
        <v>16.00204375165125</v>
      </c>
      <c r="L16" s="66">
        <f t="shared" si="15"/>
        <v>2.4841164033465426E-4</v>
      </c>
      <c r="M16" s="66">
        <v>19.8</v>
      </c>
      <c r="N16" s="66">
        <f t="shared" si="16"/>
        <v>0.45979550102249489</v>
      </c>
      <c r="O16" s="62">
        <f t="shared" si="17"/>
        <v>1.75</v>
      </c>
      <c r="P16" s="75">
        <f t="shared" si="18"/>
        <v>26.288223580733117</v>
      </c>
      <c r="Q16" s="71">
        <v>43028.375</v>
      </c>
      <c r="R16" s="72">
        <f t="shared" si="1"/>
        <v>43024.375</v>
      </c>
      <c r="S16" s="72">
        <f t="shared" si="19"/>
        <v>43028.375</v>
      </c>
      <c r="T16" s="72">
        <f t="shared" si="20"/>
        <v>4</v>
      </c>
      <c r="U16" s="72">
        <f t="shared" si="21"/>
        <v>96</v>
      </c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18"/>
      <c r="AH16" s="18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pans="1:48" ht="18" x14ac:dyDescent="0.35">
      <c r="A17" s="62"/>
      <c r="B17" s="62"/>
      <c r="C17" s="61"/>
      <c r="D17" s="78"/>
      <c r="E17" s="71"/>
      <c r="F17" s="68"/>
      <c r="G17" s="68"/>
      <c r="H17" s="68"/>
      <c r="I17" s="72"/>
      <c r="J17" s="68"/>
      <c r="K17" s="65"/>
      <c r="L17" s="66"/>
      <c r="M17" s="66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83" t="s">
        <v>342</v>
      </c>
      <c r="Y17" s="84" t="s">
        <v>343</v>
      </c>
      <c r="Z17" s="85" t="s">
        <v>344</v>
      </c>
      <c r="AA17" s="63" t="s">
        <v>311</v>
      </c>
      <c r="AB17" s="68"/>
      <c r="AC17" s="68"/>
      <c r="AD17" s="68"/>
      <c r="AE17" s="68"/>
      <c r="AF17" s="68"/>
      <c r="AG17" s="18"/>
      <c r="AH17" s="18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 x14ac:dyDescent="0.25">
      <c r="A18" s="62" t="s">
        <v>214</v>
      </c>
      <c r="B18" s="62">
        <v>50</v>
      </c>
      <c r="C18" s="64">
        <f>S83</f>
        <v>0</v>
      </c>
      <c r="D18" s="78">
        <v>43024</v>
      </c>
      <c r="E18" s="71">
        <v>43024.375</v>
      </c>
      <c r="F18" s="72">
        <v>35</v>
      </c>
      <c r="G18" s="72">
        <v>1.5</v>
      </c>
      <c r="H18" s="72">
        <f t="shared" ref="H18:H19" si="22">F18+G18</f>
        <v>36.5</v>
      </c>
      <c r="I18" s="72">
        <f>S31</f>
        <v>1627250</v>
      </c>
      <c r="J18" s="65">
        <f t="shared" ref="J18:J19" si="23">I18/1000</f>
        <v>1627.25</v>
      </c>
      <c r="K18" s="65">
        <f t="shared" ref="K18:K19" si="24">(J18/1000000)*(1/22.71)*(44.01)*(1000000)</f>
        <v>3153.4686261558782</v>
      </c>
      <c r="L18" s="66">
        <f t="shared" ref="L18:L19" si="25">(K18)*(1/44.01)*(2*14*24.4)/(1000000)</f>
        <v>4.8953641567591355E-2</v>
      </c>
      <c r="M18" s="66">
        <v>3.9009999999999998</v>
      </c>
      <c r="N18" s="66">
        <f t="shared" ref="N18:N19" si="26">(M18)*(1/44.01)*(2*14)*(0.0365)</f>
        <v>9.0589002499431928E-2</v>
      </c>
      <c r="O18" s="62">
        <f t="shared" ref="O18:O19" si="27">(B18*F18/1000)</f>
        <v>1.75</v>
      </c>
      <c r="P18" s="75">
        <f t="shared" ref="P18:P19" si="28">((L18+N18)/(O18))*100</f>
        <v>7.9738653752584723</v>
      </c>
      <c r="Q18" s="71">
        <v>43034.375</v>
      </c>
      <c r="R18" s="72">
        <f>(E18)</f>
        <v>43024.375</v>
      </c>
      <c r="S18" s="72">
        <f t="shared" ref="S18:S19" si="29">(Q18)</f>
        <v>43034.375</v>
      </c>
      <c r="T18" s="72">
        <f t="shared" ref="T18:T19" si="30">(S18-R18)</f>
        <v>10</v>
      </c>
      <c r="U18" s="72">
        <f t="shared" ref="U18:U19" si="31">T18*24</f>
        <v>240</v>
      </c>
      <c r="V18" s="65"/>
      <c r="W18" s="65"/>
      <c r="X18" s="86" t="s">
        <v>297</v>
      </c>
      <c r="Y18" s="73" t="s">
        <v>28</v>
      </c>
      <c r="Z18" s="86" t="s">
        <v>33</v>
      </c>
      <c r="AA18" s="75" t="s">
        <v>176</v>
      </c>
      <c r="AB18" s="65"/>
      <c r="AC18" s="65"/>
      <c r="AD18" s="65"/>
      <c r="AE18" s="66"/>
      <c r="AF18" s="64"/>
      <c r="AG18" s="60"/>
      <c r="AH18" s="21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 ht="18.75" x14ac:dyDescent="0.35">
      <c r="A19" s="62" t="s">
        <v>215</v>
      </c>
      <c r="B19" s="62">
        <v>50</v>
      </c>
      <c r="C19" s="64">
        <f>S84</f>
        <v>0</v>
      </c>
      <c r="D19" s="78">
        <v>43024</v>
      </c>
      <c r="E19" s="71">
        <v>43024.375</v>
      </c>
      <c r="F19" s="72">
        <v>35</v>
      </c>
      <c r="G19" s="72">
        <v>1.5</v>
      </c>
      <c r="H19" s="72">
        <f t="shared" si="22"/>
        <v>36.5</v>
      </c>
      <c r="I19" s="72">
        <f>S32</f>
        <v>12097000</v>
      </c>
      <c r="J19" s="65">
        <f t="shared" si="23"/>
        <v>12097</v>
      </c>
      <c r="K19" s="65">
        <f t="shared" si="24"/>
        <v>23442.931307793919</v>
      </c>
      <c r="L19" s="66">
        <f t="shared" si="25"/>
        <v>0.36392207837956841</v>
      </c>
      <c r="M19" s="66">
        <v>29.01</v>
      </c>
      <c r="N19" s="66">
        <f t="shared" si="26"/>
        <v>0.67367007498295839</v>
      </c>
      <c r="O19" s="62">
        <f t="shared" si="27"/>
        <v>1.75</v>
      </c>
      <c r="P19" s="75">
        <f t="shared" si="28"/>
        <v>59.290980192144382</v>
      </c>
      <c r="Q19" s="71">
        <v>43034.375</v>
      </c>
      <c r="R19" s="72">
        <f>(E19)</f>
        <v>43024.375</v>
      </c>
      <c r="S19" s="72">
        <f t="shared" si="29"/>
        <v>43034.375</v>
      </c>
      <c r="T19" s="72">
        <f t="shared" si="30"/>
        <v>10</v>
      </c>
      <c r="U19" s="72">
        <f t="shared" si="31"/>
        <v>240</v>
      </c>
      <c r="V19" s="65"/>
      <c r="W19" s="65"/>
      <c r="X19" s="86" t="s">
        <v>293</v>
      </c>
      <c r="Y19" s="73" t="s">
        <v>294</v>
      </c>
      <c r="Z19" s="86" t="s">
        <v>295</v>
      </c>
      <c r="AA19" s="75" t="s">
        <v>176</v>
      </c>
      <c r="AB19" s="65"/>
      <c r="AC19" s="65"/>
      <c r="AD19" s="65"/>
      <c r="AE19" s="66"/>
      <c r="AF19" s="64"/>
      <c r="AG19" s="60"/>
      <c r="AH19" s="21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 x14ac:dyDescent="0.25">
      <c r="A20" s="62"/>
      <c r="B20" s="62"/>
      <c r="C20" s="87"/>
      <c r="D20" s="72"/>
      <c r="E20" s="71"/>
      <c r="F20" s="72"/>
      <c r="G20" s="65"/>
      <c r="H20" s="66"/>
      <c r="I20" s="64"/>
      <c r="J20" s="66"/>
      <c r="K20" s="65"/>
      <c r="L20" s="65"/>
      <c r="M20" s="65"/>
      <c r="N20" s="65"/>
      <c r="O20" s="65"/>
      <c r="P20" s="65"/>
      <c r="Q20" s="61"/>
      <c r="R20" s="61"/>
      <c r="S20" s="61"/>
      <c r="T20" s="61"/>
      <c r="U20" s="61"/>
      <c r="V20" s="65"/>
      <c r="W20" s="65"/>
      <c r="X20" s="66"/>
      <c r="Y20" s="64"/>
      <c r="Z20" s="66"/>
      <c r="AA20" s="75"/>
      <c r="AB20" s="65"/>
      <c r="AC20" s="65"/>
      <c r="AD20" s="65"/>
      <c r="AE20" s="66"/>
      <c r="AF20" s="64"/>
      <c r="AG20" s="60"/>
      <c r="AH20" s="21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1:48" x14ac:dyDescent="0.25">
      <c r="A21" s="70"/>
      <c r="B21" s="61"/>
      <c r="C21" s="61"/>
      <c r="D21" s="72"/>
      <c r="E21" s="71"/>
      <c r="F21" s="72"/>
      <c r="G21" s="65"/>
      <c r="H21" s="66"/>
      <c r="I21" s="64"/>
      <c r="J21" s="66"/>
      <c r="K21" s="65"/>
      <c r="L21" s="65"/>
      <c r="M21" s="65" t="s">
        <v>230</v>
      </c>
      <c r="N21" s="65"/>
      <c r="O21" s="65"/>
      <c r="P21" s="65"/>
      <c r="Q21" s="66"/>
      <c r="R21" s="64"/>
      <c r="S21" s="66"/>
      <c r="T21" s="75"/>
      <c r="U21" s="65"/>
      <c r="V21" s="65"/>
      <c r="W21" s="65"/>
      <c r="X21" s="86" t="s">
        <v>285</v>
      </c>
      <c r="Y21" s="86" t="s">
        <v>291</v>
      </c>
      <c r="Z21" s="86" t="s">
        <v>292</v>
      </c>
      <c r="AA21" s="86" t="s">
        <v>288</v>
      </c>
      <c r="AB21" s="75" t="s">
        <v>15</v>
      </c>
      <c r="AC21" s="65"/>
      <c r="AD21" s="61"/>
      <c r="AE21" s="66"/>
      <c r="AF21" s="86" t="s">
        <v>287</v>
      </c>
      <c r="AG21" s="60"/>
      <c r="AH21" s="21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1:48" x14ac:dyDescent="0.25">
      <c r="A22" s="70"/>
      <c r="B22" s="61"/>
      <c r="C22" s="61"/>
      <c r="D22" s="61"/>
      <c r="E22" s="71"/>
      <c r="F22" s="72"/>
      <c r="G22" s="72"/>
      <c r="H22" s="72"/>
      <c r="I22" s="88"/>
      <c r="J22" s="65"/>
      <c r="K22" s="65"/>
      <c r="L22" s="66"/>
      <c r="M22" s="64" t="s">
        <v>219</v>
      </c>
      <c r="N22" s="66" t="s">
        <v>220</v>
      </c>
      <c r="O22" s="66" t="s">
        <v>221</v>
      </c>
      <c r="P22" s="66" t="s">
        <v>222</v>
      </c>
      <c r="Q22" s="66" t="s">
        <v>223</v>
      </c>
      <c r="R22" s="66" t="s">
        <v>224</v>
      </c>
      <c r="S22" s="66" t="s">
        <v>225</v>
      </c>
      <c r="T22" s="75"/>
      <c r="U22" s="72"/>
      <c r="V22" s="81" t="s">
        <v>219</v>
      </c>
      <c r="W22" s="75"/>
      <c r="X22" s="89" t="s">
        <v>286</v>
      </c>
      <c r="Y22" s="89" t="s">
        <v>286</v>
      </c>
      <c r="Z22" s="89" t="s">
        <v>286</v>
      </c>
      <c r="AA22" s="89" t="s">
        <v>289</v>
      </c>
      <c r="AB22" s="68" t="s">
        <v>24</v>
      </c>
      <c r="AC22" s="61"/>
      <c r="AD22" s="61"/>
      <c r="AE22" s="61"/>
      <c r="AF22" s="89" t="s">
        <v>286</v>
      </c>
      <c r="AG22" s="57"/>
      <c r="AH22" s="21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1:48" x14ac:dyDescent="0.25">
      <c r="A23" s="61"/>
      <c r="B23" s="70"/>
      <c r="C23" s="61"/>
      <c r="D23" s="61"/>
      <c r="E23" s="71"/>
      <c r="F23" s="72"/>
      <c r="G23" s="72"/>
      <c r="H23" s="72"/>
      <c r="I23" s="88"/>
      <c r="J23" s="65"/>
      <c r="K23" s="65"/>
      <c r="L23" s="66" t="s">
        <v>246</v>
      </c>
      <c r="M23" s="62" t="s">
        <v>207</v>
      </c>
      <c r="N23" s="90">
        <v>16490000</v>
      </c>
      <c r="O23" s="90">
        <v>16700000</v>
      </c>
      <c r="P23" s="90">
        <v>16580000</v>
      </c>
      <c r="Q23" s="90">
        <v>16430000</v>
      </c>
      <c r="R23" s="90">
        <v>17030000</v>
      </c>
      <c r="S23" s="90">
        <f>AVERAGE(N23:R23)</f>
        <v>16646000</v>
      </c>
      <c r="T23" s="72" t="s">
        <v>318</v>
      </c>
      <c r="U23" s="72"/>
      <c r="V23" s="67"/>
      <c r="W23" s="61"/>
      <c r="X23" s="68" t="s">
        <v>281</v>
      </c>
      <c r="Y23" s="68" t="s">
        <v>281</v>
      </c>
      <c r="Z23" s="68" t="s">
        <v>281</v>
      </c>
      <c r="AA23" s="68" t="s">
        <v>286</v>
      </c>
      <c r="AB23" s="68" t="s">
        <v>119</v>
      </c>
      <c r="AC23" s="61"/>
      <c r="AD23" s="61"/>
      <c r="AE23" s="61"/>
      <c r="AF23" s="68" t="s">
        <v>281</v>
      </c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pans="1:48" ht="14.45" customHeight="1" x14ac:dyDescent="0.35">
      <c r="A24" s="61"/>
      <c r="B24" s="61"/>
      <c r="C24" s="61"/>
      <c r="D24" s="61"/>
      <c r="E24" s="71"/>
      <c r="F24" s="72"/>
      <c r="G24" s="72"/>
      <c r="H24" s="72"/>
      <c r="I24" s="87"/>
      <c r="J24" s="65"/>
      <c r="K24" s="65"/>
      <c r="L24" s="66"/>
      <c r="M24" s="62" t="s">
        <v>208</v>
      </c>
      <c r="N24" s="90">
        <v>17360000</v>
      </c>
      <c r="O24" s="90">
        <v>17080000</v>
      </c>
      <c r="P24" s="90">
        <v>17320000</v>
      </c>
      <c r="Q24" s="90">
        <v>17240000</v>
      </c>
      <c r="R24" s="90">
        <v>17270000</v>
      </c>
      <c r="S24" s="90">
        <f t="shared" ref="S24:S26" si="32">AVERAGE(N24:R24)</f>
        <v>17254000</v>
      </c>
      <c r="T24" s="91" t="s">
        <v>316</v>
      </c>
      <c r="U24" s="62"/>
      <c r="V24" s="83" t="s">
        <v>345</v>
      </c>
      <c r="W24" s="61"/>
      <c r="X24" s="61"/>
      <c r="Y24" s="61"/>
      <c r="Z24" s="61"/>
      <c r="AA24" s="61"/>
      <c r="AB24" s="61"/>
      <c r="AC24" s="61"/>
      <c r="AD24" s="61"/>
      <c r="AE24" s="61"/>
      <c r="AF24" s="72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pans="1:48" x14ac:dyDescent="0.25">
      <c r="A25" s="61"/>
      <c r="B25" s="61"/>
      <c r="C25" s="87"/>
      <c r="D25" s="78"/>
      <c r="E25" s="92"/>
      <c r="F25" s="72"/>
      <c r="G25" s="72"/>
      <c r="H25" s="72"/>
      <c r="I25" s="87"/>
      <c r="J25" s="65"/>
      <c r="K25" s="65"/>
      <c r="L25" s="93"/>
      <c r="M25" s="62" t="s">
        <v>210</v>
      </c>
      <c r="N25" s="90">
        <v>191.7</v>
      </c>
      <c r="O25" s="90">
        <v>254</v>
      </c>
      <c r="P25" s="90">
        <v>218.5</v>
      </c>
      <c r="Q25" s="90">
        <v>223.1</v>
      </c>
      <c r="R25" s="90">
        <v>226.1</v>
      </c>
      <c r="S25" s="90">
        <f t="shared" si="32"/>
        <v>222.68</v>
      </c>
      <c r="T25" s="72" t="s">
        <v>319</v>
      </c>
      <c r="U25" s="94" t="s">
        <v>302</v>
      </c>
      <c r="V25" s="62">
        <v>1</v>
      </c>
      <c r="W25" s="61"/>
      <c r="X25" s="65">
        <f>$P$10</f>
        <v>81.561729403999379</v>
      </c>
      <c r="Y25" s="72">
        <f>((S36*0.0365)/($O$10))*100</f>
        <v>12.889714285714287</v>
      </c>
      <c r="Z25" s="72">
        <f>((S49*0.0365)/($O$10))*100</f>
        <v>1.242668571428571</v>
      </c>
      <c r="AA25" s="65">
        <f>X25+Y25+Z25</f>
        <v>95.694112261142237</v>
      </c>
      <c r="AB25" s="88">
        <v>6.3</v>
      </c>
      <c r="AC25" s="61"/>
      <c r="AD25" s="61"/>
      <c r="AE25" s="61"/>
      <c r="AF25" s="72">
        <f>(((S36+S49)*0.0365)/$O10)*100</f>
        <v>14.132382857142858</v>
      </c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pans="1:48" ht="14.45" customHeight="1" x14ac:dyDescent="0.25">
      <c r="A26" s="61"/>
      <c r="B26" s="61"/>
      <c r="C26" s="62"/>
      <c r="D26" s="78"/>
      <c r="E26" s="71"/>
      <c r="F26" s="72"/>
      <c r="G26" s="72"/>
      <c r="H26" s="72"/>
      <c r="I26" s="87"/>
      <c r="J26" s="87"/>
      <c r="K26" s="65"/>
      <c r="L26" s="64"/>
      <c r="M26" s="62" t="s">
        <v>211</v>
      </c>
      <c r="N26" s="90">
        <v>3558</v>
      </c>
      <c r="O26" s="90">
        <v>3528</v>
      </c>
      <c r="P26" s="90">
        <v>3626</v>
      </c>
      <c r="Q26" s="90">
        <v>3604</v>
      </c>
      <c r="R26" s="90">
        <v>3595</v>
      </c>
      <c r="S26" s="90">
        <f t="shared" si="32"/>
        <v>3582.2</v>
      </c>
      <c r="T26" s="72" t="s">
        <v>317</v>
      </c>
      <c r="U26" s="64"/>
      <c r="V26" s="67"/>
      <c r="W26" s="61"/>
      <c r="X26" s="62"/>
      <c r="Y26" s="72"/>
      <c r="Z26" s="80"/>
      <c r="AA26" s="62"/>
      <c r="AB26" s="88"/>
      <c r="AC26" s="61"/>
      <c r="AD26" s="61"/>
      <c r="AE26" s="61"/>
      <c r="AF26" s="72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48" x14ac:dyDescent="0.25">
      <c r="A27" s="61"/>
      <c r="B27" s="67"/>
      <c r="C27" s="87"/>
      <c r="D27" s="78"/>
      <c r="E27" s="61"/>
      <c r="F27" s="61"/>
      <c r="G27" s="61"/>
      <c r="H27" s="61"/>
      <c r="I27" s="61"/>
      <c r="J27" s="61"/>
      <c r="K27" s="62"/>
      <c r="L27" s="93"/>
      <c r="M27" s="62"/>
      <c r="N27" s="90"/>
      <c r="O27" s="90"/>
      <c r="P27" s="90"/>
      <c r="Q27" s="90"/>
      <c r="R27" s="90"/>
      <c r="S27" s="90"/>
      <c r="T27" s="61"/>
      <c r="U27" s="61"/>
      <c r="V27" s="67"/>
      <c r="W27" s="61"/>
      <c r="X27" s="62"/>
      <c r="Y27" s="72"/>
      <c r="Z27" s="80"/>
      <c r="AA27" s="62"/>
      <c r="AB27" s="88"/>
      <c r="AC27" s="61"/>
      <c r="AD27" s="61"/>
      <c r="AE27" s="61"/>
      <c r="AF27" s="72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8" x14ac:dyDescent="0.25">
      <c r="A28" s="61"/>
      <c r="B28" s="67"/>
      <c r="C28" s="95"/>
      <c r="D28" s="78"/>
      <c r="E28" s="70"/>
      <c r="F28" s="70"/>
      <c r="G28" s="70"/>
      <c r="H28" s="70"/>
      <c r="I28" s="70"/>
      <c r="J28" s="70"/>
      <c r="K28" s="62"/>
      <c r="L28" s="62" t="s">
        <v>247</v>
      </c>
      <c r="M28" s="62" t="s">
        <v>212</v>
      </c>
      <c r="N28" s="90">
        <v>854.7</v>
      </c>
      <c r="O28" s="90">
        <v>1165</v>
      </c>
      <c r="P28" s="90">
        <v>827.9</v>
      </c>
      <c r="Q28" s="90">
        <v>773.8</v>
      </c>
      <c r="R28" s="90">
        <v>1348.6</v>
      </c>
      <c r="S28" s="90">
        <f t="shared" ref="S28:S29" si="33">AVERAGE(N28:R28)</f>
        <v>994</v>
      </c>
      <c r="T28" s="72" t="s">
        <v>319</v>
      </c>
      <c r="U28" s="61"/>
      <c r="V28" s="67"/>
      <c r="W28" s="61"/>
      <c r="X28" s="62"/>
      <c r="Y28" s="62"/>
      <c r="Z28" s="61"/>
      <c r="AA28" s="62"/>
      <c r="AB28" s="88"/>
      <c r="AC28" s="61"/>
      <c r="AD28" s="61"/>
      <c r="AE28" s="61"/>
      <c r="AF28" s="72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pans="1:48" ht="18" x14ac:dyDescent="0.35">
      <c r="A29" s="61"/>
      <c r="B29" s="61"/>
      <c r="C29" s="61"/>
      <c r="D29" s="61"/>
      <c r="E29" s="70"/>
      <c r="F29" s="70"/>
      <c r="G29" s="70"/>
      <c r="H29" s="70"/>
      <c r="I29" s="70"/>
      <c r="J29" s="70"/>
      <c r="K29" s="62"/>
      <c r="L29" s="62"/>
      <c r="M29" s="62" t="s">
        <v>213</v>
      </c>
      <c r="N29" s="90">
        <v>8329.7000000000007</v>
      </c>
      <c r="O29" s="90">
        <v>8280.7000000000007</v>
      </c>
      <c r="P29" s="90">
        <v>8425.2000000000007</v>
      </c>
      <c r="Q29" s="90">
        <v>8121.9</v>
      </c>
      <c r="R29" s="90">
        <v>8129.3</v>
      </c>
      <c r="S29" s="90">
        <f t="shared" si="33"/>
        <v>8257.36</v>
      </c>
      <c r="T29" s="72" t="s">
        <v>317</v>
      </c>
      <c r="U29" s="61"/>
      <c r="V29" s="84" t="s">
        <v>346</v>
      </c>
      <c r="W29" s="61"/>
      <c r="X29" s="62"/>
      <c r="Y29" s="62"/>
      <c r="Z29" s="61"/>
      <c r="AA29" s="62"/>
      <c r="AB29" s="88"/>
      <c r="AC29" s="61"/>
      <c r="AD29" s="61"/>
      <c r="AE29" s="61"/>
      <c r="AF29" s="72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pans="1:48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2"/>
      <c r="L30" s="62"/>
      <c r="M30" s="62"/>
      <c r="N30" s="96"/>
      <c r="O30" s="96"/>
      <c r="P30" s="96"/>
      <c r="Q30" s="96"/>
      <c r="R30" s="96"/>
      <c r="S30" s="62"/>
      <c r="T30" s="61"/>
      <c r="U30" s="94" t="s">
        <v>302</v>
      </c>
      <c r="V30" s="62">
        <v>1</v>
      </c>
      <c r="W30" s="61"/>
      <c r="X30" s="65">
        <f>$P$11</f>
        <v>84.570839121767975</v>
      </c>
      <c r="Y30" s="72">
        <f>((S37*0.0365)/($O$10))*100</f>
        <v>9.2868514285714276</v>
      </c>
      <c r="Z30" s="72">
        <f>((S50*0.0365)/($O$10))*100</f>
        <v>0.63739428571428558</v>
      </c>
      <c r="AA30" s="65">
        <f>X30+Y30+Z30</f>
        <v>94.495084836053678</v>
      </c>
      <c r="AB30" s="88">
        <v>8.1</v>
      </c>
      <c r="AC30" s="61"/>
      <c r="AD30" s="61"/>
      <c r="AE30" s="61"/>
      <c r="AF30" s="72">
        <f>(((S37+S50)*0.0365)/$O$10)*100</f>
        <v>9.9242457142857141</v>
      </c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1:48" x14ac:dyDescent="0.25">
      <c r="A31" s="61"/>
      <c r="B31" s="61"/>
      <c r="C31" s="61"/>
      <c r="D31" s="61"/>
      <c r="E31" s="61"/>
      <c r="F31" s="61"/>
      <c r="G31" s="61"/>
      <c r="H31" s="61"/>
      <c r="I31" s="62"/>
      <c r="J31" s="61"/>
      <c r="K31" s="61"/>
      <c r="L31" s="62" t="s">
        <v>248</v>
      </c>
      <c r="M31" s="62" t="s">
        <v>214</v>
      </c>
      <c r="N31" s="96">
        <v>1956000</v>
      </c>
      <c r="O31" s="96">
        <v>1534000</v>
      </c>
      <c r="P31" s="96" t="s">
        <v>303</v>
      </c>
      <c r="Q31" s="96">
        <v>1556000</v>
      </c>
      <c r="R31" s="96">
        <v>1463000</v>
      </c>
      <c r="S31" s="72">
        <f t="shared" ref="S31:S32" si="34">AVERAGE(N31:R31)</f>
        <v>1627250</v>
      </c>
      <c r="T31" s="72" t="s">
        <v>319</v>
      </c>
      <c r="U31" s="61"/>
      <c r="V31" s="67"/>
      <c r="W31" s="61"/>
      <c r="X31" s="62"/>
      <c r="Y31" s="62"/>
      <c r="Z31" s="61"/>
      <c r="AA31" s="65"/>
      <c r="AB31" s="88"/>
      <c r="AC31" s="61"/>
      <c r="AD31" s="61"/>
      <c r="AE31" s="61"/>
      <c r="AF31" s="72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pans="1:48" x14ac:dyDescent="0.25">
      <c r="A32" s="63" t="s">
        <v>216</v>
      </c>
      <c r="B32" s="62"/>
      <c r="C32" s="62"/>
      <c r="D32" s="62"/>
      <c r="E32" s="62"/>
      <c r="F32" s="61"/>
      <c r="G32" s="62"/>
      <c r="H32" s="61"/>
      <c r="I32" s="87"/>
      <c r="J32" s="68" t="s">
        <v>279</v>
      </c>
      <c r="K32" s="61"/>
      <c r="L32" s="61"/>
      <c r="M32" s="62" t="s">
        <v>215</v>
      </c>
      <c r="N32" s="96">
        <v>11930000</v>
      </c>
      <c r="O32" s="96">
        <v>12027000</v>
      </c>
      <c r="P32" s="96">
        <v>12200000</v>
      </c>
      <c r="Q32" s="96">
        <v>12310000</v>
      </c>
      <c r="R32" s="96">
        <v>12018000</v>
      </c>
      <c r="S32" s="72">
        <f t="shared" si="34"/>
        <v>12097000</v>
      </c>
      <c r="T32" s="72" t="s">
        <v>317</v>
      </c>
      <c r="U32" s="61"/>
      <c r="V32" s="67"/>
      <c r="W32" s="61"/>
      <c r="X32" s="62"/>
      <c r="Y32" s="62"/>
      <c r="Z32" s="61"/>
      <c r="AA32" s="65"/>
      <c r="AB32" s="88"/>
      <c r="AC32" s="61"/>
      <c r="AD32" s="61"/>
      <c r="AE32" s="61"/>
      <c r="AF32" s="72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spans="1:48" x14ac:dyDescent="0.25">
      <c r="A33" s="61" t="s">
        <v>89</v>
      </c>
      <c r="B33" s="62"/>
      <c r="C33" s="62"/>
      <c r="D33" s="62"/>
      <c r="E33" s="64">
        <f>STDEV(N23:R23)</f>
        <v>237549.99473794983</v>
      </c>
      <c r="F33" s="62" t="s">
        <v>88</v>
      </c>
      <c r="G33" s="62"/>
      <c r="H33" s="61"/>
      <c r="I33" s="87"/>
      <c r="J33" s="68" t="s">
        <v>280</v>
      </c>
      <c r="K33" s="61"/>
      <c r="L33" s="61"/>
      <c r="M33" s="62"/>
      <c r="N33" s="62"/>
      <c r="O33" s="62"/>
      <c r="P33" s="62"/>
      <c r="Q33" s="62"/>
      <c r="R33" s="62"/>
      <c r="S33" s="61"/>
      <c r="T33" s="61"/>
      <c r="U33" s="61"/>
      <c r="V33" s="61"/>
      <c r="W33" s="61"/>
      <c r="X33" s="62"/>
      <c r="Y33" s="62"/>
      <c r="Z33" s="61"/>
      <c r="AA33" s="62"/>
      <c r="AB33" s="88"/>
      <c r="AC33" s="61"/>
      <c r="AD33" s="61"/>
      <c r="AE33" s="61"/>
      <c r="AF33" s="62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</row>
    <row r="34" spans="1:48" x14ac:dyDescent="0.25">
      <c r="A34" s="61" t="s">
        <v>90</v>
      </c>
      <c r="B34" s="62"/>
      <c r="C34" s="62"/>
      <c r="D34" s="62"/>
      <c r="E34" s="65">
        <f>AVERAGE(N23:R23)</f>
        <v>16646000</v>
      </c>
      <c r="F34" s="62" t="s">
        <v>9</v>
      </c>
      <c r="G34" s="62"/>
      <c r="H34" s="61"/>
      <c r="I34" s="87"/>
      <c r="J34" s="68" t="s">
        <v>281</v>
      </c>
      <c r="K34" s="61"/>
      <c r="L34" s="61"/>
      <c r="M34" s="65" t="s">
        <v>231</v>
      </c>
      <c r="N34" s="65"/>
      <c r="O34" s="65"/>
      <c r="P34" s="65" t="s">
        <v>283</v>
      </c>
      <c r="Q34" s="66"/>
      <c r="R34" s="64"/>
      <c r="S34" s="66"/>
      <c r="T34" s="61"/>
      <c r="U34" s="61"/>
      <c r="V34" s="83" t="s">
        <v>347</v>
      </c>
      <c r="W34" s="61"/>
      <c r="X34" s="62"/>
      <c r="Y34" s="62"/>
      <c r="Z34" s="61"/>
      <c r="AA34" s="62"/>
      <c r="AB34" s="88"/>
      <c r="AC34" s="61"/>
      <c r="AD34" s="61"/>
      <c r="AE34" s="61"/>
      <c r="AF34" s="62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48" x14ac:dyDescent="0.25">
      <c r="A35" s="61" t="s">
        <v>104</v>
      </c>
      <c r="B35" s="61"/>
      <c r="C35" s="61"/>
      <c r="D35" s="61">
        <v>2.7759999999999998</v>
      </c>
      <c r="E35" s="66">
        <f>(D35*E33)/(C36^0.5)</f>
        <v>294909.99022752681</v>
      </c>
      <c r="F35" s="62" t="s">
        <v>92</v>
      </c>
      <c r="G35" s="61"/>
      <c r="H35" s="61"/>
      <c r="I35" s="87"/>
      <c r="J35" s="68"/>
      <c r="K35" s="61"/>
      <c r="L35" s="61"/>
      <c r="M35" s="64" t="s">
        <v>219</v>
      </c>
      <c r="N35" s="66" t="s">
        <v>232</v>
      </c>
      <c r="O35" s="66" t="s">
        <v>233</v>
      </c>
      <c r="P35" s="66" t="s">
        <v>234</v>
      </c>
      <c r="Q35" s="66" t="s">
        <v>235</v>
      </c>
      <c r="R35" s="66" t="s">
        <v>236</v>
      </c>
      <c r="S35" s="66" t="s">
        <v>244</v>
      </c>
      <c r="T35" s="61"/>
      <c r="U35" s="94" t="s">
        <v>302</v>
      </c>
      <c r="V35" s="62">
        <v>1</v>
      </c>
      <c r="W35" s="61"/>
      <c r="X35" s="65">
        <f>$P$12</f>
        <v>0.70367750747480529</v>
      </c>
      <c r="Y35" s="72">
        <f>((S38*0.0365)/($O$10))*100</f>
        <v>0.37125714285714284</v>
      </c>
      <c r="Z35" s="72">
        <f>((S51*0.0365)/($O$10))*100</f>
        <v>0</v>
      </c>
      <c r="AA35" s="65">
        <f>X35+Y35+Z35</f>
        <v>1.0749346503319481</v>
      </c>
      <c r="AB35" s="88">
        <v>4.7</v>
      </c>
      <c r="AC35" s="61"/>
      <c r="AD35" s="61"/>
      <c r="AE35" s="61"/>
      <c r="AF35" s="72">
        <f>(((S38+S51)*0.0365)/$O$10)*100</f>
        <v>0.37125714285714284</v>
      </c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</row>
    <row r="36" spans="1:48" x14ac:dyDescent="0.25">
      <c r="A36" s="61" t="s">
        <v>93</v>
      </c>
      <c r="B36" s="61"/>
      <c r="C36" s="62">
        <v>5</v>
      </c>
      <c r="D36" s="61"/>
      <c r="E36" s="61"/>
      <c r="F36" s="68" t="s">
        <v>94</v>
      </c>
      <c r="G36" s="97">
        <f>E34-E35</f>
        <v>16351090.009772474</v>
      </c>
      <c r="H36" s="97">
        <f>E34+E35</f>
        <v>16940909.990227528</v>
      </c>
      <c r="I36" s="87"/>
      <c r="J36" s="75">
        <f>P10</f>
        <v>81.561729403999379</v>
      </c>
      <c r="K36" s="61"/>
      <c r="L36" s="66" t="s">
        <v>246</v>
      </c>
      <c r="M36" s="62" t="s">
        <v>207</v>
      </c>
      <c r="N36" s="66">
        <v>6.29</v>
      </c>
      <c r="O36" s="66">
        <v>6</v>
      </c>
      <c r="P36" s="66">
        <v>6.23</v>
      </c>
      <c r="Q36" s="66">
        <v>6.33</v>
      </c>
      <c r="R36" s="66">
        <v>6.05</v>
      </c>
      <c r="S36" s="72">
        <f>AVERAGE(N36:R36)</f>
        <v>6.1800000000000006</v>
      </c>
      <c r="T36" s="80" t="str">
        <f t="shared" ref="T36:T39" si="35">T23</f>
        <v>pyrol.</v>
      </c>
      <c r="U36" s="94" t="s">
        <v>302</v>
      </c>
      <c r="V36" s="62">
        <v>4</v>
      </c>
      <c r="W36" s="61"/>
      <c r="X36" s="65">
        <f>$P15</f>
        <v>3.1599000722460997</v>
      </c>
      <c r="Y36" s="72">
        <f>((S41*0.0365)/($O$10))*100</f>
        <v>0.52351428571428571</v>
      </c>
      <c r="Z36" s="72">
        <f>((S54*0.0365)/($O$10))*100</f>
        <v>0</v>
      </c>
      <c r="AA36" s="65">
        <f>X36+Y36+Z36</f>
        <v>3.6834143579603853</v>
      </c>
      <c r="AB36" s="88">
        <v>4.3</v>
      </c>
      <c r="AC36" s="61"/>
      <c r="AD36" s="61"/>
      <c r="AE36" s="61"/>
      <c r="AF36" s="72">
        <f>(((S41+S54)*0.0365)/$O$10)*100</f>
        <v>0.52351428571428571</v>
      </c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</row>
    <row r="37" spans="1:48" x14ac:dyDescent="0.25">
      <c r="A37" s="61"/>
      <c r="B37" s="61"/>
      <c r="C37" s="61"/>
      <c r="D37" s="61"/>
      <c r="E37" s="61"/>
      <c r="F37" s="61"/>
      <c r="G37" s="98"/>
      <c r="H37" s="98"/>
      <c r="I37" s="87"/>
      <c r="J37" s="68"/>
      <c r="K37" s="61"/>
      <c r="L37" s="66"/>
      <c r="M37" s="62" t="s">
        <v>208</v>
      </c>
      <c r="N37" s="66">
        <v>4.2519999999999998</v>
      </c>
      <c r="O37" s="66">
        <v>4.38</v>
      </c>
      <c r="P37" s="66">
        <v>4.5709999999999997</v>
      </c>
      <c r="Q37" s="66">
        <v>4.5389999999999997</v>
      </c>
      <c r="R37" s="66">
        <v>4.5209999999999999</v>
      </c>
      <c r="S37" s="72">
        <f t="shared" ref="S37:S39" si="36">AVERAGE(N37:R37)</f>
        <v>4.4525999999999994</v>
      </c>
      <c r="T37" s="80" t="str">
        <f t="shared" si="35"/>
        <v>am.-MnO2</v>
      </c>
      <c r="U37" s="94" t="s">
        <v>302</v>
      </c>
      <c r="V37" s="62">
        <v>10</v>
      </c>
      <c r="W37" s="61"/>
      <c r="X37" s="65">
        <f>$P$18</f>
        <v>7.9738653752584723</v>
      </c>
      <c r="Y37" s="72">
        <f>((S44*0.0365)/($O$10))*100</f>
        <v>0.53181542857142849</v>
      </c>
      <c r="Z37" s="72">
        <f>((S57*0.0365)/($O$10))*100</f>
        <v>0.33175371428571426</v>
      </c>
      <c r="AA37" s="65">
        <f>X37+Y37+Z37</f>
        <v>8.8374345181156144</v>
      </c>
      <c r="AB37" s="88">
        <f>$S$70</f>
        <v>3.8439999999999999</v>
      </c>
      <c r="AC37" s="61"/>
      <c r="AD37" s="61"/>
      <c r="AE37" s="61"/>
      <c r="AF37" s="72">
        <f>(((S44+S57)*0.0365)/$O$10)*100</f>
        <v>0.8635691428571427</v>
      </c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</row>
    <row r="38" spans="1:48" x14ac:dyDescent="0.25">
      <c r="A38" s="63" t="s">
        <v>250</v>
      </c>
      <c r="B38" s="62"/>
      <c r="C38" s="62"/>
      <c r="D38" s="62"/>
      <c r="E38" s="62"/>
      <c r="F38" s="61"/>
      <c r="G38" s="96"/>
      <c r="H38" s="98"/>
      <c r="I38" s="99"/>
      <c r="J38" s="68"/>
      <c r="K38" s="68"/>
      <c r="L38" s="93"/>
      <c r="M38" s="62" t="s">
        <v>210</v>
      </c>
      <c r="N38" s="66">
        <v>0.17199999999999999</v>
      </c>
      <c r="O38" s="66">
        <v>0.19</v>
      </c>
      <c r="P38" s="66">
        <v>0.17499999999999999</v>
      </c>
      <c r="Q38" s="66">
        <v>0.16700000000000001</v>
      </c>
      <c r="R38" s="66">
        <v>0.186</v>
      </c>
      <c r="S38" s="72">
        <f t="shared" si="36"/>
        <v>0.17799999999999999</v>
      </c>
      <c r="T38" s="80" t="str">
        <f t="shared" si="35"/>
        <v>goethite</v>
      </c>
      <c r="U38" s="61"/>
      <c r="V38" s="67"/>
      <c r="W38" s="61"/>
      <c r="X38" s="62"/>
      <c r="Y38" s="62"/>
      <c r="Z38" s="61"/>
      <c r="AA38" s="62"/>
      <c r="AB38" s="88"/>
      <c r="AC38" s="61"/>
      <c r="AD38" s="61"/>
      <c r="AE38" s="61"/>
      <c r="AF38" s="62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</row>
    <row r="39" spans="1:48" x14ac:dyDescent="0.25">
      <c r="A39" s="61" t="s">
        <v>89</v>
      </c>
      <c r="B39" s="62"/>
      <c r="C39" s="62"/>
      <c r="D39" s="62"/>
      <c r="E39" s="64">
        <f>STDEV(N24:R24)</f>
        <v>107610.40841851685</v>
      </c>
      <c r="F39" s="62" t="s">
        <v>88</v>
      </c>
      <c r="G39" s="96"/>
      <c r="H39" s="98"/>
      <c r="I39" s="99"/>
      <c r="J39" s="68"/>
      <c r="K39" s="68"/>
      <c r="L39" s="64"/>
      <c r="M39" s="62" t="s">
        <v>211</v>
      </c>
      <c r="N39" s="66">
        <v>0.67</v>
      </c>
      <c r="O39" s="66">
        <v>0.72199999999999998</v>
      </c>
      <c r="P39" s="66">
        <v>0.94399999999999995</v>
      </c>
      <c r="Q39" s="66">
        <v>0.77</v>
      </c>
      <c r="R39" s="66">
        <v>0.74199999999999999</v>
      </c>
      <c r="S39" s="72">
        <f t="shared" si="36"/>
        <v>0.76959999999999995</v>
      </c>
      <c r="T39" s="80" t="str">
        <f t="shared" si="35"/>
        <v>am.-FeOOH</v>
      </c>
      <c r="U39" s="61"/>
      <c r="V39" s="84" t="s">
        <v>296</v>
      </c>
      <c r="W39" s="61"/>
      <c r="X39" s="62"/>
      <c r="Y39" s="62"/>
      <c r="Z39" s="61"/>
      <c r="AA39" s="62"/>
      <c r="AB39" s="88"/>
      <c r="AC39" s="61"/>
      <c r="AD39" s="61"/>
      <c r="AE39" s="61"/>
      <c r="AF39" s="62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</row>
    <row r="40" spans="1:48" x14ac:dyDescent="0.25">
      <c r="A40" s="61" t="s">
        <v>90</v>
      </c>
      <c r="B40" s="62"/>
      <c r="C40" s="62"/>
      <c r="D40" s="62"/>
      <c r="E40" s="65">
        <f>AVERAGE(N24:R24)</f>
        <v>17254000</v>
      </c>
      <c r="F40" s="62" t="s">
        <v>9</v>
      </c>
      <c r="G40" s="96"/>
      <c r="H40" s="98"/>
      <c r="I40" s="99"/>
      <c r="J40" s="68"/>
      <c r="K40" s="68"/>
      <c r="L40" s="93"/>
      <c r="M40" s="62"/>
      <c r="N40" s="66"/>
      <c r="O40" s="66"/>
      <c r="P40" s="66"/>
      <c r="Q40" s="66"/>
      <c r="R40" s="66"/>
      <c r="S40" s="62"/>
      <c r="T40" s="61"/>
      <c r="U40" s="94" t="s">
        <v>302</v>
      </c>
      <c r="V40" s="62">
        <v>1</v>
      </c>
      <c r="W40" s="61"/>
      <c r="X40" s="65">
        <f>$P$13</f>
        <v>11.418109869112127</v>
      </c>
      <c r="Y40" s="72">
        <f>((S39*0.0365)/($O$10))*100</f>
        <v>1.6051657142857143</v>
      </c>
      <c r="Z40" s="72">
        <f>((S52*0.0365)/($O$10))*100</f>
        <v>1.4516571428571425</v>
      </c>
      <c r="AA40" s="65">
        <f>X40+Y40+Z40</f>
        <v>14.474932726254984</v>
      </c>
      <c r="AB40" s="88">
        <v>5.3</v>
      </c>
      <c r="AC40" s="61"/>
      <c r="AD40" s="61"/>
      <c r="AE40" s="61"/>
      <c r="AF40" s="72">
        <f>(((S39+S52)*0.0365)/$O$10)*100</f>
        <v>3.0568228571428566</v>
      </c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</row>
    <row r="41" spans="1:48" x14ac:dyDescent="0.25">
      <c r="A41" s="61" t="s">
        <v>104</v>
      </c>
      <c r="B41" s="61"/>
      <c r="C41" s="61"/>
      <c r="D41" s="61">
        <v>2.7759999999999998</v>
      </c>
      <c r="E41" s="66">
        <f>(D41*E39)/(C42^0.5)</f>
        <v>133594.54934988925</v>
      </c>
      <c r="F41" s="62" t="s">
        <v>92</v>
      </c>
      <c r="G41" s="98"/>
      <c r="H41" s="98"/>
      <c r="I41" s="88"/>
      <c r="J41" s="75"/>
      <c r="K41" s="65"/>
      <c r="L41" s="62" t="s">
        <v>247</v>
      </c>
      <c r="M41" s="62" t="s">
        <v>212</v>
      </c>
      <c r="N41" s="66">
        <v>0.254</v>
      </c>
      <c r="O41" s="100">
        <v>0.255</v>
      </c>
      <c r="P41" s="100">
        <v>0.254</v>
      </c>
      <c r="Q41" s="66">
        <v>0.26100000000000001</v>
      </c>
      <c r="R41" s="66">
        <v>0.23100000000000001</v>
      </c>
      <c r="S41" s="72">
        <f t="shared" ref="S41" si="37">AVERAGE(N41:R41)</f>
        <v>0.251</v>
      </c>
      <c r="T41" s="80" t="str">
        <f t="shared" ref="T41:T42" si="38">T28</f>
        <v>goethite</v>
      </c>
      <c r="U41" s="94" t="s">
        <v>302</v>
      </c>
      <c r="V41" s="62">
        <v>4</v>
      </c>
      <c r="W41" s="61"/>
      <c r="X41" s="65">
        <f>$P$16</f>
        <v>26.288223580733117</v>
      </c>
      <c r="Y41" s="72">
        <f>((S42*0.0365)/($O$10))*100</f>
        <v>3.2758228571428578</v>
      </c>
      <c r="Z41" s="72">
        <f>((S55*0.0365)/($O$10))*100</f>
        <v>3.2758228571428578</v>
      </c>
      <c r="AA41" s="65">
        <f>X41+Y41+Z41</f>
        <v>32.839869295018829</v>
      </c>
      <c r="AB41" s="88">
        <v>4.9000000000000004</v>
      </c>
      <c r="AC41" s="61"/>
      <c r="AD41" s="61"/>
      <c r="AE41" s="61"/>
      <c r="AF41" s="72">
        <f>(((S42+S55)*0.0365)/$O$10)*100</f>
        <v>6.5516457142857156</v>
      </c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48" x14ac:dyDescent="0.25">
      <c r="A42" s="61" t="s">
        <v>93</v>
      </c>
      <c r="B42" s="61"/>
      <c r="C42" s="62">
        <v>5</v>
      </c>
      <c r="D42" s="61"/>
      <c r="E42" s="61"/>
      <c r="F42" s="68" t="s">
        <v>94</v>
      </c>
      <c r="G42" s="97">
        <f>E40-E41</f>
        <v>17120405.450650111</v>
      </c>
      <c r="H42" s="97">
        <f>E40+E41</f>
        <v>17387594.549349889</v>
      </c>
      <c r="I42" s="88"/>
      <c r="J42" s="75">
        <f>P11</f>
        <v>84.570839121767975</v>
      </c>
      <c r="K42" s="65"/>
      <c r="L42" s="62"/>
      <c r="M42" s="62" t="s">
        <v>213</v>
      </c>
      <c r="N42" s="87">
        <v>1.399</v>
      </c>
      <c r="O42" s="87">
        <v>1.671</v>
      </c>
      <c r="P42" s="87">
        <v>1.5569999999999999</v>
      </c>
      <c r="Q42" s="87">
        <v>1.671</v>
      </c>
      <c r="R42" s="87">
        <v>1.5549999999999999</v>
      </c>
      <c r="S42" s="72">
        <f>AVERAGE(N42:R42)</f>
        <v>1.5706000000000002</v>
      </c>
      <c r="T42" s="80" t="str">
        <f t="shared" si="38"/>
        <v>am.-FeOOH</v>
      </c>
      <c r="U42" s="94" t="s">
        <v>302</v>
      </c>
      <c r="V42" s="62">
        <v>10</v>
      </c>
      <c r="W42" s="61"/>
      <c r="X42" s="65">
        <f>$P$19</f>
        <v>59.290980192144382</v>
      </c>
      <c r="Y42" s="72">
        <f>((S45*0.0365)/($O$10))*100</f>
        <v>2.6931577142857135</v>
      </c>
      <c r="Z42" s="72">
        <f>((S58*0.0365)/($O$10))*100</f>
        <v>2.3259885714285717</v>
      </c>
      <c r="AA42" s="65">
        <f>(X42+Y42+Z42)</f>
        <v>64.31012647785866</v>
      </c>
      <c r="AB42" s="88">
        <f>$S$71</f>
        <v>4.5840000000000005</v>
      </c>
      <c r="AC42" s="61"/>
      <c r="AD42" s="61"/>
      <c r="AE42" s="61"/>
      <c r="AF42" s="72">
        <f>(((S45+S58)*0.0365)/$O$10)*100</f>
        <v>5.0191462857142852</v>
      </c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</row>
    <row r="43" spans="1:48" x14ac:dyDescent="0.25">
      <c r="A43" s="62"/>
      <c r="B43" s="62"/>
      <c r="C43" s="62"/>
      <c r="D43" s="78"/>
      <c r="E43" s="71"/>
      <c r="F43" s="72"/>
      <c r="G43" s="96"/>
      <c r="H43" s="96"/>
      <c r="I43" s="88"/>
      <c r="J43" s="75"/>
      <c r="K43" s="65"/>
      <c r="L43" s="62"/>
      <c r="M43" s="62"/>
      <c r="N43" s="66"/>
      <c r="O43" s="66"/>
      <c r="P43" s="66"/>
      <c r="Q43" s="66"/>
      <c r="R43" s="66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</row>
    <row r="44" spans="1:48" x14ac:dyDescent="0.25">
      <c r="A44" s="63" t="s">
        <v>217</v>
      </c>
      <c r="B44" s="62"/>
      <c r="C44" s="62"/>
      <c r="D44" s="62"/>
      <c r="E44" s="62"/>
      <c r="F44" s="61"/>
      <c r="G44" s="96"/>
      <c r="H44" s="98"/>
      <c r="I44" s="88"/>
      <c r="J44" s="75"/>
      <c r="K44" s="65"/>
      <c r="L44" s="62" t="s">
        <v>248</v>
      </c>
      <c r="M44" s="62" t="s">
        <v>214</v>
      </c>
      <c r="N44" s="66">
        <v>0.23330000000000001</v>
      </c>
      <c r="O44" s="66">
        <v>0.24329999999999999</v>
      </c>
      <c r="P44" s="66">
        <v>0.21479999999999999</v>
      </c>
      <c r="Q44" s="66">
        <v>0.27239999999999998</v>
      </c>
      <c r="R44" s="66">
        <v>0.31109999999999999</v>
      </c>
      <c r="S44" s="72">
        <f t="shared" ref="S44:S45" si="39">AVERAGE(N44:R44)</f>
        <v>0.25497999999999998</v>
      </c>
      <c r="T44" s="80" t="str">
        <f t="shared" ref="T44:T45" si="40">T28</f>
        <v>goethite</v>
      </c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48" x14ac:dyDescent="0.25">
      <c r="A45" s="61" t="s">
        <v>89</v>
      </c>
      <c r="B45" s="62"/>
      <c r="C45" s="62"/>
      <c r="D45" s="62"/>
      <c r="E45" s="64">
        <f>STDEV(N25:R25)</f>
        <v>22.192611383070723</v>
      </c>
      <c r="F45" s="62" t="s">
        <v>88</v>
      </c>
      <c r="G45" s="96"/>
      <c r="H45" s="98"/>
      <c r="I45" s="88"/>
      <c r="J45" s="75"/>
      <c r="K45" s="65"/>
      <c r="L45" s="72"/>
      <c r="M45" s="62" t="s">
        <v>215</v>
      </c>
      <c r="N45" s="66">
        <v>1.2363</v>
      </c>
      <c r="O45" s="66">
        <v>1.1197999999999999</v>
      </c>
      <c r="P45" s="66">
        <v>1.3048999999999999</v>
      </c>
      <c r="Q45" s="66">
        <v>1.2686999999999999</v>
      </c>
      <c r="R45" s="66">
        <v>1.5265</v>
      </c>
      <c r="S45" s="72">
        <f t="shared" si="39"/>
        <v>1.2912399999999997</v>
      </c>
      <c r="T45" s="80" t="str">
        <f t="shared" si="40"/>
        <v>am.-FeOOH</v>
      </c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48" x14ac:dyDescent="0.25">
      <c r="A46" s="61" t="s">
        <v>90</v>
      </c>
      <c r="B46" s="62"/>
      <c r="C46" s="62"/>
      <c r="D46" s="62"/>
      <c r="E46" s="65">
        <f>AVERAGE(N25:R25)</f>
        <v>222.68</v>
      </c>
      <c r="F46" s="62" t="s">
        <v>9</v>
      </c>
      <c r="G46" s="96"/>
      <c r="H46" s="98"/>
      <c r="I46" s="88"/>
      <c r="J46" s="75"/>
      <c r="K46" s="65"/>
      <c r="L46" s="72"/>
      <c r="M46" s="71"/>
      <c r="N46" s="72"/>
      <c r="O46" s="72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48" x14ac:dyDescent="0.25">
      <c r="A47" s="61" t="s">
        <v>104</v>
      </c>
      <c r="B47" s="61"/>
      <c r="C47" s="61"/>
      <c r="D47" s="61">
        <v>2.7759999999999998</v>
      </c>
      <c r="E47" s="66">
        <f>(D47*E45)/(C48^0.5)</f>
        <v>27.551348983714032</v>
      </c>
      <c r="F47" s="62" t="s">
        <v>92</v>
      </c>
      <c r="G47" s="98"/>
      <c r="H47" s="98"/>
      <c r="I47" s="87"/>
      <c r="J47" s="68"/>
      <c r="K47" s="61"/>
      <c r="L47" s="61"/>
      <c r="M47" s="65" t="s">
        <v>237</v>
      </c>
      <c r="N47" s="65"/>
      <c r="O47" s="65"/>
      <c r="P47" s="65" t="s">
        <v>284</v>
      </c>
      <c r="Q47" s="66"/>
      <c r="R47" s="64"/>
      <c r="S47" s="66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48" x14ac:dyDescent="0.25">
      <c r="A48" s="61" t="s">
        <v>93</v>
      </c>
      <c r="B48" s="61"/>
      <c r="C48" s="62">
        <v>5</v>
      </c>
      <c r="D48" s="61"/>
      <c r="E48" s="61"/>
      <c r="F48" s="68" t="s">
        <v>94</v>
      </c>
      <c r="G48" s="97">
        <f>E46-E47</f>
        <v>195.12865101628597</v>
      </c>
      <c r="H48" s="97">
        <f>E46+E47</f>
        <v>250.23134898371404</v>
      </c>
      <c r="I48" s="87"/>
      <c r="J48" s="75">
        <f>P12</f>
        <v>0.70367750747480529</v>
      </c>
      <c r="K48" s="61"/>
      <c r="L48" s="61"/>
      <c r="M48" s="64" t="s">
        <v>219</v>
      </c>
      <c r="N48" s="66" t="s">
        <v>238</v>
      </c>
      <c r="O48" s="66" t="s">
        <v>239</v>
      </c>
      <c r="P48" s="66" t="s">
        <v>240</v>
      </c>
      <c r="Q48" s="66" t="s">
        <v>241</v>
      </c>
      <c r="R48" s="66" t="s">
        <v>242</v>
      </c>
      <c r="S48" s="66" t="s">
        <v>243</v>
      </c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48" x14ac:dyDescent="0.25">
      <c r="A49" s="61"/>
      <c r="B49" s="61"/>
      <c r="C49" s="61"/>
      <c r="D49" s="61"/>
      <c r="E49" s="61"/>
      <c r="F49" s="61"/>
      <c r="G49" s="98"/>
      <c r="H49" s="98"/>
      <c r="I49" s="87"/>
      <c r="J49" s="68"/>
      <c r="K49" s="61"/>
      <c r="L49" s="66" t="s">
        <v>246</v>
      </c>
      <c r="M49" s="62" t="s">
        <v>207</v>
      </c>
      <c r="N49" s="66">
        <v>0.629</v>
      </c>
      <c r="O49" s="66">
        <v>0.58299999999999996</v>
      </c>
      <c r="P49" s="66">
        <v>0.58799999999999997</v>
      </c>
      <c r="Q49" s="66">
        <v>0.60899999999999999</v>
      </c>
      <c r="R49" s="66">
        <v>0.56999999999999995</v>
      </c>
      <c r="S49" s="72">
        <f>AVERAGE(N49:R49)</f>
        <v>0.59579999999999989</v>
      </c>
      <c r="T49" s="80" t="str">
        <f t="shared" ref="T49:T52" si="41">T23</f>
        <v>pyrol.</v>
      </c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48" x14ac:dyDescent="0.25">
      <c r="A50" s="63" t="s">
        <v>218</v>
      </c>
      <c r="B50" s="62"/>
      <c r="C50" s="62"/>
      <c r="D50" s="62"/>
      <c r="E50" s="62"/>
      <c r="F50" s="61"/>
      <c r="G50" s="96"/>
      <c r="H50" s="98"/>
      <c r="I50" s="87"/>
      <c r="J50" s="68"/>
      <c r="K50" s="61"/>
      <c r="L50" s="66"/>
      <c r="M50" s="62" t="s">
        <v>208</v>
      </c>
      <c r="N50" s="66">
        <v>0.251</v>
      </c>
      <c r="O50" s="66">
        <v>0.41199999999999998</v>
      </c>
      <c r="P50" s="66">
        <v>0.245</v>
      </c>
      <c r="Q50" s="66">
        <v>0.28999999999999998</v>
      </c>
      <c r="R50" s="66">
        <v>0.33</v>
      </c>
      <c r="S50" s="72">
        <f t="shared" ref="S50:S52" si="42">AVERAGE(N50:R50)</f>
        <v>0.30559999999999998</v>
      </c>
      <c r="T50" s="80" t="str">
        <f t="shared" si="41"/>
        <v>am.-MnO2</v>
      </c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48" x14ac:dyDescent="0.25">
      <c r="A51" s="61" t="s">
        <v>89</v>
      </c>
      <c r="B51" s="62"/>
      <c r="C51" s="62"/>
      <c r="D51" s="62"/>
      <c r="E51" s="64">
        <f>STDEV(N26:R26)</f>
        <v>38.989742240748399</v>
      </c>
      <c r="F51" s="62" t="s">
        <v>88</v>
      </c>
      <c r="G51" s="96"/>
      <c r="H51" s="98"/>
      <c r="I51" s="87"/>
      <c r="J51" s="68"/>
      <c r="K51" s="61"/>
      <c r="L51" s="93"/>
      <c r="M51" s="62" t="s">
        <v>210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72">
        <f t="shared" si="42"/>
        <v>0</v>
      </c>
      <c r="T51" s="80" t="str">
        <f t="shared" si="41"/>
        <v>goethite</v>
      </c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48" x14ac:dyDescent="0.25">
      <c r="A52" s="61" t="s">
        <v>90</v>
      </c>
      <c r="B52" s="62"/>
      <c r="C52" s="62"/>
      <c r="D52" s="62"/>
      <c r="E52" s="65">
        <f>AVERAGE(N26:R26)</f>
        <v>3582.2</v>
      </c>
      <c r="F52" s="62" t="s">
        <v>9</v>
      </c>
      <c r="G52" s="96"/>
      <c r="H52" s="98"/>
      <c r="I52" s="87"/>
      <c r="J52" s="68"/>
      <c r="K52" s="61"/>
      <c r="L52" s="64"/>
      <c r="M52" s="62" t="s">
        <v>211</v>
      </c>
      <c r="N52" s="66">
        <v>0.71499999999999997</v>
      </c>
      <c r="O52" s="66">
        <v>0.72199999999999998</v>
      </c>
      <c r="P52" s="66">
        <v>0.623</v>
      </c>
      <c r="Q52" s="66">
        <v>0.75</v>
      </c>
      <c r="R52" s="66">
        <v>0.67</v>
      </c>
      <c r="S52" s="72">
        <f t="shared" si="42"/>
        <v>0.69599999999999995</v>
      </c>
      <c r="T52" s="80" t="str">
        <f t="shared" si="41"/>
        <v>am.-FeOOH</v>
      </c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48" x14ac:dyDescent="0.25">
      <c r="A53" s="61" t="s">
        <v>104</v>
      </c>
      <c r="B53" s="61"/>
      <c r="C53" s="61"/>
      <c r="D53" s="61">
        <v>2.7759999999999998</v>
      </c>
      <c r="E53" s="66">
        <f>(D53*E51)/(C54^0.5)</f>
        <v>48.40439805472225</v>
      </c>
      <c r="F53" s="62" t="s">
        <v>92</v>
      </c>
      <c r="G53" s="98"/>
      <c r="H53" s="98"/>
      <c r="I53" s="87"/>
      <c r="J53" s="68"/>
      <c r="K53" s="61"/>
      <c r="L53" s="93"/>
      <c r="M53" s="62"/>
      <c r="N53" s="62"/>
      <c r="O53" s="66"/>
      <c r="P53" s="66"/>
      <c r="Q53" s="66"/>
      <c r="R53" s="62"/>
      <c r="S53" s="62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</row>
    <row r="54" spans="1:48" x14ac:dyDescent="0.25">
      <c r="A54" s="61" t="s">
        <v>93</v>
      </c>
      <c r="B54" s="61"/>
      <c r="C54" s="62">
        <v>5</v>
      </c>
      <c r="D54" s="61"/>
      <c r="E54" s="61"/>
      <c r="F54" s="68" t="s">
        <v>94</v>
      </c>
      <c r="G54" s="97">
        <f>E52-E53</f>
        <v>3533.7956019452777</v>
      </c>
      <c r="H54" s="97">
        <f>E52+E53</f>
        <v>3630.604398054722</v>
      </c>
      <c r="I54" s="87"/>
      <c r="J54" s="75">
        <f>P13</f>
        <v>11.418109869112127</v>
      </c>
      <c r="K54" s="61"/>
      <c r="L54" s="62" t="s">
        <v>247</v>
      </c>
      <c r="M54" s="62" t="s">
        <v>212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72">
        <f t="shared" ref="S54" si="43">AVERAGE(N54:R54)</f>
        <v>0</v>
      </c>
      <c r="T54" s="80" t="str">
        <f t="shared" ref="T54:T55" si="44">T28</f>
        <v>goethite</v>
      </c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</row>
    <row r="55" spans="1:48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2"/>
      <c r="M55" s="62" t="s">
        <v>213</v>
      </c>
      <c r="N55" s="66">
        <v>0.82899999999999996</v>
      </c>
      <c r="O55" s="66">
        <v>0.82199999999999995</v>
      </c>
      <c r="P55" s="66">
        <v>0.88300000000000001</v>
      </c>
      <c r="Q55" s="66">
        <v>0.74099999999999999</v>
      </c>
      <c r="R55" s="66">
        <v>0.89500000000000002</v>
      </c>
      <c r="S55" s="72">
        <f>AVERAGE(N42:R42)</f>
        <v>1.5706000000000002</v>
      </c>
      <c r="T55" s="80" t="str">
        <f t="shared" si="44"/>
        <v>am.-FeOOH</v>
      </c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48" x14ac:dyDescent="0.25">
      <c r="A56" s="63" t="s">
        <v>226</v>
      </c>
      <c r="B56" s="62"/>
      <c r="C56" s="62"/>
      <c r="D56" s="62"/>
      <c r="E56" s="62"/>
      <c r="F56" s="61"/>
      <c r="G56" s="62"/>
      <c r="H56" s="61"/>
      <c r="I56" s="88"/>
      <c r="J56" s="75"/>
      <c r="K56" s="61"/>
      <c r="L56" s="62"/>
      <c r="M56" s="62"/>
      <c r="N56" s="62"/>
      <c r="O56" s="62"/>
      <c r="P56" s="62"/>
      <c r="Q56" s="62"/>
      <c r="R56" s="62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48" x14ac:dyDescent="0.25">
      <c r="A57" s="61" t="s">
        <v>89</v>
      </c>
      <c r="B57" s="62"/>
      <c r="C57" s="62"/>
      <c r="D57" s="62"/>
      <c r="E57" s="64">
        <f>STDEV(N28:R28)</f>
        <v>250.23184249811186</v>
      </c>
      <c r="F57" s="62" t="s">
        <v>88</v>
      </c>
      <c r="G57" s="62"/>
      <c r="H57" s="61"/>
      <c r="I57" s="88"/>
      <c r="J57" s="75"/>
      <c r="K57" s="61"/>
      <c r="L57" s="62" t="s">
        <v>248</v>
      </c>
      <c r="M57" s="62" t="s">
        <v>214</v>
      </c>
      <c r="N57" s="62">
        <v>0.1157</v>
      </c>
      <c r="O57" s="62">
        <v>0</v>
      </c>
      <c r="P57" s="62">
        <v>0.67959999999999998</v>
      </c>
      <c r="Q57" s="62">
        <v>0</v>
      </c>
      <c r="R57" s="62">
        <v>0</v>
      </c>
      <c r="S57" s="72">
        <f t="shared" ref="S57:S58" si="45">AVERAGE(N57:R57)</f>
        <v>0.15906000000000001</v>
      </c>
      <c r="T57" s="80" t="str">
        <f t="shared" ref="T57:T58" si="46">T28</f>
        <v>goethite</v>
      </c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48" x14ac:dyDescent="0.25">
      <c r="A58" s="61" t="s">
        <v>90</v>
      </c>
      <c r="B58" s="62"/>
      <c r="C58" s="62"/>
      <c r="D58" s="62"/>
      <c r="E58" s="65">
        <f>AVERAGE(N28:R28)</f>
        <v>994</v>
      </c>
      <c r="F58" s="62" t="s">
        <v>9</v>
      </c>
      <c r="G58" s="62"/>
      <c r="H58" s="61"/>
      <c r="I58" s="88"/>
      <c r="J58" s="75"/>
      <c r="K58" s="61"/>
      <c r="L58" s="61"/>
      <c r="M58" s="62" t="s">
        <v>215</v>
      </c>
      <c r="N58" s="62">
        <v>0.99509999999999998</v>
      </c>
      <c r="O58" s="62">
        <v>1.0024999999999999</v>
      </c>
      <c r="P58" s="62">
        <v>1.0427999999999999</v>
      </c>
      <c r="Q58" s="62">
        <v>1.0091000000000001</v>
      </c>
      <c r="R58" s="62">
        <v>1.5265</v>
      </c>
      <c r="S58" s="72">
        <f t="shared" si="45"/>
        <v>1.1152000000000002</v>
      </c>
      <c r="T58" s="80" t="str">
        <f t="shared" si="46"/>
        <v>am.-FeOOH</v>
      </c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48" x14ac:dyDescent="0.25">
      <c r="A59" s="61" t="s">
        <v>104</v>
      </c>
      <c r="B59" s="61"/>
      <c r="C59" s="61"/>
      <c r="D59" s="61">
        <v>2.7759999999999998</v>
      </c>
      <c r="E59" s="66">
        <f>(D59*E57)/(C60^0.5)</f>
        <v>310.65405961023555</v>
      </c>
      <c r="F59" s="62" t="s">
        <v>92</v>
      </c>
      <c r="G59" s="61"/>
      <c r="H59" s="61"/>
      <c r="I59" s="87"/>
      <c r="J59" s="68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48" x14ac:dyDescent="0.25">
      <c r="A60" s="61" t="s">
        <v>93</v>
      </c>
      <c r="B60" s="61"/>
      <c r="C60" s="62">
        <v>5</v>
      </c>
      <c r="D60" s="61"/>
      <c r="E60" s="61"/>
      <c r="F60" s="68" t="s">
        <v>94</v>
      </c>
      <c r="G60" s="101">
        <f>E58-E59</f>
        <v>683.34594038976445</v>
      </c>
      <c r="H60" s="101">
        <f>E58+E59</f>
        <v>1304.6540596102354</v>
      </c>
      <c r="I60" s="87"/>
      <c r="J60" s="75">
        <f>P15</f>
        <v>3.1599000722460997</v>
      </c>
      <c r="K60" s="61"/>
      <c r="L60" s="61"/>
      <c r="M60" s="65" t="s">
        <v>249</v>
      </c>
      <c r="N60" s="65"/>
      <c r="O60" s="65"/>
      <c r="P60" s="65"/>
      <c r="Q60" s="66"/>
      <c r="R60" s="64"/>
      <c r="S60" s="66"/>
      <c r="T60" s="87" t="s">
        <v>298</v>
      </c>
      <c r="U60" s="87" t="s">
        <v>301</v>
      </c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48" x14ac:dyDescent="0.25">
      <c r="A61" s="61"/>
      <c r="B61" s="61"/>
      <c r="C61" s="61"/>
      <c r="D61" s="61"/>
      <c r="E61" s="61"/>
      <c r="F61" s="61"/>
      <c r="G61" s="61"/>
      <c r="H61" s="61"/>
      <c r="I61" s="87"/>
      <c r="J61" s="68"/>
      <c r="K61" s="61"/>
      <c r="L61" s="61"/>
      <c r="M61" s="64" t="s">
        <v>219</v>
      </c>
      <c r="N61" s="66" t="s">
        <v>252</v>
      </c>
      <c r="O61" s="66" t="s">
        <v>253</v>
      </c>
      <c r="P61" s="66" t="s">
        <v>254</v>
      </c>
      <c r="Q61" s="66" t="s">
        <v>255</v>
      </c>
      <c r="R61" s="66" t="s">
        <v>256</v>
      </c>
      <c r="S61" s="66" t="s">
        <v>245</v>
      </c>
      <c r="T61" s="87" t="s">
        <v>299</v>
      </c>
      <c r="U61" s="100" t="s">
        <v>300</v>
      </c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48" x14ac:dyDescent="0.25">
      <c r="A62" s="63" t="s">
        <v>227</v>
      </c>
      <c r="B62" s="62"/>
      <c r="C62" s="62"/>
      <c r="D62" s="62"/>
      <c r="E62" s="62"/>
      <c r="F62" s="61"/>
      <c r="G62" s="62"/>
      <c r="H62" s="61"/>
      <c r="I62" s="87"/>
      <c r="J62" s="68"/>
      <c r="K62" s="61"/>
      <c r="L62" s="66" t="s">
        <v>246</v>
      </c>
      <c r="M62" s="62" t="s">
        <v>207</v>
      </c>
      <c r="N62" s="72">
        <v>6.24</v>
      </c>
      <c r="O62" s="72">
        <v>6.23</v>
      </c>
      <c r="P62" s="72">
        <v>6.27</v>
      </c>
      <c r="Q62" s="72">
        <v>6.25</v>
      </c>
      <c r="R62" s="72">
        <v>6.25</v>
      </c>
      <c r="S62" s="72">
        <f>AVERAGE(N62:R62)</f>
        <v>6.2480000000000002</v>
      </c>
      <c r="T62" s="61"/>
      <c r="U62" s="72">
        <v>5.9</v>
      </c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48" x14ac:dyDescent="0.25">
      <c r="A63" s="61" t="s">
        <v>89</v>
      </c>
      <c r="B63" s="62"/>
      <c r="C63" s="62"/>
      <c r="D63" s="62"/>
      <c r="E63" s="64">
        <f>STDEV(N29:R29)</f>
        <v>131.05044067075895</v>
      </c>
      <c r="F63" s="62" t="s">
        <v>88</v>
      </c>
      <c r="G63" s="62"/>
      <c r="H63" s="61"/>
      <c r="I63" s="87"/>
      <c r="J63" s="68"/>
      <c r="K63" s="61"/>
      <c r="L63" s="66"/>
      <c r="M63" s="62" t="s">
        <v>208</v>
      </c>
      <c r="N63" s="72">
        <v>7.81</v>
      </c>
      <c r="O63" s="72">
        <v>8.07</v>
      </c>
      <c r="P63" s="72">
        <v>8.19</v>
      </c>
      <c r="Q63" s="72">
        <v>8.18</v>
      </c>
      <c r="R63" s="72">
        <v>8.2799999999999994</v>
      </c>
      <c r="S63" s="72">
        <f>AVERAGE(N63:R63)</f>
        <v>8.1059999999999999</v>
      </c>
      <c r="T63" s="61"/>
      <c r="U63" s="72">
        <v>5.9</v>
      </c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48" x14ac:dyDescent="0.25">
      <c r="A64" s="61" t="s">
        <v>90</v>
      </c>
      <c r="B64" s="62"/>
      <c r="C64" s="62"/>
      <c r="D64" s="62"/>
      <c r="E64" s="65">
        <f>AVERAGE(N29:R29)</f>
        <v>8257.36</v>
      </c>
      <c r="F64" s="62" t="s">
        <v>9</v>
      </c>
      <c r="G64" s="62"/>
      <c r="H64" s="61"/>
      <c r="I64" s="87"/>
      <c r="J64" s="68"/>
      <c r="K64" s="61"/>
      <c r="L64" s="93"/>
      <c r="M64" s="62" t="s">
        <v>210</v>
      </c>
      <c r="N64" s="72">
        <v>4.93</v>
      </c>
      <c r="O64" s="72">
        <v>4.7300000000000004</v>
      </c>
      <c r="P64" s="72">
        <v>4.67</v>
      </c>
      <c r="Q64" s="72">
        <v>4.63</v>
      </c>
      <c r="R64" s="72">
        <v>4.63</v>
      </c>
      <c r="S64" s="72">
        <f>AVERAGE(N64:R64)</f>
        <v>4.718</v>
      </c>
      <c r="T64" s="61"/>
      <c r="U64" s="72">
        <v>5.9</v>
      </c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x14ac:dyDescent="0.25">
      <c r="A65" s="61" t="s">
        <v>104</v>
      </c>
      <c r="B65" s="61"/>
      <c r="C65" s="61"/>
      <c r="D65" s="61">
        <v>2.7759999999999998</v>
      </c>
      <c r="E65" s="66">
        <f>(D65*E63)/(C66^0.5)</f>
        <v>162.69452760948587</v>
      </c>
      <c r="F65" s="62" t="s">
        <v>92</v>
      </c>
      <c r="G65" s="61"/>
      <c r="H65" s="61"/>
      <c r="I65" s="87"/>
      <c r="J65" s="68"/>
      <c r="K65" s="61"/>
      <c r="L65" s="64"/>
      <c r="M65" s="62" t="s">
        <v>211</v>
      </c>
      <c r="N65" s="72">
        <v>5.21</v>
      </c>
      <c r="O65" s="72">
        <v>5.25</v>
      </c>
      <c r="P65" s="72">
        <v>5.29</v>
      </c>
      <c r="Q65" s="72">
        <v>5.28</v>
      </c>
      <c r="R65" s="72">
        <v>5.26</v>
      </c>
      <c r="S65" s="72">
        <f>AVERAGE(N65:R65)</f>
        <v>5.258</v>
      </c>
      <c r="T65" s="72">
        <v>7.02</v>
      </c>
      <c r="U65" s="72">
        <v>5.9</v>
      </c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x14ac:dyDescent="0.25">
      <c r="A66" s="61" t="s">
        <v>93</v>
      </c>
      <c r="B66" s="61"/>
      <c r="C66" s="62">
        <v>5</v>
      </c>
      <c r="D66" s="61"/>
      <c r="E66" s="61"/>
      <c r="F66" s="68" t="s">
        <v>94</v>
      </c>
      <c r="G66" s="101">
        <f>E64-E65</f>
        <v>8094.6654723905149</v>
      </c>
      <c r="H66" s="101">
        <f>E64+E65</f>
        <v>8420.0545276094872</v>
      </c>
      <c r="I66" s="87"/>
      <c r="J66" s="75">
        <f>P16</f>
        <v>26.288223580733117</v>
      </c>
      <c r="K66" s="61"/>
      <c r="L66" s="93"/>
      <c r="M66" s="62"/>
      <c r="N66" s="72"/>
      <c r="O66" s="72"/>
      <c r="P66" s="72"/>
      <c r="Q66" s="72"/>
      <c r="R66" s="72"/>
      <c r="S66" s="62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2" t="s">
        <v>247</v>
      </c>
      <c r="M67" s="62" t="s">
        <v>212</v>
      </c>
      <c r="N67" s="72">
        <v>4.3499999999999996</v>
      </c>
      <c r="O67" s="72">
        <v>4.2699999999999996</v>
      </c>
      <c r="P67" s="72">
        <v>4.3099999999999996</v>
      </c>
      <c r="Q67" s="72">
        <v>4.33</v>
      </c>
      <c r="R67" s="72">
        <v>4.22</v>
      </c>
      <c r="S67" s="72">
        <f>AVERAGE(N67:R67)</f>
        <v>4.2959999999999994</v>
      </c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x14ac:dyDescent="0.25">
      <c r="A68" s="63" t="s">
        <v>228</v>
      </c>
      <c r="B68" s="62"/>
      <c r="C68" s="62"/>
      <c r="D68" s="62"/>
      <c r="E68" s="62"/>
      <c r="F68" s="61"/>
      <c r="G68" s="62"/>
      <c r="H68" s="61"/>
      <c r="I68" s="88"/>
      <c r="J68" s="75"/>
      <c r="K68" s="61"/>
      <c r="L68" s="62"/>
      <c r="M68" s="62" t="s">
        <v>213</v>
      </c>
      <c r="N68" s="102">
        <v>4.83</v>
      </c>
      <c r="O68" s="102">
        <v>4.91</v>
      </c>
      <c r="P68" s="102">
        <v>4.92</v>
      </c>
      <c r="Q68" s="102">
        <v>4.95</v>
      </c>
      <c r="R68" s="102">
        <v>4.96</v>
      </c>
      <c r="S68" s="72">
        <f>AVERAGE(N68:R68)</f>
        <v>4.9139999999999997</v>
      </c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x14ac:dyDescent="0.25">
      <c r="A69" s="61" t="s">
        <v>89</v>
      </c>
      <c r="B69" s="62"/>
      <c r="C69" s="62"/>
      <c r="D69" s="62"/>
      <c r="E69" s="64">
        <f>STDEV(N31:R31)</f>
        <v>222730.59212121414</v>
      </c>
      <c r="F69" s="62" t="s">
        <v>88</v>
      </c>
      <c r="G69" s="62"/>
      <c r="H69" s="61"/>
      <c r="I69" s="88"/>
      <c r="J69" s="75"/>
      <c r="K69" s="61"/>
      <c r="L69" s="62"/>
      <c r="M69" s="62"/>
      <c r="N69" s="72"/>
      <c r="O69" s="72"/>
      <c r="P69" s="72"/>
      <c r="Q69" s="72"/>
      <c r="R69" s="72"/>
      <c r="S69" s="62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x14ac:dyDescent="0.25">
      <c r="A70" s="61" t="s">
        <v>90</v>
      </c>
      <c r="B70" s="62"/>
      <c r="C70" s="62"/>
      <c r="D70" s="62"/>
      <c r="E70" s="65">
        <f>AVERAGE(N31:R31)</f>
        <v>1627250</v>
      </c>
      <c r="F70" s="62" t="s">
        <v>9</v>
      </c>
      <c r="G70" s="62"/>
      <c r="H70" s="61"/>
      <c r="I70" s="88"/>
      <c r="J70" s="75"/>
      <c r="K70" s="61"/>
      <c r="L70" s="62" t="s">
        <v>248</v>
      </c>
      <c r="M70" s="62" t="s">
        <v>214</v>
      </c>
      <c r="N70" s="72">
        <v>3.82</v>
      </c>
      <c r="O70" s="72">
        <v>3.84</v>
      </c>
      <c r="P70" s="72">
        <v>3.85</v>
      </c>
      <c r="Q70" s="72">
        <v>3.85</v>
      </c>
      <c r="R70" s="72">
        <v>3.86</v>
      </c>
      <c r="S70" s="72">
        <f>AVERAGE(N70:R70)</f>
        <v>3.8439999999999999</v>
      </c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x14ac:dyDescent="0.25">
      <c r="A71" s="61" t="s">
        <v>104</v>
      </c>
      <c r="B71" s="61"/>
      <c r="C71" s="61"/>
      <c r="D71" s="61">
        <v>2.7759999999999998</v>
      </c>
      <c r="E71" s="66">
        <f>(D71*E69)/(C72^0.5)</f>
        <v>276512.22143068706</v>
      </c>
      <c r="F71" s="62" t="s">
        <v>92</v>
      </c>
      <c r="G71" s="61"/>
      <c r="H71" s="61"/>
      <c r="I71" s="87"/>
      <c r="J71" s="68"/>
      <c r="K71" s="61"/>
      <c r="L71" s="61"/>
      <c r="M71" s="62" t="s">
        <v>215</v>
      </c>
      <c r="N71" s="72">
        <v>4.5599999999999996</v>
      </c>
      <c r="O71" s="72">
        <v>4.58</v>
      </c>
      <c r="P71" s="72">
        <v>4.58</v>
      </c>
      <c r="Q71" s="72">
        <v>4.5999999999999996</v>
      </c>
      <c r="R71" s="72">
        <v>4.5999999999999996</v>
      </c>
      <c r="S71" s="72">
        <f>AVERAGE(N71:R71)</f>
        <v>4.5840000000000005</v>
      </c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x14ac:dyDescent="0.25">
      <c r="A72" s="61" t="s">
        <v>93</v>
      </c>
      <c r="B72" s="61"/>
      <c r="C72" s="62">
        <v>5</v>
      </c>
      <c r="D72" s="61"/>
      <c r="E72" s="61"/>
      <c r="F72" s="68" t="s">
        <v>94</v>
      </c>
      <c r="G72" s="101">
        <f>E70-E71</f>
        <v>1350737.778569313</v>
      </c>
      <c r="H72" s="101">
        <f>E70+E71</f>
        <v>1903762.221430687</v>
      </c>
      <c r="I72" s="87"/>
      <c r="J72" s="75">
        <f>P18</f>
        <v>7.9738653752584723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x14ac:dyDescent="0.25">
      <c r="A73" s="61"/>
      <c r="B73" s="61"/>
      <c r="C73" s="61"/>
      <c r="D73" s="61"/>
      <c r="E73" s="61"/>
      <c r="F73" s="61"/>
      <c r="G73" s="61"/>
      <c r="H73" s="61"/>
      <c r="I73" s="87"/>
      <c r="J73" s="68"/>
      <c r="K73" s="61"/>
      <c r="L73" s="61"/>
      <c r="M73" s="65"/>
      <c r="N73" s="65"/>
      <c r="O73" s="65"/>
      <c r="P73" s="65"/>
      <c r="Q73" s="66"/>
      <c r="R73" s="64"/>
      <c r="S73" s="66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x14ac:dyDescent="0.25">
      <c r="A74" s="63" t="s">
        <v>229</v>
      </c>
      <c r="B74" s="62"/>
      <c r="C74" s="62"/>
      <c r="D74" s="62"/>
      <c r="E74" s="62"/>
      <c r="F74" s="61"/>
      <c r="G74" s="62"/>
      <c r="H74" s="61"/>
      <c r="I74" s="87"/>
      <c r="J74" s="68"/>
      <c r="K74" s="61"/>
      <c r="L74" s="61"/>
      <c r="M74" s="64"/>
      <c r="N74" s="66"/>
      <c r="O74" s="66"/>
      <c r="P74" s="66"/>
      <c r="Q74" s="66"/>
      <c r="R74" s="66"/>
      <c r="S74" s="66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 x14ac:dyDescent="0.25">
      <c r="A75" s="61" t="s">
        <v>89</v>
      </c>
      <c r="B75" s="62"/>
      <c r="C75" s="62"/>
      <c r="D75" s="62"/>
      <c r="E75" s="64">
        <f>STDEV(N32:R32)</f>
        <v>154116.83879446788</v>
      </c>
      <c r="F75" s="62" t="s">
        <v>88</v>
      </c>
      <c r="G75" s="62"/>
      <c r="H75" s="61"/>
      <c r="I75" s="87"/>
      <c r="J75" s="68"/>
      <c r="K75" s="61"/>
      <c r="L75" s="61"/>
      <c r="M75" s="62"/>
      <c r="N75" s="64"/>
      <c r="O75" s="64"/>
      <c r="P75" s="64"/>
      <c r="Q75" s="64"/>
      <c r="R75" s="64"/>
      <c r="S75" s="64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 x14ac:dyDescent="0.25">
      <c r="A76" s="61" t="s">
        <v>90</v>
      </c>
      <c r="B76" s="62"/>
      <c r="C76" s="62"/>
      <c r="D76" s="62"/>
      <c r="E76" s="65">
        <f>AVERAGE(N32:R32)</f>
        <v>12097000</v>
      </c>
      <c r="F76" s="62" t="s">
        <v>9</v>
      </c>
      <c r="G76" s="62"/>
      <c r="H76" s="61"/>
      <c r="I76" s="87"/>
      <c r="J76" s="68"/>
      <c r="K76" s="61"/>
      <c r="L76" s="61"/>
      <c r="M76" s="62"/>
      <c r="N76" s="64"/>
      <c r="O76" s="64"/>
      <c r="P76" s="64"/>
      <c r="Q76" s="64"/>
      <c r="R76" s="64"/>
      <c r="S76" s="64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 x14ac:dyDescent="0.25">
      <c r="A77" s="61" t="s">
        <v>104</v>
      </c>
      <c r="B77" s="61"/>
      <c r="C77" s="61"/>
      <c r="D77" s="61">
        <v>2.7759999999999998</v>
      </c>
      <c r="E77" s="66">
        <f>(D77*E75)/(C78^0.5)</f>
        <v>191330.65219770718</v>
      </c>
      <c r="F77" s="62" t="s">
        <v>92</v>
      </c>
      <c r="G77" s="61"/>
      <c r="H77" s="61"/>
      <c r="I77" s="87"/>
      <c r="J77" s="68"/>
      <c r="K77" s="61"/>
      <c r="L77" s="61"/>
      <c r="M77" s="62"/>
      <c r="N77" s="64"/>
      <c r="O77" s="64"/>
      <c r="P77" s="64"/>
      <c r="Q77" s="64"/>
      <c r="R77" s="64"/>
      <c r="S77" s="64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 x14ac:dyDescent="0.25">
      <c r="A78" s="61" t="s">
        <v>93</v>
      </c>
      <c r="B78" s="61"/>
      <c r="C78" s="62">
        <v>5</v>
      </c>
      <c r="D78" s="61"/>
      <c r="E78" s="61"/>
      <c r="F78" s="68" t="s">
        <v>94</v>
      </c>
      <c r="G78" s="101">
        <f>E76-E77</f>
        <v>11905669.347802293</v>
      </c>
      <c r="H78" s="101">
        <f>E76+E77</f>
        <v>12288330.652197707</v>
      </c>
      <c r="I78" s="87"/>
      <c r="J78" s="75">
        <f>P19</f>
        <v>59.290980192144382</v>
      </c>
      <c r="K78" s="61"/>
      <c r="L78" s="61"/>
      <c r="M78" s="62"/>
      <c r="N78" s="64"/>
      <c r="O78" s="64"/>
      <c r="P78" s="64"/>
      <c r="Q78" s="64"/>
      <c r="R78" s="64"/>
      <c r="S78" s="64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48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2"/>
      <c r="N79" s="64"/>
      <c r="O79" s="64"/>
      <c r="P79" s="64"/>
      <c r="Q79" s="64"/>
      <c r="R79" s="64"/>
      <c r="S79" s="64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48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2"/>
      <c r="N80" s="64"/>
      <c r="O80" s="64"/>
      <c r="P80" s="64"/>
      <c r="Q80" s="64"/>
      <c r="R80" s="64"/>
      <c r="S80" s="64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1:48" x14ac:dyDescent="0.25">
      <c r="A81" s="63" t="s">
        <v>251</v>
      </c>
      <c r="B81" s="62"/>
      <c r="C81" s="62"/>
      <c r="D81" s="62"/>
      <c r="E81" s="62"/>
      <c r="F81" s="61"/>
      <c r="G81" s="62"/>
      <c r="H81" s="61"/>
      <c r="I81" s="61"/>
      <c r="J81" s="61"/>
      <c r="K81" s="61"/>
      <c r="L81" s="61"/>
      <c r="M81" s="62"/>
      <c r="N81" s="103"/>
      <c r="O81" s="103"/>
      <c r="P81" s="103"/>
      <c r="Q81" s="103"/>
      <c r="R81" s="103"/>
      <c r="S81" s="64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1:48" x14ac:dyDescent="0.25">
      <c r="A82" s="61" t="s">
        <v>89</v>
      </c>
      <c r="B82" s="62"/>
      <c r="C82" s="62"/>
      <c r="D82" s="62"/>
      <c r="E82" s="64">
        <f>STDEV(N36:R36)</f>
        <v>0.1469693845669908</v>
      </c>
      <c r="F82" s="62" t="s">
        <v>88</v>
      </c>
      <c r="G82" s="62"/>
      <c r="H82" s="61"/>
      <c r="I82" s="61"/>
      <c r="J82" s="61"/>
      <c r="K82" s="61"/>
      <c r="L82" s="61"/>
      <c r="M82" s="62"/>
      <c r="N82" s="64"/>
      <c r="O82" s="64"/>
      <c r="P82" s="64"/>
      <c r="Q82" s="64"/>
      <c r="R82" s="64"/>
      <c r="S82" s="64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1:48" x14ac:dyDescent="0.25">
      <c r="A83" s="61" t="s">
        <v>90</v>
      </c>
      <c r="B83" s="62"/>
      <c r="C83" s="62"/>
      <c r="D83" s="62"/>
      <c r="E83" s="65">
        <f>AVERAGE(N36:R36)</f>
        <v>6.1800000000000006</v>
      </c>
      <c r="F83" s="62" t="s">
        <v>9</v>
      </c>
      <c r="G83" s="62"/>
      <c r="H83" s="61"/>
      <c r="I83" s="61"/>
      <c r="J83" s="61"/>
      <c r="K83" s="61"/>
      <c r="L83" s="61"/>
      <c r="M83" s="62"/>
      <c r="N83" s="64"/>
      <c r="O83" s="64"/>
      <c r="P83" s="64"/>
      <c r="Q83" s="64"/>
      <c r="R83" s="64"/>
      <c r="S83" s="64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1:48" x14ac:dyDescent="0.25">
      <c r="A84" s="61" t="s">
        <v>104</v>
      </c>
      <c r="B84" s="61"/>
      <c r="C84" s="61"/>
      <c r="D84" s="61">
        <v>2.7759999999999998</v>
      </c>
      <c r="E84" s="66">
        <f>(D84*E82)/(C85^0.5)</f>
        <v>0.18245733835612105</v>
      </c>
      <c r="F84" s="62" t="s">
        <v>92</v>
      </c>
      <c r="G84" s="61"/>
      <c r="H84" s="61"/>
      <c r="I84" s="61"/>
      <c r="J84" s="61"/>
      <c r="K84" s="61"/>
      <c r="L84" s="61"/>
      <c r="M84" s="62"/>
      <c r="N84" s="64"/>
      <c r="O84" s="64"/>
      <c r="P84" s="64"/>
      <c r="Q84" s="64"/>
      <c r="R84" s="64"/>
      <c r="S84" s="64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1:48" x14ac:dyDescent="0.25">
      <c r="A85" s="61" t="s">
        <v>93</v>
      </c>
      <c r="B85" s="61"/>
      <c r="C85" s="62">
        <v>5</v>
      </c>
      <c r="D85" s="61"/>
      <c r="E85" s="61"/>
      <c r="F85" s="68" t="s">
        <v>94</v>
      </c>
      <c r="G85" s="69">
        <f>E83-E84</f>
        <v>5.9975426616438794</v>
      </c>
      <c r="H85" s="69">
        <f>E83+E84</f>
        <v>6.3624573383561218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1:48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87"/>
      <c r="N86" s="87"/>
      <c r="O86" s="87"/>
      <c r="P86" s="87"/>
      <c r="Q86" s="87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1:48" x14ac:dyDescent="0.25">
      <c r="A87" s="63" t="s">
        <v>257</v>
      </c>
      <c r="B87" s="62"/>
      <c r="C87" s="62"/>
      <c r="D87" s="62"/>
      <c r="E87" s="62"/>
      <c r="F87" s="61"/>
      <c r="G87" s="62"/>
      <c r="H87" s="61"/>
      <c r="I87" s="61"/>
      <c r="J87" s="61"/>
      <c r="K87" s="61"/>
      <c r="L87" s="61"/>
      <c r="M87" s="87"/>
      <c r="N87" s="87"/>
      <c r="O87" s="87"/>
      <c r="P87" s="87"/>
      <c r="Q87" s="87"/>
      <c r="R87" s="87"/>
      <c r="S87" s="62"/>
      <c r="T87" s="62"/>
      <c r="U87" s="62"/>
      <c r="V87" s="68"/>
      <c r="W87" s="68"/>
      <c r="X87" s="68"/>
      <c r="Y87" s="68"/>
      <c r="Z87" s="68"/>
      <c r="AA87" s="61"/>
      <c r="AB87" s="61"/>
      <c r="AC87" s="61"/>
      <c r="AD87" s="61"/>
      <c r="AE87" s="61"/>
      <c r="AF87" s="61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1:48" x14ac:dyDescent="0.25">
      <c r="A88" s="61" t="s">
        <v>89</v>
      </c>
      <c r="B88" s="62"/>
      <c r="C88" s="62"/>
      <c r="D88" s="62"/>
      <c r="E88" s="64">
        <f>STDEV(N37:R37)</f>
        <v>0.1338592544428662</v>
      </c>
      <c r="F88" s="62" t="s">
        <v>88</v>
      </c>
      <c r="G88" s="62"/>
      <c r="H88" s="61"/>
      <c r="I88" s="61"/>
      <c r="J88" s="61"/>
      <c r="K88" s="61"/>
      <c r="L88" s="61"/>
      <c r="M88" s="87"/>
      <c r="N88" s="87"/>
      <c r="O88" s="87"/>
      <c r="P88" s="87"/>
      <c r="Q88" s="61"/>
      <c r="R88" s="87"/>
      <c r="S88" s="62"/>
      <c r="T88" s="62"/>
      <c r="U88" s="62"/>
      <c r="V88" s="68"/>
      <c r="W88" s="68"/>
      <c r="X88" s="68"/>
      <c r="Y88" s="68"/>
      <c r="Z88" s="68"/>
      <c r="AA88" s="61"/>
      <c r="AB88" s="61"/>
      <c r="AC88" s="61"/>
      <c r="AD88" s="61"/>
      <c r="AE88" s="61"/>
      <c r="AF88" s="61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1:48" x14ac:dyDescent="0.25">
      <c r="A89" s="61" t="s">
        <v>90</v>
      </c>
      <c r="B89" s="62"/>
      <c r="C89" s="62"/>
      <c r="D89" s="62"/>
      <c r="E89" s="72">
        <f>AVERAGE(N37:R37)</f>
        <v>4.4525999999999994</v>
      </c>
      <c r="F89" s="62" t="s">
        <v>9</v>
      </c>
      <c r="G89" s="62"/>
      <c r="H89" s="61"/>
      <c r="I89" s="61"/>
      <c r="J89" s="61"/>
      <c r="K89" s="61"/>
      <c r="L89" s="61"/>
      <c r="M89" s="61"/>
      <c r="N89" s="62"/>
      <c r="O89" s="62"/>
      <c r="P89" s="62"/>
      <c r="Q89" s="62"/>
      <c r="R89" s="62"/>
      <c r="S89" s="72"/>
      <c r="T89" s="72"/>
      <c r="U89" s="72"/>
      <c r="V89" s="72"/>
      <c r="W89" s="72"/>
      <c r="X89" s="66"/>
      <c r="Y89" s="72"/>
      <c r="Z89" s="72"/>
      <c r="AA89" s="61"/>
      <c r="AB89" s="61"/>
      <c r="AC89" s="61"/>
      <c r="AD89" s="61"/>
      <c r="AE89" s="61"/>
      <c r="AF89" s="61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1:48" x14ac:dyDescent="0.25">
      <c r="A90" s="61" t="s">
        <v>104</v>
      </c>
      <c r="B90" s="61"/>
      <c r="C90" s="61"/>
      <c r="D90" s="61">
        <v>2.7759999999999998</v>
      </c>
      <c r="E90" s="66">
        <f>(D90*E88)/(C91^0.5)</f>
        <v>0.16618157143365803</v>
      </c>
      <c r="F90" s="62" t="s">
        <v>92</v>
      </c>
      <c r="G90" s="61"/>
      <c r="H90" s="61"/>
      <c r="I90" s="61"/>
      <c r="J90" s="61"/>
      <c r="K90" s="61"/>
      <c r="L90" s="61"/>
      <c r="M90" s="61"/>
      <c r="N90" s="62"/>
      <c r="O90" s="62"/>
      <c r="P90" s="62"/>
      <c r="Q90" s="62"/>
      <c r="R90" s="62"/>
      <c r="S90" s="72"/>
      <c r="T90" s="72"/>
      <c r="U90" s="72"/>
      <c r="V90" s="72"/>
      <c r="W90" s="72"/>
      <c r="X90" s="66"/>
      <c r="Y90" s="72"/>
      <c r="Z90" s="72"/>
      <c r="AA90" s="61"/>
      <c r="AB90" s="61"/>
      <c r="AC90" s="61"/>
      <c r="AD90" s="61"/>
      <c r="AE90" s="61"/>
      <c r="AF90" s="61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1:48" x14ac:dyDescent="0.25">
      <c r="A91" s="61" t="s">
        <v>93</v>
      </c>
      <c r="B91" s="61"/>
      <c r="C91" s="62">
        <v>5</v>
      </c>
      <c r="D91" s="61"/>
      <c r="E91" s="61"/>
      <c r="F91" s="68" t="s">
        <v>94</v>
      </c>
      <c r="G91" s="101">
        <f>E89-E90</f>
        <v>4.2864184285663418</v>
      </c>
      <c r="H91" s="101">
        <f>E89+E90</f>
        <v>4.6187815714336571</v>
      </c>
      <c r="I91" s="61"/>
      <c r="J91" s="61"/>
      <c r="K91" s="61"/>
      <c r="L91" s="61"/>
      <c r="M91" s="61"/>
      <c r="N91" s="62"/>
      <c r="O91" s="62"/>
      <c r="P91" s="62"/>
      <c r="Q91" s="62"/>
      <c r="R91" s="62"/>
      <c r="S91" s="72"/>
      <c r="T91" s="72"/>
      <c r="U91" s="72"/>
      <c r="V91" s="72"/>
      <c r="W91" s="72"/>
      <c r="X91" s="66"/>
      <c r="Y91" s="72"/>
      <c r="Z91" s="72"/>
      <c r="AA91" s="61"/>
      <c r="AB91" s="61"/>
      <c r="AC91" s="61"/>
      <c r="AD91" s="61"/>
      <c r="AE91" s="61"/>
      <c r="AF91" s="61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1:48" x14ac:dyDescent="0.25">
      <c r="A92" s="62"/>
      <c r="B92" s="62"/>
      <c r="C92" s="62"/>
      <c r="D92" s="78"/>
      <c r="E92" s="71"/>
      <c r="F92" s="72"/>
      <c r="G92" s="72"/>
      <c r="H92" s="72"/>
      <c r="I92" s="61"/>
      <c r="J92" s="61"/>
      <c r="K92" s="61"/>
      <c r="L92" s="61"/>
      <c r="M92" s="61"/>
      <c r="N92" s="62"/>
      <c r="O92" s="62"/>
      <c r="P92" s="62"/>
      <c r="Q92" s="62"/>
      <c r="R92" s="62"/>
      <c r="S92" s="72"/>
      <c r="T92" s="72"/>
      <c r="U92" s="72"/>
      <c r="V92" s="72"/>
      <c r="W92" s="72"/>
      <c r="X92" s="66"/>
      <c r="Y92" s="72"/>
      <c r="Z92" s="72"/>
      <c r="AA92" s="61"/>
      <c r="AB92" s="61"/>
      <c r="AC92" s="61"/>
      <c r="AD92" s="61"/>
      <c r="AE92" s="61"/>
      <c r="AF92" s="61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1:48" x14ac:dyDescent="0.25">
      <c r="A93" s="63" t="s">
        <v>258</v>
      </c>
      <c r="B93" s="62"/>
      <c r="C93" s="62"/>
      <c r="D93" s="62"/>
      <c r="E93" s="62"/>
      <c r="F93" s="61"/>
      <c r="G93" s="62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1:48" x14ac:dyDescent="0.25">
      <c r="A94" s="61" t="s">
        <v>89</v>
      </c>
      <c r="B94" s="62"/>
      <c r="C94" s="62"/>
      <c r="D94" s="62"/>
      <c r="E94" s="64">
        <f>STDEV(N38:R38)</f>
        <v>9.6695398029068586E-3</v>
      </c>
      <c r="F94" s="62" t="s">
        <v>88</v>
      </c>
      <c r="G94" s="62"/>
      <c r="H94" s="61"/>
      <c r="I94" s="61"/>
      <c r="J94" s="61"/>
      <c r="K94" s="61"/>
      <c r="L94" s="61"/>
      <c r="M94" s="61"/>
      <c r="N94" s="62"/>
      <c r="O94" s="62"/>
      <c r="P94" s="87"/>
      <c r="Q94" s="62"/>
      <c r="R94" s="87"/>
      <c r="S94" s="102"/>
      <c r="T94" s="72"/>
      <c r="U94" s="72"/>
      <c r="V94" s="72"/>
      <c r="W94" s="72"/>
      <c r="X94" s="65"/>
      <c r="Y94" s="72"/>
      <c r="Z94" s="72"/>
      <c r="AA94" s="61"/>
      <c r="AB94" s="61"/>
      <c r="AC94" s="61"/>
      <c r="AD94" s="61"/>
      <c r="AE94" s="61"/>
      <c r="AF94" s="61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1:48" x14ac:dyDescent="0.25">
      <c r="A95" s="61" t="s">
        <v>90</v>
      </c>
      <c r="B95" s="62"/>
      <c r="C95" s="62"/>
      <c r="D95" s="62"/>
      <c r="E95" s="72">
        <f>AVERAGE(N38:R38)</f>
        <v>0.17799999999999999</v>
      </c>
      <c r="F95" s="62" t="s">
        <v>9</v>
      </c>
      <c r="G95" s="62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1:48" x14ac:dyDescent="0.25">
      <c r="A96" s="61" t="s">
        <v>104</v>
      </c>
      <c r="B96" s="61"/>
      <c r="C96" s="61"/>
      <c r="D96" s="61">
        <v>2.7759999999999998</v>
      </c>
      <c r="E96" s="66">
        <f>(D96*E94)/(C97^0.5)</f>
        <v>1.2004394661956094E-2</v>
      </c>
      <c r="F96" s="62" t="s">
        <v>92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1:48" x14ac:dyDescent="0.25">
      <c r="A97" s="61" t="s">
        <v>93</v>
      </c>
      <c r="B97" s="61"/>
      <c r="C97" s="62">
        <v>5</v>
      </c>
      <c r="D97" s="61"/>
      <c r="E97" s="61"/>
      <c r="F97" s="68" t="s">
        <v>94</v>
      </c>
      <c r="G97" s="101">
        <f>E95-E96</f>
        <v>0.16599560533804389</v>
      </c>
      <c r="H97" s="101">
        <f>E95+E96</f>
        <v>0.19000439466195609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1:48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1:48" x14ac:dyDescent="0.25">
      <c r="A99" s="63" t="s">
        <v>259</v>
      </c>
      <c r="B99" s="62"/>
      <c r="C99" s="62"/>
      <c r="D99" s="62"/>
      <c r="E99" s="62"/>
      <c r="F99" s="61"/>
      <c r="G99" s="62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1:48" x14ac:dyDescent="0.25">
      <c r="A100" s="61" t="s">
        <v>89</v>
      </c>
      <c r="B100" s="62"/>
      <c r="C100" s="62"/>
      <c r="D100" s="62"/>
      <c r="E100" s="64">
        <f>STDEV(N39:R39)</f>
        <v>0.10411916250143435</v>
      </c>
      <c r="F100" s="62" t="s">
        <v>88</v>
      </c>
      <c r="G100" s="62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1:48" x14ac:dyDescent="0.25">
      <c r="A101" s="61" t="s">
        <v>90</v>
      </c>
      <c r="B101" s="62"/>
      <c r="C101" s="62"/>
      <c r="D101" s="62"/>
      <c r="E101" s="72">
        <f>AVERAGE(N39:R39)</f>
        <v>0.76959999999999995</v>
      </c>
      <c r="F101" s="62" t="s">
        <v>9</v>
      </c>
      <c r="G101" s="62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1:48" x14ac:dyDescent="0.25">
      <c r="A102" s="61" t="s">
        <v>104</v>
      </c>
      <c r="B102" s="61"/>
      <c r="C102" s="61"/>
      <c r="D102" s="61">
        <v>2.7759999999999998</v>
      </c>
      <c r="E102" s="66">
        <f>(D102*E100)/(C103^0.5)</f>
        <v>0.12926028994304531</v>
      </c>
      <c r="F102" s="62" t="s">
        <v>92</v>
      </c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x14ac:dyDescent="0.25">
      <c r="A103" s="61" t="s">
        <v>93</v>
      </c>
      <c r="B103" s="61"/>
      <c r="C103" s="62">
        <v>5</v>
      </c>
      <c r="D103" s="61"/>
      <c r="E103" s="61"/>
      <c r="F103" s="68" t="s">
        <v>94</v>
      </c>
      <c r="G103" s="101">
        <f>E101-E102</f>
        <v>0.64033971005695467</v>
      </c>
      <c r="H103" s="101">
        <f>E101+E102</f>
        <v>0.89886028994304523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1:48" x14ac:dyDescent="0.2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1:48" x14ac:dyDescent="0.25">
      <c r="A105" s="63" t="s">
        <v>260</v>
      </c>
      <c r="B105" s="62"/>
      <c r="C105" s="62"/>
      <c r="D105" s="62"/>
      <c r="E105" s="62"/>
      <c r="F105" s="61"/>
      <c r="G105" s="62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48" x14ac:dyDescent="0.25">
      <c r="A106" s="61" t="s">
        <v>89</v>
      </c>
      <c r="B106" s="62"/>
      <c r="C106" s="62"/>
      <c r="D106" s="62"/>
      <c r="E106" s="64">
        <f>STDEV(N41:R41)</f>
        <v>1.1554220008291342E-2</v>
      </c>
      <c r="F106" s="62" t="s">
        <v>88</v>
      </c>
      <c r="G106" s="62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1:48" x14ac:dyDescent="0.25">
      <c r="A107" s="61" t="s">
        <v>90</v>
      </c>
      <c r="B107" s="62"/>
      <c r="C107" s="62"/>
      <c r="D107" s="62"/>
      <c r="E107" s="72">
        <f>AVERAGE(N41:R41)</f>
        <v>0.251</v>
      </c>
      <c r="F107" s="62" t="s">
        <v>9</v>
      </c>
      <c r="G107" s="62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1:48" x14ac:dyDescent="0.25">
      <c r="A108" s="61" t="s">
        <v>104</v>
      </c>
      <c r="B108" s="61"/>
      <c r="C108" s="61"/>
      <c r="D108" s="61">
        <v>2.7759999999999998</v>
      </c>
      <c r="E108" s="66">
        <f>(D108*E106)/(C109^0.5)</f>
        <v>1.4344159062140935E-2</v>
      </c>
      <c r="F108" s="62" t="s">
        <v>92</v>
      </c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1:48" x14ac:dyDescent="0.25">
      <c r="A109" s="61" t="s">
        <v>93</v>
      </c>
      <c r="B109" s="61"/>
      <c r="C109" s="62">
        <v>5</v>
      </c>
      <c r="D109" s="61"/>
      <c r="E109" s="61"/>
      <c r="F109" s="68" t="s">
        <v>94</v>
      </c>
      <c r="G109" s="101">
        <f>E107-E108</f>
        <v>0.23665584093785907</v>
      </c>
      <c r="H109" s="101">
        <f>E107+E108</f>
        <v>0.26534415906214093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1:48" x14ac:dyDescent="0.2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1:48" x14ac:dyDescent="0.25">
      <c r="A111" s="63" t="s">
        <v>261</v>
      </c>
      <c r="B111" s="62"/>
      <c r="C111" s="62"/>
      <c r="D111" s="62"/>
      <c r="E111" s="62"/>
      <c r="F111" s="61"/>
      <c r="G111" s="62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1:48" x14ac:dyDescent="0.25">
      <c r="A112" s="61" t="s">
        <v>89</v>
      </c>
      <c r="B112" s="62"/>
      <c r="C112" s="62"/>
      <c r="D112" s="62"/>
      <c r="E112" s="64">
        <f>STDEV(N42:R42)</f>
        <v>0.11184274674738635</v>
      </c>
      <c r="F112" s="62" t="s">
        <v>88</v>
      </c>
      <c r="G112" s="62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1:48" x14ac:dyDescent="0.25">
      <c r="A113" s="61" t="s">
        <v>90</v>
      </c>
      <c r="B113" s="62"/>
      <c r="C113" s="62"/>
      <c r="D113" s="62"/>
      <c r="E113" s="72">
        <f>AVERAGE(N42:R42)</f>
        <v>1.5706000000000002</v>
      </c>
      <c r="F113" s="62" t="s">
        <v>9</v>
      </c>
      <c r="G113" s="62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1:48" x14ac:dyDescent="0.25">
      <c r="A114" s="61" t="s">
        <v>104</v>
      </c>
      <c r="B114" s="61"/>
      <c r="C114" s="61"/>
      <c r="D114" s="61">
        <v>2.7759999999999998</v>
      </c>
      <c r="E114" s="66">
        <f>(D114*E112)/(C115^0.5)</f>
        <v>0.13884884900408789</v>
      </c>
      <c r="F114" s="62" t="s">
        <v>92</v>
      </c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1:48" x14ac:dyDescent="0.25">
      <c r="A115" s="61" t="s">
        <v>93</v>
      </c>
      <c r="B115" s="61"/>
      <c r="C115" s="62">
        <v>5</v>
      </c>
      <c r="D115" s="61"/>
      <c r="E115" s="61"/>
      <c r="F115" s="68" t="s">
        <v>94</v>
      </c>
      <c r="G115" s="101">
        <f>E113-E114</f>
        <v>1.4317511509959124</v>
      </c>
      <c r="H115" s="101">
        <f>E113+E114</f>
        <v>1.709448849004088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1:48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1:48" x14ac:dyDescent="0.25">
      <c r="A117" s="63" t="s">
        <v>262</v>
      </c>
      <c r="B117" s="62"/>
      <c r="C117" s="62"/>
      <c r="D117" s="62"/>
      <c r="E117" s="62"/>
      <c r="F117" s="61"/>
      <c r="G117" s="62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1:48" x14ac:dyDescent="0.25">
      <c r="A118" s="61" t="s">
        <v>89</v>
      </c>
      <c r="B118" s="62"/>
      <c r="C118" s="62"/>
      <c r="D118" s="62"/>
      <c r="E118" s="64">
        <f>STDEV(N44:R44)</f>
        <v>3.7662275555255781E-2</v>
      </c>
      <c r="F118" s="62" t="s">
        <v>88</v>
      </c>
      <c r="G118" s="62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1:48" x14ac:dyDescent="0.25">
      <c r="A119" s="61" t="s">
        <v>90</v>
      </c>
      <c r="B119" s="62"/>
      <c r="C119" s="62"/>
      <c r="D119" s="62"/>
      <c r="E119" s="72">
        <f>AVERAGE(N44:R44)</f>
        <v>0.25497999999999998</v>
      </c>
      <c r="F119" s="62" t="s">
        <v>9</v>
      </c>
      <c r="G119" s="62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1:48" x14ac:dyDescent="0.25">
      <c r="A120" s="61" t="s">
        <v>104</v>
      </c>
      <c r="B120" s="61"/>
      <c r="C120" s="61"/>
      <c r="D120" s="61">
        <v>2.7759999999999998</v>
      </c>
      <c r="E120" s="66">
        <f>(D120*E118)/(C121^0.5)</f>
        <v>4.675639470419448E-2</v>
      </c>
      <c r="F120" s="62" t="s">
        <v>92</v>
      </c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1:48" x14ac:dyDescent="0.25">
      <c r="A121" s="61" t="s">
        <v>93</v>
      </c>
      <c r="B121" s="61"/>
      <c r="C121" s="62">
        <v>5</v>
      </c>
      <c r="D121" s="61"/>
      <c r="E121" s="61"/>
      <c r="F121" s="68" t="s">
        <v>94</v>
      </c>
      <c r="G121" s="101">
        <f>E119-E120</f>
        <v>0.2082236052958055</v>
      </c>
      <c r="H121" s="101">
        <f>E119+E120</f>
        <v>0.30173639470419444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1:48" x14ac:dyDescent="0.2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1:48" x14ac:dyDescent="0.25">
      <c r="A123" s="63" t="s">
        <v>263</v>
      </c>
      <c r="B123" s="62"/>
      <c r="C123" s="62"/>
      <c r="D123" s="62"/>
      <c r="E123" s="62"/>
      <c r="F123" s="61"/>
      <c r="G123" s="62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1:48" x14ac:dyDescent="0.25">
      <c r="A124" s="61" t="s">
        <v>89</v>
      </c>
      <c r="B124" s="62"/>
      <c r="C124" s="62"/>
      <c r="D124" s="62"/>
      <c r="E124" s="64">
        <f>STDEV(N45:R45)</f>
        <v>0.14870439805197533</v>
      </c>
      <c r="F124" s="62" t="s">
        <v>88</v>
      </c>
      <c r="G124" s="62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1:48" x14ac:dyDescent="0.25">
      <c r="A125" s="61" t="s">
        <v>90</v>
      </c>
      <c r="B125" s="62"/>
      <c r="C125" s="62"/>
      <c r="D125" s="62"/>
      <c r="E125" s="72">
        <f>AVERAGE(N45:R45)</f>
        <v>1.2912399999999997</v>
      </c>
      <c r="F125" s="62" t="s">
        <v>9</v>
      </c>
      <c r="G125" s="62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1:48" x14ac:dyDescent="0.25">
      <c r="A126" s="61" t="s">
        <v>104</v>
      </c>
      <c r="B126" s="61"/>
      <c r="C126" s="61"/>
      <c r="D126" s="61">
        <v>2.7759999999999998</v>
      </c>
      <c r="E126" s="66">
        <f>(D126*E124)/(C127^0.5)</f>
        <v>0.18461129677007876</v>
      </c>
      <c r="F126" s="62" t="s">
        <v>92</v>
      </c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1:48" x14ac:dyDescent="0.25">
      <c r="A127" s="61" t="s">
        <v>93</v>
      </c>
      <c r="B127" s="61"/>
      <c r="C127" s="62">
        <v>5</v>
      </c>
      <c r="D127" s="61"/>
      <c r="E127" s="61"/>
      <c r="F127" s="68" t="s">
        <v>94</v>
      </c>
      <c r="G127" s="101">
        <f>E125-E126</f>
        <v>1.1066287032299209</v>
      </c>
      <c r="H127" s="101">
        <f>E125+E126</f>
        <v>1.4758512967700785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1:48" x14ac:dyDescent="0.2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1:48" x14ac:dyDescent="0.25">
      <c r="A129" s="63" t="s">
        <v>290</v>
      </c>
      <c r="B129" s="62"/>
      <c r="C129" s="62"/>
      <c r="D129" s="62"/>
      <c r="E129" s="62"/>
      <c r="F129" s="61"/>
      <c r="G129" s="62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1:48" x14ac:dyDescent="0.25">
      <c r="A130" s="61" t="s">
        <v>89</v>
      </c>
      <c r="B130" s="62"/>
      <c r="C130" s="62"/>
      <c r="D130" s="62"/>
      <c r="E130" s="64">
        <f>STDEV(N49:R49)</f>
        <v>2.3274449510138812E-2</v>
      </c>
      <c r="F130" s="62" t="s">
        <v>88</v>
      </c>
      <c r="G130" s="62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1:48" x14ac:dyDescent="0.25">
      <c r="A131" s="61" t="s">
        <v>90</v>
      </c>
      <c r="B131" s="62"/>
      <c r="C131" s="62"/>
      <c r="D131" s="62"/>
      <c r="E131" s="72">
        <f>AVERAGE(N49:R49)</f>
        <v>0.59579999999999989</v>
      </c>
      <c r="F131" s="62" t="s">
        <v>9</v>
      </c>
      <c r="G131" s="62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1:48" x14ac:dyDescent="0.25">
      <c r="A132" s="61" t="s">
        <v>104</v>
      </c>
      <c r="B132" s="61"/>
      <c r="C132" s="61"/>
      <c r="D132" s="61">
        <v>2.7759999999999998</v>
      </c>
      <c r="E132" s="66">
        <f>(D132*E130)/(C133^0.5)</f>
        <v>2.8894413090422882E-2</v>
      </c>
      <c r="F132" s="62" t="s">
        <v>92</v>
      </c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1:48" x14ac:dyDescent="0.25">
      <c r="A133" s="61" t="s">
        <v>93</v>
      </c>
      <c r="B133" s="61"/>
      <c r="C133" s="62">
        <v>5</v>
      </c>
      <c r="D133" s="61"/>
      <c r="E133" s="61"/>
      <c r="F133" s="68" t="s">
        <v>94</v>
      </c>
      <c r="G133" s="101">
        <f>E131-E132</f>
        <v>0.56690558690957704</v>
      </c>
      <c r="H133" s="101">
        <f>E131+E132</f>
        <v>0.62469441309042273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1:48" x14ac:dyDescent="0.25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1:48" x14ac:dyDescent="0.25">
      <c r="A135" s="63" t="s">
        <v>264</v>
      </c>
      <c r="B135" s="62"/>
      <c r="C135" s="62"/>
      <c r="D135" s="62"/>
      <c r="E135" s="62"/>
      <c r="F135" s="61"/>
      <c r="G135" s="62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1:48" x14ac:dyDescent="0.25">
      <c r="A136" s="61" t="s">
        <v>89</v>
      </c>
      <c r="B136" s="62"/>
      <c r="C136" s="62"/>
      <c r="D136" s="62"/>
      <c r="E136" s="64">
        <f>STDEV(N50:R50)</f>
        <v>6.858060950443641E-2</v>
      </c>
      <c r="F136" s="62" t="s">
        <v>88</v>
      </c>
      <c r="G136" s="62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1:48" x14ac:dyDescent="0.25">
      <c r="A137" s="61" t="s">
        <v>90</v>
      </c>
      <c r="B137" s="62"/>
      <c r="C137" s="62"/>
      <c r="D137" s="62"/>
      <c r="E137" s="72">
        <f>AVERAGE(N50:R50)</f>
        <v>0.30559999999999998</v>
      </c>
      <c r="F137" s="62" t="s">
        <v>9</v>
      </c>
      <c r="G137" s="62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1:48" x14ac:dyDescent="0.25">
      <c r="A138" s="61" t="s">
        <v>104</v>
      </c>
      <c r="B138" s="61"/>
      <c r="C138" s="61"/>
      <c r="D138" s="61">
        <v>2.7759999999999998</v>
      </c>
      <c r="E138" s="66">
        <f>(D138*E136)/(C139^0.5)</f>
        <v>8.5140422339567881E-2</v>
      </c>
      <c r="F138" s="62" t="s">
        <v>92</v>
      </c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1:48" x14ac:dyDescent="0.25">
      <c r="A139" s="61" t="s">
        <v>93</v>
      </c>
      <c r="B139" s="61"/>
      <c r="C139" s="62">
        <v>5</v>
      </c>
      <c r="D139" s="61"/>
      <c r="E139" s="61"/>
      <c r="F139" s="68" t="s">
        <v>94</v>
      </c>
      <c r="G139" s="101">
        <f>E137-E138</f>
        <v>0.22045957766043212</v>
      </c>
      <c r="H139" s="101">
        <f>E137+E138</f>
        <v>0.39074042233956785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1:48" x14ac:dyDescent="0.25">
      <c r="A140" s="62"/>
      <c r="B140" s="62"/>
      <c r="C140" s="62"/>
      <c r="D140" s="78"/>
      <c r="E140" s="71"/>
      <c r="F140" s="72"/>
      <c r="G140" s="72"/>
      <c r="H140" s="72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1:48" x14ac:dyDescent="0.25">
      <c r="A141" s="63" t="s">
        <v>265</v>
      </c>
      <c r="B141" s="62"/>
      <c r="C141" s="62"/>
      <c r="D141" s="62"/>
      <c r="E141" s="62"/>
      <c r="F141" s="61"/>
      <c r="G141" s="62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1:48" x14ac:dyDescent="0.25">
      <c r="A142" s="61" t="s">
        <v>89</v>
      </c>
      <c r="B142" s="62"/>
      <c r="C142" s="62"/>
      <c r="D142" s="62"/>
      <c r="E142" s="64">
        <f>STDEV(N51:R51)</f>
        <v>0</v>
      </c>
      <c r="F142" s="62" t="s">
        <v>88</v>
      </c>
      <c r="G142" s="62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1:48" x14ac:dyDescent="0.25">
      <c r="A143" s="61" t="s">
        <v>90</v>
      </c>
      <c r="B143" s="62"/>
      <c r="C143" s="62"/>
      <c r="D143" s="62"/>
      <c r="E143" s="72">
        <f>AVERAGE(N51:R51)</f>
        <v>0</v>
      </c>
      <c r="F143" s="62" t="s">
        <v>9</v>
      </c>
      <c r="G143" s="62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1:48" x14ac:dyDescent="0.25">
      <c r="A144" s="61" t="s">
        <v>104</v>
      </c>
      <c r="B144" s="61"/>
      <c r="C144" s="61"/>
      <c r="D144" s="61">
        <v>2.7759999999999998</v>
      </c>
      <c r="E144" s="66">
        <f>(D144*E142)/(C145^0.5)</f>
        <v>0</v>
      </c>
      <c r="F144" s="62" t="s">
        <v>92</v>
      </c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1:48" x14ac:dyDescent="0.25">
      <c r="A145" s="61" t="s">
        <v>93</v>
      </c>
      <c r="B145" s="61"/>
      <c r="C145" s="62">
        <v>5</v>
      </c>
      <c r="D145" s="61"/>
      <c r="E145" s="61"/>
      <c r="F145" s="68" t="s">
        <v>94</v>
      </c>
      <c r="G145" s="101">
        <f>E143-E144</f>
        <v>0</v>
      </c>
      <c r="H145" s="101">
        <f>E143+E144</f>
        <v>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1:48" x14ac:dyDescent="0.2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1:48" x14ac:dyDescent="0.25">
      <c r="A147" s="63" t="s">
        <v>266</v>
      </c>
      <c r="B147" s="62"/>
      <c r="C147" s="62"/>
      <c r="D147" s="62"/>
      <c r="E147" s="62"/>
      <c r="F147" s="61"/>
      <c r="G147" s="62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1:48" x14ac:dyDescent="0.25">
      <c r="A148" s="61" t="s">
        <v>89</v>
      </c>
      <c r="B148" s="62"/>
      <c r="C148" s="62"/>
      <c r="D148" s="62"/>
      <c r="E148" s="64">
        <f>STDEV(N52:R52)</f>
        <v>4.9894889517865443E-2</v>
      </c>
      <c r="F148" s="62" t="s">
        <v>88</v>
      </c>
      <c r="G148" s="62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1:48" x14ac:dyDescent="0.25">
      <c r="A149" s="61" t="s">
        <v>90</v>
      </c>
      <c r="B149" s="62"/>
      <c r="C149" s="62"/>
      <c r="D149" s="62"/>
      <c r="E149" s="72">
        <f>AVERAGE(N52:R52)</f>
        <v>0.69599999999999995</v>
      </c>
      <c r="F149" s="62" t="s">
        <v>9</v>
      </c>
      <c r="G149" s="62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1:48" x14ac:dyDescent="0.25">
      <c r="A150" s="61" t="s">
        <v>104</v>
      </c>
      <c r="B150" s="61"/>
      <c r="C150" s="61"/>
      <c r="D150" s="61">
        <v>2.7759999999999998</v>
      </c>
      <c r="E150" s="66">
        <f>(D150*E148)/(C151^0.5)</f>
        <v>6.1942756076881156E-2</v>
      </c>
      <c r="F150" s="62" t="s">
        <v>92</v>
      </c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1:48" x14ac:dyDescent="0.25">
      <c r="A151" s="61" t="s">
        <v>93</v>
      </c>
      <c r="B151" s="61"/>
      <c r="C151" s="62">
        <v>5</v>
      </c>
      <c r="D151" s="61"/>
      <c r="E151" s="61"/>
      <c r="F151" s="68" t="s">
        <v>94</v>
      </c>
      <c r="G151" s="101">
        <f>E149-E150</f>
        <v>0.6340572439231188</v>
      </c>
      <c r="H151" s="101">
        <f>E149+E150</f>
        <v>0.75794275607688111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1:48" x14ac:dyDescent="0.2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1:48" x14ac:dyDescent="0.25">
      <c r="A153" s="63" t="s">
        <v>267</v>
      </c>
      <c r="B153" s="62"/>
      <c r="C153" s="62"/>
      <c r="D153" s="62"/>
      <c r="E153" s="62"/>
      <c r="F153" s="61"/>
      <c r="G153" s="62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1:48" x14ac:dyDescent="0.25">
      <c r="A154" s="61" t="s">
        <v>89</v>
      </c>
      <c r="B154" s="62"/>
      <c r="C154" s="62"/>
      <c r="D154" s="62"/>
      <c r="E154" s="64">
        <f>STDEV(N54:R54)</f>
        <v>0</v>
      </c>
      <c r="F154" s="62" t="s">
        <v>88</v>
      </c>
      <c r="G154" s="62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1:48" x14ac:dyDescent="0.25">
      <c r="A155" s="61" t="s">
        <v>90</v>
      </c>
      <c r="B155" s="62"/>
      <c r="C155" s="62"/>
      <c r="D155" s="62"/>
      <c r="E155" s="65">
        <f>AVERAGE(N54:R54)</f>
        <v>0</v>
      </c>
      <c r="F155" s="62" t="s">
        <v>9</v>
      </c>
      <c r="G155" s="62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1:48" x14ac:dyDescent="0.25">
      <c r="A156" s="61" t="s">
        <v>104</v>
      </c>
      <c r="B156" s="61"/>
      <c r="C156" s="61"/>
      <c r="D156" s="61">
        <v>2.7759999999999998</v>
      </c>
      <c r="E156" s="66">
        <f>(D156*E154)/(C157^0.5)</f>
        <v>0</v>
      </c>
      <c r="F156" s="62" t="s">
        <v>92</v>
      </c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1:48" x14ac:dyDescent="0.25">
      <c r="A157" s="61" t="s">
        <v>93</v>
      </c>
      <c r="B157" s="61"/>
      <c r="C157" s="62">
        <v>5</v>
      </c>
      <c r="D157" s="61"/>
      <c r="E157" s="61"/>
      <c r="F157" s="68" t="s">
        <v>94</v>
      </c>
      <c r="G157" s="101">
        <f>E155-E156</f>
        <v>0</v>
      </c>
      <c r="H157" s="101">
        <f>E155+E156</f>
        <v>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1:48" x14ac:dyDescent="0.25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1:48" x14ac:dyDescent="0.25">
      <c r="A159" s="63" t="s">
        <v>268</v>
      </c>
      <c r="B159" s="62"/>
      <c r="C159" s="62"/>
      <c r="D159" s="62"/>
      <c r="E159" s="62"/>
      <c r="F159" s="61"/>
      <c r="G159" s="62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1:48" x14ac:dyDescent="0.25">
      <c r="A160" s="61" t="s">
        <v>89</v>
      </c>
      <c r="B160" s="62"/>
      <c r="C160" s="62"/>
      <c r="D160" s="62"/>
      <c r="E160" s="64">
        <f>STDEV(N55:R55)</f>
        <v>6.1114646362390099E-2</v>
      </c>
      <c r="F160" s="62" t="s">
        <v>88</v>
      </c>
      <c r="G160" s="62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1:48" x14ac:dyDescent="0.25">
      <c r="A161" s="61" t="s">
        <v>90</v>
      </c>
      <c r="B161" s="62"/>
      <c r="C161" s="62"/>
      <c r="D161" s="62"/>
      <c r="E161" s="72">
        <f>AVERAGE(N55:R55)</f>
        <v>0.83399999999999996</v>
      </c>
      <c r="F161" s="62" t="s">
        <v>9</v>
      </c>
      <c r="G161" s="62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1:48" x14ac:dyDescent="0.25">
      <c r="A162" s="61" t="s">
        <v>104</v>
      </c>
      <c r="B162" s="61"/>
      <c r="C162" s="61"/>
      <c r="D162" s="61">
        <v>2.7759999999999998</v>
      </c>
      <c r="E162" s="66">
        <f>(D162*E160)/(C163^0.5)</f>
        <v>7.5871690847113732E-2</v>
      </c>
      <c r="F162" s="62" t="s">
        <v>92</v>
      </c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1:48" x14ac:dyDescent="0.25">
      <c r="A163" s="61" t="s">
        <v>93</v>
      </c>
      <c r="B163" s="61"/>
      <c r="C163" s="62">
        <v>5</v>
      </c>
      <c r="D163" s="61"/>
      <c r="E163" s="61"/>
      <c r="F163" s="68" t="s">
        <v>94</v>
      </c>
      <c r="G163" s="101">
        <f>E161-E162</f>
        <v>0.7581283091528862</v>
      </c>
      <c r="H163" s="101">
        <f>E161+E162</f>
        <v>0.90987169084711372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1:48" x14ac:dyDescent="0.25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1:48" x14ac:dyDescent="0.25">
      <c r="A165" s="63" t="s">
        <v>269</v>
      </c>
      <c r="B165" s="62"/>
      <c r="C165" s="62"/>
      <c r="D165" s="62"/>
      <c r="E165" s="62"/>
      <c r="F165" s="61"/>
      <c r="G165" s="62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1:48" x14ac:dyDescent="0.25">
      <c r="A166" s="61" t="s">
        <v>89</v>
      </c>
      <c r="B166" s="62"/>
      <c r="C166" s="62"/>
      <c r="D166" s="62"/>
      <c r="E166" s="64">
        <f>STDEV(N57:R57)</f>
        <v>0.29527200680050925</v>
      </c>
      <c r="F166" s="62" t="s">
        <v>88</v>
      </c>
      <c r="G166" s="62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1:48" x14ac:dyDescent="0.25">
      <c r="A167" s="61" t="s">
        <v>90</v>
      </c>
      <c r="B167" s="62"/>
      <c r="C167" s="62"/>
      <c r="D167" s="62"/>
      <c r="E167" s="72">
        <f>AVERAGE(N57:R57)</f>
        <v>0.15906000000000001</v>
      </c>
      <c r="F167" s="62" t="s">
        <v>9</v>
      </c>
      <c r="G167" s="62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1:48" x14ac:dyDescent="0.25">
      <c r="A168" s="61" t="s">
        <v>104</v>
      </c>
      <c r="B168" s="61"/>
      <c r="C168" s="61"/>
      <c r="D168" s="61">
        <v>2.7759999999999998</v>
      </c>
      <c r="E168" s="66">
        <f>(D168*E166)/(C169^0.5)</f>
        <v>0.36656984453340064</v>
      </c>
      <c r="F168" s="62" t="s">
        <v>92</v>
      </c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1:48" x14ac:dyDescent="0.25">
      <c r="A169" s="61" t="s">
        <v>93</v>
      </c>
      <c r="B169" s="61"/>
      <c r="C169" s="62">
        <v>5</v>
      </c>
      <c r="D169" s="61"/>
      <c r="E169" s="61"/>
      <c r="F169" s="68" t="s">
        <v>94</v>
      </c>
      <c r="G169" s="101">
        <f>E167-E168</f>
        <v>-0.20750984453340063</v>
      </c>
      <c r="H169" s="101">
        <f>E167+E168</f>
        <v>0.52562984453340067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1:48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1:48" x14ac:dyDescent="0.25">
      <c r="A171" s="63" t="s">
        <v>270</v>
      </c>
      <c r="B171" s="62"/>
      <c r="C171" s="62"/>
      <c r="D171" s="62"/>
      <c r="E171" s="62"/>
      <c r="F171" s="61"/>
      <c r="G171" s="62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1:48" x14ac:dyDescent="0.25">
      <c r="A172" s="61" t="s">
        <v>89</v>
      </c>
      <c r="B172" s="62"/>
      <c r="C172" s="62"/>
      <c r="D172" s="62"/>
      <c r="E172" s="64">
        <f>STDEV(N58:R58)</f>
        <v>0.23064689462466148</v>
      </c>
      <c r="F172" s="62" t="s">
        <v>88</v>
      </c>
      <c r="G172" s="62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1:48" x14ac:dyDescent="0.25">
      <c r="A173" s="61" t="s">
        <v>90</v>
      </c>
      <c r="B173" s="62"/>
      <c r="C173" s="62"/>
      <c r="D173" s="62"/>
      <c r="E173" s="72">
        <f>AVERAGE(N58:R58)</f>
        <v>1.1152000000000002</v>
      </c>
      <c r="F173" s="62" t="s">
        <v>9</v>
      </c>
      <c r="G173" s="62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1:48" x14ac:dyDescent="0.25">
      <c r="A174" s="61" t="s">
        <v>104</v>
      </c>
      <c r="B174" s="61"/>
      <c r="C174" s="61"/>
      <c r="D174" s="61">
        <v>2.7759999999999998</v>
      </c>
      <c r="E174" s="66">
        <f>(D174*E172)/(C175^0.5)</f>
        <v>0.28634003345192149</v>
      </c>
      <c r="F174" s="62" t="s">
        <v>92</v>
      </c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1:48" x14ac:dyDescent="0.25">
      <c r="A175" s="61" t="s">
        <v>93</v>
      </c>
      <c r="B175" s="61"/>
      <c r="C175" s="62">
        <v>5</v>
      </c>
      <c r="D175" s="61"/>
      <c r="E175" s="61"/>
      <c r="F175" s="68" t="s">
        <v>94</v>
      </c>
      <c r="G175" s="101">
        <f>E173-E174</f>
        <v>0.8288599665480787</v>
      </c>
      <c r="H175" s="101">
        <f>E173+E174</f>
        <v>1.4015400334519217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1:48" x14ac:dyDescent="0.25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1:48" x14ac:dyDescent="0.25">
      <c r="A177" s="63" t="s">
        <v>271</v>
      </c>
      <c r="B177" s="62"/>
      <c r="C177" s="62"/>
      <c r="D177" s="62"/>
      <c r="E177" s="62"/>
      <c r="F177" s="61"/>
      <c r="G177" s="62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1:48" x14ac:dyDescent="0.25">
      <c r="A178" s="61" t="s">
        <v>89</v>
      </c>
      <c r="B178" s="62"/>
      <c r="C178" s="62"/>
      <c r="D178" s="62"/>
      <c r="E178" s="64">
        <f>STDEV(N62:R62)</f>
        <v>1.483239697419101E-2</v>
      </c>
      <c r="F178" s="62" t="s">
        <v>88</v>
      </c>
      <c r="G178" s="62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1:48" x14ac:dyDescent="0.25">
      <c r="A179" s="61" t="s">
        <v>90</v>
      </c>
      <c r="B179" s="62"/>
      <c r="C179" s="62"/>
      <c r="D179" s="62"/>
      <c r="E179" s="65">
        <f>AVERAGE(N62:R62)</f>
        <v>6.2480000000000002</v>
      </c>
      <c r="F179" s="62" t="s">
        <v>9</v>
      </c>
      <c r="G179" s="62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1:48" x14ac:dyDescent="0.25">
      <c r="A180" s="61" t="s">
        <v>104</v>
      </c>
      <c r="B180" s="61"/>
      <c r="C180" s="61"/>
      <c r="D180" s="61">
        <v>2.7759999999999998</v>
      </c>
      <c r="E180" s="66">
        <f>(D180*E178)/(C181^0.5)</f>
        <v>1.8413900836052786E-2</v>
      </c>
      <c r="F180" s="62" t="s">
        <v>92</v>
      </c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1:48" x14ac:dyDescent="0.25">
      <c r="A181" s="61" t="s">
        <v>93</v>
      </c>
      <c r="B181" s="61"/>
      <c r="C181" s="62">
        <v>5</v>
      </c>
      <c r="D181" s="61"/>
      <c r="E181" s="61"/>
      <c r="F181" s="68" t="s">
        <v>94</v>
      </c>
      <c r="G181" s="69">
        <f>E179-E180</f>
        <v>6.2295860991639476</v>
      </c>
      <c r="H181" s="69">
        <f>E179+E180</f>
        <v>6.2664139008360529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1:48" x14ac:dyDescent="0.25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1:48" x14ac:dyDescent="0.25">
      <c r="A183" s="63" t="s">
        <v>272</v>
      </c>
      <c r="B183" s="62"/>
      <c r="C183" s="62"/>
      <c r="D183" s="62"/>
      <c r="E183" s="62"/>
      <c r="F183" s="61"/>
      <c r="G183" s="62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1:48" x14ac:dyDescent="0.25">
      <c r="A184" s="61" t="s">
        <v>89</v>
      </c>
      <c r="B184" s="62"/>
      <c r="C184" s="62"/>
      <c r="D184" s="62"/>
      <c r="E184" s="64">
        <f>STDEV(N63:R63)</f>
        <v>0.18146625030566971</v>
      </c>
      <c r="F184" s="62" t="s">
        <v>88</v>
      </c>
      <c r="G184" s="62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1:48" x14ac:dyDescent="0.25">
      <c r="A185" s="61" t="s">
        <v>90</v>
      </c>
      <c r="B185" s="62"/>
      <c r="C185" s="62"/>
      <c r="D185" s="62"/>
      <c r="E185" s="65">
        <f>AVERAGE(N63:R63)</f>
        <v>8.1059999999999999</v>
      </c>
      <c r="F185" s="62" t="s">
        <v>9</v>
      </c>
      <c r="G185" s="62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1:48" x14ac:dyDescent="0.25">
      <c r="A186" s="61" t="s">
        <v>104</v>
      </c>
      <c r="B186" s="61"/>
      <c r="C186" s="61"/>
      <c r="D186" s="61">
        <v>2.7759999999999998</v>
      </c>
      <c r="E186" s="66">
        <f>(D186*E184)/(C187^0.5)</f>
        <v>0.2252839877487966</v>
      </c>
      <c r="F186" s="62" t="s">
        <v>92</v>
      </c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1:48" x14ac:dyDescent="0.25">
      <c r="A187" s="61" t="s">
        <v>93</v>
      </c>
      <c r="B187" s="61"/>
      <c r="C187" s="62">
        <v>5</v>
      </c>
      <c r="D187" s="61"/>
      <c r="E187" s="61"/>
      <c r="F187" s="68" t="s">
        <v>94</v>
      </c>
      <c r="G187" s="101">
        <f>E185-E186</f>
        <v>7.8807160122512032</v>
      </c>
      <c r="H187" s="101">
        <f>E185+E186</f>
        <v>8.3312839877487956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1:48" x14ac:dyDescent="0.25">
      <c r="A188" s="62"/>
      <c r="B188" s="62"/>
      <c r="C188" s="62"/>
      <c r="D188" s="78"/>
      <c r="E188" s="71"/>
      <c r="F188" s="72"/>
      <c r="G188" s="72"/>
      <c r="H188" s="72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1:48" x14ac:dyDescent="0.25">
      <c r="A189" s="63" t="s">
        <v>273</v>
      </c>
      <c r="B189" s="62"/>
      <c r="C189" s="62"/>
      <c r="D189" s="62"/>
      <c r="E189" s="62"/>
      <c r="F189" s="61"/>
      <c r="G189" s="62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1:48" x14ac:dyDescent="0.25">
      <c r="A190" s="61" t="s">
        <v>89</v>
      </c>
      <c r="B190" s="62"/>
      <c r="C190" s="62"/>
      <c r="D190" s="62"/>
      <c r="E190" s="64">
        <f>STDEV(N64:R64)</f>
        <v>0.12537942414925976</v>
      </c>
      <c r="F190" s="62" t="s">
        <v>88</v>
      </c>
      <c r="G190" s="62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1:48" x14ac:dyDescent="0.25">
      <c r="A191" s="61" t="s">
        <v>90</v>
      </c>
      <c r="B191" s="62"/>
      <c r="C191" s="62"/>
      <c r="D191" s="62"/>
      <c r="E191" s="65">
        <f>AVERAGE(N64:R64)</f>
        <v>4.718</v>
      </c>
      <c r="F191" s="62" t="s">
        <v>9</v>
      </c>
      <c r="G191" s="62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1:48" x14ac:dyDescent="0.25">
      <c r="A192" s="61" t="s">
        <v>104</v>
      </c>
      <c r="B192" s="61"/>
      <c r="C192" s="61"/>
      <c r="D192" s="61">
        <v>2.7759999999999998</v>
      </c>
      <c r="E192" s="66">
        <f>(D192*E190)/(C193^0.5)</f>
        <v>0.15565415941760108</v>
      </c>
      <c r="F192" s="62" t="s">
        <v>92</v>
      </c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1:48" x14ac:dyDescent="0.25">
      <c r="A193" s="61" t="s">
        <v>93</v>
      </c>
      <c r="B193" s="61"/>
      <c r="C193" s="62">
        <v>5</v>
      </c>
      <c r="D193" s="61"/>
      <c r="E193" s="61"/>
      <c r="F193" s="68" t="s">
        <v>94</v>
      </c>
      <c r="G193" s="101">
        <f>E191-E192</f>
        <v>4.5623458405823989</v>
      </c>
      <c r="H193" s="101">
        <f>E191+E192</f>
        <v>4.8736541594176011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1:48" x14ac:dyDescent="0.25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1:48" x14ac:dyDescent="0.25">
      <c r="A195" s="63" t="s">
        <v>274</v>
      </c>
      <c r="B195" s="62"/>
      <c r="C195" s="62"/>
      <c r="D195" s="62"/>
      <c r="E195" s="62"/>
      <c r="F195" s="61"/>
      <c r="G195" s="62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1:48" x14ac:dyDescent="0.25">
      <c r="A196" s="61" t="s">
        <v>89</v>
      </c>
      <c r="B196" s="62"/>
      <c r="C196" s="62"/>
      <c r="D196" s="62"/>
      <c r="E196" s="64">
        <f>STDEV(N65:R65)</f>
        <v>3.1144823004794937E-2</v>
      </c>
      <c r="F196" s="62" t="s">
        <v>88</v>
      </c>
      <c r="G196" s="62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1:48" x14ac:dyDescent="0.25">
      <c r="A197" s="61" t="s">
        <v>90</v>
      </c>
      <c r="B197" s="62"/>
      <c r="C197" s="62"/>
      <c r="D197" s="62"/>
      <c r="E197" s="65">
        <f>AVERAGE(N65:R65)</f>
        <v>5.258</v>
      </c>
      <c r="F197" s="62" t="s">
        <v>9</v>
      </c>
      <c r="G197" s="62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1:48" x14ac:dyDescent="0.25">
      <c r="A198" s="61" t="s">
        <v>104</v>
      </c>
      <c r="B198" s="61"/>
      <c r="C198" s="61"/>
      <c r="D198" s="61">
        <v>2.7759999999999998</v>
      </c>
      <c r="E198" s="66">
        <f>(D198*E196)/(C199^0.5)</f>
        <v>3.8665205857463185E-2</v>
      </c>
      <c r="F198" s="62" t="s">
        <v>92</v>
      </c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1:48" x14ac:dyDescent="0.25">
      <c r="A199" s="61" t="s">
        <v>93</v>
      </c>
      <c r="B199" s="61"/>
      <c r="C199" s="62">
        <v>5</v>
      </c>
      <c r="D199" s="61"/>
      <c r="E199" s="61"/>
      <c r="F199" s="68" t="s">
        <v>94</v>
      </c>
      <c r="G199" s="101">
        <f>E197-E198</f>
        <v>5.2193347941425365</v>
      </c>
      <c r="H199" s="101">
        <f>E197+E198</f>
        <v>5.2966652058574635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1:48" x14ac:dyDescent="0.25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1:48" x14ac:dyDescent="0.25">
      <c r="A201" s="63" t="s">
        <v>275</v>
      </c>
      <c r="B201" s="62"/>
      <c r="C201" s="62"/>
      <c r="D201" s="62"/>
      <c r="E201" s="62"/>
      <c r="F201" s="61"/>
      <c r="G201" s="62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1:48" x14ac:dyDescent="0.25">
      <c r="A202" s="61" t="s">
        <v>89</v>
      </c>
      <c r="B202" s="62"/>
      <c r="C202" s="62"/>
      <c r="D202" s="62"/>
      <c r="E202" s="64">
        <f>STDEV(N67:R67)</f>
        <v>5.1768716422179173E-2</v>
      </c>
      <c r="F202" s="62" t="s">
        <v>88</v>
      </c>
      <c r="G202" s="62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1:48" x14ac:dyDescent="0.25">
      <c r="A203" s="61" t="s">
        <v>90</v>
      </c>
      <c r="B203" s="62"/>
      <c r="C203" s="62"/>
      <c r="D203" s="62"/>
      <c r="E203" s="65">
        <f>AVERAGE(N67:R67)</f>
        <v>4.2959999999999994</v>
      </c>
      <c r="F203" s="62" t="s">
        <v>9</v>
      </c>
      <c r="G203" s="62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1:48" x14ac:dyDescent="0.25">
      <c r="A204" s="61" t="s">
        <v>104</v>
      </c>
      <c r="B204" s="61"/>
      <c r="C204" s="61"/>
      <c r="D204" s="61">
        <v>2.7759999999999998</v>
      </c>
      <c r="E204" s="66">
        <f>(D204*E202)/(C205^0.5)</f>
        <v>6.4269046484291367E-2</v>
      </c>
      <c r="F204" s="62" t="s">
        <v>92</v>
      </c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1:48" x14ac:dyDescent="0.25">
      <c r="A205" s="61" t="s">
        <v>93</v>
      </c>
      <c r="B205" s="61"/>
      <c r="C205" s="62">
        <v>5</v>
      </c>
      <c r="D205" s="61"/>
      <c r="E205" s="61"/>
      <c r="F205" s="68" t="s">
        <v>94</v>
      </c>
      <c r="G205" s="101">
        <f>E203-E204</f>
        <v>4.2317309535157079</v>
      </c>
      <c r="H205" s="101">
        <f>E203+E204</f>
        <v>4.3602690464842908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1:48" x14ac:dyDescent="0.25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1:48" x14ac:dyDescent="0.25">
      <c r="A207" s="63" t="s">
        <v>276</v>
      </c>
      <c r="B207" s="62"/>
      <c r="C207" s="62"/>
      <c r="D207" s="62"/>
      <c r="E207" s="62"/>
      <c r="F207" s="61"/>
      <c r="G207" s="62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1:48" x14ac:dyDescent="0.25">
      <c r="A208" s="61" t="s">
        <v>89</v>
      </c>
      <c r="B208" s="62"/>
      <c r="C208" s="62"/>
      <c r="D208" s="62"/>
      <c r="E208" s="64">
        <f>STDEV(N68:R68)</f>
        <v>5.1283525619832328E-2</v>
      </c>
      <c r="F208" s="62" t="s">
        <v>88</v>
      </c>
      <c r="G208" s="62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1:48" x14ac:dyDescent="0.25">
      <c r="A209" s="61" t="s">
        <v>90</v>
      </c>
      <c r="B209" s="62"/>
      <c r="C209" s="62"/>
      <c r="D209" s="62"/>
      <c r="E209" s="65">
        <f>AVERAGE(N68:R68)</f>
        <v>4.9139999999999997</v>
      </c>
      <c r="F209" s="62" t="s">
        <v>9</v>
      </c>
      <c r="G209" s="62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1:48" x14ac:dyDescent="0.25">
      <c r="A210" s="61" t="s">
        <v>104</v>
      </c>
      <c r="B210" s="61"/>
      <c r="C210" s="61"/>
      <c r="D210" s="61">
        <v>2.7759999999999998</v>
      </c>
      <c r="E210" s="66">
        <f>(D210*E208)/(C211^0.5)</f>
        <v>6.3666699113429745E-2</v>
      </c>
      <c r="F210" s="62" t="s">
        <v>92</v>
      </c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1:48" x14ac:dyDescent="0.25">
      <c r="A211" s="61" t="s">
        <v>93</v>
      </c>
      <c r="B211" s="61"/>
      <c r="C211" s="62">
        <v>5</v>
      </c>
      <c r="D211" s="61"/>
      <c r="E211" s="61"/>
      <c r="F211" s="68" t="s">
        <v>94</v>
      </c>
      <c r="G211" s="101">
        <f>E209-E210</f>
        <v>4.8503333008865699</v>
      </c>
      <c r="H211" s="101">
        <f>E209+E210</f>
        <v>4.9776666991134295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1:48" x14ac:dyDescent="0.25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1:48" x14ac:dyDescent="0.25">
      <c r="A213" s="63" t="s">
        <v>277</v>
      </c>
      <c r="B213" s="62"/>
      <c r="C213" s="62"/>
      <c r="D213" s="62"/>
      <c r="E213" s="62"/>
      <c r="F213" s="61"/>
      <c r="G213" s="62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1:48" x14ac:dyDescent="0.25">
      <c r="A214" s="61" t="s">
        <v>89</v>
      </c>
      <c r="B214" s="62"/>
      <c r="C214" s="62"/>
      <c r="D214" s="62"/>
      <c r="E214" s="64">
        <f>STDEV(N70:R70)</f>
        <v>1.5165750888103159E-2</v>
      </c>
      <c r="F214" s="62" t="s">
        <v>88</v>
      </c>
      <c r="G214" s="62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1:48" x14ac:dyDescent="0.25">
      <c r="A215" s="61" t="s">
        <v>90</v>
      </c>
      <c r="B215" s="62"/>
      <c r="C215" s="62"/>
      <c r="D215" s="62"/>
      <c r="E215" s="65">
        <f>AVERAGE(N70:R70)</f>
        <v>3.8439999999999999</v>
      </c>
      <c r="F215" s="62" t="s">
        <v>9</v>
      </c>
      <c r="G215" s="62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1:48" x14ac:dyDescent="0.25">
      <c r="A216" s="61" t="s">
        <v>104</v>
      </c>
      <c r="B216" s="61"/>
      <c r="C216" s="61"/>
      <c r="D216" s="61">
        <v>2.7759999999999998</v>
      </c>
      <c r="E216" s="66">
        <f>(D216*E214)/(C217^0.5)</f>
        <v>1.8827748033155813E-2</v>
      </c>
      <c r="F216" s="62" t="s">
        <v>92</v>
      </c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1:48" x14ac:dyDescent="0.25">
      <c r="A217" s="61" t="s">
        <v>93</v>
      </c>
      <c r="B217" s="61"/>
      <c r="C217" s="62">
        <v>5</v>
      </c>
      <c r="D217" s="61"/>
      <c r="E217" s="61"/>
      <c r="F217" s="68" t="s">
        <v>94</v>
      </c>
      <c r="G217" s="101">
        <f>E215-E216</f>
        <v>3.8251722519668441</v>
      </c>
      <c r="H217" s="101">
        <f>E215+E216</f>
        <v>3.8628277480331557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1:48" x14ac:dyDescent="0.25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1:48" x14ac:dyDescent="0.25">
      <c r="A219" s="63" t="s">
        <v>278</v>
      </c>
      <c r="B219" s="62"/>
      <c r="C219" s="62"/>
      <c r="D219" s="62"/>
      <c r="E219" s="62"/>
      <c r="F219" s="61"/>
      <c r="G219" s="62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1:48" x14ac:dyDescent="0.25">
      <c r="A220" s="61" t="s">
        <v>89</v>
      </c>
      <c r="B220" s="62"/>
      <c r="C220" s="62"/>
      <c r="D220" s="62"/>
      <c r="E220" s="64">
        <f>STDEV(N71:R71)</f>
        <v>1.6733200530681471E-2</v>
      </c>
      <c r="F220" s="62" t="s">
        <v>88</v>
      </c>
      <c r="G220" s="62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1:48" x14ac:dyDescent="0.25">
      <c r="A221" s="61" t="s">
        <v>90</v>
      </c>
      <c r="B221" s="62"/>
      <c r="C221" s="62"/>
      <c r="D221" s="62"/>
      <c r="E221" s="65">
        <f>AVERAGE(N71:R71)</f>
        <v>4.5840000000000005</v>
      </c>
      <c r="F221" s="62" t="s">
        <v>9</v>
      </c>
      <c r="G221" s="62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1:48" x14ac:dyDescent="0.25">
      <c r="A222" s="61" t="s">
        <v>104</v>
      </c>
      <c r="B222" s="61"/>
      <c r="C222" s="61"/>
      <c r="D222" s="61">
        <v>2.7759999999999998</v>
      </c>
      <c r="E222" s="66">
        <f>(D222*E220)/(C223^0.5)</f>
        <v>2.0773681811368874E-2</v>
      </c>
      <c r="F222" s="62" t="s">
        <v>92</v>
      </c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1:48" x14ac:dyDescent="0.25">
      <c r="A223" s="61" t="s">
        <v>93</v>
      </c>
      <c r="B223" s="61"/>
      <c r="C223" s="62">
        <v>5</v>
      </c>
      <c r="D223" s="61"/>
      <c r="E223" s="61"/>
      <c r="F223" s="68" t="s">
        <v>94</v>
      </c>
      <c r="G223" s="101">
        <f>E221-E222</f>
        <v>4.5632263181886312</v>
      </c>
      <c r="H223" s="101">
        <f>E221+E222</f>
        <v>4.6047736818113698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1:48" x14ac:dyDescent="0.25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1:48" x14ac:dyDescent="0.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1:48" x14ac:dyDescent="0.25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1:48" x14ac:dyDescent="0.25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1:48" x14ac:dyDescent="0.25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1:48" x14ac:dyDescent="0.25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1:48" x14ac:dyDescent="0.25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1:48" x14ac:dyDescent="0.25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</row>
    <row r="232" spans="1:48" x14ac:dyDescent="0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</row>
  </sheetData>
  <printOptions headings="1" gridLines="1"/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N39" sqref="N39"/>
    </sheetView>
  </sheetViews>
  <sheetFormatPr defaultRowHeight="15" x14ac:dyDescent="0.25"/>
  <cols>
    <col min="1" max="1" width="22.5703125" customWidth="1"/>
    <col min="2" max="2" width="27" customWidth="1"/>
    <col min="3" max="3" width="12.28515625" customWidth="1"/>
    <col min="5" max="5" width="10.5703125" customWidth="1"/>
    <col min="12" max="12" width="18.42578125" customWidth="1"/>
    <col min="13" max="13" width="12.42578125" customWidth="1"/>
  </cols>
  <sheetData>
    <row r="1" spans="1:20" x14ac:dyDescent="0.25">
      <c r="A1" s="41" t="s">
        <v>202</v>
      </c>
      <c r="B1" s="35"/>
      <c r="C1" s="35"/>
      <c r="D1" s="35"/>
      <c r="E1" s="35"/>
      <c r="F1" s="35"/>
      <c r="G1" s="35"/>
      <c r="H1" s="35"/>
      <c r="I1" s="35"/>
    </row>
    <row r="2" spans="1:20" x14ac:dyDescent="0.25">
      <c r="A2" s="35" t="s">
        <v>203</v>
      </c>
      <c r="B2" s="35"/>
      <c r="C2" s="35"/>
      <c r="D2" s="35"/>
      <c r="E2" s="35"/>
      <c r="F2" s="35"/>
      <c r="G2" s="35"/>
      <c r="H2" s="35"/>
      <c r="I2" s="35"/>
    </row>
    <row r="3" spans="1:20" x14ac:dyDescent="0.25">
      <c r="A3" s="33" t="s">
        <v>180</v>
      </c>
      <c r="B3" s="35" t="s">
        <v>181</v>
      </c>
      <c r="C3" s="35" t="s">
        <v>182</v>
      </c>
      <c r="D3" s="35"/>
      <c r="E3" s="35"/>
      <c r="F3" s="35"/>
      <c r="G3" s="35"/>
      <c r="H3" s="35"/>
      <c r="I3" s="35"/>
    </row>
    <row r="4" spans="1:20" x14ac:dyDescent="0.25">
      <c r="A4" s="35"/>
      <c r="B4" s="35"/>
      <c r="C4" s="35" t="s">
        <v>183</v>
      </c>
      <c r="D4" s="35"/>
      <c r="E4" s="35"/>
      <c r="F4" s="35"/>
      <c r="G4" s="35"/>
      <c r="H4" s="35"/>
      <c r="I4" s="35"/>
    </row>
    <row r="5" spans="1:20" x14ac:dyDescent="0.25">
      <c r="A5" s="40" t="s">
        <v>184</v>
      </c>
      <c r="B5" s="35" t="s">
        <v>185</v>
      </c>
      <c r="C5" s="33">
        <v>122.449</v>
      </c>
      <c r="D5" s="33" t="s">
        <v>15</v>
      </c>
      <c r="E5" s="38">
        <f>AVERAGE(C5:C9)</f>
        <v>123.28800000000001</v>
      </c>
      <c r="F5" s="33"/>
      <c r="G5" s="33" t="s">
        <v>194</v>
      </c>
      <c r="H5" s="34">
        <f>(E5-E7)</f>
        <v>121.13191902529057</v>
      </c>
      <c r="I5" s="39">
        <f>(E5+E7)</f>
        <v>125.44408097470945</v>
      </c>
    </row>
    <row r="6" spans="1:20" x14ac:dyDescent="0.25">
      <c r="A6" s="33"/>
      <c r="B6" s="35"/>
      <c r="C6" s="33">
        <v>123.18</v>
      </c>
      <c r="D6" s="33" t="s">
        <v>191</v>
      </c>
      <c r="E6" s="38">
        <f>STDEV(C5:C9)</f>
        <v>1.7367232076528529</v>
      </c>
      <c r="F6" s="33"/>
      <c r="G6" s="33"/>
      <c r="H6" s="34"/>
      <c r="I6" s="39"/>
    </row>
    <row r="7" spans="1:20" x14ac:dyDescent="0.25">
      <c r="A7" s="33"/>
      <c r="B7" s="35"/>
      <c r="C7" s="33">
        <v>120.892</v>
      </c>
      <c r="D7" s="33" t="s">
        <v>192</v>
      </c>
      <c r="E7" s="38">
        <f>(E8*E6)/((E9)^0.5)</f>
        <v>2.1560809747094432</v>
      </c>
      <c r="F7" s="33"/>
      <c r="G7" s="33"/>
      <c r="H7" s="34"/>
      <c r="I7" s="39"/>
    </row>
    <row r="8" spans="1:20" x14ac:dyDescent="0.25">
      <c r="A8" s="33"/>
      <c r="B8" s="35"/>
      <c r="C8" s="33">
        <v>124.858</v>
      </c>
      <c r="D8" s="33" t="s">
        <v>193</v>
      </c>
      <c r="E8" s="38">
        <v>2.7759999999999998</v>
      </c>
      <c r="F8" s="33"/>
      <c r="G8" s="33"/>
      <c r="H8" s="34"/>
      <c r="I8" s="39"/>
    </row>
    <row r="9" spans="1:20" x14ac:dyDescent="0.25">
      <c r="A9" s="33"/>
      <c r="B9" s="35"/>
      <c r="C9" s="33">
        <v>125.06100000000001</v>
      </c>
      <c r="D9" s="33" t="s">
        <v>195</v>
      </c>
      <c r="E9" s="33">
        <v>5</v>
      </c>
      <c r="F9" s="33"/>
      <c r="G9" s="33"/>
      <c r="H9" s="34"/>
      <c r="I9" s="39"/>
    </row>
    <row r="10" spans="1:20" x14ac:dyDescent="0.25">
      <c r="A10" s="40" t="s">
        <v>186</v>
      </c>
      <c r="B10" s="35" t="s">
        <v>187</v>
      </c>
      <c r="C10" s="33">
        <v>5.5010000000000003</v>
      </c>
      <c r="D10" s="33" t="s">
        <v>15</v>
      </c>
      <c r="E10" s="38">
        <f>AVERAGE(C10:C14)</f>
        <v>5.4613333333333332</v>
      </c>
      <c r="F10" s="33"/>
      <c r="G10" s="33" t="s">
        <v>194</v>
      </c>
      <c r="H10" s="34">
        <f>(E10-E12)</f>
        <v>5.3565091758817012</v>
      </c>
      <c r="I10" s="39">
        <f>(E10+E12)</f>
        <v>5.5661574907849651</v>
      </c>
      <c r="L10" s="3"/>
      <c r="N10" s="1"/>
      <c r="O10" s="1"/>
      <c r="P10" s="14"/>
      <c r="Q10" s="1"/>
      <c r="R10" s="1"/>
      <c r="S10" s="10"/>
      <c r="T10" s="11"/>
    </row>
    <row r="11" spans="1:20" x14ac:dyDescent="0.25">
      <c r="A11" s="33"/>
      <c r="B11" s="35" t="s">
        <v>188</v>
      </c>
      <c r="C11" s="33">
        <v>5.4169999999999998</v>
      </c>
      <c r="D11" s="33" t="s">
        <v>191</v>
      </c>
      <c r="E11" s="38">
        <f>STDEV(C10:C14)</f>
        <v>4.2193996413392221E-2</v>
      </c>
      <c r="F11" s="33"/>
      <c r="G11" s="33"/>
      <c r="H11" s="34"/>
      <c r="I11" s="39"/>
      <c r="N11" s="1"/>
      <c r="O11" s="1"/>
      <c r="P11" s="14"/>
      <c r="Q11" s="1"/>
      <c r="R11" s="1"/>
      <c r="S11" s="10"/>
      <c r="T11" s="11"/>
    </row>
    <row r="12" spans="1:20" x14ac:dyDescent="0.25">
      <c r="A12" s="33"/>
      <c r="B12" s="35" t="s">
        <v>189</v>
      </c>
      <c r="C12" s="33">
        <v>5.4660000000000002</v>
      </c>
      <c r="D12" s="33" t="s">
        <v>192</v>
      </c>
      <c r="E12" s="38">
        <f>(E13*E11)/((E14)^0.5)</f>
        <v>0.10482415745163223</v>
      </c>
      <c r="F12" s="33"/>
      <c r="G12" s="33"/>
      <c r="H12" s="34"/>
      <c r="I12" s="39"/>
      <c r="N12" s="1"/>
      <c r="O12" s="1"/>
      <c r="P12" s="14"/>
      <c r="Q12" s="1"/>
      <c r="R12" s="1"/>
      <c r="S12" s="10"/>
      <c r="T12" s="11"/>
    </row>
    <row r="13" spans="1:20" x14ac:dyDescent="0.25">
      <c r="A13" s="33"/>
      <c r="B13" s="35"/>
      <c r="C13" s="35"/>
      <c r="D13" s="33" t="s">
        <v>193</v>
      </c>
      <c r="E13" s="38">
        <v>4.3029999999999999</v>
      </c>
      <c r="F13" s="33"/>
      <c r="G13" s="33"/>
      <c r="H13" s="34"/>
      <c r="I13" s="39"/>
      <c r="N13" s="1"/>
      <c r="O13" s="1"/>
      <c r="P13" s="14"/>
      <c r="Q13" s="1"/>
      <c r="R13" s="1"/>
      <c r="S13" s="10"/>
      <c r="T13" s="11"/>
    </row>
    <row r="14" spans="1:20" x14ac:dyDescent="0.25">
      <c r="A14" s="33"/>
      <c r="B14" s="35"/>
      <c r="C14" s="35"/>
      <c r="D14" s="33" t="s">
        <v>195</v>
      </c>
      <c r="E14" s="33">
        <v>3</v>
      </c>
      <c r="F14" s="33"/>
      <c r="G14" s="33"/>
      <c r="H14" s="34"/>
      <c r="I14" s="39"/>
      <c r="N14" s="1"/>
      <c r="O14" s="1"/>
      <c r="P14" s="1"/>
      <c r="Q14" s="1"/>
      <c r="R14" s="1"/>
      <c r="S14" s="10"/>
      <c r="T14" s="11"/>
    </row>
    <row r="15" spans="1:20" x14ac:dyDescent="0.25">
      <c r="A15" s="40" t="s">
        <v>190</v>
      </c>
      <c r="B15" s="35" t="s">
        <v>187</v>
      </c>
      <c r="C15" s="33">
        <v>5.4969999999999999</v>
      </c>
      <c r="D15" s="33" t="s">
        <v>15</v>
      </c>
      <c r="E15" s="38">
        <f>AVERAGE(C15:C19)</f>
        <v>5.3270000000000008</v>
      </c>
      <c r="F15" s="33"/>
      <c r="G15" s="33" t="s">
        <v>194</v>
      </c>
      <c r="H15" s="34">
        <f>(E15-E17)</f>
        <v>4.9338853680536268</v>
      </c>
      <c r="I15" s="39">
        <f>(E15+E17)</f>
        <v>5.7201146319463749</v>
      </c>
    </row>
    <row r="16" spans="1:20" x14ac:dyDescent="0.25">
      <c r="A16" s="33"/>
      <c r="B16" s="35" t="s">
        <v>188</v>
      </c>
      <c r="C16" s="33">
        <v>5.3</v>
      </c>
      <c r="D16" s="33" t="s">
        <v>191</v>
      </c>
      <c r="E16" s="38">
        <f>STDEV(C15:C19)</f>
        <v>0.15823716377640229</v>
      </c>
      <c r="F16" s="33"/>
      <c r="G16" s="33"/>
      <c r="H16" s="34"/>
      <c r="I16" s="39"/>
      <c r="L16" s="3"/>
      <c r="N16" s="1"/>
      <c r="O16" s="1"/>
      <c r="P16" s="14"/>
      <c r="Q16" s="1"/>
      <c r="R16" s="1"/>
      <c r="S16" s="10"/>
      <c r="T16" s="11"/>
    </row>
    <row r="17" spans="1:20" x14ac:dyDescent="0.25">
      <c r="A17" s="33"/>
      <c r="B17" s="35" t="s">
        <v>189</v>
      </c>
      <c r="C17" s="33">
        <v>5.1840000000000002</v>
      </c>
      <c r="D17" s="33" t="s">
        <v>192</v>
      </c>
      <c r="E17" s="38">
        <f>(E18*E16)/((E19)^0.5)</f>
        <v>0.39311463194637403</v>
      </c>
      <c r="F17" s="33"/>
      <c r="G17" s="33"/>
      <c r="H17" s="34"/>
      <c r="I17" s="39"/>
      <c r="N17" s="1"/>
      <c r="O17" s="1"/>
      <c r="P17" s="14"/>
      <c r="Q17" s="1"/>
      <c r="R17" s="1"/>
      <c r="S17" s="10"/>
      <c r="T17" s="11"/>
    </row>
    <row r="18" spans="1:20" x14ac:dyDescent="0.25">
      <c r="A18" s="33"/>
      <c r="B18" s="35"/>
      <c r="C18" s="35"/>
      <c r="D18" s="33" t="s">
        <v>193</v>
      </c>
      <c r="E18" s="38">
        <v>4.3029999999999999</v>
      </c>
      <c r="F18" s="33"/>
      <c r="G18" s="33"/>
      <c r="H18" s="34"/>
      <c r="I18" s="39"/>
      <c r="N18" s="1"/>
      <c r="O18" s="1"/>
      <c r="P18" s="14"/>
      <c r="Q18" s="1"/>
      <c r="R18" s="1"/>
      <c r="S18" s="10"/>
      <c r="T18" s="11"/>
    </row>
    <row r="19" spans="1:20" x14ac:dyDescent="0.25">
      <c r="A19" s="33"/>
      <c r="B19" s="35"/>
      <c r="C19" s="35"/>
      <c r="D19" s="33" t="s">
        <v>195</v>
      </c>
      <c r="E19" s="33">
        <v>3</v>
      </c>
      <c r="F19" s="33"/>
      <c r="G19" s="33"/>
      <c r="H19" s="34"/>
      <c r="I19" s="39"/>
      <c r="N19" s="1"/>
      <c r="O19" s="1"/>
      <c r="P19" s="14"/>
      <c r="Q19" s="1"/>
      <c r="R19" s="1"/>
      <c r="S19" s="10"/>
      <c r="T19" s="11"/>
    </row>
    <row r="20" spans="1:20" x14ac:dyDescent="0.25">
      <c r="A20" s="5"/>
      <c r="C20" s="1"/>
      <c r="D20" s="1"/>
      <c r="E20" s="14"/>
      <c r="F20" s="1"/>
      <c r="G20" s="1"/>
      <c r="H20" s="10"/>
      <c r="I20" s="11"/>
      <c r="N20" s="1"/>
      <c r="O20" s="1"/>
      <c r="P20" s="1"/>
      <c r="Q20" s="1"/>
      <c r="R20" s="1"/>
      <c r="S20" s="10"/>
      <c r="T20" s="11"/>
    </row>
    <row r="21" spans="1:20" x14ac:dyDescent="0.25">
      <c r="A21" s="1"/>
      <c r="C21" s="1"/>
      <c r="D21" s="1"/>
      <c r="E21" s="14"/>
      <c r="F21" s="1"/>
      <c r="G21" s="1"/>
      <c r="H21" s="10"/>
      <c r="I21" s="11"/>
      <c r="N21" s="1"/>
    </row>
    <row r="22" spans="1:20" x14ac:dyDescent="0.25">
      <c r="A22" s="1"/>
      <c r="C22" s="1"/>
      <c r="D22" s="1"/>
      <c r="E22" s="14"/>
      <c r="F22" s="1"/>
      <c r="G22" s="1"/>
      <c r="H22" s="10"/>
      <c r="I22" s="11"/>
      <c r="N22" s="6"/>
      <c r="O22" s="7"/>
    </row>
    <row r="23" spans="1:20" x14ac:dyDescent="0.25">
      <c r="A23" s="1"/>
      <c r="C23" s="1"/>
      <c r="D23" s="1"/>
      <c r="E23" s="14"/>
      <c r="F23" s="1"/>
      <c r="G23" s="1"/>
      <c r="H23" s="10"/>
      <c r="I23" s="11"/>
    </row>
    <row r="24" spans="1:20" x14ac:dyDescent="0.25">
      <c r="A24" s="1"/>
      <c r="C24" s="1"/>
      <c r="D24" s="1"/>
      <c r="E24" s="1"/>
      <c r="F24" s="1"/>
      <c r="G24" s="1"/>
      <c r="H24" s="10"/>
      <c r="I24" s="11"/>
      <c r="L24" s="3"/>
      <c r="N24" s="1"/>
      <c r="O24" s="1"/>
      <c r="P24" s="14"/>
      <c r="Q24" s="1"/>
      <c r="R24" s="1"/>
      <c r="S24" s="10"/>
      <c r="T24" s="11"/>
    </row>
    <row r="25" spans="1:20" x14ac:dyDescent="0.25">
      <c r="A25" s="5"/>
      <c r="C25" s="1"/>
      <c r="D25" s="1"/>
      <c r="E25" s="14"/>
      <c r="F25" s="1"/>
      <c r="G25" s="1"/>
      <c r="H25" s="10"/>
      <c r="I25" s="11"/>
      <c r="N25" s="1"/>
      <c r="O25" s="1"/>
      <c r="P25" s="14"/>
      <c r="Q25" s="1"/>
      <c r="R25" s="1"/>
      <c r="S25" s="10"/>
      <c r="T25" s="11"/>
    </row>
    <row r="26" spans="1:20" x14ac:dyDescent="0.25">
      <c r="A26" s="1"/>
      <c r="C26" s="1"/>
      <c r="D26" s="1"/>
      <c r="E26" s="14"/>
      <c r="F26" s="1"/>
      <c r="G26" s="1"/>
      <c r="H26" s="10"/>
      <c r="I26" s="11"/>
      <c r="N26" s="1"/>
      <c r="O26" s="1"/>
      <c r="P26" s="14"/>
      <c r="Q26" s="1"/>
      <c r="R26" s="1"/>
      <c r="S26" s="10"/>
      <c r="T26" s="11"/>
    </row>
    <row r="27" spans="1:20" x14ac:dyDescent="0.25">
      <c r="A27" s="1"/>
      <c r="C27" s="1"/>
      <c r="D27" s="1"/>
      <c r="E27" s="14"/>
      <c r="F27" s="1"/>
      <c r="G27" s="1"/>
      <c r="H27" s="10"/>
      <c r="I27" s="11"/>
      <c r="N27" s="1"/>
      <c r="O27" s="1"/>
      <c r="P27" s="14"/>
      <c r="Q27" s="1"/>
      <c r="R27" s="1"/>
      <c r="S27" s="10"/>
      <c r="T27" s="11"/>
    </row>
    <row r="28" spans="1:20" x14ac:dyDescent="0.25">
      <c r="A28" s="1"/>
      <c r="C28" s="1"/>
      <c r="D28" s="1"/>
      <c r="E28" s="14"/>
      <c r="F28" s="1"/>
      <c r="G28" s="1"/>
      <c r="H28" s="10"/>
      <c r="I28" s="11"/>
      <c r="N28" s="1"/>
      <c r="O28" s="1"/>
      <c r="P28" s="1"/>
      <c r="Q28" s="1"/>
      <c r="R28" s="1"/>
      <c r="S28" s="10"/>
      <c r="T28" s="11"/>
    </row>
    <row r="29" spans="1:20" x14ac:dyDescent="0.25">
      <c r="A29" s="1"/>
      <c r="C29" s="1"/>
      <c r="D29" s="1"/>
      <c r="E29" s="1"/>
      <c r="F29" s="1"/>
      <c r="G29" s="1"/>
      <c r="H29" s="10"/>
      <c r="I29" s="11"/>
      <c r="N29" s="1"/>
    </row>
    <row r="30" spans="1:20" x14ac:dyDescent="0.25">
      <c r="A30" s="5"/>
      <c r="C30" s="1"/>
      <c r="D30" s="1"/>
      <c r="E30" s="14"/>
      <c r="F30" s="1"/>
      <c r="G30" s="1"/>
      <c r="H30" s="10"/>
      <c r="I30" s="11"/>
      <c r="N30" s="6"/>
      <c r="O30" s="7"/>
    </row>
    <row r="31" spans="1:20" x14ac:dyDescent="0.25">
      <c r="A31" s="1"/>
      <c r="C31" s="1"/>
      <c r="D31" s="1"/>
      <c r="E31" s="14"/>
      <c r="F31" s="1"/>
      <c r="G31" s="1"/>
      <c r="H31" s="10"/>
      <c r="I31" s="11"/>
    </row>
    <row r="32" spans="1:20" x14ac:dyDescent="0.25">
      <c r="C32" s="1"/>
      <c r="D32" s="1"/>
      <c r="E32" s="14"/>
      <c r="F32" s="1"/>
      <c r="G32" s="1"/>
      <c r="H32" s="10"/>
      <c r="I32" s="11"/>
      <c r="L32" s="5"/>
      <c r="M32" s="22"/>
      <c r="N32" s="1"/>
      <c r="O32" s="1"/>
      <c r="P32" s="10"/>
      <c r="Q32" s="1"/>
      <c r="R32" s="1"/>
      <c r="S32" s="10"/>
      <c r="T32" s="11"/>
    </row>
    <row r="33" spans="1:20" x14ac:dyDescent="0.25">
      <c r="C33" s="1"/>
      <c r="D33" s="1"/>
      <c r="E33" s="14"/>
      <c r="F33" s="1"/>
      <c r="G33" s="1"/>
      <c r="H33" s="10"/>
      <c r="I33" s="11"/>
      <c r="N33" s="1"/>
      <c r="O33" s="1"/>
      <c r="P33" s="14"/>
      <c r="Q33" s="1"/>
      <c r="R33" s="1"/>
      <c r="S33" s="10"/>
      <c r="T33" s="11"/>
    </row>
    <row r="34" spans="1:20" x14ac:dyDescent="0.25">
      <c r="C34" s="1"/>
      <c r="D34" s="1"/>
      <c r="E34" s="1"/>
      <c r="F34" s="1"/>
      <c r="G34" s="1"/>
      <c r="H34" s="10"/>
      <c r="I34" s="11"/>
      <c r="N34" s="1"/>
      <c r="O34" s="1"/>
      <c r="P34" s="14"/>
      <c r="Q34" s="1"/>
      <c r="R34" s="1"/>
      <c r="S34" s="10"/>
      <c r="T34" s="11"/>
    </row>
    <row r="35" spans="1:20" x14ac:dyDescent="0.25">
      <c r="N35" s="1"/>
      <c r="O35" s="1"/>
      <c r="P35" s="14"/>
      <c r="Q35" s="1"/>
      <c r="R35" s="1"/>
      <c r="S35" s="10"/>
      <c r="T35" s="11"/>
    </row>
    <row r="36" spans="1:20" x14ac:dyDescent="0.25">
      <c r="A36" s="42" t="s">
        <v>312</v>
      </c>
      <c r="B36" s="33" t="s">
        <v>313</v>
      </c>
      <c r="C36" s="33">
        <v>185.36</v>
      </c>
      <c r="D36" s="33" t="s">
        <v>15</v>
      </c>
      <c r="E36" s="34">
        <f>AVERAGE(C36:C39)</f>
        <v>184.70499999999998</v>
      </c>
      <c r="F36" s="33"/>
      <c r="G36" s="33" t="s">
        <v>194</v>
      </c>
      <c r="H36" s="34">
        <f>(E36-E38)</f>
        <v>179.96325944588907</v>
      </c>
      <c r="I36" s="39">
        <f>(E36+E38)</f>
        <v>189.4467405541109</v>
      </c>
      <c r="N36" s="1"/>
      <c r="O36" s="1"/>
      <c r="P36" s="1"/>
      <c r="Q36" s="1"/>
      <c r="R36" s="1"/>
      <c r="S36" s="10"/>
      <c r="T36" s="11"/>
    </row>
    <row r="37" spans="1:20" x14ac:dyDescent="0.25">
      <c r="A37" s="35"/>
      <c r="B37" s="35"/>
      <c r="C37" s="33">
        <v>186.7</v>
      </c>
      <c r="D37" s="33" t="s">
        <v>191</v>
      </c>
      <c r="E37" s="38">
        <f>STDEV(C36:C39)</f>
        <v>2.9803523281652473</v>
      </c>
      <c r="F37" s="33"/>
      <c r="G37" s="33"/>
      <c r="H37" s="34"/>
      <c r="I37" s="39"/>
    </row>
    <row r="38" spans="1:20" x14ac:dyDescent="0.25">
      <c r="A38" s="35"/>
      <c r="B38" s="35"/>
      <c r="C38" s="33">
        <v>180.32</v>
      </c>
      <c r="D38" s="33" t="s">
        <v>192</v>
      </c>
      <c r="E38" s="38">
        <f>(E39*E37)/((E40)^0.5)</f>
        <v>4.7417405541109083</v>
      </c>
      <c r="F38" s="33"/>
      <c r="G38" s="33"/>
      <c r="H38" s="34"/>
      <c r="I38" s="39"/>
    </row>
    <row r="39" spans="1:20" x14ac:dyDescent="0.25">
      <c r="A39" s="35"/>
      <c r="B39" s="35"/>
      <c r="C39" s="33">
        <v>186.44</v>
      </c>
      <c r="D39" s="33" t="s">
        <v>193</v>
      </c>
      <c r="E39" s="38">
        <v>3.1819999999999999</v>
      </c>
      <c r="F39" s="33"/>
      <c r="G39" s="33"/>
      <c r="H39" s="34"/>
      <c r="I39" s="39"/>
    </row>
    <row r="40" spans="1:20" x14ac:dyDescent="0.25">
      <c r="A40" s="35"/>
      <c r="B40" s="35"/>
      <c r="C40" s="33"/>
      <c r="D40" s="33" t="s">
        <v>195</v>
      </c>
      <c r="E40" s="33">
        <v>4</v>
      </c>
      <c r="F40" s="33"/>
      <c r="G40" s="33"/>
      <c r="H40" s="34"/>
      <c r="I40" s="39"/>
    </row>
    <row r="42" spans="1:20" x14ac:dyDescent="0.25">
      <c r="A42" s="3"/>
      <c r="B42" s="22"/>
      <c r="C42" s="1"/>
      <c r="D42" s="1"/>
      <c r="E42" s="10"/>
      <c r="F42" s="1"/>
      <c r="G42" s="1"/>
      <c r="H42" s="10"/>
      <c r="I42" s="11"/>
    </row>
    <row r="43" spans="1:20" x14ac:dyDescent="0.25">
      <c r="C43" s="1"/>
      <c r="D43" s="1"/>
      <c r="E43" s="14"/>
      <c r="F43" s="1"/>
      <c r="G43" s="1"/>
      <c r="H43" s="10"/>
      <c r="I43" s="11"/>
    </row>
    <row r="44" spans="1:20" x14ac:dyDescent="0.25">
      <c r="C44" s="1"/>
      <c r="D44" s="1"/>
      <c r="E44" s="14"/>
      <c r="F44" s="1"/>
      <c r="G44" s="1"/>
      <c r="H44" s="10"/>
      <c r="I44" s="11"/>
    </row>
    <row r="45" spans="1:20" x14ac:dyDescent="0.25">
      <c r="C45" s="1"/>
      <c r="D45" s="1"/>
      <c r="E45" s="14"/>
      <c r="F45" s="1"/>
      <c r="G45" s="1"/>
      <c r="H45" s="10"/>
      <c r="I45" s="11"/>
    </row>
    <row r="46" spans="1:20" x14ac:dyDescent="0.25">
      <c r="C46" s="1"/>
      <c r="D46" s="1"/>
      <c r="E46" s="14"/>
      <c r="F46" s="1"/>
      <c r="G46" s="1"/>
      <c r="H46" s="10"/>
      <c r="I46" s="11"/>
    </row>
    <row r="47" spans="1:20" x14ac:dyDescent="0.25">
      <c r="C47" s="1"/>
      <c r="D47" s="1"/>
      <c r="E47" s="14"/>
      <c r="F47" s="1"/>
      <c r="G47" s="1"/>
      <c r="H47" s="10"/>
      <c r="I47" s="11"/>
    </row>
    <row r="48" spans="1:20" x14ac:dyDescent="0.25">
      <c r="C48" s="1"/>
      <c r="D48" s="1"/>
      <c r="E48" s="14"/>
      <c r="F48" s="1"/>
      <c r="G48" s="1"/>
      <c r="H48" s="10"/>
      <c r="I48" s="11"/>
    </row>
    <row r="49" spans="1:9" x14ac:dyDescent="0.25">
      <c r="C49" s="1"/>
      <c r="D49" s="1"/>
      <c r="E49" s="1"/>
      <c r="F49" s="1"/>
      <c r="G49" s="1"/>
      <c r="H49" s="10"/>
      <c r="I49" s="11"/>
    </row>
    <row r="51" spans="1:9" x14ac:dyDescent="0.25">
      <c r="A51" s="3"/>
      <c r="B51" s="22"/>
      <c r="C51" s="1"/>
      <c r="D51" s="1"/>
      <c r="E51" s="10"/>
      <c r="F51" s="1"/>
      <c r="G51" s="1"/>
      <c r="H51" s="10"/>
      <c r="I51" s="11"/>
    </row>
    <row r="52" spans="1:9" x14ac:dyDescent="0.25">
      <c r="C52" s="1"/>
      <c r="D52" s="1"/>
      <c r="E52" s="14"/>
      <c r="F52" s="1"/>
      <c r="G52" s="1"/>
      <c r="H52" s="10"/>
      <c r="I52" s="11"/>
    </row>
    <row r="53" spans="1:9" x14ac:dyDescent="0.25">
      <c r="C53" s="1"/>
      <c r="D53" s="1"/>
      <c r="E53" s="14"/>
      <c r="F53" s="1"/>
      <c r="G53" s="1"/>
      <c r="H53" s="10"/>
      <c r="I53" s="11"/>
    </row>
    <row r="54" spans="1:9" x14ac:dyDescent="0.25">
      <c r="C54" s="1"/>
      <c r="D54" s="1"/>
      <c r="E54" s="14"/>
      <c r="F54" s="1"/>
      <c r="G54" s="1"/>
      <c r="H54" s="10"/>
      <c r="I54" s="11"/>
    </row>
    <row r="55" spans="1:9" x14ac:dyDescent="0.25">
      <c r="C55" s="1"/>
      <c r="D55" s="1"/>
      <c r="E55" s="1"/>
      <c r="F55" s="1"/>
      <c r="G55" s="1"/>
      <c r="H55" s="10"/>
      <c r="I55" s="11"/>
    </row>
    <row r="57" spans="1:9" x14ac:dyDescent="0.25">
      <c r="A57" s="3"/>
      <c r="B57" s="22"/>
      <c r="C57" s="1"/>
      <c r="D57" s="1"/>
      <c r="E57" s="10"/>
      <c r="F57" s="1"/>
      <c r="G57" s="1"/>
      <c r="H57" s="10"/>
      <c r="I57" s="11"/>
    </row>
    <row r="58" spans="1:9" x14ac:dyDescent="0.25">
      <c r="C58" s="1"/>
      <c r="D58" s="1"/>
      <c r="E58" s="14"/>
      <c r="F58" s="1"/>
      <c r="G58" s="1"/>
      <c r="H58" s="10"/>
      <c r="I58" s="11"/>
    </row>
    <row r="59" spans="1:9" x14ac:dyDescent="0.25">
      <c r="C59" s="1"/>
      <c r="D59" s="1"/>
      <c r="E59" s="14"/>
      <c r="F59" s="1"/>
      <c r="G59" s="1"/>
      <c r="H59" s="10"/>
      <c r="I59" s="11"/>
    </row>
    <row r="60" spans="1:9" x14ac:dyDescent="0.25">
      <c r="C60" s="1"/>
      <c r="D60" s="1"/>
      <c r="E60" s="14"/>
      <c r="F60" s="1"/>
      <c r="G60" s="1"/>
      <c r="H60" s="10"/>
      <c r="I60" s="11"/>
    </row>
    <row r="61" spans="1:9" x14ac:dyDescent="0.25">
      <c r="C61" s="1"/>
      <c r="D61" s="1"/>
      <c r="E61" s="1"/>
      <c r="F61" s="1"/>
      <c r="G61" s="1"/>
      <c r="H61" s="10"/>
      <c r="I61" s="11"/>
    </row>
    <row r="63" spans="1:9" x14ac:dyDescent="0.25">
      <c r="A63" s="9"/>
      <c r="B63" s="8"/>
      <c r="C63" s="6"/>
      <c r="D63" s="6"/>
      <c r="E63" s="20"/>
      <c r="F63" s="6"/>
      <c r="G63" s="6"/>
      <c r="H63" s="19"/>
      <c r="I63" s="32"/>
    </row>
    <row r="64" spans="1:9" x14ac:dyDescent="0.25">
      <c r="A64" s="6"/>
      <c r="B64" s="8"/>
      <c r="C64" s="6"/>
      <c r="D64" s="6"/>
      <c r="E64" s="20"/>
      <c r="F64" s="6"/>
      <c r="G64" s="6"/>
      <c r="H64" s="19"/>
      <c r="I64" s="32"/>
    </row>
    <row r="65" spans="1:10" x14ac:dyDescent="0.25">
      <c r="A65" s="8"/>
      <c r="B65" s="8"/>
      <c r="C65" s="6"/>
      <c r="D65" s="6"/>
      <c r="E65" s="20"/>
      <c r="F65" s="6"/>
      <c r="G65" s="6"/>
      <c r="H65" s="19"/>
      <c r="I65" s="32"/>
    </row>
    <row r="66" spans="1:10" x14ac:dyDescent="0.25">
      <c r="A66" s="8"/>
      <c r="B66" s="8"/>
      <c r="C66" s="6"/>
      <c r="D66" s="6"/>
      <c r="E66" s="20"/>
      <c r="F66" s="6"/>
      <c r="G66" s="6"/>
      <c r="H66" s="19"/>
      <c r="I66" s="32"/>
    </row>
    <row r="67" spans="1:10" x14ac:dyDescent="0.25">
      <c r="A67" s="8"/>
      <c r="B67" s="8"/>
      <c r="C67" s="6"/>
      <c r="D67" s="6"/>
      <c r="E67" s="6"/>
      <c r="F67" s="6"/>
      <c r="G67" s="6"/>
      <c r="H67" s="19"/>
      <c r="I67" s="32"/>
    </row>
    <row r="70" spans="1:10" x14ac:dyDescent="0.25">
      <c r="A70" s="2" t="s">
        <v>205</v>
      </c>
      <c r="C70" s="2"/>
    </row>
    <row r="71" spans="1:10" x14ac:dyDescent="0.25">
      <c r="H71" s="11"/>
      <c r="I71" s="11"/>
    </row>
    <row r="72" spans="1:10" x14ac:dyDescent="0.25">
      <c r="A72" s="12" t="s">
        <v>198</v>
      </c>
      <c r="B72" s="12" t="s">
        <v>199</v>
      </c>
      <c r="H72" s="11"/>
      <c r="I72" s="11"/>
    </row>
    <row r="73" spans="1:10" x14ac:dyDescent="0.25">
      <c r="A73" s="12" t="s">
        <v>197</v>
      </c>
      <c r="B73" s="12" t="s">
        <v>200</v>
      </c>
      <c r="H73" s="11"/>
      <c r="I73" s="11"/>
    </row>
    <row r="74" spans="1:10" x14ac:dyDescent="0.25">
      <c r="A74" s="12" t="s">
        <v>196</v>
      </c>
      <c r="B74" s="12" t="s">
        <v>204</v>
      </c>
      <c r="C74" s="26"/>
      <c r="H74" s="11"/>
      <c r="I74" s="11"/>
    </row>
    <row r="75" spans="1:10" x14ac:dyDescent="0.25">
      <c r="A75" s="1">
        <v>1</v>
      </c>
      <c r="B75" s="1">
        <v>12.706</v>
      </c>
    </row>
    <row r="76" spans="1:10" x14ac:dyDescent="0.25">
      <c r="A76" s="1">
        <v>2</v>
      </c>
      <c r="B76" s="1">
        <v>4.3029999999999999</v>
      </c>
    </row>
    <row r="77" spans="1:10" x14ac:dyDescent="0.25">
      <c r="A77" s="1">
        <v>3</v>
      </c>
      <c r="B77" s="1">
        <v>3.1819999999999999</v>
      </c>
      <c r="C77" s="17"/>
      <c r="D77" s="1"/>
      <c r="E77" s="1"/>
      <c r="F77" s="14"/>
      <c r="G77" s="1"/>
      <c r="H77" s="1"/>
      <c r="I77" s="10"/>
      <c r="J77" s="11"/>
    </row>
    <row r="78" spans="1:10" x14ac:dyDescent="0.25">
      <c r="A78" s="1">
        <v>4</v>
      </c>
      <c r="B78" s="1">
        <v>2.7759999999999998</v>
      </c>
      <c r="D78" s="1"/>
      <c r="E78" s="1"/>
      <c r="F78" s="14"/>
      <c r="G78" s="1"/>
      <c r="H78" s="1"/>
      <c r="I78" s="10"/>
      <c r="J78" s="11"/>
    </row>
    <row r="79" spans="1:10" x14ac:dyDescent="0.25">
      <c r="A79" s="1">
        <v>5</v>
      </c>
      <c r="B79" s="1">
        <v>2.5710000000000002</v>
      </c>
      <c r="C79" s="17"/>
      <c r="D79" s="1"/>
      <c r="E79" s="1"/>
      <c r="F79" s="14"/>
      <c r="G79" s="1"/>
      <c r="H79" s="1"/>
      <c r="I79" s="10"/>
      <c r="J79" s="11"/>
    </row>
    <row r="80" spans="1:10" x14ac:dyDescent="0.25">
      <c r="A80" s="1">
        <v>6</v>
      </c>
      <c r="B80" s="1">
        <v>2.4470000000000001</v>
      </c>
      <c r="D80" s="1"/>
      <c r="E80" s="1"/>
      <c r="F80" s="14"/>
      <c r="G80" s="1"/>
      <c r="H80" s="1"/>
      <c r="I80" s="10"/>
      <c r="J80" s="11"/>
    </row>
    <row r="81" spans="1:10" x14ac:dyDescent="0.25">
      <c r="A81" s="1">
        <v>7</v>
      </c>
      <c r="B81" s="1">
        <v>2.3650000000000002</v>
      </c>
      <c r="D81" s="1"/>
      <c r="E81" s="1"/>
      <c r="F81" s="1"/>
      <c r="G81" s="1"/>
      <c r="H81" s="1"/>
      <c r="I81" s="10"/>
      <c r="J81" s="11"/>
    </row>
    <row r="82" spans="1:10" x14ac:dyDescent="0.25">
      <c r="A82" s="1">
        <v>8</v>
      </c>
      <c r="B82" s="1">
        <v>2.306</v>
      </c>
      <c r="D82" s="1"/>
    </row>
    <row r="83" spans="1:10" x14ac:dyDescent="0.25">
      <c r="A83" s="1">
        <v>9</v>
      </c>
      <c r="B83" s="1">
        <v>2.262</v>
      </c>
      <c r="C83" s="2"/>
    </row>
    <row r="84" spans="1:10" x14ac:dyDescent="0.25">
      <c r="A84" s="15" t="s">
        <v>201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22" zoomScale="70" zoomScaleNormal="70" workbookViewId="0">
      <selection activeCell="A12" sqref="A12"/>
    </sheetView>
  </sheetViews>
  <sheetFormatPr defaultRowHeight="15" x14ac:dyDescent="0.25"/>
  <cols>
    <col min="1" max="1" width="18.85546875" customWidth="1"/>
    <col min="2" max="2" width="27" customWidth="1"/>
    <col min="3" max="3" width="12.28515625" customWidth="1"/>
    <col min="5" max="5" width="10.5703125" customWidth="1"/>
    <col min="6" max="6" width="11.85546875" customWidth="1"/>
    <col min="8" max="8" width="11" customWidth="1"/>
    <col min="9" max="9" width="11.28515625" customWidth="1"/>
    <col min="10" max="10" width="11" customWidth="1"/>
    <col min="12" max="12" width="10.5703125" customWidth="1"/>
    <col min="19" max="19" width="10.5703125" customWidth="1"/>
    <col min="20" max="20" width="11.28515625" customWidth="1"/>
    <col min="21" max="21" width="11" customWidth="1"/>
    <col min="22" max="22" width="11.7109375" customWidth="1"/>
    <col min="24" max="24" width="11.7109375" customWidth="1"/>
    <col min="25" max="25" width="14.5703125" customWidth="1"/>
  </cols>
  <sheetData>
    <row r="1" spans="1:25" x14ac:dyDescent="0.25">
      <c r="A1" s="2" t="s">
        <v>321</v>
      </c>
    </row>
    <row r="2" spans="1:25" x14ac:dyDescent="0.25">
      <c r="A2" t="s">
        <v>203</v>
      </c>
    </row>
    <row r="3" spans="1:25" x14ac:dyDescent="0.25">
      <c r="A3" s="1"/>
    </row>
    <row r="5" spans="1:25" x14ac:dyDescent="0.25">
      <c r="C5" s="2"/>
    </row>
    <row r="6" spans="1:25" ht="15.75" x14ac:dyDescent="0.25">
      <c r="A6" s="35"/>
      <c r="B6" s="35"/>
      <c r="C6" s="35"/>
      <c r="D6" s="45" t="s">
        <v>305</v>
      </c>
      <c r="E6" s="35"/>
      <c r="F6" s="35"/>
      <c r="G6" s="35"/>
      <c r="H6" s="35"/>
      <c r="I6" s="35"/>
      <c r="J6" s="35"/>
      <c r="K6" s="47" t="s">
        <v>306</v>
      </c>
      <c r="L6" s="35"/>
      <c r="M6" s="35"/>
      <c r="N6" s="35"/>
      <c r="O6" s="35"/>
      <c r="P6" s="35"/>
    </row>
    <row r="7" spans="1:25" ht="15.75" x14ac:dyDescent="0.25">
      <c r="A7" s="43"/>
      <c r="B7" s="44" t="s">
        <v>304</v>
      </c>
      <c r="C7" s="44"/>
      <c r="D7" s="43">
        <v>424544</v>
      </c>
      <c r="E7" s="43" t="s">
        <v>15</v>
      </c>
      <c r="F7" s="49">
        <f>AVERAGE(D7:D9)</f>
        <v>512719.66666666669</v>
      </c>
      <c r="G7" s="43" t="s">
        <v>194</v>
      </c>
      <c r="H7" s="49">
        <f>(F7-F9)</f>
        <v>322372.82398220291</v>
      </c>
      <c r="I7" s="49">
        <f>(F7+F9)</f>
        <v>703066.50935113046</v>
      </c>
      <c r="J7" s="35"/>
      <c r="K7" s="43">
        <v>8</v>
      </c>
      <c r="L7" s="43" t="s">
        <v>15</v>
      </c>
      <c r="M7" s="49">
        <f>AVERAGE(K7:K9)</f>
        <v>10.666666666666666</v>
      </c>
      <c r="N7" s="43" t="s">
        <v>194</v>
      </c>
      <c r="O7" s="49">
        <f>(M7-M9)</f>
        <v>1.2611140099761595</v>
      </c>
      <c r="P7" s="49">
        <f>(M7+M9)</f>
        <v>20.072219323357174</v>
      </c>
    </row>
    <row r="8" spans="1:25" ht="15.75" x14ac:dyDescent="0.25">
      <c r="A8" s="43"/>
      <c r="B8" s="44"/>
      <c r="C8" s="44"/>
      <c r="D8" s="43">
        <v>563070</v>
      </c>
      <c r="E8" s="43" t="s">
        <v>191</v>
      </c>
      <c r="F8" s="49">
        <f>STDEV(D7:D9)</f>
        <v>76618.731719686621</v>
      </c>
      <c r="G8" s="43"/>
      <c r="H8" s="43"/>
      <c r="I8" s="50"/>
      <c r="J8" s="50"/>
      <c r="K8" s="43">
        <v>9</v>
      </c>
      <c r="L8" s="43" t="s">
        <v>191</v>
      </c>
      <c r="M8" s="49">
        <f>STDEV(K7:K9)</f>
        <v>3.7859388972001837</v>
      </c>
      <c r="N8" s="43"/>
      <c r="O8" s="43"/>
      <c r="P8" s="50"/>
      <c r="R8" s="28"/>
    </row>
    <row r="9" spans="1:25" ht="15.75" x14ac:dyDescent="0.25">
      <c r="A9" s="35"/>
      <c r="B9" s="35"/>
      <c r="C9" s="35"/>
      <c r="D9" s="43">
        <v>550545</v>
      </c>
      <c r="E9" s="43" t="s">
        <v>192</v>
      </c>
      <c r="F9" s="49">
        <f>(F10*F8)/((F11)^0.5)</f>
        <v>190346.8426844638</v>
      </c>
      <c r="G9" s="43"/>
      <c r="H9" s="43"/>
      <c r="I9" s="50"/>
      <c r="J9" s="50"/>
      <c r="K9" s="43">
        <v>15</v>
      </c>
      <c r="L9" s="43" t="s">
        <v>192</v>
      </c>
      <c r="M9" s="49">
        <f>(M10*M8)/((M11)^0.5)</f>
        <v>9.4055526566905066</v>
      </c>
      <c r="N9" s="43"/>
      <c r="O9" s="43"/>
      <c r="P9" s="50"/>
      <c r="R9" s="28"/>
    </row>
    <row r="10" spans="1:25" ht="15.75" x14ac:dyDescent="0.25">
      <c r="A10" s="35"/>
      <c r="B10" s="35"/>
      <c r="C10" s="35"/>
      <c r="D10" s="43"/>
      <c r="E10" s="43" t="s">
        <v>193</v>
      </c>
      <c r="F10" s="51">
        <v>4.3029999999999999</v>
      </c>
      <c r="G10" s="43"/>
      <c r="H10" s="43"/>
      <c r="I10" s="50"/>
      <c r="J10" s="50"/>
      <c r="K10" s="43"/>
      <c r="L10" s="43" t="s">
        <v>193</v>
      </c>
      <c r="M10" s="51">
        <v>4.3029999999999999</v>
      </c>
      <c r="N10" s="43"/>
      <c r="O10" s="43"/>
      <c r="P10" s="50"/>
      <c r="R10" s="28"/>
    </row>
    <row r="11" spans="1:25" ht="15.75" x14ac:dyDescent="0.25">
      <c r="A11" s="35"/>
      <c r="B11" s="35"/>
      <c r="C11" s="35"/>
      <c r="D11" s="43"/>
      <c r="E11" s="43" t="s">
        <v>195</v>
      </c>
      <c r="F11" s="43">
        <v>3</v>
      </c>
      <c r="G11" s="43"/>
      <c r="H11" s="43"/>
      <c r="I11" s="50"/>
      <c r="J11" s="50"/>
      <c r="K11" s="43"/>
      <c r="L11" s="43" t="s">
        <v>195</v>
      </c>
      <c r="M11" s="43">
        <v>3</v>
      </c>
      <c r="N11" s="43"/>
      <c r="O11" s="43"/>
      <c r="P11" s="50"/>
      <c r="R11" s="28"/>
    </row>
    <row r="12" spans="1:25" ht="18.75" x14ac:dyDescent="0.35">
      <c r="A12" s="43"/>
      <c r="B12" s="44" t="s">
        <v>307</v>
      </c>
      <c r="C12" s="44"/>
      <c r="D12" s="45" t="s">
        <v>305</v>
      </c>
      <c r="E12" s="46"/>
      <c r="F12" s="46"/>
      <c r="G12" s="46"/>
      <c r="H12" s="46"/>
      <c r="I12" s="46"/>
      <c r="J12" s="46"/>
      <c r="K12" s="47" t="s">
        <v>306</v>
      </c>
      <c r="L12" s="46"/>
      <c r="M12" s="46"/>
      <c r="N12" s="46"/>
      <c r="O12" s="46"/>
      <c r="P12" s="46"/>
      <c r="V12" s="4"/>
      <c r="W12" s="15"/>
    </row>
    <row r="13" spans="1:25" ht="15.75" x14ac:dyDescent="0.25">
      <c r="A13" s="43"/>
      <c r="B13" s="44" t="s">
        <v>308</v>
      </c>
      <c r="C13" s="44"/>
      <c r="D13" s="54">
        <v>8</v>
      </c>
      <c r="E13" s="43" t="s">
        <v>15</v>
      </c>
      <c r="F13" s="49">
        <f>AVERAGE(D13:D15)</f>
        <v>8</v>
      </c>
      <c r="G13" s="43" t="s">
        <v>194</v>
      </c>
      <c r="H13" s="49">
        <f>(F13-F15)</f>
        <v>8</v>
      </c>
      <c r="I13" s="49">
        <f>(F13+F15)</f>
        <v>8</v>
      </c>
      <c r="J13" s="46"/>
      <c r="K13" s="43">
        <v>30530</v>
      </c>
      <c r="L13" s="43" t="s">
        <v>15</v>
      </c>
      <c r="M13" s="49">
        <f>AVERAGE(K13:K15)</f>
        <v>29122.666666666668</v>
      </c>
      <c r="N13" s="43" t="s">
        <v>194</v>
      </c>
      <c r="O13" s="49">
        <f>(M13-M15)</f>
        <v>20044.300190989085</v>
      </c>
      <c r="P13" s="49">
        <f>(M13+M15)</f>
        <v>38201.033142344255</v>
      </c>
      <c r="T13" s="1"/>
      <c r="V13" s="25"/>
      <c r="W13" s="9"/>
      <c r="X13" s="24"/>
      <c r="Y13" s="24"/>
    </row>
    <row r="14" spans="1:25" ht="15.75" x14ac:dyDescent="0.25">
      <c r="A14" s="35"/>
      <c r="B14" s="35"/>
      <c r="C14" s="35"/>
      <c r="D14" s="54">
        <v>8</v>
      </c>
      <c r="E14" s="43" t="s">
        <v>191</v>
      </c>
      <c r="F14" s="49">
        <f>STDEV(D13:D15)</f>
        <v>0</v>
      </c>
      <c r="G14" s="43"/>
      <c r="H14" s="43"/>
      <c r="I14" s="50"/>
      <c r="J14" s="50"/>
      <c r="K14" s="43">
        <v>31864</v>
      </c>
      <c r="L14" s="43" t="s">
        <v>191</v>
      </c>
      <c r="M14" s="49">
        <f>STDEV(K13:K15)</f>
        <v>3654.2393645372022</v>
      </c>
      <c r="N14" s="43"/>
      <c r="O14" s="43"/>
      <c r="P14" s="50"/>
      <c r="V14" s="25"/>
    </row>
    <row r="15" spans="1:25" ht="15.75" x14ac:dyDescent="0.25">
      <c r="A15" s="35"/>
      <c r="B15" s="35"/>
      <c r="C15" s="35"/>
      <c r="D15" s="54">
        <v>8</v>
      </c>
      <c r="E15" s="43" t="s">
        <v>192</v>
      </c>
      <c r="F15" s="49">
        <f>(F16*F14)/((F17)^0.5)</f>
        <v>0</v>
      </c>
      <c r="G15" s="43"/>
      <c r="H15" s="43"/>
      <c r="I15" s="50"/>
      <c r="J15" s="50"/>
      <c r="K15" s="43">
        <v>24974</v>
      </c>
      <c r="L15" s="43" t="s">
        <v>192</v>
      </c>
      <c r="M15" s="49">
        <f>(M16*M14)/((M17)^0.5)</f>
        <v>9078.3664756775834</v>
      </c>
      <c r="N15" s="43"/>
      <c r="O15" s="43"/>
      <c r="P15" s="50"/>
      <c r="R15" s="23"/>
      <c r="S15" s="1"/>
      <c r="T15" s="1"/>
      <c r="U15" s="1"/>
      <c r="V15" s="4"/>
      <c r="X15" s="1"/>
    </row>
    <row r="16" spans="1:25" ht="15.75" x14ac:dyDescent="0.25">
      <c r="A16" s="35"/>
      <c r="B16" s="35"/>
      <c r="C16" s="35"/>
      <c r="D16" s="43"/>
      <c r="E16" s="43" t="s">
        <v>193</v>
      </c>
      <c r="F16" s="51">
        <v>4.3029999999999999</v>
      </c>
      <c r="G16" s="43"/>
      <c r="H16" s="43"/>
      <c r="I16" s="50"/>
      <c r="J16" s="50"/>
      <c r="K16" s="43"/>
      <c r="L16" s="43" t="s">
        <v>193</v>
      </c>
      <c r="M16" s="51">
        <v>4.3029999999999999</v>
      </c>
      <c r="N16" s="43"/>
      <c r="O16" s="43"/>
      <c r="P16" s="50"/>
      <c r="S16" s="1"/>
      <c r="T16" s="1"/>
      <c r="U16" s="1"/>
      <c r="V16" s="4"/>
      <c r="W16" s="1"/>
      <c r="X16" s="1"/>
    </row>
    <row r="17" spans="1:25" ht="15.75" x14ac:dyDescent="0.25">
      <c r="A17" s="35"/>
      <c r="B17" s="35"/>
      <c r="C17" s="35"/>
      <c r="D17" s="43"/>
      <c r="E17" s="43" t="s">
        <v>195</v>
      </c>
      <c r="F17" s="43">
        <v>3</v>
      </c>
      <c r="G17" s="43"/>
      <c r="H17" s="43"/>
      <c r="I17" s="50"/>
      <c r="J17" s="50"/>
      <c r="K17" s="43"/>
      <c r="L17" s="43" t="s">
        <v>195</v>
      </c>
      <c r="M17" s="43">
        <v>3</v>
      </c>
      <c r="N17" s="43"/>
      <c r="O17" s="43"/>
      <c r="P17" s="50"/>
      <c r="S17" s="1"/>
      <c r="T17" s="1"/>
      <c r="U17" s="1"/>
      <c r="V17" s="4"/>
      <c r="W17" s="1"/>
      <c r="X17" s="1"/>
    </row>
    <row r="18" spans="1:25" x14ac:dyDescent="0.25">
      <c r="V18" s="14"/>
      <c r="W18" s="15"/>
    </row>
    <row r="19" spans="1:25" x14ac:dyDescent="0.25">
      <c r="A19" s="41" t="s">
        <v>310</v>
      </c>
      <c r="B19" s="35"/>
      <c r="C19" s="35"/>
      <c r="D19" s="52"/>
      <c r="E19" s="52"/>
      <c r="F19" s="52"/>
      <c r="G19" s="35"/>
      <c r="H19" s="35"/>
      <c r="I19" s="35"/>
      <c r="J19" s="35"/>
      <c r="K19" s="35"/>
      <c r="L19" s="35"/>
      <c r="M19" s="35"/>
      <c r="N19" s="35"/>
      <c r="O19" s="35"/>
      <c r="T19" s="1"/>
      <c r="W19" s="16"/>
      <c r="X19" s="29"/>
      <c r="Y19" s="29"/>
    </row>
    <row r="20" spans="1:25" x14ac:dyDescent="0.25">
      <c r="A20" s="35"/>
      <c r="B20" s="35"/>
      <c r="C20" s="35"/>
      <c r="D20" s="52"/>
      <c r="E20" s="52"/>
      <c r="F20" s="52"/>
      <c r="G20" s="35"/>
      <c r="H20" s="35"/>
      <c r="I20" s="35"/>
      <c r="J20" s="35"/>
      <c r="K20" s="35"/>
      <c r="L20" s="35"/>
      <c r="M20" s="35"/>
      <c r="N20" s="35"/>
      <c r="O20" s="35"/>
    </row>
    <row r="21" spans="1:25" ht="15.75" x14ac:dyDescent="0.25">
      <c r="A21" s="35"/>
      <c r="B21" s="53" t="s">
        <v>16</v>
      </c>
      <c r="C21" s="45" t="s">
        <v>305</v>
      </c>
      <c r="D21" s="43" t="s">
        <v>15</v>
      </c>
      <c r="E21" s="49">
        <f>AVERAGE(C22:C27)</f>
        <v>3323.5</v>
      </c>
      <c r="F21" s="43" t="s">
        <v>194</v>
      </c>
      <c r="G21" s="49">
        <f>(E21-E23)</f>
        <v>3150.3540775719798</v>
      </c>
      <c r="H21" s="49">
        <f>(E21+E23)</f>
        <v>3496.6459224280202</v>
      </c>
      <c r="I21" s="35"/>
      <c r="J21" s="47" t="s">
        <v>306</v>
      </c>
      <c r="K21" s="46"/>
      <c r="L21" s="46"/>
      <c r="M21" s="46"/>
      <c r="N21" s="46"/>
      <c r="O21" s="46"/>
      <c r="R21" s="27"/>
      <c r="S21" s="30"/>
      <c r="T21" s="30"/>
      <c r="U21" s="30"/>
      <c r="V21" s="30"/>
      <c r="W21" s="31"/>
      <c r="X21" s="1"/>
    </row>
    <row r="22" spans="1:25" ht="15.75" x14ac:dyDescent="0.25">
      <c r="A22" s="35"/>
      <c r="B22" s="35"/>
      <c r="C22" s="48">
        <v>3156</v>
      </c>
      <c r="D22" s="43" t="s">
        <v>191</v>
      </c>
      <c r="E22" s="49">
        <f>STDEV(C22:C27)</f>
        <v>164.96272306190875</v>
      </c>
      <c r="F22" s="43"/>
      <c r="G22" s="43"/>
      <c r="H22" s="50"/>
      <c r="I22" s="35"/>
      <c r="J22" s="43">
        <v>6863</v>
      </c>
      <c r="K22" s="43" t="s">
        <v>15</v>
      </c>
      <c r="L22" s="49">
        <f>AVERAGE(J22:J27)</f>
        <v>6576</v>
      </c>
      <c r="M22" s="43" t="s">
        <v>194</v>
      </c>
      <c r="N22" s="49">
        <f>(L22-L24)</f>
        <v>5689.2556768716249</v>
      </c>
      <c r="O22" s="49">
        <f>(L22+L24)</f>
        <v>7462.7443231283751</v>
      </c>
      <c r="S22" s="1"/>
      <c r="T22" s="1"/>
      <c r="U22" s="1"/>
      <c r="V22" s="13"/>
      <c r="W22" s="1"/>
      <c r="X22" s="1"/>
    </row>
    <row r="23" spans="1:25" ht="15.75" x14ac:dyDescent="0.25">
      <c r="A23" s="35"/>
      <c r="B23" s="35"/>
      <c r="C23" s="48">
        <v>3308</v>
      </c>
      <c r="D23" s="43" t="s">
        <v>192</v>
      </c>
      <c r="E23" s="49">
        <f>(E24*E22)/((E25)^0.5)</f>
        <v>173.14592242802024</v>
      </c>
      <c r="F23" s="43"/>
      <c r="G23" s="43"/>
      <c r="H23" s="50"/>
      <c r="I23" s="35"/>
      <c r="J23" s="43">
        <v>5125</v>
      </c>
      <c r="K23" s="43" t="s">
        <v>191</v>
      </c>
      <c r="L23" s="49">
        <f>STDEV(J22:J27)</f>
        <v>844.83513184526134</v>
      </c>
      <c r="M23" s="43"/>
      <c r="N23" s="43"/>
      <c r="O23" s="50"/>
      <c r="S23" s="1"/>
      <c r="T23" s="1"/>
      <c r="U23" s="1"/>
      <c r="V23" s="4"/>
      <c r="W23" s="1"/>
      <c r="X23" s="1"/>
    </row>
    <row r="24" spans="1:25" ht="15.75" x14ac:dyDescent="0.25">
      <c r="A24" s="35"/>
      <c r="B24" s="35"/>
      <c r="C24" s="48">
        <v>3102</v>
      </c>
      <c r="D24" s="43" t="s">
        <v>193</v>
      </c>
      <c r="E24" s="51">
        <v>2.5710000000000002</v>
      </c>
      <c r="F24" s="43"/>
      <c r="G24" s="43"/>
      <c r="H24" s="50"/>
      <c r="I24" s="35"/>
      <c r="J24" s="43">
        <v>6294</v>
      </c>
      <c r="K24" s="43" t="s">
        <v>192</v>
      </c>
      <c r="L24" s="49">
        <f>(L25*L23)/((L26)^0.5)</f>
        <v>886.7443231283753</v>
      </c>
      <c r="M24" s="43"/>
      <c r="N24" s="43"/>
      <c r="O24" s="50"/>
      <c r="V24" s="14"/>
      <c r="W24" s="15"/>
    </row>
    <row r="25" spans="1:25" ht="15.75" x14ac:dyDescent="0.25">
      <c r="A25" s="35"/>
      <c r="B25" s="35"/>
      <c r="C25" s="48">
        <v>3497</v>
      </c>
      <c r="D25" s="43" t="s">
        <v>195</v>
      </c>
      <c r="E25" s="43">
        <v>6</v>
      </c>
      <c r="F25" s="43"/>
      <c r="G25" s="43"/>
      <c r="H25" s="50"/>
      <c r="I25" s="35"/>
      <c r="J25" s="43">
        <v>7639</v>
      </c>
      <c r="K25" s="43" t="s">
        <v>193</v>
      </c>
      <c r="L25" s="51">
        <v>2.5710000000000002</v>
      </c>
      <c r="M25" s="43"/>
      <c r="N25" s="43"/>
      <c r="O25" s="50"/>
      <c r="T25" s="1"/>
      <c r="W25" s="16"/>
      <c r="X25" s="29"/>
      <c r="Y25" s="29"/>
    </row>
    <row r="26" spans="1:25" ht="15.75" x14ac:dyDescent="0.25">
      <c r="A26" s="35"/>
      <c r="B26" s="35"/>
      <c r="C26" s="48">
        <v>3408</v>
      </c>
      <c r="D26" s="35"/>
      <c r="E26" s="35"/>
      <c r="F26" s="35"/>
      <c r="G26" s="35"/>
      <c r="H26" s="35"/>
      <c r="I26" s="35"/>
      <c r="J26" s="43">
        <v>6989</v>
      </c>
      <c r="K26" s="43" t="s">
        <v>195</v>
      </c>
      <c r="L26" s="43">
        <v>6</v>
      </c>
      <c r="M26" s="43"/>
      <c r="N26" s="43"/>
      <c r="O26" s="50"/>
    </row>
    <row r="27" spans="1:25" ht="15.75" x14ac:dyDescent="0.25">
      <c r="A27" s="37"/>
      <c r="B27" s="37"/>
      <c r="C27" s="48">
        <v>3470</v>
      </c>
      <c r="D27" s="35"/>
      <c r="E27" s="35"/>
      <c r="F27" s="35"/>
      <c r="G27" s="35"/>
      <c r="H27" s="35"/>
      <c r="I27" s="35"/>
      <c r="J27" s="43">
        <v>6546</v>
      </c>
      <c r="K27" s="35"/>
      <c r="L27" s="35"/>
      <c r="M27" s="35"/>
      <c r="N27" s="35"/>
      <c r="O27" s="35"/>
    </row>
    <row r="28" spans="1:25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25" x14ac:dyDescent="0.25">
      <c r="A29" s="35"/>
      <c r="B29" s="35"/>
      <c r="C29" s="37"/>
      <c r="D29" s="37"/>
      <c r="E29" s="37"/>
      <c r="F29" s="35"/>
      <c r="G29" s="35"/>
      <c r="H29" s="35"/>
      <c r="I29" s="35"/>
      <c r="J29" s="37"/>
      <c r="K29" s="37"/>
      <c r="L29" s="37"/>
      <c r="M29" s="35"/>
      <c r="N29" s="35"/>
      <c r="O29" s="35"/>
    </row>
    <row r="30" spans="1:25" ht="15.75" x14ac:dyDescent="0.25">
      <c r="A30" s="35"/>
      <c r="B30" s="53" t="s">
        <v>309</v>
      </c>
      <c r="C30" s="45" t="s">
        <v>305</v>
      </c>
      <c r="D30" s="43" t="s">
        <v>15</v>
      </c>
      <c r="E30" s="49">
        <f>AVERAGE(C31:C36)</f>
        <v>30980.5</v>
      </c>
      <c r="F30" s="43" t="s">
        <v>194</v>
      </c>
      <c r="G30" s="49">
        <f>(E30-E32)</f>
        <v>27516.2836949302</v>
      </c>
      <c r="H30" s="49">
        <f>(E30+E32)</f>
        <v>34444.7163050698</v>
      </c>
      <c r="I30" s="35"/>
      <c r="J30" s="47" t="s">
        <v>306</v>
      </c>
      <c r="K30" s="46"/>
      <c r="L30" s="46"/>
      <c r="M30" s="46"/>
      <c r="N30" s="46"/>
      <c r="O30" s="46"/>
    </row>
    <row r="31" spans="1:25" ht="15.75" x14ac:dyDescent="0.25">
      <c r="A31" s="35"/>
      <c r="B31" s="35"/>
      <c r="C31" s="48">
        <v>35054</v>
      </c>
      <c r="D31" s="43" t="s">
        <v>191</v>
      </c>
      <c r="E31" s="49">
        <f>STDEV(C31:C36)</f>
        <v>3300.4909786272706</v>
      </c>
      <c r="F31" s="43"/>
      <c r="G31" s="43"/>
      <c r="H31" s="50"/>
      <c r="I31" s="35"/>
      <c r="J31" s="43">
        <v>153</v>
      </c>
      <c r="K31" s="43" t="s">
        <v>15</v>
      </c>
      <c r="L31" s="49">
        <f>AVERAGE(J31:J36)</f>
        <v>152.5</v>
      </c>
      <c r="M31" s="43" t="s">
        <v>194</v>
      </c>
      <c r="N31" s="49">
        <f>(L31-L33)</f>
        <v>130.0104845794757</v>
      </c>
      <c r="O31" s="49">
        <f>(L31+L33)</f>
        <v>174.9895154205243</v>
      </c>
    </row>
    <row r="32" spans="1:25" ht="15.75" x14ac:dyDescent="0.25">
      <c r="A32" s="35"/>
      <c r="B32" s="35"/>
      <c r="C32" s="48">
        <v>33644</v>
      </c>
      <c r="D32" s="43" t="s">
        <v>192</v>
      </c>
      <c r="E32" s="49">
        <f>(E33*E31)/((E34)^0.5)</f>
        <v>3464.2163050697991</v>
      </c>
      <c r="F32" s="43"/>
      <c r="G32" s="43"/>
      <c r="H32" s="50"/>
      <c r="I32" s="35"/>
      <c r="J32" s="43">
        <v>131</v>
      </c>
      <c r="K32" s="43" t="s">
        <v>191</v>
      </c>
      <c r="L32" s="49">
        <f>STDEV(J31:J36)</f>
        <v>21.426618958669145</v>
      </c>
      <c r="M32" s="43"/>
      <c r="N32" s="43"/>
      <c r="O32" s="50"/>
    </row>
    <row r="33" spans="1:15" ht="15.75" x14ac:dyDescent="0.25">
      <c r="A33" s="35"/>
      <c r="B33" s="35"/>
      <c r="C33" s="48">
        <v>28400</v>
      </c>
      <c r="D33" s="43" t="s">
        <v>193</v>
      </c>
      <c r="E33" s="51">
        <v>2.5710000000000002</v>
      </c>
      <c r="F33" s="43"/>
      <c r="G33" s="43"/>
      <c r="H33" s="50"/>
      <c r="I33" s="35"/>
      <c r="J33" s="43">
        <v>177</v>
      </c>
      <c r="K33" s="43" t="s">
        <v>192</v>
      </c>
      <c r="L33" s="49">
        <f>(L34*L32)/((L35)^0.5)</f>
        <v>22.489515420524299</v>
      </c>
      <c r="M33" s="43"/>
      <c r="N33" s="43"/>
      <c r="O33" s="50"/>
    </row>
    <row r="34" spans="1:15" ht="15.75" x14ac:dyDescent="0.25">
      <c r="A34" s="35"/>
      <c r="B34" s="35"/>
      <c r="C34" s="48">
        <v>32330</v>
      </c>
      <c r="D34" s="43" t="s">
        <v>195</v>
      </c>
      <c r="E34" s="43">
        <v>6</v>
      </c>
      <c r="F34" s="43"/>
      <c r="G34" s="43"/>
      <c r="H34" s="50"/>
      <c r="I34" s="35"/>
      <c r="J34" s="43">
        <v>178</v>
      </c>
      <c r="K34" s="43" t="s">
        <v>193</v>
      </c>
      <c r="L34" s="51">
        <v>2.5710000000000002</v>
      </c>
      <c r="M34" s="43"/>
      <c r="N34" s="43"/>
      <c r="O34" s="50"/>
    </row>
    <row r="35" spans="1:15" ht="15.75" x14ac:dyDescent="0.25">
      <c r="A35" s="35"/>
      <c r="B35" s="35"/>
      <c r="C35" s="48">
        <v>26338</v>
      </c>
      <c r="D35" s="35"/>
      <c r="E35" s="35"/>
      <c r="F35" s="35"/>
      <c r="G35" s="35"/>
      <c r="H35" s="35"/>
      <c r="I35" s="35"/>
      <c r="J35" s="43">
        <v>129</v>
      </c>
      <c r="K35" s="43" t="s">
        <v>195</v>
      </c>
      <c r="L35" s="43">
        <v>6</v>
      </c>
      <c r="M35" s="43"/>
      <c r="N35" s="43"/>
      <c r="O35" s="50"/>
    </row>
    <row r="36" spans="1:15" ht="15.75" x14ac:dyDescent="0.25">
      <c r="A36" s="35"/>
      <c r="B36" s="37"/>
      <c r="C36" s="48">
        <v>30117</v>
      </c>
      <c r="D36" s="35"/>
      <c r="E36" s="35"/>
      <c r="F36" s="35"/>
      <c r="G36" s="35"/>
      <c r="H36" s="35"/>
      <c r="I36" s="35"/>
      <c r="J36" s="43">
        <v>147</v>
      </c>
      <c r="K36" s="35"/>
      <c r="L36" s="35"/>
      <c r="M36" s="35"/>
      <c r="N36" s="35"/>
      <c r="O36" s="35"/>
    </row>
    <row r="38" spans="1:15" x14ac:dyDescent="0.25">
      <c r="A38" s="41" t="s">
        <v>322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x14ac:dyDescent="0.25">
      <c r="A39" s="35"/>
      <c r="B39" s="35"/>
      <c r="C39" s="35"/>
      <c r="D39" s="35"/>
      <c r="E39" s="37"/>
      <c r="F39" s="37"/>
      <c r="G39" s="37"/>
      <c r="H39" s="35"/>
      <c r="I39" s="35"/>
      <c r="J39" s="35"/>
      <c r="K39" s="35"/>
      <c r="L39" s="35"/>
      <c r="M39" s="35"/>
      <c r="N39" s="35"/>
      <c r="O39" s="35"/>
    </row>
    <row r="40" spans="1:15" ht="15.75" x14ac:dyDescent="0.25">
      <c r="A40" s="35"/>
      <c r="B40" s="53" t="s">
        <v>16</v>
      </c>
      <c r="C40" s="45" t="s">
        <v>305</v>
      </c>
      <c r="D40" s="43"/>
      <c r="E40" s="50"/>
      <c r="F40" s="43"/>
      <c r="G40" s="49"/>
      <c r="H40" s="49"/>
      <c r="I40" s="35"/>
      <c r="J40" s="47" t="s">
        <v>306</v>
      </c>
      <c r="K40" s="43" t="s">
        <v>15</v>
      </c>
      <c r="L40" s="50">
        <v>60.3</v>
      </c>
      <c r="M40" s="43" t="s">
        <v>194</v>
      </c>
      <c r="N40" s="55">
        <f>(L40-L42)</f>
        <v>60.071915714285709</v>
      </c>
      <c r="O40" s="55">
        <f>(L40+L42)</f>
        <v>60.528084285714286</v>
      </c>
    </row>
    <row r="41" spans="1:15" ht="15.75" x14ac:dyDescent="0.25">
      <c r="A41" s="35"/>
      <c r="B41" s="35"/>
      <c r="C41" s="48"/>
      <c r="D41" s="43"/>
      <c r="E41" s="50"/>
      <c r="F41" s="43"/>
      <c r="G41" s="43"/>
      <c r="H41" s="50"/>
      <c r="I41" s="35"/>
      <c r="J41" s="43"/>
      <c r="K41" s="43" t="s">
        <v>191</v>
      </c>
      <c r="L41" s="50">
        <v>0.79</v>
      </c>
      <c r="M41" s="43"/>
      <c r="N41" s="43"/>
      <c r="O41" s="50"/>
    </row>
    <row r="42" spans="1:15" ht="15.75" x14ac:dyDescent="0.25">
      <c r="A42" s="35"/>
      <c r="B42" s="35"/>
      <c r="C42" s="48"/>
      <c r="D42" s="43"/>
      <c r="E42" s="50"/>
      <c r="F42" s="43"/>
      <c r="G42" s="43"/>
      <c r="H42" s="50"/>
      <c r="I42" s="35"/>
      <c r="J42" s="43"/>
      <c r="K42" s="43" t="s">
        <v>192</v>
      </c>
      <c r="L42" s="50">
        <f>(L43*L41)/((L44)^0.5)</f>
        <v>0.22808428571428571</v>
      </c>
      <c r="M42" s="43"/>
      <c r="N42" s="43"/>
      <c r="O42" s="50"/>
    </row>
    <row r="43" spans="1:15" ht="15.75" x14ac:dyDescent="0.25">
      <c r="A43" s="35"/>
      <c r="B43" s="35"/>
      <c r="C43" s="48"/>
      <c r="D43" s="43"/>
      <c r="E43" s="51"/>
      <c r="F43" s="43"/>
      <c r="G43" s="43"/>
      <c r="H43" s="50"/>
      <c r="I43" s="35"/>
      <c r="J43" s="43"/>
      <c r="K43" s="43" t="s">
        <v>193</v>
      </c>
      <c r="L43" s="51">
        <v>2.0209999999999999</v>
      </c>
      <c r="M43" s="43"/>
      <c r="N43" s="43"/>
      <c r="O43" s="50"/>
    </row>
    <row r="44" spans="1:15" ht="15.75" x14ac:dyDescent="0.25">
      <c r="A44" s="35"/>
      <c r="B44" s="35"/>
      <c r="C44" s="48"/>
      <c r="D44" s="43"/>
      <c r="E44" s="43"/>
      <c r="F44" s="43"/>
      <c r="G44" s="43"/>
      <c r="H44" s="50"/>
      <c r="I44" s="35"/>
      <c r="J44" s="43"/>
      <c r="K44" s="43" t="s">
        <v>195</v>
      </c>
      <c r="L44" s="43">
        <v>49</v>
      </c>
      <c r="M44" s="43"/>
      <c r="N44" s="43"/>
      <c r="O44" s="50"/>
    </row>
    <row r="45" spans="1:15" ht="15.75" x14ac:dyDescent="0.25">
      <c r="A45" s="35"/>
      <c r="B45" s="35"/>
      <c r="C45" s="48"/>
      <c r="D45" s="35"/>
      <c r="E45" s="35"/>
      <c r="F45" s="35"/>
      <c r="G45" s="35"/>
      <c r="H45" s="35"/>
      <c r="I45" s="35"/>
      <c r="J45" s="43"/>
      <c r="K45" s="35"/>
      <c r="L45" s="35"/>
      <c r="M45" s="35"/>
      <c r="N45" s="35"/>
      <c r="O45" s="35"/>
    </row>
    <row r="46" spans="1:15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5.75" x14ac:dyDescent="0.25">
      <c r="A47" s="35"/>
      <c r="B47" s="53" t="s">
        <v>314</v>
      </c>
      <c r="C47" s="45" t="s">
        <v>305</v>
      </c>
      <c r="D47" s="43"/>
      <c r="E47" s="49"/>
      <c r="F47" s="43"/>
      <c r="G47" s="49"/>
      <c r="H47" s="49"/>
      <c r="I47" s="35"/>
      <c r="J47" s="47" t="s">
        <v>306</v>
      </c>
      <c r="K47" s="43" t="s">
        <v>15</v>
      </c>
      <c r="L47" s="50">
        <v>58</v>
      </c>
      <c r="M47" s="43" t="s">
        <v>194</v>
      </c>
      <c r="N47" s="55">
        <f>(L47-L49)</f>
        <v>57.846981428571432</v>
      </c>
      <c r="O47" s="55">
        <f>(L47+L49)</f>
        <v>58.153018571428568</v>
      </c>
    </row>
    <row r="48" spans="1:15" ht="15.75" x14ac:dyDescent="0.25">
      <c r="A48" s="35"/>
      <c r="B48" s="35"/>
      <c r="C48" s="48"/>
      <c r="D48" s="43"/>
      <c r="E48" s="49"/>
      <c r="F48" s="43"/>
      <c r="G48" s="43"/>
      <c r="H48" s="50"/>
      <c r="I48" s="35"/>
      <c r="J48" s="43"/>
      <c r="K48" s="43" t="s">
        <v>191</v>
      </c>
      <c r="L48" s="50">
        <v>0.53</v>
      </c>
      <c r="M48" s="43"/>
      <c r="N48" s="43"/>
      <c r="O48" s="50"/>
    </row>
    <row r="49" spans="1:15" ht="15.75" x14ac:dyDescent="0.25">
      <c r="A49" s="35"/>
      <c r="B49" s="35"/>
      <c r="C49" s="48"/>
      <c r="D49" s="43"/>
      <c r="E49" s="49"/>
      <c r="F49" s="43"/>
      <c r="G49" s="43"/>
      <c r="H49" s="50"/>
      <c r="I49" s="35"/>
      <c r="J49" s="43"/>
      <c r="K49" s="43" t="s">
        <v>192</v>
      </c>
      <c r="L49" s="50">
        <f>(L50*L48)/((L51)^0.5)</f>
        <v>0.15301857142857142</v>
      </c>
      <c r="M49" s="43"/>
      <c r="N49" s="43"/>
      <c r="O49" s="50"/>
    </row>
    <row r="50" spans="1:15" ht="15.75" x14ac:dyDescent="0.25">
      <c r="A50" s="35"/>
      <c r="B50" s="35"/>
      <c r="C50" s="48"/>
      <c r="D50" s="43"/>
      <c r="E50" s="51"/>
      <c r="F50" s="43"/>
      <c r="G50" s="43"/>
      <c r="H50" s="50"/>
      <c r="I50" s="35"/>
      <c r="J50" s="43"/>
      <c r="K50" s="43" t="s">
        <v>193</v>
      </c>
      <c r="L50" s="51">
        <v>2.0209999999999999</v>
      </c>
      <c r="M50" s="43"/>
      <c r="N50" s="43"/>
      <c r="O50" s="50"/>
    </row>
    <row r="51" spans="1:15" ht="15.75" x14ac:dyDescent="0.25">
      <c r="A51" s="35"/>
      <c r="B51" s="35"/>
      <c r="C51" s="48"/>
      <c r="D51" s="43"/>
      <c r="E51" s="43"/>
      <c r="F51" s="43"/>
      <c r="G51" s="43"/>
      <c r="H51" s="50"/>
      <c r="I51" s="35"/>
      <c r="J51" s="43"/>
      <c r="K51" s="43" t="s">
        <v>195</v>
      </c>
      <c r="L51" s="43">
        <v>49</v>
      </c>
      <c r="M51" s="43"/>
      <c r="N51" s="43"/>
      <c r="O51" s="50"/>
    </row>
    <row r="52" spans="1:15" ht="15.75" x14ac:dyDescent="0.25">
      <c r="A52" s="35"/>
      <c r="B52" s="35"/>
      <c r="C52" s="48"/>
      <c r="D52" s="35"/>
      <c r="E52" s="35"/>
      <c r="F52" s="35"/>
      <c r="G52" s="35"/>
      <c r="H52" s="35"/>
      <c r="I52" s="35"/>
      <c r="J52" s="43"/>
      <c r="K52" s="35"/>
      <c r="L52" s="35"/>
      <c r="M52" s="35"/>
      <c r="N52" s="35"/>
      <c r="O52" s="35"/>
    </row>
    <row r="53" spans="1: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15.75" x14ac:dyDescent="0.25">
      <c r="A54" s="35"/>
      <c r="B54" s="53" t="s">
        <v>309</v>
      </c>
      <c r="C54" s="45" t="s">
        <v>305</v>
      </c>
      <c r="D54" s="43" t="s">
        <v>15</v>
      </c>
      <c r="E54" s="50">
        <v>62.8</v>
      </c>
      <c r="F54" s="43" t="s">
        <v>194</v>
      </c>
      <c r="G54" s="55">
        <f>(E54-E56)</f>
        <v>62.566141428571427</v>
      </c>
      <c r="H54" s="55">
        <f>(E54+E56)</f>
        <v>63.033858571428567</v>
      </c>
      <c r="I54" s="35"/>
      <c r="J54" s="47"/>
      <c r="K54" s="43"/>
      <c r="L54" s="49"/>
      <c r="M54" s="43"/>
      <c r="N54" s="49"/>
      <c r="O54" s="49"/>
    </row>
    <row r="55" spans="1:15" ht="15.75" x14ac:dyDescent="0.25">
      <c r="A55" s="35"/>
      <c r="B55" s="35"/>
      <c r="C55" s="48"/>
      <c r="D55" s="43" t="s">
        <v>191</v>
      </c>
      <c r="E55" s="50">
        <v>0.81</v>
      </c>
      <c r="F55" s="43"/>
      <c r="G55" s="43"/>
      <c r="H55" s="50"/>
      <c r="I55" s="35"/>
      <c r="J55" s="43"/>
      <c r="K55" s="43"/>
      <c r="L55" s="49"/>
      <c r="M55" s="43"/>
      <c r="N55" s="43"/>
      <c r="O55" s="50"/>
    </row>
    <row r="56" spans="1:15" ht="15.75" x14ac:dyDescent="0.25">
      <c r="A56" s="35"/>
      <c r="B56" s="35"/>
      <c r="C56" s="48"/>
      <c r="D56" s="43" t="s">
        <v>192</v>
      </c>
      <c r="E56" s="50">
        <f>(E57*E55)/((E58)^0.5)</f>
        <v>0.23385857142857144</v>
      </c>
      <c r="F56" s="43"/>
      <c r="G56" s="43"/>
      <c r="H56" s="50"/>
      <c r="I56" s="35"/>
      <c r="J56" s="43"/>
      <c r="K56" s="43"/>
      <c r="L56" s="49"/>
      <c r="M56" s="43"/>
      <c r="N56" s="43"/>
      <c r="O56" s="50"/>
    </row>
    <row r="57" spans="1:15" ht="15.75" x14ac:dyDescent="0.25">
      <c r="A57" s="35"/>
      <c r="B57" s="35"/>
      <c r="C57" s="48"/>
      <c r="D57" s="43" t="s">
        <v>193</v>
      </c>
      <c r="E57" s="51">
        <v>2.0209999999999999</v>
      </c>
      <c r="F57" s="43"/>
      <c r="G57" s="43"/>
      <c r="H57" s="50"/>
      <c r="I57" s="35"/>
      <c r="J57" s="43"/>
      <c r="K57" s="43"/>
      <c r="L57" s="51"/>
      <c r="M57" s="43"/>
      <c r="N57" s="43"/>
      <c r="O57" s="50"/>
    </row>
    <row r="58" spans="1:15" ht="15.75" x14ac:dyDescent="0.25">
      <c r="A58" s="35"/>
      <c r="B58" s="35"/>
      <c r="C58" s="48"/>
      <c r="D58" s="43" t="s">
        <v>195</v>
      </c>
      <c r="E58" s="43">
        <v>49</v>
      </c>
      <c r="F58" s="43"/>
      <c r="G58" s="43"/>
      <c r="H58" s="50"/>
      <c r="I58" s="35"/>
      <c r="J58" s="43"/>
      <c r="K58" s="43"/>
      <c r="L58" s="43"/>
      <c r="M58" s="43"/>
      <c r="N58" s="43"/>
      <c r="O58" s="50"/>
    </row>
    <row r="59" spans="1:15" ht="15.75" x14ac:dyDescent="0.25">
      <c r="A59" s="35"/>
      <c r="B59" s="35"/>
      <c r="C59" s="48"/>
      <c r="D59" s="35"/>
      <c r="E59" s="35"/>
      <c r="F59" s="35"/>
      <c r="G59" s="35"/>
      <c r="H59" s="35"/>
      <c r="I59" s="35"/>
      <c r="J59" s="43"/>
      <c r="K59" s="35"/>
      <c r="L59" s="35"/>
      <c r="M59" s="35"/>
      <c r="N59" s="35"/>
      <c r="O59" s="35"/>
    </row>
    <row r="60" spans="1: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ht="15.75" x14ac:dyDescent="0.25">
      <c r="A61" s="35"/>
      <c r="B61" s="53" t="s">
        <v>315</v>
      </c>
      <c r="C61" s="45" t="s">
        <v>305</v>
      </c>
      <c r="D61" s="43" t="s">
        <v>15</v>
      </c>
      <c r="E61" s="50">
        <v>70</v>
      </c>
      <c r="F61" s="43" t="s">
        <v>194</v>
      </c>
      <c r="G61" s="55">
        <f>(E61-E63)</f>
        <v>69.823884285714286</v>
      </c>
      <c r="H61" s="55">
        <f>(E61+E63)</f>
        <v>70.176115714285714</v>
      </c>
      <c r="I61" s="35"/>
      <c r="J61" s="47"/>
      <c r="K61" s="43"/>
      <c r="L61" s="49"/>
      <c r="M61" s="43"/>
      <c r="N61" s="49"/>
      <c r="O61" s="49"/>
    </row>
    <row r="62" spans="1:15" ht="15.75" x14ac:dyDescent="0.25">
      <c r="A62" s="35"/>
      <c r="B62" s="35"/>
      <c r="C62" s="48"/>
      <c r="D62" s="43" t="s">
        <v>191</v>
      </c>
      <c r="E62" s="50">
        <v>0.61</v>
      </c>
      <c r="F62" s="43"/>
      <c r="G62" s="43"/>
      <c r="H62" s="50"/>
      <c r="I62" s="35"/>
      <c r="J62" s="43"/>
      <c r="K62" s="43"/>
      <c r="L62" s="49"/>
      <c r="M62" s="43"/>
      <c r="N62" s="43"/>
      <c r="O62" s="50"/>
    </row>
    <row r="63" spans="1:15" ht="15.75" x14ac:dyDescent="0.25">
      <c r="A63" s="35"/>
      <c r="B63" s="35"/>
      <c r="C63" s="48"/>
      <c r="D63" s="43" t="s">
        <v>192</v>
      </c>
      <c r="E63" s="50">
        <f>(E64*E62)/((E65)^0.5)</f>
        <v>0.17611571428571429</v>
      </c>
      <c r="F63" s="43"/>
      <c r="G63" s="43"/>
      <c r="H63" s="50"/>
      <c r="I63" s="35"/>
      <c r="J63" s="43"/>
      <c r="K63" s="43"/>
      <c r="L63" s="49"/>
      <c r="M63" s="43"/>
      <c r="N63" s="43"/>
      <c r="O63" s="50"/>
    </row>
    <row r="64" spans="1:15" ht="15.75" x14ac:dyDescent="0.25">
      <c r="A64" s="35"/>
      <c r="B64" s="35"/>
      <c r="C64" s="48"/>
      <c r="D64" s="43" t="s">
        <v>193</v>
      </c>
      <c r="E64" s="51">
        <v>2.0209999999999999</v>
      </c>
      <c r="F64" s="43"/>
      <c r="G64" s="43"/>
      <c r="H64" s="50"/>
      <c r="I64" s="35"/>
      <c r="J64" s="43"/>
      <c r="K64" s="43"/>
      <c r="L64" s="51"/>
      <c r="M64" s="43"/>
      <c r="N64" s="43"/>
      <c r="O64" s="50"/>
    </row>
    <row r="65" spans="1:15" ht="15.75" x14ac:dyDescent="0.25">
      <c r="A65" s="35"/>
      <c r="B65" s="35"/>
      <c r="C65" s="48"/>
      <c r="D65" s="43" t="s">
        <v>195</v>
      </c>
      <c r="E65" s="43">
        <v>49</v>
      </c>
      <c r="F65" s="43"/>
      <c r="G65" s="43"/>
      <c r="H65" s="50"/>
      <c r="I65" s="35"/>
      <c r="J65" s="43"/>
      <c r="K65" s="43"/>
      <c r="L65" s="43"/>
      <c r="M65" s="43"/>
      <c r="N65" s="43"/>
      <c r="O65" s="50"/>
    </row>
    <row r="66" spans="1:15" ht="15.75" x14ac:dyDescent="0.25">
      <c r="A66" s="35"/>
      <c r="B66" s="35"/>
      <c r="C66" s="48"/>
      <c r="D66" s="35"/>
      <c r="E66" s="35"/>
      <c r="F66" s="35"/>
      <c r="G66" s="35"/>
      <c r="H66" s="35"/>
      <c r="I66" s="35"/>
      <c r="J66" s="43"/>
      <c r="K66" s="35"/>
      <c r="L66" s="35"/>
      <c r="M66" s="35"/>
      <c r="N66" s="35"/>
      <c r="O66" s="35"/>
    </row>
  </sheetData>
  <pageMargins left="0.7" right="0.7" top="0.75" bottom="0.75" header="0.3" footer="0.3"/>
  <pageSetup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9</vt:i4>
      </vt:variant>
    </vt:vector>
  </HeadingPairs>
  <TitlesOfParts>
    <vt:vector size="17" baseType="lpstr">
      <vt:lpstr>Expt 12 </vt:lpstr>
      <vt:lpstr>Expt 14</vt:lpstr>
      <vt:lpstr>Expt 15</vt:lpstr>
      <vt:lpstr>Expt 16 nitrate</vt:lpstr>
      <vt:lpstr>Expt 17 nitrite</vt:lpstr>
      <vt:lpstr>Expt 25</vt:lpstr>
      <vt:lpstr>Minerals Surface Area</vt:lpstr>
      <vt:lpstr>Minerals Metals Concentration</vt:lpstr>
      <vt:lpstr>Figure 1</vt:lpstr>
      <vt:lpstr>Figure 2a</vt:lpstr>
      <vt:lpstr>Figure 2b</vt:lpstr>
      <vt:lpstr>Figure 3a</vt:lpstr>
      <vt:lpstr>Figure 3b</vt:lpstr>
      <vt:lpstr>Figure S1</vt:lpstr>
      <vt:lpstr>Figure S2</vt:lpstr>
      <vt:lpstr>N mass balance MnO2(s) FeOOH(s)</vt:lpstr>
      <vt:lpstr>N distribution FeOOH(s)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Huling</dc:creator>
  <cp:lastModifiedBy>Huling, Scott</cp:lastModifiedBy>
  <cp:lastPrinted>2018-03-29T20:38:40Z</cp:lastPrinted>
  <dcterms:created xsi:type="dcterms:W3CDTF">2016-05-05T20:18:23Z</dcterms:created>
  <dcterms:modified xsi:type="dcterms:W3CDTF">2018-04-10T16:57:21Z</dcterms:modified>
</cp:coreProperties>
</file>