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Aa.ad.epa.gov\ord\RTP\Users\A-D\dvallero\net mydocuments\"/>
    </mc:Choice>
  </mc:AlternateContent>
  <bookViews>
    <workbookView xWindow="0" yWindow="0" windowWidth="20700" windowHeight="7740"/>
  </bookViews>
  <sheets>
    <sheet name="Data Dictionary" sheetId="11" r:id="rId1"/>
    <sheet name="Results" sheetId="1" r:id="rId2"/>
    <sheet name="Summary" sheetId="2" r:id="rId3"/>
    <sheet name="Chart Data" sheetId="5" r:id="rId4"/>
    <sheet name="Charts" sheetId="8" r:id="rId5"/>
    <sheet name="T_Stat" sheetId="6" r:id="rId6"/>
    <sheet name="Charts Pg2" sheetId="9" r:id="rId7"/>
    <sheet name="Legend" sheetId="7" r:id="rId8"/>
    <sheet name="Sheet2" sheetId="4" r:id="rId9"/>
    <sheet name="Expert Background" sheetId="10" r:id="rId10"/>
    <sheet name="Sheet1" sheetId="3" r:id="rId11"/>
  </sheets>
  <definedNames>
    <definedName name="_xlnm._FilterDatabase" localSheetId="2" hidden="1">Summary!$D$49:$D$81</definedName>
    <definedName name="Bkg">Results!$I$2:$I$94</definedName>
    <definedName name="EPA">Results!$H$2:$H$94</definedName>
    <definedName name="NrmQ1_1">Results!$BV$2:$BV$94</definedName>
    <definedName name="NrmQ1_2">Results!$BW$2:$BW$94</definedName>
    <definedName name="NrmQ2_1">Results!$BX$2:$BX$94</definedName>
    <definedName name="NrmQ2_2">Results!$BY$2:$BY$94</definedName>
    <definedName name="NrmQ2_3">Results!$BZ$2:$BZ$94</definedName>
    <definedName name="NrmQ3_1">Results!$CA$2:$CA$94</definedName>
    <definedName name="NrmQ3_2">Results!$CB$2:$CB$94</definedName>
    <definedName name="NrmQ3_3">Results!$CC$2:$CC$94</definedName>
    <definedName name="NrmQ3_4">Results!$CD$2:$CD$94</definedName>
    <definedName name="NrmQ4_1">Results!$CE$2:$CE$94</definedName>
    <definedName name="NrmQ4_2">Results!$CF$2:$CF$94</definedName>
    <definedName name="NrmQ4_3">Results!$CG$2:$CG$94</definedName>
    <definedName name="NrmQ4_4">Results!$CH$2:$CH$94</definedName>
    <definedName name="NrmQ5_1">Results!$CI$2:$CI$94</definedName>
    <definedName name="NrmQ5_2">Results!$CJ$2:$CJ$94</definedName>
    <definedName name="NrmQ5_3">Results!$CK$2:$CK$94</definedName>
    <definedName name="NrmQ5_4">Results!$CL$2:$CL$94</definedName>
    <definedName name="NrmQ6_1">Results!$CM$2:$CM$94</definedName>
    <definedName name="NrmQ6_2">Results!$CN$2:$CN$94</definedName>
    <definedName name="NrmQ6_3">Results!$CO$2:$CO$94</definedName>
    <definedName name="NrmQ6_4">Results!$CP$2:$CP$94</definedName>
  </definedNames>
  <calcPr calcId="171027"/>
</workbook>
</file>

<file path=xl/calcChain.xml><?xml version="1.0" encoding="utf-8"?>
<calcChain xmlns="http://schemas.openxmlformats.org/spreadsheetml/2006/main">
  <c r="O38" i="6" l="1"/>
  <c r="P38" i="6"/>
  <c r="N38" i="6"/>
  <c r="BV10" i="1"/>
  <c r="BV28" i="1"/>
  <c r="V3" i="6" a="1"/>
  <c r="T3" i="6" a="1"/>
  <c r="S3" i="6" a="1"/>
  <c r="Y3" i="6" a="1"/>
  <c r="AA3" i="6" a="1"/>
  <c r="AE3" i="6" a="1"/>
  <c r="L3" i="6" a="1"/>
  <c r="O3" i="6" a="1"/>
  <c r="M3" i="6" a="1"/>
  <c r="Q3" i="6" a="1"/>
  <c r="N3" i="6" a="1"/>
  <c r="X3" i="6" a="1"/>
  <c r="AB3" i="6" a="1"/>
  <c r="Z3" i="6" a="1"/>
  <c r="R3" i="6" a="1"/>
  <c r="P3" i="6" a="1"/>
  <c r="AD3" i="6" a="1"/>
  <c r="AF3" i="6" a="1"/>
  <c r="U3" i="6" a="1"/>
  <c r="AC3" i="6" a="1"/>
  <c r="W3" i="6" a="1"/>
  <c r="W120" i="5" l="1"/>
  <c r="AD120" i="5" s="1"/>
  <c r="AK120" i="5" s="1"/>
  <c r="W119" i="5"/>
  <c r="W118" i="5"/>
  <c r="W115" i="5"/>
  <c r="W114" i="5"/>
  <c r="W113" i="5"/>
  <c r="W110" i="5"/>
  <c r="AD110" i="5" s="1"/>
  <c r="AK110" i="5" s="1"/>
  <c r="W109" i="5"/>
  <c r="AD109" i="5" s="1"/>
  <c r="AK109" i="5" s="1"/>
  <c r="W108" i="5"/>
  <c r="AD108" i="5" s="1"/>
  <c r="AK108" i="5" s="1"/>
  <c r="W105" i="5"/>
  <c r="W104" i="5"/>
  <c r="W103" i="5"/>
  <c r="AD103" i="5" s="1"/>
  <c r="AK103" i="5" s="1"/>
  <c r="W99" i="5"/>
  <c r="AD99" i="5" s="1"/>
  <c r="AK99" i="5" s="1"/>
  <c r="W98" i="5"/>
  <c r="W97" i="5"/>
  <c r="AD97" i="5" s="1"/>
  <c r="AK97" i="5" s="1"/>
  <c r="W94" i="5"/>
  <c r="AD94" i="5" s="1"/>
  <c r="AK94" i="5" s="1"/>
  <c r="W93" i="5"/>
  <c r="W92" i="5"/>
  <c r="W89" i="5"/>
  <c r="AD89" i="5" s="1"/>
  <c r="AK89" i="5" s="1"/>
  <c r="W88" i="5"/>
  <c r="AD88" i="5" s="1"/>
  <c r="AK88" i="5" s="1"/>
  <c r="W87" i="5"/>
  <c r="AD87" i="5" s="1"/>
  <c r="AK87" i="5" s="1"/>
  <c r="W84" i="5"/>
  <c r="AD84" i="5" s="1"/>
  <c r="AK84" i="5" s="1"/>
  <c r="W83" i="5"/>
  <c r="AD83" i="5" s="1"/>
  <c r="AK83" i="5" s="1"/>
  <c r="W82" i="5"/>
  <c r="AD82" i="5" s="1"/>
  <c r="AK82" i="5" s="1"/>
  <c r="W78" i="5"/>
  <c r="AD78" i="5" s="1"/>
  <c r="AK78" i="5" s="1"/>
  <c r="W77" i="5"/>
  <c r="W76" i="5"/>
  <c r="AD76" i="5" s="1"/>
  <c r="AK76" i="5" s="1"/>
  <c r="W73" i="5"/>
  <c r="AD73" i="5" s="1"/>
  <c r="AK73" i="5" s="1"/>
  <c r="W72" i="5"/>
  <c r="W71" i="5"/>
  <c r="AD71" i="5" s="1"/>
  <c r="AK71" i="5" s="1"/>
  <c r="W68" i="5"/>
  <c r="AD68" i="5" s="1"/>
  <c r="AK68" i="5" s="1"/>
  <c r="W67" i="5"/>
  <c r="AD67" i="5" s="1"/>
  <c r="AK67" i="5" s="1"/>
  <c r="W66" i="5"/>
  <c r="AD66" i="5" s="1"/>
  <c r="AK66" i="5" s="1"/>
  <c r="W63" i="5"/>
  <c r="AD63" i="5" s="1"/>
  <c r="AK63" i="5" s="1"/>
  <c r="W62" i="5"/>
  <c r="W61" i="5"/>
  <c r="W57" i="5"/>
  <c r="W56" i="5"/>
  <c r="W55" i="5"/>
  <c r="W52" i="5"/>
  <c r="AD52" i="5" s="1"/>
  <c r="AK52" i="5" s="1"/>
  <c r="W51" i="5"/>
  <c r="AD51" i="5" s="1"/>
  <c r="AK51" i="5" s="1"/>
  <c r="W50" i="5"/>
  <c r="W47" i="5"/>
  <c r="W46" i="5"/>
  <c r="AD46" i="5" s="1"/>
  <c r="AK46" i="5" s="1"/>
  <c r="W45" i="5"/>
  <c r="AD45" i="5" s="1"/>
  <c r="AK45" i="5" s="1"/>
  <c r="W42" i="5"/>
  <c r="W41" i="5"/>
  <c r="W40" i="5"/>
  <c r="AD40" i="5" s="1"/>
  <c r="AK40" i="5" s="1"/>
  <c r="W36" i="5"/>
  <c r="AD36" i="5" s="1"/>
  <c r="AK36" i="5" s="1"/>
  <c r="W35" i="5"/>
  <c r="W34" i="5"/>
  <c r="W31" i="5"/>
  <c r="AD31" i="5" s="1"/>
  <c r="AK31" i="5" s="1"/>
  <c r="W30" i="5"/>
  <c r="W29" i="5"/>
  <c r="W26" i="5"/>
  <c r="AD26" i="5" s="1"/>
  <c r="AK26" i="5" s="1"/>
  <c r="W25" i="5"/>
  <c r="AD25" i="5" s="1"/>
  <c r="AK25" i="5" s="1"/>
  <c r="W24" i="5"/>
  <c r="AD24" i="5" s="1"/>
  <c r="AK24" i="5" s="1"/>
  <c r="W20" i="5"/>
  <c r="W19" i="5"/>
  <c r="W18" i="5"/>
  <c r="W15" i="5"/>
  <c r="AD15" i="5" s="1"/>
  <c r="AK15" i="5" s="1"/>
  <c r="W14" i="5"/>
  <c r="AD14" i="5" s="1"/>
  <c r="AK14" i="5" s="1"/>
  <c r="W13" i="5"/>
  <c r="AD13" i="5" s="1"/>
  <c r="AK13" i="5" s="1"/>
  <c r="W17" i="5"/>
  <c r="W12" i="5"/>
  <c r="AD12" i="5" s="1"/>
  <c r="B17" i="5"/>
  <c r="B12" i="5"/>
  <c r="AD119" i="5"/>
  <c r="AK119" i="5" s="1"/>
  <c r="AD118" i="5"/>
  <c r="AK118" i="5" s="1"/>
  <c r="AA117" i="5"/>
  <c r="AH117" i="5" s="1"/>
  <c r="AO117" i="5" s="1"/>
  <c r="Z117" i="5"/>
  <c r="AG117" i="5" s="1"/>
  <c r="AN117" i="5" s="1"/>
  <c r="Y117" i="5"/>
  <c r="AF117" i="5" s="1"/>
  <c r="AM117" i="5" s="1"/>
  <c r="X117" i="5"/>
  <c r="AE117" i="5" s="1"/>
  <c r="AL117" i="5" s="1"/>
  <c r="W117" i="5"/>
  <c r="AD117" i="5" s="1"/>
  <c r="AD115" i="5"/>
  <c r="AK115" i="5" s="1"/>
  <c r="AD114" i="5"/>
  <c r="AK114" i="5" s="1"/>
  <c r="AD113" i="5"/>
  <c r="AK113" i="5" s="1"/>
  <c r="AA112" i="5"/>
  <c r="AH112" i="5" s="1"/>
  <c r="AO112" i="5" s="1"/>
  <c r="Z112" i="5"/>
  <c r="AG112" i="5" s="1"/>
  <c r="AN112" i="5" s="1"/>
  <c r="Y112" i="5"/>
  <c r="AF112" i="5" s="1"/>
  <c r="AM112" i="5" s="1"/>
  <c r="X112" i="5"/>
  <c r="AE112" i="5" s="1"/>
  <c r="AL112" i="5" s="1"/>
  <c r="W112" i="5"/>
  <c r="AD112" i="5" s="1"/>
  <c r="AG107" i="5"/>
  <c r="AN107" i="5" s="1"/>
  <c r="AA107" i="5"/>
  <c r="AH107" i="5" s="1"/>
  <c r="AO107" i="5" s="1"/>
  <c r="Z107" i="5"/>
  <c r="Y107" i="5"/>
  <c r="AF107" i="5" s="1"/>
  <c r="AM107" i="5" s="1"/>
  <c r="X107" i="5"/>
  <c r="AE107" i="5" s="1"/>
  <c r="AL107" i="5" s="1"/>
  <c r="W107" i="5"/>
  <c r="AD107" i="5" s="1"/>
  <c r="AD105" i="5"/>
  <c r="AK105" i="5" s="1"/>
  <c r="AD104" i="5"/>
  <c r="AK104" i="5" s="1"/>
  <c r="AD102" i="5"/>
  <c r="AA102" i="5"/>
  <c r="AH102" i="5" s="1"/>
  <c r="AO102" i="5" s="1"/>
  <c r="Z102" i="5"/>
  <c r="AG102" i="5" s="1"/>
  <c r="AN102" i="5" s="1"/>
  <c r="Y102" i="5"/>
  <c r="AF102" i="5" s="1"/>
  <c r="AM102" i="5" s="1"/>
  <c r="X102" i="5"/>
  <c r="AE102" i="5" s="1"/>
  <c r="AL102" i="5" s="1"/>
  <c r="W102" i="5"/>
  <c r="AD98" i="5"/>
  <c r="AK98" i="5" s="1"/>
  <c r="AN96" i="5"/>
  <c r="AH96" i="5"/>
  <c r="AO96" i="5" s="1"/>
  <c r="AA96" i="5"/>
  <c r="Z96" i="5"/>
  <c r="AG96" i="5" s="1"/>
  <c r="Y96" i="5"/>
  <c r="AF96" i="5" s="1"/>
  <c r="AM96" i="5" s="1"/>
  <c r="X96" i="5"/>
  <c r="AE96" i="5" s="1"/>
  <c r="AL96" i="5" s="1"/>
  <c r="W96" i="5"/>
  <c r="AD96" i="5" s="1"/>
  <c r="AD93" i="5"/>
  <c r="AK93" i="5" s="1"/>
  <c r="AD92" i="5"/>
  <c r="AK92" i="5" s="1"/>
  <c r="AA91" i="5"/>
  <c r="AH91" i="5" s="1"/>
  <c r="AO91" i="5" s="1"/>
  <c r="Z91" i="5"/>
  <c r="AG91" i="5" s="1"/>
  <c r="AN91" i="5" s="1"/>
  <c r="Y91" i="5"/>
  <c r="AF91" i="5" s="1"/>
  <c r="AM91" i="5" s="1"/>
  <c r="X91" i="5"/>
  <c r="AE91" i="5" s="1"/>
  <c r="AL91" i="5" s="1"/>
  <c r="W91" i="5"/>
  <c r="AD91" i="5" s="1"/>
  <c r="AA86" i="5"/>
  <c r="AH86" i="5" s="1"/>
  <c r="AO86" i="5" s="1"/>
  <c r="Z86" i="5"/>
  <c r="AG86" i="5" s="1"/>
  <c r="AN86" i="5" s="1"/>
  <c r="Y86" i="5"/>
  <c r="AF86" i="5" s="1"/>
  <c r="AM86" i="5" s="1"/>
  <c r="X86" i="5"/>
  <c r="AE86" i="5" s="1"/>
  <c r="AL86" i="5" s="1"/>
  <c r="W86" i="5"/>
  <c r="AD86" i="5" s="1"/>
  <c r="AD81" i="5"/>
  <c r="AA81" i="5"/>
  <c r="AH81" i="5" s="1"/>
  <c r="AO81" i="5" s="1"/>
  <c r="Z81" i="5"/>
  <c r="AG81" i="5" s="1"/>
  <c r="AN81" i="5" s="1"/>
  <c r="Y81" i="5"/>
  <c r="AF81" i="5" s="1"/>
  <c r="AM81" i="5" s="1"/>
  <c r="X81" i="5"/>
  <c r="AE81" i="5" s="1"/>
  <c r="AL81" i="5" s="1"/>
  <c r="W81" i="5"/>
  <c r="AD77" i="5"/>
  <c r="AK77" i="5" s="1"/>
  <c r="AA75" i="5"/>
  <c r="AH75" i="5" s="1"/>
  <c r="AO75" i="5" s="1"/>
  <c r="Z75" i="5"/>
  <c r="AG75" i="5" s="1"/>
  <c r="AN75" i="5" s="1"/>
  <c r="Y75" i="5"/>
  <c r="AF75" i="5" s="1"/>
  <c r="AM75" i="5" s="1"/>
  <c r="X75" i="5"/>
  <c r="AE75" i="5" s="1"/>
  <c r="AL75" i="5" s="1"/>
  <c r="W75" i="5"/>
  <c r="AD75" i="5" s="1"/>
  <c r="AD72" i="5"/>
  <c r="AK72" i="5" s="1"/>
  <c r="AA70" i="5"/>
  <c r="AH70" i="5" s="1"/>
  <c r="AO70" i="5" s="1"/>
  <c r="Z70" i="5"/>
  <c r="AG70" i="5" s="1"/>
  <c r="AN70" i="5" s="1"/>
  <c r="Y70" i="5"/>
  <c r="AF70" i="5" s="1"/>
  <c r="AM70" i="5" s="1"/>
  <c r="X70" i="5"/>
  <c r="AE70" i="5" s="1"/>
  <c r="AL70" i="5" s="1"/>
  <c r="W70" i="5"/>
  <c r="AD70" i="5" s="1"/>
  <c r="AG65" i="5"/>
  <c r="AN65" i="5" s="1"/>
  <c r="AA65" i="5"/>
  <c r="AH65" i="5" s="1"/>
  <c r="AO65" i="5" s="1"/>
  <c r="Z65" i="5"/>
  <c r="Y65" i="5"/>
  <c r="AF65" i="5" s="1"/>
  <c r="AM65" i="5" s="1"/>
  <c r="X65" i="5"/>
  <c r="AE65" i="5" s="1"/>
  <c r="AL65" i="5" s="1"/>
  <c r="W65" i="5"/>
  <c r="AD65" i="5" s="1"/>
  <c r="AD62" i="5"/>
  <c r="AK62" i="5" s="1"/>
  <c r="AD61" i="5"/>
  <c r="AK61" i="5" s="1"/>
  <c r="AA60" i="5"/>
  <c r="AH60" i="5" s="1"/>
  <c r="AO60" i="5" s="1"/>
  <c r="Z60" i="5"/>
  <c r="AG60" i="5" s="1"/>
  <c r="AN60" i="5" s="1"/>
  <c r="Y60" i="5"/>
  <c r="AF60" i="5" s="1"/>
  <c r="AM60" i="5" s="1"/>
  <c r="X60" i="5"/>
  <c r="AE60" i="5" s="1"/>
  <c r="AL60" i="5" s="1"/>
  <c r="W60" i="5"/>
  <c r="AD60" i="5" s="1"/>
  <c r="AD57" i="5"/>
  <c r="AK57" i="5" s="1"/>
  <c r="AD56" i="5"/>
  <c r="AK56" i="5" s="1"/>
  <c r="AD55" i="5"/>
  <c r="AK55" i="5" s="1"/>
  <c r="AA54" i="5"/>
  <c r="AH54" i="5" s="1"/>
  <c r="AO54" i="5" s="1"/>
  <c r="Z54" i="5"/>
  <c r="AG54" i="5" s="1"/>
  <c r="AN54" i="5" s="1"/>
  <c r="Y54" i="5"/>
  <c r="AF54" i="5" s="1"/>
  <c r="AM54" i="5" s="1"/>
  <c r="X54" i="5"/>
  <c r="AE54" i="5" s="1"/>
  <c r="AL54" i="5" s="1"/>
  <c r="W54" i="5"/>
  <c r="AD54" i="5" s="1"/>
  <c r="AD50" i="5"/>
  <c r="AK50" i="5" s="1"/>
  <c r="AA49" i="5"/>
  <c r="AH49" i="5" s="1"/>
  <c r="AO49" i="5" s="1"/>
  <c r="Z49" i="5"/>
  <c r="AG49" i="5" s="1"/>
  <c r="AN49" i="5" s="1"/>
  <c r="Y49" i="5"/>
  <c r="AF49" i="5" s="1"/>
  <c r="AM49" i="5" s="1"/>
  <c r="X49" i="5"/>
  <c r="AE49" i="5" s="1"/>
  <c r="AL49" i="5" s="1"/>
  <c r="W49" i="5"/>
  <c r="AD49" i="5" s="1"/>
  <c r="AD47" i="5"/>
  <c r="AK47" i="5" s="1"/>
  <c r="AA44" i="5"/>
  <c r="AH44" i="5" s="1"/>
  <c r="AO44" i="5" s="1"/>
  <c r="Z44" i="5"/>
  <c r="AG44" i="5" s="1"/>
  <c r="AN44" i="5" s="1"/>
  <c r="Y44" i="5"/>
  <c r="AF44" i="5" s="1"/>
  <c r="AM44" i="5" s="1"/>
  <c r="X44" i="5"/>
  <c r="AE44" i="5" s="1"/>
  <c r="AL44" i="5" s="1"/>
  <c r="W44" i="5"/>
  <c r="AD44" i="5" s="1"/>
  <c r="AD42" i="5"/>
  <c r="AK42" i="5" s="1"/>
  <c r="AD41" i="5"/>
  <c r="AK41" i="5" s="1"/>
  <c r="AA39" i="5"/>
  <c r="AH39" i="5" s="1"/>
  <c r="AO39" i="5" s="1"/>
  <c r="Z39" i="5"/>
  <c r="AG39" i="5" s="1"/>
  <c r="AN39" i="5" s="1"/>
  <c r="Y39" i="5"/>
  <c r="AF39" i="5" s="1"/>
  <c r="AM39" i="5" s="1"/>
  <c r="X39" i="5"/>
  <c r="AE39" i="5" s="1"/>
  <c r="AL39" i="5" s="1"/>
  <c r="W39" i="5"/>
  <c r="AD39" i="5" s="1"/>
  <c r="AD35" i="5"/>
  <c r="AK35" i="5" s="1"/>
  <c r="AD34" i="5"/>
  <c r="AK34" i="5" s="1"/>
  <c r="Z33" i="5"/>
  <c r="AG33" i="5" s="1"/>
  <c r="AN33" i="5" s="1"/>
  <c r="Y33" i="5"/>
  <c r="AF33" i="5" s="1"/>
  <c r="AM33" i="5" s="1"/>
  <c r="X33" i="5"/>
  <c r="AE33" i="5" s="1"/>
  <c r="AL33" i="5" s="1"/>
  <c r="W33" i="5"/>
  <c r="AD33" i="5" s="1"/>
  <c r="AD30" i="5"/>
  <c r="AK30" i="5" s="1"/>
  <c r="AD29" i="5"/>
  <c r="AK29" i="5" s="1"/>
  <c r="Z28" i="5"/>
  <c r="AG28" i="5" s="1"/>
  <c r="AN28" i="5" s="1"/>
  <c r="Y28" i="5"/>
  <c r="AF28" i="5" s="1"/>
  <c r="AM28" i="5" s="1"/>
  <c r="X28" i="5"/>
  <c r="AE28" i="5" s="1"/>
  <c r="AL28" i="5" s="1"/>
  <c r="W28" i="5"/>
  <c r="AD28" i="5" s="1"/>
  <c r="Z23" i="5"/>
  <c r="AG23" i="5" s="1"/>
  <c r="AN23" i="5" s="1"/>
  <c r="Y23" i="5"/>
  <c r="AF23" i="5" s="1"/>
  <c r="AM23" i="5" s="1"/>
  <c r="X23" i="5"/>
  <c r="AE23" i="5" s="1"/>
  <c r="AL23" i="5" s="1"/>
  <c r="W23" i="5"/>
  <c r="AD23" i="5" s="1"/>
  <c r="AD20" i="5"/>
  <c r="AK20" i="5" s="1"/>
  <c r="AD19" i="5"/>
  <c r="AK19" i="5" s="1"/>
  <c r="AD18" i="5"/>
  <c r="AK18" i="5" s="1"/>
  <c r="AD17" i="5"/>
  <c r="Y17" i="5"/>
  <c r="AF17" i="5" s="1"/>
  <c r="AM17" i="5" s="1"/>
  <c r="X17" i="5"/>
  <c r="AE17" i="5" s="1"/>
  <c r="AL17" i="5" s="1"/>
  <c r="Y12" i="5"/>
  <c r="AF12" i="5" s="1"/>
  <c r="AM12" i="5" s="1"/>
  <c r="X12" i="5"/>
  <c r="AE12" i="5" s="1"/>
  <c r="AL12" i="5" s="1"/>
  <c r="I110" i="5"/>
  <c r="P110" i="5" s="1"/>
  <c r="I94" i="5"/>
  <c r="P94" i="5" s="1"/>
  <c r="I17" i="5"/>
  <c r="I12" i="5"/>
  <c r="B120" i="5"/>
  <c r="I120" i="5" s="1"/>
  <c r="P120" i="5" s="1"/>
  <c r="B119" i="5"/>
  <c r="I119" i="5" s="1"/>
  <c r="P119" i="5" s="1"/>
  <c r="B118" i="5"/>
  <c r="I118" i="5" s="1"/>
  <c r="P118" i="5" s="1"/>
  <c r="F117" i="5"/>
  <c r="M117" i="5" s="1"/>
  <c r="T117" i="5" s="1"/>
  <c r="E117" i="5"/>
  <c r="L117" i="5" s="1"/>
  <c r="S117" i="5" s="1"/>
  <c r="D117" i="5"/>
  <c r="K117" i="5" s="1"/>
  <c r="R117" i="5" s="1"/>
  <c r="C117" i="5"/>
  <c r="J117" i="5" s="1"/>
  <c r="Q117" i="5" s="1"/>
  <c r="B117" i="5"/>
  <c r="I117" i="5" s="1"/>
  <c r="B115" i="5"/>
  <c r="I115" i="5" s="1"/>
  <c r="P115" i="5" s="1"/>
  <c r="B114" i="5"/>
  <c r="I114" i="5" s="1"/>
  <c r="P114" i="5" s="1"/>
  <c r="B113" i="5"/>
  <c r="I113" i="5" s="1"/>
  <c r="P113" i="5" s="1"/>
  <c r="F112" i="5"/>
  <c r="M112" i="5" s="1"/>
  <c r="T112" i="5" s="1"/>
  <c r="E112" i="5"/>
  <c r="L112" i="5" s="1"/>
  <c r="S112" i="5" s="1"/>
  <c r="D112" i="5"/>
  <c r="K112" i="5" s="1"/>
  <c r="R112" i="5" s="1"/>
  <c r="C112" i="5"/>
  <c r="J112" i="5" s="1"/>
  <c r="Q112" i="5" s="1"/>
  <c r="B112" i="5"/>
  <c r="I112" i="5" s="1"/>
  <c r="B110" i="5"/>
  <c r="B109" i="5"/>
  <c r="I109" i="5" s="1"/>
  <c r="P109" i="5" s="1"/>
  <c r="B108" i="5"/>
  <c r="I108" i="5" s="1"/>
  <c r="P108" i="5" s="1"/>
  <c r="F107" i="5"/>
  <c r="M107" i="5" s="1"/>
  <c r="T107" i="5" s="1"/>
  <c r="E107" i="5"/>
  <c r="L107" i="5" s="1"/>
  <c r="S107" i="5" s="1"/>
  <c r="D107" i="5"/>
  <c r="K107" i="5" s="1"/>
  <c r="R107" i="5" s="1"/>
  <c r="C107" i="5"/>
  <c r="J107" i="5" s="1"/>
  <c r="Q107" i="5" s="1"/>
  <c r="B107" i="5"/>
  <c r="I107" i="5" s="1"/>
  <c r="B105" i="5"/>
  <c r="I105" i="5" s="1"/>
  <c r="P105" i="5" s="1"/>
  <c r="B104" i="5"/>
  <c r="I104" i="5" s="1"/>
  <c r="P104" i="5" s="1"/>
  <c r="B103" i="5"/>
  <c r="I103" i="5" s="1"/>
  <c r="P103" i="5" s="1"/>
  <c r="F102" i="5"/>
  <c r="M102" i="5" s="1"/>
  <c r="T102" i="5" s="1"/>
  <c r="E102" i="5"/>
  <c r="L102" i="5" s="1"/>
  <c r="S102" i="5" s="1"/>
  <c r="D102" i="5"/>
  <c r="K102" i="5" s="1"/>
  <c r="R102" i="5" s="1"/>
  <c r="C102" i="5"/>
  <c r="J102" i="5" s="1"/>
  <c r="Q102" i="5" s="1"/>
  <c r="B102" i="5"/>
  <c r="I102" i="5" s="1"/>
  <c r="B99" i="5"/>
  <c r="I99" i="5" s="1"/>
  <c r="P99" i="5" s="1"/>
  <c r="B98" i="5"/>
  <c r="I98" i="5" s="1"/>
  <c r="P98" i="5" s="1"/>
  <c r="B97" i="5"/>
  <c r="I97" i="5" s="1"/>
  <c r="P97" i="5" s="1"/>
  <c r="F96" i="5"/>
  <c r="M96" i="5" s="1"/>
  <c r="T96" i="5" s="1"/>
  <c r="E96" i="5"/>
  <c r="L96" i="5" s="1"/>
  <c r="S96" i="5" s="1"/>
  <c r="D96" i="5"/>
  <c r="K96" i="5" s="1"/>
  <c r="R96" i="5" s="1"/>
  <c r="C96" i="5"/>
  <c r="J96" i="5" s="1"/>
  <c r="Q96" i="5" s="1"/>
  <c r="B96" i="5"/>
  <c r="I96" i="5" s="1"/>
  <c r="B94" i="5"/>
  <c r="B93" i="5"/>
  <c r="I93" i="5" s="1"/>
  <c r="P93" i="5" s="1"/>
  <c r="B92" i="5"/>
  <c r="I92" i="5" s="1"/>
  <c r="P92" i="5" s="1"/>
  <c r="F91" i="5"/>
  <c r="M91" i="5" s="1"/>
  <c r="T91" i="5" s="1"/>
  <c r="E91" i="5"/>
  <c r="L91" i="5" s="1"/>
  <c r="S91" i="5" s="1"/>
  <c r="D91" i="5"/>
  <c r="K91" i="5" s="1"/>
  <c r="R91" i="5" s="1"/>
  <c r="C91" i="5"/>
  <c r="J91" i="5" s="1"/>
  <c r="Q91" i="5" s="1"/>
  <c r="B91" i="5"/>
  <c r="I91" i="5" s="1"/>
  <c r="B89" i="5"/>
  <c r="I89" i="5" s="1"/>
  <c r="P89" i="5" s="1"/>
  <c r="B88" i="5"/>
  <c r="I88" i="5" s="1"/>
  <c r="P88" i="5" s="1"/>
  <c r="B87" i="5"/>
  <c r="I87" i="5" s="1"/>
  <c r="P87" i="5" s="1"/>
  <c r="F86" i="5"/>
  <c r="M86" i="5" s="1"/>
  <c r="T86" i="5" s="1"/>
  <c r="E86" i="5"/>
  <c r="L86" i="5" s="1"/>
  <c r="S86" i="5" s="1"/>
  <c r="D86" i="5"/>
  <c r="K86" i="5" s="1"/>
  <c r="R86" i="5" s="1"/>
  <c r="C86" i="5"/>
  <c r="J86" i="5" s="1"/>
  <c r="Q86" i="5" s="1"/>
  <c r="B86" i="5"/>
  <c r="I86" i="5" s="1"/>
  <c r="B84" i="5"/>
  <c r="I84" i="5" s="1"/>
  <c r="P84" i="5" s="1"/>
  <c r="B83" i="5"/>
  <c r="I83" i="5" s="1"/>
  <c r="P83" i="5" s="1"/>
  <c r="B82" i="5"/>
  <c r="I82" i="5" s="1"/>
  <c r="P82" i="5" s="1"/>
  <c r="F81" i="5"/>
  <c r="M81" i="5" s="1"/>
  <c r="T81" i="5" s="1"/>
  <c r="E81" i="5"/>
  <c r="L81" i="5" s="1"/>
  <c r="S81" i="5" s="1"/>
  <c r="D81" i="5"/>
  <c r="K81" i="5" s="1"/>
  <c r="R81" i="5" s="1"/>
  <c r="C81" i="5"/>
  <c r="J81" i="5" s="1"/>
  <c r="Q81" i="5" s="1"/>
  <c r="B81" i="5"/>
  <c r="I81" i="5" s="1"/>
  <c r="BT44" i="2"/>
  <c r="AA115" i="5" s="1"/>
  <c r="BS44" i="2"/>
  <c r="Z115" i="5" s="1"/>
  <c r="BR44" i="2"/>
  <c r="Y115" i="5" s="1"/>
  <c r="BQ44" i="2"/>
  <c r="X115" i="5" s="1"/>
  <c r="BT43" i="2"/>
  <c r="AA110" i="5" s="1"/>
  <c r="BS43" i="2"/>
  <c r="Z110" i="5" s="1"/>
  <c r="BR43" i="2"/>
  <c r="Y110" i="5" s="1"/>
  <c r="BQ43" i="2"/>
  <c r="X110" i="5" s="1"/>
  <c r="BI44" i="2"/>
  <c r="AA114" i="5" s="1"/>
  <c r="BH44" i="2"/>
  <c r="Z114" i="5" s="1"/>
  <c r="BG44" i="2"/>
  <c r="Y114" i="5" s="1"/>
  <c r="BF44" i="2"/>
  <c r="X114" i="5" s="1"/>
  <c r="BI43" i="2"/>
  <c r="AA109" i="5" s="1"/>
  <c r="BH43" i="2"/>
  <c r="Z109" i="5" s="1"/>
  <c r="BG43" i="2"/>
  <c r="Y109" i="5" s="1"/>
  <c r="BF43" i="2"/>
  <c r="X109" i="5" s="1"/>
  <c r="AX44" i="2"/>
  <c r="AA113" i="5" s="1"/>
  <c r="AW44" i="2"/>
  <c r="Z113" i="5" s="1"/>
  <c r="AV44" i="2"/>
  <c r="Y113" i="5" s="1"/>
  <c r="AU44" i="2"/>
  <c r="X113" i="5" s="1"/>
  <c r="AX43" i="2"/>
  <c r="AA108" i="5" s="1"/>
  <c r="AW43" i="2"/>
  <c r="Z108" i="5" s="1"/>
  <c r="AV43" i="2"/>
  <c r="Y108" i="5" s="1"/>
  <c r="AU43" i="2"/>
  <c r="X108" i="5" s="1"/>
  <c r="AM44" i="2"/>
  <c r="F115" i="5" s="1"/>
  <c r="AL44" i="2"/>
  <c r="E115" i="5" s="1"/>
  <c r="AK44" i="2"/>
  <c r="D115" i="5" s="1"/>
  <c r="AJ44" i="2"/>
  <c r="C115" i="5" s="1"/>
  <c r="AM43" i="2"/>
  <c r="F110" i="5" s="1"/>
  <c r="AL43" i="2"/>
  <c r="E110" i="5" s="1"/>
  <c r="AK43" i="2"/>
  <c r="D110" i="5" s="1"/>
  <c r="AJ43" i="2"/>
  <c r="C110" i="5" s="1"/>
  <c r="AB44" i="2"/>
  <c r="F114" i="5" s="1"/>
  <c r="AA44" i="2"/>
  <c r="E114" i="5" s="1"/>
  <c r="Z44" i="2"/>
  <c r="D114" i="5" s="1"/>
  <c r="Y44" i="2"/>
  <c r="C114" i="5" s="1"/>
  <c r="AB43" i="2"/>
  <c r="F109" i="5" s="1"/>
  <c r="AA43" i="2"/>
  <c r="E109" i="5" s="1"/>
  <c r="Z43" i="2"/>
  <c r="D109" i="5" s="1"/>
  <c r="Y43" i="2"/>
  <c r="C109" i="5" s="1"/>
  <c r="Q44" i="2"/>
  <c r="F113" i="5" s="1"/>
  <c r="P44" i="2"/>
  <c r="E113" i="5" s="1"/>
  <c r="O44" i="2"/>
  <c r="D113" i="5" s="1"/>
  <c r="N44" i="2"/>
  <c r="C113" i="5" s="1"/>
  <c r="Q43" i="2"/>
  <c r="F108" i="5" s="1"/>
  <c r="P43" i="2"/>
  <c r="E108" i="5" s="1"/>
  <c r="O43" i="2"/>
  <c r="D108" i="5" s="1"/>
  <c r="N43" i="2"/>
  <c r="C108" i="5" s="1"/>
  <c r="BT36" i="2"/>
  <c r="AA89" i="5" s="1"/>
  <c r="BS36" i="2"/>
  <c r="Z89" i="5" s="1"/>
  <c r="BR36" i="2"/>
  <c r="Y89" i="5" s="1"/>
  <c r="BQ36" i="2"/>
  <c r="X89" i="5" s="1"/>
  <c r="BT35" i="2"/>
  <c r="AA84" i="5" s="1"/>
  <c r="BS35" i="2"/>
  <c r="Z84" i="5" s="1"/>
  <c r="BR35" i="2"/>
  <c r="Y84" i="5" s="1"/>
  <c r="BQ35" i="2"/>
  <c r="X84" i="5" s="1"/>
  <c r="BI36" i="2"/>
  <c r="AA88" i="5" s="1"/>
  <c r="BH36" i="2"/>
  <c r="Z88" i="5" s="1"/>
  <c r="BG36" i="2"/>
  <c r="Y88" i="5" s="1"/>
  <c r="BF36" i="2"/>
  <c r="X88" i="5" s="1"/>
  <c r="BI35" i="2"/>
  <c r="AA83" i="5" s="1"/>
  <c r="BH35" i="2"/>
  <c r="Z83" i="5" s="1"/>
  <c r="BG35" i="2"/>
  <c r="Y83" i="5" s="1"/>
  <c r="BF35" i="2"/>
  <c r="X83" i="5" s="1"/>
  <c r="AX36" i="2"/>
  <c r="AA87" i="5" s="1"/>
  <c r="AW36" i="2"/>
  <c r="Z87" i="5" s="1"/>
  <c r="AV36" i="2"/>
  <c r="Y87" i="5" s="1"/>
  <c r="AU36" i="2"/>
  <c r="X87" i="5" s="1"/>
  <c r="AX35" i="2"/>
  <c r="AA82" i="5" s="1"/>
  <c r="AW35" i="2"/>
  <c r="Z82" i="5" s="1"/>
  <c r="AV35" i="2"/>
  <c r="Y82" i="5" s="1"/>
  <c r="AU35" i="2"/>
  <c r="X82" i="5" s="1"/>
  <c r="AM36" i="2"/>
  <c r="F89" i="5" s="1"/>
  <c r="AL36" i="2"/>
  <c r="E89" i="5" s="1"/>
  <c r="AK36" i="2"/>
  <c r="D89" i="5" s="1"/>
  <c r="AJ36" i="2"/>
  <c r="C89" i="5" s="1"/>
  <c r="AM35" i="2"/>
  <c r="F84" i="5" s="1"/>
  <c r="AL35" i="2"/>
  <c r="E84" i="5" s="1"/>
  <c r="AK35" i="2"/>
  <c r="D84" i="5" s="1"/>
  <c r="AJ35" i="2"/>
  <c r="C84" i="5" s="1"/>
  <c r="AB36" i="2"/>
  <c r="F88" i="5" s="1"/>
  <c r="AA36" i="2"/>
  <c r="E88" i="5" s="1"/>
  <c r="Z36" i="2"/>
  <c r="D88" i="5" s="1"/>
  <c r="Y36" i="2"/>
  <c r="C88" i="5" s="1"/>
  <c r="AB35" i="2"/>
  <c r="F83" i="5" s="1"/>
  <c r="AA35" i="2"/>
  <c r="E83" i="5" s="1"/>
  <c r="Z35" i="2"/>
  <c r="D83" i="5" s="1"/>
  <c r="Y35" i="2"/>
  <c r="C83" i="5" s="1"/>
  <c r="Q36" i="2"/>
  <c r="F87" i="5" s="1"/>
  <c r="P36" i="2"/>
  <c r="E87" i="5" s="1"/>
  <c r="O36" i="2"/>
  <c r="D87" i="5" s="1"/>
  <c r="N36" i="2"/>
  <c r="C87" i="5" s="1"/>
  <c r="Q35" i="2"/>
  <c r="F82" i="5" s="1"/>
  <c r="P35" i="2"/>
  <c r="E82" i="5" s="1"/>
  <c r="O35" i="2"/>
  <c r="D82" i="5" s="1"/>
  <c r="N35" i="2"/>
  <c r="C82" i="5" s="1"/>
  <c r="D44" i="2"/>
  <c r="E44" i="2"/>
  <c r="F44" i="2"/>
  <c r="C44" i="2"/>
  <c r="D43" i="2"/>
  <c r="E43" i="2"/>
  <c r="F43" i="2"/>
  <c r="C43" i="2"/>
  <c r="F36" i="2"/>
  <c r="E36" i="2"/>
  <c r="D36" i="2"/>
  <c r="C36" i="2"/>
  <c r="F35" i="2"/>
  <c r="E35" i="2"/>
  <c r="D35" i="2"/>
  <c r="C35" i="2"/>
  <c r="B75" i="5"/>
  <c r="I75" i="5" s="1"/>
  <c r="B78" i="5"/>
  <c r="I78" i="5" s="1"/>
  <c r="P78" i="5" s="1"/>
  <c r="B77" i="5"/>
  <c r="I77" i="5" s="1"/>
  <c r="P77" i="5" s="1"/>
  <c r="B76" i="5"/>
  <c r="I76" i="5" s="1"/>
  <c r="P76" i="5" s="1"/>
  <c r="F75" i="5"/>
  <c r="M75" i="5" s="1"/>
  <c r="T75" i="5" s="1"/>
  <c r="E75" i="5"/>
  <c r="L75" i="5" s="1"/>
  <c r="S75" i="5" s="1"/>
  <c r="D75" i="5"/>
  <c r="K75" i="5" s="1"/>
  <c r="R75" i="5" s="1"/>
  <c r="C75" i="5"/>
  <c r="J75" i="5" s="1"/>
  <c r="Q75" i="5" s="1"/>
  <c r="B70" i="5"/>
  <c r="I70" i="5" s="1"/>
  <c r="B73" i="5"/>
  <c r="I73" i="5" s="1"/>
  <c r="P73" i="5" s="1"/>
  <c r="B72" i="5"/>
  <c r="I72" i="5" s="1"/>
  <c r="P72" i="5" s="1"/>
  <c r="B71" i="5"/>
  <c r="I71" i="5" s="1"/>
  <c r="P71" i="5" s="1"/>
  <c r="F70" i="5"/>
  <c r="M70" i="5" s="1"/>
  <c r="T70" i="5" s="1"/>
  <c r="E70" i="5"/>
  <c r="L70" i="5" s="1"/>
  <c r="S70" i="5" s="1"/>
  <c r="D70" i="5"/>
  <c r="K70" i="5" s="1"/>
  <c r="R70" i="5" s="1"/>
  <c r="C70" i="5"/>
  <c r="J70" i="5" s="1"/>
  <c r="Q70" i="5" s="1"/>
  <c r="B65" i="5"/>
  <c r="I65" i="5" s="1"/>
  <c r="B68" i="5"/>
  <c r="I68" i="5" s="1"/>
  <c r="P68" i="5" s="1"/>
  <c r="B67" i="5"/>
  <c r="I67" i="5" s="1"/>
  <c r="P67" i="5" s="1"/>
  <c r="B66" i="5"/>
  <c r="I66" i="5" s="1"/>
  <c r="P66" i="5" s="1"/>
  <c r="F65" i="5"/>
  <c r="M65" i="5" s="1"/>
  <c r="T65" i="5" s="1"/>
  <c r="E65" i="5"/>
  <c r="L65" i="5" s="1"/>
  <c r="S65" i="5" s="1"/>
  <c r="D65" i="5"/>
  <c r="K65" i="5" s="1"/>
  <c r="R65" i="5" s="1"/>
  <c r="C65" i="5"/>
  <c r="J65" i="5" s="1"/>
  <c r="Q65" i="5" s="1"/>
  <c r="B60" i="5"/>
  <c r="I60" i="5" s="1"/>
  <c r="B63" i="5"/>
  <c r="I63" i="5" s="1"/>
  <c r="P63" i="5" s="1"/>
  <c r="B62" i="5"/>
  <c r="I62" i="5" s="1"/>
  <c r="P62" i="5" s="1"/>
  <c r="B61" i="5"/>
  <c r="I61" i="5" s="1"/>
  <c r="P61" i="5" s="1"/>
  <c r="F60" i="5"/>
  <c r="M60" i="5" s="1"/>
  <c r="T60" i="5" s="1"/>
  <c r="E60" i="5"/>
  <c r="L60" i="5" s="1"/>
  <c r="S60" i="5" s="1"/>
  <c r="D60" i="5"/>
  <c r="K60" i="5" s="1"/>
  <c r="R60" i="5" s="1"/>
  <c r="C60" i="5"/>
  <c r="J60" i="5" s="1"/>
  <c r="Q60" i="5" s="1"/>
  <c r="B54" i="5"/>
  <c r="I54" i="5" s="1"/>
  <c r="B57" i="5"/>
  <c r="I57" i="5" s="1"/>
  <c r="P57" i="5" s="1"/>
  <c r="B56" i="5"/>
  <c r="I56" i="5" s="1"/>
  <c r="P56" i="5" s="1"/>
  <c r="B55" i="5"/>
  <c r="I55" i="5" s="1"/>
  <c r="P55" i="5" s="1"/>
  <c r="F54" i="5"/>
  <c r="M54" i="5" s="1"/>
  <c r="T54" i="5" s="1"/>
  <c r="E54" i="5"/>
  <c r="L54" i="5" s="1"/>
  <c r="S54" i="5" s="1"/>
  <c r="D54" i="5"/>
  <c r="K54" i="5" s="1"/>
  <c r="R54" i="5" s="1"/>
  <c r="C54" i="5"/>
  <c r="J54" i="5" s="1"/>
  <c r="Q54" i="5" s="1"/>
  <c r="B49" i="5"/>
  <c r="I49" i="5" s="1"/>
  <c r="B52" i="5"/>
  <c r="I52" i="5" s="1"/>
  <c r="P52" i="5" s="1"/>
  <c r="B51" i="5"/>
  <c r="I51" i="5" s="1"/>
  <c r="P51" i="5" s="1"/>
  <c r="B50" i="5"/>
  <c r="I50" i="5" s="1"/>
  <c r="P50" i="5" s="1"/>
  <c r="F49" i="5"/>
  <c r="M49" i="5" s="1"/>
  <c r="T49" i="5" s="1"/>
  <c r="E49" i="5"/>
  <c r="L49" i="5" s="1"/>
  <c r="S49" i="5" s="1"/>
  <c r="D49" i="5"/>
  <c r="K49" i="5" s="1"/>
  <c r="R49" i="5" s="1"/>
  <c r="C49" i="5"/>
  <c r="J49" i="5" s="1"/>
  <c r="Q49" i="5" s="1"/>
  <c r="B44" i="5"/>
  <c r="I44" i="5" s="1"/>
  <c r="B47" i="5"/>
  <c r="I47" i="5" s="1"/>
  <c r="P47" i="5" s="1"/>
  <c r="B46" i="5"/>
  <c r="I46" i="5" s="1"/>
  <c r="P46" i="5" s="1"/>
  <c r="B45" i="5"/>
  <c r="I45" i="5" s="1"/>
  <c r="P45" i="5" s="1"/>
  <c r="F44" i="5"/>
  <c r="M44" i="5" s="1"/>
  <c r="T44" i="5" s="1"/>
  <c r="E44" i="5"/>
  <c r="L44" i="5" s="1"/>
  <c r="S44" i="5" s="1"/>
  <c r="D44" i="5"/>
  <c r="K44" i="5" s="1"/>
  <c r="R44" i="5" s="1"/>
  <c r="C44" i="5"/>
  <c r="J44" i="5" s="1"/>
  <c r="Q44" i="5" s="1"/>
  <c r="F39" i="5"/>
  <c r="M39" i="5" s="1"/>
  <c r="T39" i="5" s="1"/>
  <c r="E39" i="5"/>
  <c r="L39" i="5" s="1"/>
  <c r="S39" i="5" s="1"/>
  <c r="D39" i="5"/>
  <c r="K39" i="5" s="1"/>
  <c r="R39" i="5" s="1"/>
  <c r="C39" i="5"/>
  <c r="J39" i="5" s="1"/>
  <c r="Q39" i="5" s="1"/>
  <c r="B39" i="5"/>
  <c r="I39" i="5" s="1"/>
  <c r="B42" i="5"/>
  <c r="I42" i="5" s="1"/>
  <c r="P42" i="5" s="1"/>
  <c r="B41" i="5"/>
  <c r="I41" i="5" s="1"/>
  <c r="P41" i="5" s="1"/>
  <c r="B40" i="5"/>
  <c r="I40" i="5" s="1"/>
  <c r="P40" i="5" s="1"/>
  <c r="E33" i="5"/>
  <c r="L33" i="5" s="1"/>
  <c r="S33" i="5" s="1"/>
  <c r="D33" i="5"/>
  <c r="K33" i="5" s="1"/>
  <c r="R33" i="5" s="1"/>
  <c r="C33" i="5"/>
  <c r="J33" i="5" s="1"/>
  <c r="Q33" i="5" s="1"/>
  <c r="B36" i="5"/>
  <c r="I36" i="5" s="1"/>
  <c r="P36" i="5" s="1"/>
  <c r="B35" i="5"/>
  <c r="I35" i="5" s="1"/>
  <c r="P35" i="5" s="1"/>
  <c r="B34" i="5"/>
  <c r="I34" i="5" s="1"/>
  <c r="P34" i="5" s="1"/>
  <c r="B33" i="5"/>
  <c r="I33" i="5" s="1"/>
  <c r="E28" i="5"/>
  <c r="L28" i="5" s="1"/>
  <c r="S28" i="5" s="1"/>
  <c r="D28" i="5"/>
  <c r="K28" i="5" s="1"/>
  <c r="R28" i="5" s="1"/>
  <c r="C28" i="5"/>
  <c r="J28" i="5" s="1"/>
  <c r="Q28" i="5" s="1"/>
  <c r="B31" i="5"/>
  <c r="I31" i="5" s="1"/>
  <c r="P31" i="5" s="1"/>
  <c r="B30" i="5"/>
  <c r="I30" i="5" s="1"/>
  <c r="P30" i="5" s="1"/>
  <c r="B29" i="5"/>
  <c r="I29" i="5" s="1"/>
  <c r="P29" i="5" s="1"/>
  <c r="B28" i="5"/>
  <c r="I28" i="5" s="1"/>
  <c r="E23" i="5"/>
  <c r="L23" i="5" s="1"/>
  <c r="S23" i="5" s="1"/>
  <c r="D23" i="5"/>
  <c r="K23" i="5" s="1"/>
  <c r="R23" i="5" s="1"/>
  <c r="C23" i="5"/>
  <c r="J23" i="5" s="1"/>
  <c r="Q23" i="5" s="1"/>
  <c r="B23" i="5"/>
  <c r="I23" i="5" s="1"/>
  <c r="B26" i="5"/>
  <c r="I26" i="5" s="1"/>
  <c r="P26" i="5" s="1"/>
  <c r="B25" i="5"/>
  <c r="I25" i="5" s="1"/>
  <c r="P25" i="5" s="1"/>
  <c r="B24" i="5"/>
  <c r="I24" i="5" s="1"/>
  <c r="P24" i="5" s="1"/>
  <c r="B20" i="5"/>
  <c r="I20" i="5" s="1"/>
  <c r="P20" i="5" s="1"/>
  <c r="B15" i="5"/>
  <c r="I15" i="5" s="1"/>
  <c r="P15" i="5" s="1"/>
  <c r="B19" i="5"/>
  <c r="I19" i="5" s="1"/>
  <c r="P19" i="5" s="1"/>
  <c r="B14" i="5"/>
  <c r="I14" i="5" s="1"/>
  <c r="P14" i="5" s="1"/>
  <c r="B18" i="5"/>
  <c r="I18" i="5" s="1"/>
  <c r="P18" i="5" s="1"/>
  <c r="B13" i="5"/>
  <c r="I13" i="5" s="1"/>
  <c r="P13" i="5" s="1"/>
  <c r="D17" i="5"/>
  <c r="K17" i="5" s="1"/>
  <c r="R17" i="5" s="1"/>
  <c r="C17" i="5"/>
  <c r="J17" i="5" s="1"/>
  <c r="Q17" i="5" s="1"/>
  <c r="D12" i="5"/>
  <c r="K12" i="5" s="1"/>
  <c r="R12" i="5" s="1"/>
  <c r="C12" i="5"/>
  <c r="J12" i="5" s="1"/>
  <c r="Q12" i="5" s="1"/>
  <c r="BT45" i="2"/>
  <c r="AA120" i="5" s="1"/>
  <c r="BS45" i="2"/>
  <c r="Z120" i="5" s="1"/>
  <c r="BR45" i="2"/>
  <c r="Y120" i="5" s="1"/>
  <c r="BQ45" i="2"/>
  <c r="X120" i="5" s="1"/>
  <c r="BT42" i="2"/>
  <c r="AA105" i="5" s="1"/>
  <c r="BS42" i="2"/>
  <c r="Z105" i="5" s="1"/>
  <c r="BR42" i="2"/>
  <c r="Y105" i="5" s="1"/>
  <c r="BQ42" i="2"/>
  <c r="X105" i="5" s="1"/>
  <c r="BT38" i="2"/>
  <c r="AA99" i="5" s="1"/>
  <c r="BS38" i="2"/>
  <c r="Z99" i="5" s="1"/>
  <c r="BR38" i="2"/>
  <c r="Y99" i="5" s="1"/>
  <c r="BQ38" i="2"/>
  <c r="X99" i="5" s="1"/>
  <c r="BT37" i="2"/>
  <c r="AA94" i="5" s="1"/>
  <c r="BS37" i="2"/>
  <c r="Z94" i="5" s="1"/>
  <c r="BR37" i="2"/>
  <c r="Y94" i="5" s="1"/>
  <c r="BQ37" i="2"/>
  <c r="X94" i="5" s="1"/>
  <c r="BT31" i="2"/>
  <c r="AA78" i="5" s="1"/>
  <c r="BS31" i="2"/>
  <c r="Z78" i="5" s="1"/>
  <c r="BR31" i="2"/>
  <c r="Y78" i="5" s="1"/>
  <c r="BQ31" i="2"/>
  <c r="X78" i="5" s="1"/>
  <c r="BT30" i="2"/>
  <c r="AA73" i="5" s="1"/>
  <c r="BS30" i="2"/>
  <c r="Z73" i="5" s="1"/>
  <c r="BR30" i="2"/>
  <c r="Y73" i="5" s="1"/>
  <c r="BQ30" i="2"/>
  <c r="X73" i="5" s="1"/>
  <c r="BT29" i="2"/>
  <c r="AA68" i="5" s="1"/>
  <c r="BS29" i="2"/>
  <c r="Z68" i="5" s="1"/>
  <c r="BR29" i="2"/>
  <c r="Y68" i="5" s="1"/>
  <c r="BQ29" i="2"/>
  <c r="X68" i="5" s="1"/>
  <c r="BT28" i="2"/>
  <c r="AA63" i="5" s="1"/>
  <c r="BS28" i="2"/>
  <c r="Z63" i="5" s="1"/>
  <c r="BR28" i="2"/>
  <c r="Y63" i="5" s="1"/>
  <c r="BQ28" i="2"/>
  <c r="X63" i="5" s="1"/>
  <c r="BT24" i="2"/>
  <c r="AA57" i="5" s="1"/>
  <c r="BS24" i="2"/>
  <c r="Z57" i="5" s="1"/>
  <c r="BR24" i="2"/>
  <c r="Y57" i="5" s="1"/>
  <c r="BQ24" i="2"/>
  <c r="X57" i="5" s="1"/>
  <c r="BT23" i="2"/>
  <c r="AA52" i="5" s="1"/>
  <c r="BS23" i="2"/>
  <c r="Z52" i="5" s="1"/>
  <c r="BR23" i="2"/>
  <c r="Y52" i="5" s="1"/>
  <c r="BQ23" i="2"/>
  <c r="X52" i="5" s="1"/>
  <c r="BT22" i="2"/>
  <c r="AA47" i="5" s="1"/>
  <c r="BS22" i="2"/>
  <c r="Z47" i="5" s="1"/>
  <c r="BR22" i="2"/>
  <c r="Y47" i="5" s="1"/>
  <c r="BQ22" i="2"/>
  <c r="X47" i="5" s="1"/>
  <c r="BT21" i="2"/>
  <c r="AA42" i="5" s="1"/>
  <c r="BS21" i="2"/>
  <c r="Z42" i="5" s="1"/>
  <c r="BR21" i="2"/>
  <c r="Y42" i="5" s="1"/>
  <c r="BQ21" i="2"/>
  <c r="X42" i="5" s="1"/>
  <c r="BS17" i="2"/>
  <c r="Z36" i="5" s="1"/>
  <c r="BR17" i="2"/>
  <c r="Y36" i="5" s="1"/>
  <c r="BQ17" i="2"/>
  <c r="X36" i="5" s="1"/>
  <c r="BS16" i="2"/>
  <c r="Z31" i="5" s="1"/>
  <c r="BR16" i="2"/>
  <c r="Y31" i="5" s="1"/>
  <c r="BQ16" i="2"/>
  <c r="X31" i="5" s="1"/>
  <c r="BS15" i="2"/>
  <c r="Z26" i="5" s="1"/>
  <c r="BR15" i="2"/>
  <c r="Y26" i="5" s="1"/>
  <c r="BQ15" i="2"/>
  <c r="X26" i="5" s="1"/>
  <c r="BR10" i="2"/>
  <c r="Y20" i="5" s="1"/>
  <c r="BQ10" i="2"/>
  <c r="X20" i="5" s="1"/>
  <c r="BR9" i="2"/>
  <c r="Y15" i="5" s="1"/>
  <c r="BQ9" i="2"/>
  <c r="X15" i="5" s="1"/>
  <c r="BI45" i="2"/>
  <c r="AA119" i="5" s="1"/>
  <c r="BH45" i="2"/>
  <c r="Z119" i="5" s="1"/>
  <c r="BG45" i="2"/>
  <c r="Y119" i="5" s="1"/>
  <c r="BF45" i="2"/>
  <c r="X119" i="5" s="1"/>
  <c r="BI42" i="2"/>
  <c r="AA104" i="5" s="1"/>
  <c r="BH42" i="2"/>
  <c r="Z104" i="5" s="1"/>
  <c r="BG42" i="2"/>
  <c r="Y104" i="5" s="1"/>
  <c r="BF42" i="2"/>
  <c r="X104" i="5" s="1"/>
  <c r="BI38" i="2"/>
  <c r="AA98" i="5" s="1"/>
  <c r="BH38" i="2"/>
  <c r="Z98" i="5" s="1"/>
  <c r="BG38" i="2"/>
  <c r="Y98" i="5" s="1"/>
  <c r="BF38" i="2"/>
  <c r="X98" i="5" s="1"/>
  <c r="BI37" i="2"/>
  <c r="AA93" i="5" s="1"/>
  <c r="BH37" i="2"/>
  <c r="Z93" i="5" s="1"/>
  <c r="BG37" i="2"/>
  <c r="Y93" i="5" s="1"/>
  <c r="BF37" i="2"/>
  <c r="X93" i="5" s="1"/>
  <c r="BI31" i="2"/>
  <c r="AA77" i="5" s="1"/>
  <c r="BH31" i="2"/>
  <c r="Z77" i="5" s="1"/>
  <c r="BG31" i="2"/>
  <c r="Y77" i="5" s="1"/>
  <c r="BF31" i="2"/>
  <c r="X77" i="5" s="1"/>
  <c r="BI30" i="2"/>
  <c r="AA72" i="5" s="1"/>
  <c r="BH30" i="2"/>
  <c r="Z72" i="5" s="1"/>
  <c r="BG30" i="2"/>
  <c r="Y72" i="5" s="1"/>
  <c r="BF30" i="2"/>
  <c r="X72" i="5" s="1"/>
  <c r="BI29" i="2"/>
  <c r="AA67" i="5" s="1"/>
  <c r="BH29" i="2"/>
  <c r="Z67" i="5" s="1"/>
  <c r="BG29" i="2"/>
  <c r="Y67" i="5" s="1"/>
  <c r="BF29" i="2"/>
  <c r="X67" i="5" s="1"/>
  <c r="BI28" i="2"/>
  <c r="AA62" i="5" s="1"/>
  <c r="BH28" i="2"/>
  <c r="Z62" i="5" s="1"/>
  <c r="BG28" i="2"/>
  <c r="Y62" i="5" s="1"/>
  <c r="BF28" i="2"/>
  <c r="X62" i="5" s="1"/>
  <c r="BI24" i="2"/>
  <c r="AA56" i="5" s="1"/>
  <c r="BH24" i="2"/>
  <c r="Z56" i="5" s="1"/>
  <c r="BG24" i="2"/>
  <c r="Y56" i="5" s="1"/>
  <c r="BF24" i="2"/>
  <c r="X56" i="5" s="1"/>
  <c r="BI23" i="2"/>
  <c r="AA51" i="5" s="1"/>
  <c r="BH23" i="2"/>
  <c r="Z51" i="5" s="1"/>
  <c r="BG23" i="2"/>
  <c r="Y51" i="5" s="1"/>
  <c r="BF23" i="2"/>
  <c r="X51" i="5" s="1"/>
  <c r="BI22" i="2"/>
  <c r="AA46" i="5" s="1"/>
  <c r="BH22" i="2"/>
  <c r="Z46" i="5" s="1"/>
  <c r="BG22" i="2"/>
  <c r="Y46" i="5" s="1"/>
  <c r="BF22" i="2"/>
  <c r="X46" i="5" s="1"/>
  <c r="BI21" i="2"/>
  <c r="AA41" i="5" s="1"/>
  <c r="BH21" i="2"/>
  <c r="Z41" i="5" s="1"/>
  <c r="BG21" i="2"/>
  <c r="Y41" i="5" s="1"/>
  <c r="BF21" i="2"/>
  <c r="X41" i="5" s="1"/>
  <c r="BH17" i="2"/>
  <c r="Z35" i="5" s="1"/>
  <c r="BG17" i="2"/>
  <c r="Y35" i="5" s="1"/>
  <c r="BF17" i="2"/>
  <c r="X35" i="5" s="1"/>
  <c r="BH16" i="2"/>
  <c r="Z30" i="5" s="1"/>
  <c r="BG16" i="2"/>
  <c r="Y30" i="5" s="1"/>
  <c r="BF16" i="2"/>
  <c r="X30" i="5" s="1"/>
  <c r="BH15" i="2"/>
  <c r="Z25" i="5" s="1"/>
  <c r="BG15" i="2"/>
  <c r="Y25" i="5" s="1"/>
  <c r="BF15" i="2"/>
  <c r="X25" i="5" s="1"/>
  <c r="BG10" i="2"/>
  <c r="Y19" i="5" s="1"/>
  <c r="BF10" i="2"/>
  <c r="X19" i="5" s="1"/>
  <c r="BG9" i="2"/>
  <c r="Y14" i="5" s="1"/>
  <c r="BF9" i="2"/>
  <c r="X14" i="5" s="1"/>
  <c r="AX45" i="2"/>
  <c r="AA118" i="5" s="1"/>
  <c r="AW45" i="2"/>
  <c r="Z118" i="5" s="1"/>
  <c r="AV45" i="2"/>
  <c r="Y118" i="5" s="1"/>
  <c r="AU45" i="2"/>
  <c r="X118" i="5" s="1"/>
  <c r="AX42" i="2"/>
  <c r="AA103" i="5" s="1"/>
  <c r="AW42" i="2"/>
  <c r="Z103" i="5" s="1"/>
  <c r="AV42" i="2"/>
  <c r="Y103" i="5" s="1"/>
  <c r="AU42" i="2"/>
  <c r="X103" i="5" s="1"/>
  <c r="AX38" i="2"/>
  <c r="AA97" i="5" s="1"/>
  <c r="AW38" i="2"/>
  <c r="Z97" i="5" s="1"/>
  <c r="AV38" i="2"/>
  <c r="Y97" i="5" s="1"/>
  <c r="AU38" i="2"/>
  <c r="X97" i="5" s="1"/>
  <c r="AX37" i="2"/>
  <c r="AA92" i="5" s="1"/>
  <c r="AW37" i="2"/>
  <c r="Z92" i="5" s="1"/>
  <c r="AV37" i="2"/>
  <c r="Y92" i="5" s="1"/>
  <c r="AU37" i="2"/>
  <c r="X92" i="5" s="1"/>
  <c r="AX31" i="2"/>
  <c r="AA76" i="5" s="1"/>
  <c r="AW31" i="2"/>
  <c r="Z76" i="5" s="1"/>
  <c r="AV31" i="2"/>
  <c r="Y76" i="5" s="1"/>
  <c r="AU31" i="2"/>
  <c r="X76" i="5" s="1"/>
  <c r="AX30" i="2"/>
  <c r="AA71" i="5" s="1"/>
  <c r="AW30" i="2"/>
  <c r="Z71" i="5" s="1"/>
  <c r="AV30" i="2"/>
  <c r="Y71" i="5" s="1"/>
  <c r="AU30" i="2"/>
  <c r="X71" i="5" s="1"/>
  <c r="AX29" i="2"/>
  <c r="AA66" i="5" s="1"/>
  <c r="AW29" i="2"/>
  <c r="Z66" i="5" s="1"/>
  <c r="AV29" i="2"/>
  <c r="Y66" i="5" s="1"/>
  <c r="AU29" i="2"/>
  <c r="X66" i="5" s="1"/>
  <c r="AX28" i="2"/>
  <c r="AA61" i="5" s="1"/>
  <c r="AW28" i="2"/>
  <c r="Z61" i="5" s="1"/>
  <c r="AV28" i="2"/>
  <c r="Y61" i="5" s="1"/>
  <c r="AU28" i="2"/>
  <c r="X61" i="5" s="1"/>
  <c r="AX24" i="2"/>
  <c r="AA55" i="5" s="1"/>
  <c r="AW24" i="2"/>
  <c r="Z55" i="5" s="1"/>
  <c r="AV24" i="2"/>
  <c r="Y55" i="5" s="1"/>
  <c r="AU24" i="2"/>
  <c r="X55" i="5" s="1"/>
  <c r="AX23" i="2"/>
  <c r="AA50" i="5" s="1"/>
  <c r="AW23" i="2"/>
  <c r="Z50" i="5" s="1"/>
  <c r="AV23" i="2"/>
  <c r="Y50" i="5" s="1"/>
  <c r="AU23" i="2"/>
  <c r="X50" i="5" s="1"/>
  <c r="AX22" i="2"/>
  <c r="AA45" i="5" s="1"/>
  <c r="AW22" i="2"/>
  <c r="Z45" i="5" s="1"/>
  <c r="AV22" i="2"/>
  <c r="Y45" i="5" s="1"/>
  <c r="AU22" i="2"/>
  <c r="X45" i="5" s="1"/>
  <c r="AX21" i="2"/>
  <c r="AA40" i="5" s="1"/>
  <c r="AW21" i="2"/>
  <c r="Z40" i="5" s="1"/>
  <c r="AV21" i="2"/>
  <c r="Y40" i="5" s="1"/>
  <c r="AU21" i="2"/>
  <c r="X40" i="5" s="1"/>
  <c r="AW17" i="2"/>
  <c r="Z34" i="5" s="1"/>
  <c r="AV17" i="2"/>
  <c r="Y34" i="5" s="1"/>
  <c r="AU17" i="2"/>
  <c r="X34" i="5" s="1"/>
  <c r="AW16" i="2"/>
  <c r="Z29" i="5" s="1"/>
  <c r="AV16" i="2"/>
  <c r="Y29" i="5" s="1"/>
  <c r="AU16" i="2"/>
  <c r="X29" i="5" s="1"/>
  <c r="AW15" i="2"/>
  <c r="Z24" i="5" s="1"/>
  <c r="AV15" i="2"/>
  <c r="Y24" i="5" s="1"/>
  <c r="AU15" i="2"/>
  <c r="X24" i="5" s="1"/>
  <c r="AV10" i="2"/>
  <c r="Y18" i="5" s="1"/>
  <c r="AU10" i="2"/>
  <c r="X18" i="5" s="1"/>
  <c r="AV9" i="2"/>
  <c r="Y13" i="5" s="1"/>
  <c r="AU9" i="2"/>
  <c r="X13" i="5" s="1"/>
  <c r="AM45" i="2"/>
  <c r="F120" i="5" s="1"/>
  <c r="AL45" i="2"/>
  <c r="E120" i="5" s="1"/>
  <c r="AK45" i="2"/>
  <c r="D120" i="5" s="1"/>
  <c r="AJ45" i="2"/>
  <c r="C120" i="5" s="1"/>
  <c r="AM42" i="2"/>
  <c r="F105" i="5" s="1"/>
  <c r="AL42" i="2"/>
  <c r="E105" i="5" s="1"/>
  <c r="AK42" i="2"/>
  <c r="D105" i="5" s="1"/>
  <c r="AJ42" i="2"/>
  <c r="C105" i="5" s="1"/>
  <c r="AM38" i="2"/>
  <c r="F99" i="5" s="1"/>
  <c r="AL38" i="2"/>
  <c r="E99" i="5" s="1"/>
  <c r="AK38" i="2"/>
  <c r="D99" i="5" s="1"/>
  <c r="AJ38" i="2"/>
  <c r="C99" i="5" s="1"/>
  <c r="AM37" i="2"/>
  <c r="F94" i="5" s="1"/>
  <c r="AL37" i="2"/>
  <c r="E94" i="5" s="1"/>
  <c r="AK37" i="2"/>
  <c r="D94" i="5" s="1"/>
  <c r="AJ37" i="2"/>
  <c r="C94" i="5" s="1"/>
  <c r="AM31" i="2"/>
  <c r="F78" i="5" s="1"/>
  <c r="AL31" i="2"/>
  <c r="E78" i="5" s="1"/>
  <c r="AK31" i="2"/>
  <c r="D78" i="5" s="1"/>
  <c r="AJ31" i="2"/>
  <c r="C78" i="5" s="1"/>
  <c r="AM30" i="2"/>
  <c r="F73" i="5" s="1"/>
  <c r="AL30" i="2"/>
  <c r="E73" i="5" s="1"/>
  <c r="AK30" i="2"/>
  <c r="D73" i="5" s="1"/>
  <c r="AJ30" i="2"/>
  <c r="C73" i="5" s="1"/>
  <c r="AM29" i="2"/>
  <c r="F68" i="5" s="1"/>
  <c r="AL29" i="2"/>
  <c r="E68" i="5" s="1"/>
  <c r="AK29" i="2"/>
  <c r="D68" i="5" s="1"/>
  <c r="AJ29" i="2"/>
  <c r="C68" i="5" s="1"/>
  <c r="AM28" i="2"/>
  <c r="F63" i="5" s="1"/>
  <c r="AL28" i="2"/>
  <c r="E63" i="5" s="1"/>
  <c r="AK28" i="2"/>
  <c r="D63" i="5" s="1"/>
  <c r="AJ28" i="2"/>
  <c r="C63" i="5" s="1"/>
  <c r="AM24" i="2"/>
  <c r="F57" i="5" s="1"/>
  <c r="AL24" i="2"/>
  <c r="E57" i="5" s="1"/>
  <c r="AK24" i="2"/>
  <c r="D57" i="5" s="1"/>
  <c r="AJ24" i="2"/>
  <c r="C57" i="5" s="1"/>
  <c r="AM23" i="2"/>
  <c r="F52" i="5" s="1"/>
  <c r="AL23" i="2"/>
  <c r="E52" i="5" s="1"/>
  <c r="AK23" i="2"/>
  <c r="D52" i="5" s="1"/>
  <c r="AJ23" i="2"/>
  <c r="C52" i="5" s="1"/>
  <c r="AM22" i="2"/>
  <c r="F47" i="5" s="1"/>
  <c r="AL22" i="2"/>
  <c r="E47" i="5" s="1"/>
  <c r="AK22" i="2"/>
  <c r="D47" i="5" s="1"/>
  <c r="AJ22" i="2"/>
  <c r="C47" i="5" s="1"/>
  <c r="AM21" i="2"/>
  <c r="F42" i="5" s="1"/>
  <c r="AL21" i="2"/>
  <c r="E42" i="5" s="1"/>
  <c r="AK21" i="2"/>
  <c r="D42" i="5" s="1"/>
  <c r="AJ21" i="2"/>
  <c r="C42" i="5" s="1"/>
  <c r="AL17" i="2"/>
  <c r="E36" i="5" s="1"/>
  <c r="AK17" i="2"/>
  <c r="D36" i="5" s="1"/>
  <c r="AJ17" i="2"/>
  <c r="C36" i="5" s="1"/>
  <c r="AL16" i="2"/>
  <c r="E31" i="5" s="1"/>
  <c r="AK16" i="2"/>
  <c r="D31" i="5" s="1"/>
  <c r="AJ16" i="2"/>
  <c r="C31" i="5" s="1"/>
  <c r="AL15" i="2"/>
  <c r="E26" i="5" s="1"/>
  <c r="AK15" i="2"/>
  <c r="D26" i="5" s="1"/>
  <c r="AJ15" i="2"/>
  <c r="C26" i="5" s="1"/>
  <c r="AK10" i="2"/>
  <c r="D20" i="5" s="1"/>
  <c r="AJ10" i="2"/>
  <c r="C20" i="5" s="1"/>
  <c r="AK9" i="2"/>
  <c r="D15" i="5" s="1"/>
  <c r="AJ9" i="2"/>
  <c r="C15" i="5" s="1"/>
  <c r="AB45" i="2"/>
  <c r="F119" i="5" s="1"/>
  <c r="AA45" i="2"/>
  <c r="E119" i="5" s="1"/>
  <c r="Z45" i="2"/>
  <c r="D119" i="5" s="1"/>
  <c r="Y45" i="2"/>
  <c r="C119" i="5" s="1"/>
  <c r="AB42" i="2"/>
  <c r="F104" i="5" s="1"/>
  <c r="AA42" i="2"/>
  <c r="E104" i="5" s="1"/>
  <c r="Z42" i="2"/>
  <c r="D104" i="5" s="1"/>
  <c r="Y42" i="2"/>
  <c r="C104" i="5" s="1"/>
  <c r="AB38" i="2"/>
  <c r="F98" i="5" s="1"/>
  <c r="AA38" i="2"/>
  <c r="E98" i="5" s="1"/>
  <c r="Z38" i="2"/>
  <c r="D98" i="5" s="1"/>
  <c r="Y38" i="2"/>
  <c r="C98" i="5" s="1"/>
  <c r="AB37" i="2"/>
  <c r="F93" i="5" s="1"/>
  <c r="AA37" i="2"/>
  <c r="E93" i="5" s="1"/>
  <c r="Z37" i="2"/>
  <c r="D93" i="5" s="1"/>
  <c r="Y37" i="2"/>
  <c r="C93" i="5" s="1"/>
  <c r="AB31" i="2"/>
  <c r="F77" i="5" s="1"/>
  <c r="AA31" i="2"/>
  <c r="E77" i="5" s="1"/>
  <c r="Z31" i="2"/>
  <c r="D77" i="5" s="1"/>
  <c r="Y31" i="2"/>
  <c r="C77" i="5" s="1"/>
  <c r="AB30" i="2"/>
  <c r="F72" i="5" s="1"/>
  <c r="AA30" i="2"/>
  <c r="E72" i="5" s="1"/>
  <c r="Z30" i="2"/>
  <c r="D72" i="5" s="1"/>
  <c r="Y30" i="2"/>
  <c r="C72" i="5" s="1"/>
  <c r="AB29" i="2"/>
  <c r="F67" i="5" s="1"/>
  <c r="AA29" i="2"/>
  <c r="E67" i="5" s="1"/>
  <c r="Z29" i="2"/>
  <c r="D67" i="5" s="1"/>
  <c r="Y29" i="2"/>
  <c r="C67" i="5" s="1"/>
  <c r="AB28" i="2"/>
  <c r="F62" i="5" s="1"/>
  <c r="AA28" i="2"/>
  <c r="E62" i="5" s="1"/>
  <c r="Z28" i="2"/>
  <c r="D62" i="5" s="1"/>
  <c r="Y28" i="2"/>
  <c r="C62" i="5" s="1"/>
  <c r="AB24" i="2"/>
  <c r="F56" i="5" s="1"/>
  <c r="AA24" i="2"/>
  <c r="E56" i="5" s="1"/>
  <c r="Z24" i="2"/>
  <c r="D56" i="5" s="1"/>
  <c r="Y24" i="2"/>
  <c r="C56" i="5" s="1"/>
  <c r="AB23" i="2"/>
  <c r="F51" i="5" s="1"/>
  <c r="AA23" i="2"/>
  <c r="E51" i="5" s="1"/>
  <c r="Z23" i="2"/>
  <c r="D51" i="5" s="1"/>
  <c r="Y23" i="2"/>
  <c r="C51" i="5" s="1"/>
  <c r="AB22" i="2"/>
  <c r="F46" i="5" s="1"/>
  <c r="AA22" i="2"/>
  <c r="E46" i="5" s="1"/>
  <c r="Z22" i="2"/>
  <c r="D46" i="5" s="1"/>
  <c r="Y22" i="2"/>
  <c r="C46" i="5" s="1"/>
  <c r="AB21" i="2"/>
  <c r="F41" i="5" s="1"/>
  <c r="AA21" i="2"/>
  <c r="E41" i="5" s="1"/>
  <c r="Z21" i="2"/>
  <c r="D41" i="5" s="1"/>
  <c r="Y21" i="2"/>
  <c r="C41" i="5" s="1"/>
  <c r="AA17" i="2"/>
  <c r="E35" i="5" s="1"/>
  <c r="Z17" i="2"/>
  <c r="D35" i="5" s="1"/>
  <c r="Y17" i="2"/>
  <c r="C35" i="5" s="1"/>
  <c r="AA16" i="2"/>
  <c r="E30" i="5" s="1"/>
  <c r="Z16" i="2"/>
  <c r="D30" i="5" s="1"/>
  <c r="Y16" i="2"/>
  <c r="C30" i="5" s="1"/>
  <c r="AA15" i="2"/>
  <c r="E25" i="5" s="1"/>
  <c r="Z15" i="2"/>
  <c r="D25" i="5" s="1"/>
  <c r="Y15" i="2"/>
  <c r="C25" i="5" s="1"/>
  <c r="Z10" i="2"/>
  <c r="D19" i="5" s="1"/>
  <c r="Y10" i="2"/>
  <c r="C19" i="5" s="1"/>
  <c r="Z9" i="2"/>
  <c r="D14" i="5" s="1"/>
  <c r="Y9" i="2"/>
  <c r="C14" i="5" s="1"/>
  <c r="BW28" i="1"/>
  <c r="BY28" i="1"/>
  <c r="BV3" i="1"/>
  <c r="BW3" i="1"/>
  <c r="BX3" i="1"/>
  <c r="BY3" i="1"/>
  <c r="BZ3" i="1"/>
  <c r="CA3" i="1"/>
  <c r="CB3" i="1"/>
  <c r="CC3" i="1"/>
  <c r="CD3" i="1"/>
  <c r="CE3" i="1"/>
  <c r="CF3" i="1"/>
  <c r="CG3" i="1"/>
  <c r="CH3" i="1"/>
  <c r="CI3" i="1"/>
  <c r="CJ3" i="1"/>
  <c r="CK3" i="1"/>
  <c r="CL3" i="1"/>
  <c r="CM3" i="1"/>
  <c r="CN3" i="1"/>
  <c r="CO3" i="1"/>
  <c r="CP3" i="1"/>
  <c r="CM4" i="1"/>
  <c r="CN4" i="1"/>
  <c r="CO4" i="1"/>
  <c r="CP4" i="1"/>
  <c r="BV5" i="1"/>
  <c r="BW5" i="1"/>
  <c r="BX5" i="1"/>
  <c r="BY5" i="1"/>
  <c r="BZ5" i="1"/>
  <c r="CA5" i="1"/>
  <c r="CB5" i="1"/>
  <c r="CC5" i="1"/>
  <c r="CD5" i="1"/>
  <c r="CE5" i="1"/>
  <c r="CF5" i="1"/>
  <c r="CG5" i="1"/>
  <c r="CH5" i="1"/>
  <c r="CI5" i="1"/>
  <c r="CJ5" i="1"/>
  <c r="CK5" i="1"/>
  <c r="CL5" i="1"/>
  <c r="CM5" i="1"/>
  <c r="CN5" i="1"/>
  <c r="CO5" i="1"/>
  <c r="CP5" i="1"/>
  <c r="BV6" i="1"/>
  <c r="BW6" i="1"/>
  <c r="BX6" i="1"/>
  <c r="BY6" i="1"/>
  <c r="BZ6" i="1"/>
  <c r="CA6" i="1"/>
  <c r="CB6" i="1"/>
  <c r="CC6" i="1"/>
  <c r="CD6" i="1"/>
  <c r="CE6" i="1"/>
  <c r="CF6" i="1"/>
  <c r="CG6" i="1"/>
  <c r="CH6" i="1"/>
  <c r="CI6" i="1"/>
  <c r="CJ6" i="1"/>
  <c r="CK6" i="1"/>
  <c r="CL6" i="1"/>
  <c r="CM6" i="1"/>
  <c r="CN6" i="1"/>
  <c r="CO6" i="1"/>
  <c r="CP6" i="1"/>
  <c r="BV7" i="1"/>
  <c r="BW7" i="1"/>
  <c r="BX7" i="1"/>
  <c r="BY7" i="1"/>
  <c r="BZ7" i="1"/>
  <c r="CA7" i="1"/>
  <c r="CB7" i="1"/>
  <c r="CC7" i="1"/>
  <c r="CD7" i="1"/>
  <c r="CE7" i="1"/>
  <c r="CF7" i="1"/>
  <c r="CG7" i="1"/>
  <c r="CH7" i="1"/>
  <c r="CI7" i="1"/>
  <c r="CJ7" i="1"/>
  <c r="CK7" i="1"/>
  <c r="CL7" i="1"/>
  <c r="CM7" i="1"/>
  <c r="CN7" i="1"/>
  <c r="CO7" i="1"/>
  <c r="CP7" i="1"/>
  <c r="BV8" i="1"/>
  <c r="BW8" i="1"/>
  <c r="BX8" i="1"/>
  <c r="BY8" i="1"/>
  <c r="BZ8" i="1"/>
  <c r="CA8" i="1"/>
  <c r="CB8" i="1"/>
  <c r="CC8" i="1"/>
  <c r="CD8" i="1"/>
  <c r="CE8" i="1"/>
  <c r="CF8" i="1"/>
  <c r="CG8" i="1"/>
  <c r="CH8" i="1"/>
  <c r="CI8" i="1"/>
  <c r="CJ8" i="1"/>
  <c r="CK8" i="1"/>
  <c r="CL8" i="1"/>
  <c r="CM8" i="1"/>
  <c r="CN8" i="1"/>
  <c r="CO8" i="1"/>
  <c r="CP8" i="1"/>
  <c r="BW10" i="1"/>
  <c r="BX10" i="1"/>
  <c r="BY10" i="1"/>
  <c r="BZ10" i="1"/>
  <c r="CA10" i="1"/>
  <c r="CB10" i="1"/>
  <c r="CC10" i="1"/>
  <c r="CD10" i="1"/>
  <c r="CE10" i="1"/>
  <c r="CF10" i="1"/>
  <c r="CG10" i="1"/>
  <c r="CH10" i="1"/>
  <c r="CI10" i="1"/>
  <c r="CJ10" i="1"/>
  <c r="CK10" i="1"/>
  <c r="CL10" i="1"/>
  <c r="CM10" i="1"/>
  <c r="CN10" i="1"/>
  <c r="CO10" i="1"/>
  <c r="CP10" i="1"/>
  <c r="BV11" i="1"/>
  <c r="BW11" i="1"/>
  <c r="BX11" i="1"/>
  <c r="BY11" i="1"/>
  <c r="BZ11" i="1"/>
  <c r="CA11" i="1"/>
  <c r="CB11" i="1"/>
  <c r="CC11" i="1"/>
  <c r="CD11" i="1"/>
  <c r="CE11" i="1"/>
  <c r="CF11" i="1"/>
  <c r="CG11" i="1"/>
  <c r="CH11" i="1"/>
  <c r="CI11" i="1"/>
  <c r="CJ11" i="1"/>
  <c r="CK11" i="1"/>
  <c r="CL11" i="1"/>
  <c r="CM11" i="1"/>
  <c r="CN11" i="1"/>
  <c r="CO11" i="1"/>
  <c r="CP11" i="1"/>
  <c r="BV12" i="1"/>
  <c r="BW12" i="1"/>
  <c r="BX12" i="1"/>
  <c r="BY12" i="1"/>
  <c r="BZ12" i="1"/>
  <c r="CA12" i="1"/>
  <c r="CB12" i="1"/>
  <c r="CC12" i="1"/>
  <c r="CD12" i="1"/>
  <c r="CE12" i="1"/>
  <c r="CF12" i="1"/>
  <c r="CG12" i="1"/>
  <c r="CH12" i="1"/>
  <c r="CI12" i="1"/>
  <c r="CJ12" i="1"/>
  <c r="CK12" i="1"/>
  <c r="CL12" i="1"/>
  <c r="CM12" i="1"/>
  <c r="CN12" i="1"/>
  <c r="CO12" i="1"/>
  <c r="CP12" i="1"/>
  <c r="BV13" i="1"/>
  <c r="BW13" i="1"/>
  <c r="BX13" i="1"/>
  <c r="BY13" i="1"/>
  <c r="BZ13" i="1"/>
  <c r="CE13" i="1"/>
  <c r="CF13" i="1"/>
  <c r="CG13" i="1"/>
  <c r="CH13" i="1"/>
  <c r="CI13" i="1"/>
  <c r="CJ13" i="1"/>
  <c r="CK13" i="1"/>
  <c r="CL13" i="1"/>
  <c r="CM13" i="1"/>
  <c r="CN13" i="1"/>
  <c r="CO13" i="1"/>
  <c r="CP13" i="1"/>
  <c r="BV14" i="1"/>
  <c r="BW14" i="1"/>
  <c r="BX14" i="1"/>
  <c r="BY14" i="1"/>
  <c r="BZ14" i="1"/>
  <c r="CA14" i="1"/>
  <c r="CB14" i="1"/>
  <c r="CC14" i="1"/>
  <c r="CD14" i="1"/>
  <c r="CE14" i="1"/>
  <c r="CF14" i="1"/>
  <c r="CG14" i="1"/>
  <c r="CH14" i="1"/>
  <c r="CI14" i="1"/>
  <c r="CJ14" i="1"/>
  <c r="CK14" i="1"/>
  <c r="CL14" i="1"/>
  <c r="CM14" i="1"/>
  <c r="CN14" i="1"/>
  <c r="CO14" i="1"/>
  <c r="CP14" i="1"/>
  <c r="BV15" i="1"/>
  <c r="BW15" i="1"/>
  <c r="BX15" i="1"/>
  <c r="BY15" i="1"/>
  <c r="BZ15" i="1"/>
  <c r="CA15" i="1"/>
  <c r="CB15" i="1"/>
  <c r="CC15" i="1"/>
  <c r="CD15" i="1"/>
  <c r="CE15" i="1"/>
  <c r="CF15" i="1"/>
  <c r="CG15" i="1"/>
  <c r="CH15" i="1"/>
  <c r="CI15" i="1"/>
  <c r="CJ15" i="1"/>
  <c r="CK15" i="1"/>
  <c r="CL15" i="1"/>
  <c r="CM15" i="1"/>
  <c r="CN15" i="1"/>
  <c r="CO15" i="1"/>
  <c r="CP15" i="1"/>
  <c r="BV16" i="1"/>
  <c r="BW16" i="1"/>
  <c r="BX16" i="1"/>
  <c r="BY16" i="1"/>
  <c r="BZ16" i="1"/>
  <c r="CA16" i="1"/>
  <c r="CB16" i="1"/>
  <c r="CC16" i="1"/>
  <c r="CD16" i="1"/>
  <c r="CE16" i="1"/>
  <c r="CF16" i="1"/>
  <c r="CG16" i="1"/>
  <c r="CH16" i="1"/>
  <c r="CI16" i="1"/>
  <c r="CJ16" i="1"/>
  <c r="CK16" i="1"/>
  <c r="CL16" i="1"/>
  <c r="CM16" i="1"/>
  <c r="CN16" i="1"/>
  <c r="CO16" i="1"/>
  <c r="CP16" i="1"/>
  <c r="BV17" i="1"/>
  <c r="BW17" i="1"/>
  <c r="BX17" i="1"/>
  <c r="BY17" i="1"/>
  <c r="BZ17" i="1"/>
  <c r="CA17" i="1"/>
  <c r="CB17" i="1"/>
  <c r="CC17" i="1"/>
  <c r="CD17" i="1"/>
  <c r="CE17" i="1"/>
  <c r="CF17" i="1"/>
  <c r="CG17" i="1"/>
  <c r="CH17" i="1"/>
  <c r="CI17" i="1"/>
  <c r="CJ17" i="1"/>
  <c r="CK17" i="1"/>
  <c r="CL17" i="1"/>
  <c r="CM17" i="1"/>
  <c r="CN17" i="1"/>
  <c r="CO17" i="1"/>
  <c r="CP17" i="1"/>
  <c r="BV18" i="1"/>
  <c r="BW18" i="1"/>
  <c r="BX18" i="1"/>
  <c r="BY18" i="1"/>
  <c r="BZ18" i="1"/>
  <c r="CA18" i="1"/>
  <c r="CB18" i="1"/>
  <c r="CC18" i="1"/>
  <c r="CD18" i="1"/>
  <c r="CE18" i="1"/>
  <c r="CF18" i="1"/>
  <c r="CG18" i="1"/>
  <c r="CH18" i="1"/>
  <c r="CI18" i="1"/>
  <c r="CJ18" i="1"/>
  <c r="CK18" i="1"/>
  <c r="CL18" i="1"/>
  <c r="CM18" i="1"/>
  <c r="CN18" i="1"/>
  <c r="CO18" i="1"/>
  <c r="CP18" i="1"/>
  <c r="BV19" i="1"/>
  <c r="BW19" i="1"/>
  <c r="BX19" i="1"/>
  <c r="BY19" i="1"/>
  <c r="BZ19" i="1"/>
  <c r="CA19" i="1"/>
  <c r="CB19" i="1"/>
  <c r="CC19" i="1"/>
  <c r="CD19" i="1"/>
  <c r="CE19" i="1"/>
  <c r="CF19" i="1"/>
  <c r="CG19" i="1"/>
  <c r="CH19" i="1"/>
  <c r="CI19" i="1"/>
  <c r="CJ19" i="1"/>
  <c r="CK19" i="1"/>
  <c r="CL19" i="1"/>
  <c r="CM19" i="1"/>
  <c r="CN19" i="1"/>
  <c r="CO19" i="1"/>
  <c r="CP19" i="1"/>
  <c r="BV21" i="1"/>
  <c r="BW21" i="1"/>
  <c r="BX21" i="1"/>
  <c r="BY21" i="1"/>
  <c r="BZ21" i="1"/>
  <c r="CA21" i="1"/>
  <c r="CB21" i="1"/>
  <c r="CC21" i="1"/>
  <c r="CD21" i="1"/>
  <c r="CE21" i="1"/>
  <c r="CF21" i="1"/>
  <c r="CG21" i="1"/>
  <c r="CH21" i="1"/>
  <c r="CI21" i="1"/>
  <c r="CJ21" i="1"/>
  <c r="CK21" i="1"/>
  <c r="CL21" i="1"/>
  <c r="CM21" i="1"/>
  <c r="CN21" i="1"/>
  <c r="CO21" i="1"/>
  <c r="CP21" i="1"/>
  <c r="BV22" i="1"/>
  <c r="BW22" i="1"/>
  <c r="BX22" i="1"/>
  <c r="BY22" i="1"/>
  <c r="BZ22" i="1"/>
  <c r="CA22" i="1"/>
  <c r="CB22" i="1"/>
  <c r="CC22" i="1"/>
  <c r="CD22" i="1"/>
  <c r="CE22" i="1"/>
  <c r="CF22" i="1"/>
  <c r="CG22" i="1"/>
  <c r="CH22" i="1"/>
  <c r="CI22" i="1"/>
  <c r="CJ22" i="1"/>
  <c r="CK22" i="1"/>
  <c r="CL22" i="1"/>
  <c r="CM22" i="1"/>
  <c r="CN22" i="1"/>
  <c r="CO22" i="1"/>
  <c r="CP22" i="1"/>
  <c r="BV23" i="1"/>
  <c r="BW23" i="1"/>
  <c r="BX23" i="1"/>
  <c r="BY23" i="1"/>
  <c r="BZ23" i="1"/>
  <c r="CA23" i="1"/>
  <c r="CB23" i="1"/>
  <c r="CC23" i="1"/>
  <c r="CD23" i="1"/>
  <c r="CE23" i="1"/>
  <c r="CF23" i="1"/>
  <c r="CG23" i="1"/>
  <c r="CH23" i="1"/>
  <c r="CI23" i="1"/>
  <c r="CJ23" i="1"/>
  <c r="CK23" i="1"/>
  <c r="CL23" i="1"/>
  <c r="CM23" i="1"/>
  <c r="CN23" i="1"/>
  <c r="CO23" i="1"/>
  <c r="CP23" i="1"/>
  <c r="BV24" i="1"/>
  <c r="BW24" i="1"/>
  <c r="BX24" i="1"/>
  <c r="BY24" i="1"/>
  <c r="BZ24" i="1"/>
  <c r="CA24" i="1"/>
  <c r="CB24" i="1"/>
  <c r="CC24" i="1"/>
  <c r="CD24" i="1"/>
  <c r="CE24" i="1"/>
  <c r="CF24" i="1"/>
  <c r="CG24" i="1"/>
  <c r="CH24" i="1"/>
  <c r="CI24" i="1"/>
  <c r="CJ24" i="1"/>
  <c r="CK24" i="1"/>
  <c r="CL24" i="1"/>
  <c r="CM24" i="1"/>
  <c r="CN24" i="1"/>
  <c r="CO24" i="1"/>
  <c r="CP24" i="1"/>
  <c r="BV25" i="1"/>
  <c r="BW25" i="1"/>
  <c r="BX25" i="1"/>
  <c r="BY25" i="1"/>
  <c r="BZ25" i="1"/>
  <c r="CA25" i="1"/>
  <c r="CB25" i="1"/>
  <c r="CC25" i="1"/>
  <c r="CD25" i="1"/>
  <c r="CE25" i="1"/>
  <c r="CF25" i="1"/>
  <c r="CG25" i="1"/>
  <c r="CH25" i="1"/>
  <c r="CI25" i="1"/>
  <c r="CJ25" i="1"/>
  <c r="CK25" i="1"/>
  <c r="CL25" i="1"/>
  <c r="CM25" i="1"/>
  <c r="CN25" i="1"/>
  <c r="CO25" i="1"/>
  <c r="CP25" i="1"/>
  <c r="BV26" i="1"/>
  <c r="BW26" i="1"/>
  <c r="BX26" i="1"/>
  <c r="BY26" i="1"/>
  <c r="BZ26" i="1"/>
  <c r="CA26" i="1"/>
  <c r="CB26" i="1"/>
  <c r="CC26" i="1"/>
  <c r="CD26" i="1"/>
  <c r="CE26" i="1"/>
  <c r="CF26" i="1"/>
  <c r="CG26" i="1"/>
  <c r="CH26" i="1"/>
  <c r="CI26" i="1"/>
  <c r="CJ26" i="1"/>
  <c r="CK26" i="1"/>
  <c r="CL26" i="1"/>
  <c r="CM26" i="1"/>
  <c r="CN26" i="1"/>
  <c r="CO26" i="1"/>
  <c r="CP26" i="1"/>
  <c r="CA27" i="1"/>
  <c r="CB27" i="1"/>
  <c r="CC27" i="1"/>
  <c r="CD27" i="1"/>
  <c r="CE27" i="1"/>
  <c r="CF27" i="1"/>
  <c r="CG27" i="1"/>
  <c r="CH27" i="1"/>
  <c r="CI27" i="1"/>
  <c r="CJ27" i="1"/>
  <c r="CK27" i="1"/>
  <c r="CL27" i="1"/>
  <c r="CM27" i="1"/>
  <c r="CN27" i="1"/>
  <c r="CO27" i="1"/>
  <c r="CP27" i="1"/>
  <c r="BX28" i="1"/>
  <c r="BZ28" i="1"/>
  <c r="CA28" i="1"/>
  <c r="CB28" i="1"/>
  <c r="CC28" i="1"/>
  <c r="CD28" i="1"/>
  <c r="CE28" i="1"/>
  <c r="CF28" i="1"/>
  <c r="CG28" i="1"/>
  <c r="CH28" i="1"/>
  <c r="CI28" i="1"/>
  <c r="CJ28" i="1"/>
  <c r="CK28" i="1"/>
  <c r="CL28" i="1"/>
  <c r="CM28" i="1"/>
  <c r="CN28" i="1"/>
  <c r="CO28" i="1"/>
  <c r="CP28" i="1"/>
  <c r="BV29" i="1"/>
  <c r="BW29" i="1"/>
  <c r="BX29" i="1"/>
  <c r="BY29" i="1"/>
  <c r="BZ29" i="1"/>
  <c r="CA29" i="1"/>
  <c r="CB29" i="1"/>
  <c r="CC29" i="1"/>
  <c r="CD29" i="1"/>
  <c r="CE29" i="1"/>
  <c r="CF29" i="1"/>
  <c r="CG29" i="1"/>
  <c r="CH29" i="1"/>
  <c r="CI29" i="1"/>
  <c r="CJ29" i="1"/>
  <c r="CK29" i="1"/>
  <c r="CL29" i="1"/>
  <c r="CM29" i="1"/>
  <c r="CN29" i="1"/>
  <c r="CO29" i="1"/>
  <c r="CP29" i="1"/>
  <c r="BV30" i="1"/>
  <c r="BW30" i="1"/>
  <c r="BX30" i="1"/>
  <c r="BY30" i="1"/>
  <c r="BZ30" i="1"/>
  <c r="CA30" i="1"/>
  <c r="CB30" i="1"/>
  <c r="CC30" i="1"/>
  <c r="CD30" i="1"/>
  <c r="CE30" i="1"/>
  <c r="CF30" i="1"/>
  <c r="CG30" i="1"/>
  <c r="CH30" i="1"/>
  <c r="CI30" i="1"/>
  <c r="CJ30" i="1"/>
  <c r="CK30" i="1"/>
  <c r="CL30" i="1"/>
  <c r="CM30" i="1"/>
  <c r="CN30" i="1"/>
  <c r="CO30" i="1"/>
  <c r="CP30" i="1"/>
  <c r="BV31" i="1"/>
  <c r="BW31" i="1"/>
  <c r="BX31" i="1"/>
  <c r="BY31" i="1"/>
  <c r="BZ31" i="1"/>
  <c r="CA31" i="1"/>
  <c r="CB31" i="1"/>
  <c r="CC31" i="1"/>
  <c r="CD31" i="1"/>
  <c r="CE31" i="1"/>
  <c r="CF31" i="1"/>
  <c r="CG31" i="1"/>
  <c r="CH31" i="1"/>
  <c r="CI31" i="1"/>
  <c r="CJ31" i="1"/>
  <c r="CK31" i="1"/>
  <c r="CL31" i="1"/>
  <c r="CM31" i="1"/>
  <c r="CN31" i="1"/>
  <c r="CO31" i="1"/>
  <c r="CP31" i="1"/>
  <c r="CN2" i="1"/>
  <c r="CO2" i="1"/>
  <c r="CP2" i="1"/>
  <c r="CM2" i="1"/>
  <c r="CJ2" i="1"/>
  <c r="CK2" i="1"/>
  <c r="CL2" i="1"/>
  <c r="CI2" i="1"/>
  <c r="CF2" i="1"/>
  <c r="CG2" i="1"/>
  <c r="CH2" i="1"/>
  <c r="CE2" i="1"/>
  <c r="CB2" i="1"/>
  <c r="CC2" i="1"/>
  <c r="CD2" i="1"/>
  <c r="CA2" i="1"/>
  <c r="BY2" i="1"/>
  <c r="BZ2" i="1"/>
  <c r="BX2" i="1"/>
  <c r="BW2" i="1"/>
  <c r="BV2" i="1"/>
  <c r="Z166" i="5"/>
  <c r="Z158" i="5" s="1"/>
  <c r="Y166" i="5"/>
  <c r="Y157" i="5" s="1"/>
  <c r="X166" i="5"/>
  <c r="X157" i="5" s="1"/>
  <c r="V166" i="5"/>
  <c r="V157" i="5" s="1"/>
  <c r="U166" i="5"/>
  <c r="U158" i="5" s="1"/>
  <c r="T166" i="5"/>
  <c r="T157" i="5" s="1"/>
  <c r="R166" i="5"/>
  <c r="R157" i="5" s="1"/>
  <c r="Q166" i="5"/>
  <c r="Q157" i="5" s="1"/>
  <c r="P166" i="5"/>
  <c r="P159" i="5" s="1"/>
  <c r="Q45" i="2"/>
  <c r="F118" i="5" s="1"/>
  <c r="P45" i="2"/>
  <c r="E118" i="5" s="1"/>
  <c r="O45" i="2"/>
  <c r="D118" i="5" s="1"/>
  <c r="Q42" i="2"/>
  <c r="F103" i="5" s="1"/>
  <c r="P42" i="2"/>
  <c r="E103" i="5" s="1"/>
  <c r="O42" i="2"/>
  <c r="D103" i="5" s="1"/>
  <c r="N45" i="2"/>
  <c r="C118" i="5" s="1"/>
  <c r="N42" i="2"/>
  <c r="C103" i="5" s="1"/>
  <c r="Q38" i="2"/>
  <c r="F97" i="5" s="1"/>
  <c r="P38" i="2"/>
  <c r="E97" i="5" s="1"/>
  <c r="O38" i="2"/>
  <c r="D97" i="5" s="1"/>
  <c r="Q37" i="2"/>
  <c r="F92" i="5" s="1"/>
  <c r="P37" i="2"/>
  <c r="E92" i="5" s="1"/>
  <c r="O37" i="2"/>
  <c r="D92" i="5" s="1"/>
  <c r="N38" i="2"/>
  <c r="C97" i="5" s="1"/>
  <c r="N37" i="2"/>
  <c r="C92" i="5" s="1"/>
  <c r="Q31" i="2"/>
  <c r="F76" i="5" s="1"/>
  <c r="P31" i="2"/>
  <c r="E76" i="5" s="1"/>
  <c r="O31" i="2"/>
  <c r="D76" i="5" s="1"/>
  <c r="Q30" i="2"/>
  <c r="F71" i="5" s="1"/>
  <c r="P30" i="2"/>
  <c r="E71" i="5" s="1"/>
  <c r="O30" i="2"/>
  <c r="D71" i="5" s="1"/>
  <c r="Q29" i="2"/>
  <c r="F66" i="5" s="1"/>
  <c r="P29" i="2"/>
  <c r="E66" i="5" s="1"/>
  <c r="O29" i="2"/>
  <c r="D66" i="5" s="1"/>
  <c r="Q28" i="2"/>
  <c r="F61" i="5" s="1"/>
  <c r="P28" i="2"/>
  <c r="E61" i="5" s="1"/>
  <c r="O28" i="2"/>
  <c r="D61" i="5" s="1"/>
  <c r="N31" i="2"/>
  <c r="C76" i="5" s="1"/>
  <c r="N30" i="2"/>
  <c r="C71" i="5" s="1"/>
  <c r="N29" i="2"/>
  <c r="C66" i="5" s="1"/>
  <c r="N28" i="2"/>
  <c r="C61" i="5" s="1"/>
  <c r="Q24" i="2"/>
  <c r="F55" i="5" s="1"/>
  <c r="P24" i="2"/>
  <c r="E55" i="5" s="1"/>
  <c r="Q23" i="2"/>
  <c r="F50" i="5" s="1"/>
  <c r="P23" i="2"/>
  <c r="E50" i="5" s="1"/>
  <c r="Q22" i="2"/>
  <c r="F45" i="5" s="1"/>
  <c r="P22" i="2"/>
  <c r="E45" i="5" s="1"/>
  <c r="Q21" i="2"/>
  <c r="F40" i="5" s="1"/>
  <c r="P21" i="2"/>
  <c r="E40" i="5" s="1"/>
  <c r="O24" i="2"/>
  <c r="D55" i="5" s="1"/>
  <c r="O23" i="2"/>
  <c r="D50" i="5" s="1"/>
  <c r="O22" i="2"/>
  <c r="D45" i="5" s="1"/>
  <c r="O21" i="2"/>
  <c r="D40" i="5" s="1"/>
  <c r="F24" i="2"/>
  <c r="E24" i="2"/>
  <c r="D24" i="2"/>
  <c r="C24" i="2"/>
  <c r="N24" i="2"/>
  <c r="C55" i="5" s="1"/>
  <c r="N23" i="2"/>
  <c r="C50" i="5" s="1"/>
  <c r="N22" i="2"/>
  <c r="C45" i="5" s="1"/>
  <c r="N21" i="2"/>
  <c r="C40" i="5" s="1"/>
  <c r="P17" i="2"/>
  <c r="E34" i="5" s="1"/>
  <c r="P16" i="2"/>
  <c r="E29" i="5" s="1"/>
  <c r="P15" i="2"/>
  <c r="E24" i="5" s="1"/>
  <c r="O17" i="2"/>
  <c r="D34" i="5" s="1"/>
  <c r="O16" i="2"/>
  <c r="D29" i="5" s="1"/>
  <c r="O15" i="2"/>
  <c r="D24" i="5" s="1"/>
  <c r="N17" i="2"/>
  <c r="C34" i="5" s="1"/>
  <c r="N16" i="2"/>
  <c r="C29" i="5" s="1"/>
  <c r="N15" i="2"/>
  <c r="C24" i="5" s="1"/>
  <c r="N10" i="2"/>
  <c r="C18" i="5" s="1"/>
  <c r="O10" i="2"/>
  <c r="D18" i="5" s="1"/>
  <c r="O9" i="2"/>
  <c r="D13" i="5" s="1"/>
  <c r="N9" i="2"/>
  <c r="C13" i="5" s="1"/>
  <c r="K25" i="3"/>
  <c r="K26" i="3"/>
  <c r="K24" i="3"/>
  <c r="K20" i="3"/>
  <c r="K21" i="3"/>
  <c r="K22" i="3"/>
  <c r="K19" i="3"/>
  <c r="K13" i="3"/>
  <c r="K14" i="3"/>
  <c r="K15" i="3"/>
  <c r="K16" i="3"/>
  <c r="K17" i="3"/>
  <c r="K12" i="3"/>
  <c r="AD9" i="6"/>
  <c r="AD3" i="6"/>
  <c r="AD4" i="6"/>
  <c r="AD20" i="6"/>
  <c r="AD32" i="6"/>
  <c r="AD12" i="6"/>
  <c r="AD15" i="6"/>
  <c r="AD5" i="6"/>
  <c r="AA4" i="6"/>
  <c r="AA6" i="6"/>
  <c r="AA7" i="6"/>
  <c r="AA31" i="6"/>
  <c r="AA18" i="6"/>
  <c r="P7" i="6"/>
  <c r="P9" i="6"/>
  <c r="P6" i="6"/>
  <c r="P19" i="6"/>
  <c r="P12" i="6"/>
  <c r="P14" i="6"/>
  <c r="P3" i="6"/>
  <c r="R7" i="6"/>
  <c r="R4" i="6"/>
  <c r="R17" i="6"/>
  <c r="R27" i="6"/>
  <c r="R20" i="6"/>
  <c r="R8" i="6"/>
  <c r="V9" i="6"/>
  <c r="V3" i="6"/>
  <c r="V12" i="6"/>
  <c r="V15" i="6"/>
  <c r="V29" i="6"/>
  <c r="V20" i="6"/>
  <c r="V24" i="6"/>
  <c r="V31" i="6"/>
  <c r="S4" i="6"/>
  <c r="S6" i="6"/>
  <c r="S3" i="6"/>
  <c r="S17" i="6"/>
  <c r="S31" i="6"/>
  <c r="S26" i="6"/>
  <c r="Z7" i="6"/>
  <c r="Z8" i="6"/>
  <c r="Z17" i="6"/>
  <c r="Z32" i="6"/>
  <c r="Z3" i="6"/>
  <c r="Z11" i="6"/>
  <c r="Z14" i="6"/>
  <c r="AB3" i="6"/>
  <c r="AB6" i="6"/>
  <c r="AB24" i="6"/>
  <c r="AB28" i="6"/>
  <c r="AB4" i="6"/>
  <c r="AB8" i="6"/>
  <c r="X7" i="6"/>
  <c r="X9" i="6"/>
  <c r="X22" i="6"/>
  <c r="X26" i="6"/>
  <c r="X32" i="6"/>
  <c r="X3" i="6"/>
  <c r="Y6" i="6"/>
  <c r="Y8" i="6"/>
  <c r="Y9" i="6"/>
  <c r="Y26" i="6"/>
  <c r="Y4" i="6"/>
  <c r="Y20" i="6"/>
  <c r="Y7" i="6"/>
  <c r="Y11" i="6"/>
  <c r="Q6" i="6"/>
  <c r="Q8" i="6"/>
  <c r="Q18" i="6"/>
  <c r="Q3" i="6"/>
  <c r="Q20" i="6"/>
  <c r="Q9" i="6"/>
  <c r="Q11" i="6"/>
  <c r="AF7" i="6"/>
  <c r="AF9" i="6"/>
  <c r="AF12" i="6"/>
  <c r="AF14" i="6"/>
  <c r="AF28" i="6"/>
  <c r="AF26" i="6"/>
  <c r="AF32" i="6"/>
  <c r="T3" i="6"/>
  <c r="T20" i="6"/>
  <c r="T26" i="6"/>
  <c r="T30" i="6"/>
  <c r="T17" i="6"/>
  <c r="N9" i="6"/>
  <c r="N3" i="6"/>
  <c r="N13" i="6"/>
  <c r="N20" i="6"/>
  <c r="N31" i="6"/>
  <c r="N4" i="6"/>
  <c r="N15" i="6"/>
  <c r="AE8" i="6"/>
  <c r="AE3" i="6"/>
  <c r="AE22" i="6"/>
  <c r="AE27" i="6"/>
  <c r="AE20" i="6"/>
  <c r="AE28" i="6"/>
  <c r="AE30" i="6"/>
  <c r="W8" i="6"/>
  <c r="W11" i="6"/>
  <c r="W19" i="6"/>
  <c r="W25" i="6"/>
  <c r="W28" i="6"/>
  <c r="AD17" i="6"/>
  <c r="AD11" i="6"/>
  <c r="AD14" i="6"/>
  <c r="AD31" i="6"/>
  <c r="AD29" i="6"/>
  <c r="AD16" i="6"/>
  <c r="AD26" i="6"/>
  <c r="AA12" i="6"/>
  <c r="AA14" i="6"/>
  <c r="AA17" i="6"/>
  <c r="AA11" i="6"/>
  <c r="AA15" i="6"/>
  <c r="AA19" i="6"/>
  <c r="AA26" i="6"/>
  <c r="P15" i="6"/>
  <c r="P17" i="6"/>
  <c r="P18" i="6"/>
  <c r="P29" i="6"/>
  <c r="P22" i="6"/>
  <c r="P32" i="6"/>
  <c r="P16" i="6"/>
  <c r="P27" i="6"/>
  <c r="R13" i="6"/>
  <c r="R15" i="6"/>
  <c r="R16" i="6"/>
  <c r="R11" i="6"/>
  <c r="R18" i="6"/>
  <c r="R22" i="6"/>
  <c r="R30" i="6"/>
  <c r="V17" i="6"/>
  <c r="V11" i="6"/>
  <c r="V22" i="6"/>
  <c r="V28" i="6"/>
  <c r="V6" i="6"/>
  <c r="V8" i="6"/>
  <c r="V13" i="6"/>
  <c r="S12" i="6"/>
  <c r="S15" i="6"/>
  <c r="S29" i="6"/>
  <c r="S8" i="6"/>
  <c r="S23" i="6"/>
  <c r="S13" i="6"/>
  <c r="Z13" i="6"/>
  <c r="Z15" i="6"/>
  <c r="Z18" i="6"/>
  <c r="Z30" i="6"/>
  <c r="Z9" i="6"/>
  <c r="Z25" i="6"/>
  <c r="Z27" i="6"/>
  <c r="Z16" i="6"/>
  <c r="AB11" i="6"/>
  <c r="AB13" i="6"/>
  <c r="AB16" i="6"/>
  <c r="AB14" i="6"/>
  <c r="AB18" i="6"/>
  <c r="AB22" i="6"/>
  <c r="AB30" i="6"/>
  <c r="AB32" i="6"/>
  <c r="X15" i="6"/>
  <c r="X17" i="6"/>
  <c r="X20" i="6"/>
  <c r="X12" i="6"/>
  <c r="X8" i="6"/>
  <c r="X16" i="6"/>
  <c r="X19" i="6"/>
  <c r="X27" i="6"/>
  <c r="Y14" i="6"/>
  <c r="Y16" i="6"/>
  <c r="Y19" i="6"/>
  <c r="Y3" i="6"/>
  <c r="Y17" i="6"/>
  <c r="Y25" i="6"/>
  <c r="Q16" i="6"/>
  <c r="Q17" i="6"/>
  <c r="Q28" i="6"/>
  <c r="Q19" i="6"/>
  <c r="Q26" i="6"/>
  <c r="Q12" i="6"/>
  <c r="AF15" i="6"/>
  <c r="AF17" i="6"/>
  <c r="AF22" i="6"/>
  <c r="AF27" i="6"/>
  <c r="AF5" i="6"/>
  <c r="AF6" i="6"/>
  <c r="AF13" i="6"/>
  <c r="T11" i="6"/>
  <c r="T13" i="6"/>
  <c r="T24" i="6"/>
  <c r="T32" i="6"/>
  <c r="T7" i="6"/>
  <c r="T15" i="6"/>
  <c r="T18" i="6"/>
  <c r="N17" i="6"/>
  <c r="N11" i="6"/>
  <c r="N23" i="6"/>
  <c r="N30" i="6"/>
  <c r="N7" i="6"/>
  <c r="N14" i="6"/>
  <c r="N32" i="6"/>
  <c r="N16" i="6"/>
  <c r="AE16" i="6"/>
  <c r="AE18" i="6"/>
  <c r="AE13" i="6"/>
  <c r="AE12" i="6"/>
  <c r="AE17" i="6"/>
  <c r="AE5" i="6"/>
  <c r="AE7" i="6"/>
  <c r="AE15" i="6"/>
  <c r="W16" i="6"/>
  <c r="W18" i="6"/>
  <c r="W30" i="6"/>
  <c r="W9" i="6"/>
  <c r="AD25" i="6"/>
  <c r="AD19" i="6"/>
  <c r="AD24" i="6"/>
  <c r="AD8" i="6"/>
  <c r="AD22" i="6"/>
  <c r="AD13" i="6"/>
  <c r="AD18" i="6"/>
  <c r="AD6" i="6"/>
  <c r="AA20" i="6"/>
  <c r="AA22" i="6"/>
  <c r="AA27" i="6"/>
  <c r="AA24" i="6"/>
  <c r="AA32" i="6"/>
  <c r="AA3" i="6"/>
  <c r="AA8" i="6"/>
  <c r="P23" i="6"/>
  <c r="P25" i="6"/>
  <c r="P11" i="6"/>
  <c r="P13" i="6"/>
  <c r="P20" i="6"/>
  <c r="P4" i="6"/>
  <c r="R23" i="6"/>
  <c r="R26" i="6"/>
  <c r="R25" i="6"/>
  <c r="R28" i="6"/>
  <c r="R3" i="6"/>
  <c r="R9" i="6"/>
  <c r="V25" i="6"/>
  <c r="V19" i="6"/>
  <c r="V32" i="6"/>
  <c r="V18" i="6"/>
  <c r="V23" i="6"/>
  <c r="V26" i="6"/>
  <c r="S20" i="6"/>
  <c r="S22" i="6"/>
  <c r="S25" i="6"/>
  <c r="S7" i="6"/>
  <c r="S19" i="6"/>
  <c r="S24" i="6"/>
  <c r="S27" i="6"/>
  <c r="Z23" i="6"/>
  <c r="Z28" i="6"/>
  <c r="Z6" i="6"/>
  <c r="Z20" i="6"/>
  <c r="Z12" i="6"/>
  <c r="Z22" i="6"/>
  <c r="AB19" i="6"/>
  <c r="AB26" i="6"/>
  <c r="AB25" i="6"/>
  <c r="AB7" i="6"/>
  <c r="AB9" i="6"/>
  <c r="AB17" i="6"/>
  <c r="X23" i="6"/>
  <c r="X25" i="6"/>
  <c r="X30" i="6"/>
  <c r="X24" i="6"/>
  <c r="X29" i="6"/>
  <c r="X4" i="6"/>
  <c r="X6" i="6"/>
  <c r="Y22" i="6"/>
  <c r="Y24" i="6"/>
  <c r="Y29" i="6"/>
  <c r="Y15" i="6"/>
  <c r="Y28" i="6"/>
  <c r="Y12" i="6"/>
  <c r="Q22" i="6"/>
  <c r="Q24" i="6"/>
  <c r="Q27" i="6"/>
  <c r="Q15" i="6"/>
  <c r="Q23" i="6"/>
  <c r="Q13" i="6"/>
  <c r="AF23" i="6"/>
  <c r="AF25" i="6"/>
  <c r="AF4" i="6"/>
  <c r="AF18" i="6"/>
  <c r="AF24" i="6"/>
  <c r="AF30" i="6"/>
  <c r="AF19" i="6"/>
  <c r="T19" i="6"/>
  <c r="T9" i="6"/>
  <c r="T23" i="6"/>
  <c r="T28" i="6"/>
  <c r="T31" i="6"/>
  <c r="T4" i="6"/>
  <c r="N25" i="6"/>
  <c r="N19" i="6"/>
  <c r="N26" i="6"/>
  <c r="N29" i="6"/>
  <c r="N18" i="6"/>
  <c r="AE24" i="6"/>
  <c r="AE26" i="6"/>
  <c r="AE23" i="6"/>
  <c r="AE25" i="6"/>
  <c r="AE19" i="6"/>
  <c r="AE29" i="6"/>
  <c r="AE31" i="6"/>
  <c r="W24" i="6"/>
  <c r="W26" i="6"/>
  <c r="W31" i="6"/>
  <c r="W7" i="6"/>
  <c r="W22" i="6"/>
  <c r="AA28" i="6"/>
  <c r="AA13" i="6"/>
  <c r="P31" i="6"/>
  <c r="P24" i="6"/>
  <c r="R29" i="6"/>
  <c r="V30" i="6"/>
  <c r="S28" i="6"/>
  <c r="S32" i="6"/>
  <c r="Z29" i="6"/>
  <c r="AB27" i="6"/>
  <c r="AB20" i="6"/>
  <c r="X31" i="6"/>
  <c r="X14" i="6"/>
  <c r="Y30" i="6"/>
  <c r="Y18" i="6"/>
  <c r="Q30" i="6"/>
  <c r="Q4" i="6"/>
  <c r="AF31" i="6"/>
  <c r="AF29" i="6"/>
  <c r="T27" i="6"/>
  <c r="T6" i="6"/>
  <c r="N12" i="6"/>
  <c r="AE32" i="6"/>
  <c r="AE4" i="6"/>
  <c r="W32" i="6"/>
  <c r="W4" i="6"/>
  <c r="W13" i="6"/>
  <c r="W17" i="6"/>
  <c r="O16" i="6"/>
  <c r="O18" i="6"/>
  <c r="O7" i="6"/>
  <c r="O20" i="6"/>
  <c r="O13" i="6"/>
  <c r="O4" i="6"/>
  <c r="O6" i="6"/>
  <c r="AC18" i="6"/>
  <c r="AC12" i="6"/>
  <c r="AC15" i="6"/>
  <c r="AC29" i="6"/>
  <c r="AC7" i="6"/>
  <c r="AC8" i="6"/>
  <c r="AC11" i="6"/>
  <c r="AC14" i="6"/>
  <c r="U18" i="6"/>
  <c r="U12" i="6"/>
  <c r="U23" i="6"/>
  <c r="U14" i="6"/>
  <c r="U27" i="6"/>
  <c r="U32" i="6"/>
  <c r="U29" i="6"/>
  <c r="M18" i="6"/>
  <c r="M12" i="6"/>
  <c r="M14" i="6"/>
  <c r="M31" i="6"/>
  <c r="M7" i="6"/>
  <c r="M13" i="6"/>
  <c r="M6" i="6"/>
  <c r="M19" i="6"/>
  <c r="L18" i="6"/>
  <c r="L20" i="6"/>
  <c r="L22" i="6"/>
  <c r="L23" i="6"/>
  <c r="L24" i="6"/>
  <c r="L25" i="6"/>
  <c r="L11" i="6"/>
  <c r="L6" i="6"/>
  <c r="L9" i="6"/>
  <c r="L27" i="6"/>
  <c r="AA23" i="6"/>
  <c r="R12" i="6"/>
  <c r="V14" i="6"/>
  <c r="S16" i="6"/>
  <c r="AB15" i="6"/>
  <c r="X28" i="6"/>
  <c r="Q31" i="6"/>
  <c r="AF20" i="6"/>
  <c r="T25" i="6"/>
  <c r="AE14" i="6"/>
  <c r="W12" i="6"/>
  <c r="O8" i="6"/>
  <c r="O9" i="6"/>
  <c r="O23" i="6"/>
  <c r="AC5" i="6"/>
  <c r="AC23" i="6"/>
  <c r="U24" i="6"/>
  <c r="L13" i="6"/>
  <c r="L15" i="6"/>
  <c r="L3" i="6"/>
  <c r="AD27" i="6"/>
  <c r="AD30" i="6"/>
  <c r="AA30" i="6"/>
  <c r="AA16" i="6"/>
  <c r="R31" i="6"/>
  <c r="R19" i="6"/>
  <c r="V27" i="6"/>
  <c r="V7" i="6"/>
  <c r="S30" i="6"/>
  <c r="S9" i="6"/>
  <c r="Z31" i="6"/>
  <c r="Z26" i="6"/>
  <c r="AB29" i="6"/>
  <c r="AB23" i="6"/>
  <c r="X18" i="6"/>
  <c r="Y32" i="6"/>
  <c r="Y23" i="6"/>
  <c r="Q32" i="6"/>
  <c r="Q25" i="6"/>
  <c r="AF8" i="6"/>
  <c r="T29" i="6"/>
  <c r="T12" i="6"/>
  <c r="N27" i="6"/>
  <c r="N24" i="6"/>
  <c r="AE6" i="6"/>
  <c r="W29" i="6"/>
  <c r="W3" i="6"/>
  <c r="O24" i="6"/>
  <c r="O26" i="6"/>
  <c r="O19" i="6"/>
  <c r="O30" i="6"/>
  <c r="O27" i="6"/>
  <c r="O22" i="6"/>
  <c r="O31" i="6"/>
  <c r="O15" i="6"/>
  <c r="AC26" i="6"/>
  <c r="AC20" i="6"/>
  <c r="AC25" i="6"/>
  <c r="AC6" i="6"/>
  <c r="AC19" i="6"/>
  <c r="AC24" i="6"/>
  <c r="AC32" i="6"/>
  <c r="U26" i="6"/>
  <c r="U20" i="6"/>
  <c r="U25" i="6"/>
  <c r="U9" i="6"/>
  <c r="U17" i="6"/>
  <c r="U6" i="6"/>
  <c r="U8" i="6"/>
  <c r="M26" i="6"/>
  <c r="M20" i="6"/>
  <c r="M24" i="6"/>
  <c r="M11" i="6"/>
  <c r="M25" i="6"/>
  <c r="M29" i="6"/>
  <c r="M15" i="6"/>
  <c r="M23" i="6"/>
  <c r="L26" i="6"/>
  <c r="L29" i="6"/>
  <c r="L30" i="6"/>
  <c r="L31" i="6"/>
  <c r="L32" i="6"/>
  <c r="L19" i="6"/>
  <c r="L8" i="6"/>
  <c r="R32" i="6"/>
  <c r="S18" i="6"/>
  <c r="Z24" i="6"/>
  <c r="X13" i="6"/>
  <c r="AF16" i="6"/>
  <c r="T22" i="6"/>
  <c r="N22" i="6"/>
  <c r="W20" i="6"/>
  <c r="O25" i="6"/>
  <c r="AC4" i="6"/>
  <c r="AC30" i="6"/>
  <c r="U13" i="6"/>
  <c r="U16" i="6"/>
  <c r="M4" i="6"/>
  <c r="M32" i="6"/>
  <c r="M17" i="6"/>
  <c r="L12" i="6"/>
  <c r="L14" i="6"/>
  <c r="L17" i="6"/>
  <c r="AD7" i="6"/>
  <c r="AD23" i="6"/>
  <c r="AA9" i="6"/>
  <c r="AA25" i="6"/>
  <c r="P8" i="6"/>
  <c r="P26" i="6"/>
  <c r="R6" i="6"/>
  <c r="R24" i="6"/>
  <c r="V4" i="6"/>
  <c r="S11" i="6"/>
  <c r="Z4" i="6"/>
  <c r="AB12" i="6"/>
  <c r="AB31" i="6"/>
  <c r="X11" i="6"/>
  <c r="Y13" i="6"/>
  <c r="Y31" i="6"/>
  <c r="Q7" i="6"/>
  <c r="Q29" i="6"/>
  <c r="AF3" i="6"/>
  <c r="AF11" i="6"/>
  <c r="T8" i="6"/>
  <c r="T16" i="6"/>
  <c r="N8" i="6"/>
  <c r="N6" i="6"/>
  <c r="AE11" i="6"/>
  <c r="AE9" i="6"/>
  <c r="W6" i="6"/>
  <c r="W27" i="6"/>
  <c r="W14" i="6"/>
  <c r="W23" i="6"/>
  <c r="O32" i="6"/>
  <c r="O29" i="6"/>
  <c r="O11" i="6"/>
  <c r="O14" i="6"/>
  <c r="O3" i="6"/>
  <c r="O17" i="6"/>
  <c r="AC28" i="6"/>
  <c r="AC3" i="6"/>
  <c r="AC17" i="6"/>
  <c r="AC31" i="6"/>
  <c r="AC9" i="6"/>
  <c r="AC13" i="6"/>
  <c r="AC22" i="6"/>
  <c r="U28" i="6"/>
  <c r="U11" i="6"/>
  <c r="U3" i="6"/>
  <c r="U31" i="6"/>
  <c r="U19" i="6"/>
  <c r="U22" i="6"/>
  <c r="U30" i="6"/>
  <c r="M9" i="6"/>
  <c r="M22" i="6"/>
  <c r="M8" i="6"/>
  <c r="M16" i="6"/>
  <c r="M30" i="6"/>
  <c r="L4" i="6"/>
  <c r="L7" i="6"/>
  <c r="AD28" i="6"/>
  <c r="AA29" i="6"/>
  <c r="P30" i="6"/>
  <c r="V16" i="6"/>
  <c r="Z19" i="6"/>
  <c r="Y27" i="6"/>
  <c r="W15" i="6"/>
  <c r="O12" i="6"/>
  <c r="AC16" i="6"/>
  <c r="AC27" i="6"/>
  <c r="U4" i="6"/>
  <c r="U15" i="6"/>
  <c r="U7" i="6"/>
  <c r="M3" i="6"/>
  <c r="M27" i="6"/>
  <c r="L16" i="6"/>
  <c r="BW42" i="2" l="1"/>
  <c r="J119" i="5"/>
  <c r="L120" i="5"/>
  <c r="L118" i="5"/>
  <c r="L119" i="5"/>
  <c r="M119" i="5"/>
  <c r="J109" i="5"/>
  <c r="M118" i="5"/>
  <c r="J120" i="5"/>
  <c r="K120" i="5"/>
  <c r="M113" i="5"/>
  <c r="M115" i="5"/>
  <c r="J98" i="5"/>
  <c r="J108" i="5"/>
  <c r="J118" i="5"/>
  <c r="M114" i="5"/>
  <c r="K119" i="5"/>
  <c r="M120" i="5"/>
  <c r="K118" i="5"/>
  <c r="K113" i="5"/>
  <c r="K115" i="5"/>
  <c r="L113" i="5"/>
  <c r="L115" i="5"/>
  <c r="K109" i="5"/>
  <c r="J110" i="5"/>
  <c r="J114" i="5"/>
  <c r="K108" i="5"/>
  <c r="L114" i="5"/>
  <c r="M109" i="5"/>
  <c r="M110" i="5"/>
  <c r="J115" i="5"/>
  <c r="M105" i="5"/>
  <c r="K114" i="5"/>
  <c r="L109" i="5"/>
  <c r="L108" i="5"/>
  <c r="J97" i="5"/>
  <c r="K110" i="5"/>
  <c r="L110" i="5"/>
  <c r="M108" i="5"/>
  <c r="J113" i="5"/>
  <c r="K92" i="5"/>
  <c r="K104" i="5"/>
  <c r="M103" i="5"/>
  <c r="K97" i="5"/>
  <c r="J105" i="5"/>
  <c r="K103" i="5"/>
  <c r="J93" i="5"/>
  <c r="K105" i="5"/>
  <c r="K99" i="5"/>
  <c r="L103" i="5"/>
  <c r="M104" i="5"/>
  <c r="L105" i="5"/>
  <c r="J104" i="5"/>
  <c r="L99" i="5"/>
  <c r="L104" i="5"/>
  <c r="K98" i="5"/>
  <c r="L97" i="5"/>
  <c r="M94" i="5"/>
  <c r="M99" i="5"/>
  <c r="L98" i="5"/>
  <c r="M98" i="5"/>
  <c r="J103" i="5"/>
  <c r="M97" i="5"/>
  <c r="J92" i="5"/>
  <c r="M93" i="5"/>
  <c r="K87" i="5"/>
  <c r="K88" i="5"/>
  <c r="K89" i="5"/>
  <c r="M92" i="5"/>
  <c r="J99" i="5"/>
  <c r="K94" i="5"/>
  <c r="L92" i="5"/>
  <c r="L94" i="5"/>
  <c r="M82" i="5"/>
  <c r="M84" i="5"/>
  <c r="K93" i="5"/>
  <c r="J87" i="5"/>
  <c r="M89" i="5"/>
  <c r="J94" i="5"/>
  <c r="L93" i="5"/>
  <c r="M88" i="5"/>
  <c r="M87" i="5"/>
  <c r="L89" i="5"/>
  <c r="J88" i="5"/>
  <c r="L88" i="5"/>
  <c r="J89" i="5"/>
  <c r="J83" i="5"/>
  <c r="K82" i="5"/>
  <c r="K83" i="5"/>
  <c r="K84" i="5"/>
  <c r="L87" i="5"/>
  <c r="J84" i="5"/>
  <c r="L82" i="5"/>
  <c r="L83" i="5"/>
  <c r="L84" i="5"/>
  <c r="M83" i="5"/>
  <c r="J82" i="5"/>
  <c r="K77" i="5"/>
  <c r="L76" i="5"/>
  <c r="M73" i="5"/>
  <c r="L77" i="5"/>
  <c r="J68" i="5"/>
  <c r="J78" i="5"/>
  <c r="J71" i="5"/>
  <c r="M76" i="5"/>
  <c r="L78" i="5"/>
  <c r="J77" i="5"/>
  <c r="M78" i="5"/>
  <c r="K78" i="5"/>
  <c r="J76" i="5"/>
  <c r="K76" i="5"/>
  <c r="L67" i="5"/>
  <c r="M77" i="5"/>
  <c r="L72" i="5"/>
  <c r="M72" i="5"/>
  <c r="K61" i="5"/>
  <c r="M71" i="5"/>
  <c r="J67" i="5"/>
  <c r="K62" i="5"/>
  <c r="K71" i="5"/>
  <c r="J73" i="5"/>
  <c r="K73" i="5"/>
  <c r="J66" i="5"/>
  <c r="J72" i="5"/>
  <c r="L71" i="5"/>
  <c r="L73" i="5"/>
  <c r="L68" i="5"/>
  <c r="K67" i="5"/>
  <c r="M66" i="5"/>
  <c r="K68" i="5"/>
  <c r="K72" i="5"/>
  <c r="M68" i="5"/>
  <c r="K66" i="5"/>
  <c r="M67" i="5"/>
  <c r="L66" i="5"/>
  <c r="L62" i="5"/>
  <c r="M63" i="5"/>
  <c r="L61" i="5"/>
  <c r="J63" i="5"/>
  <c r="M62" i="5"/>
  <c r="M61" i="5"/>
  <c r="K63" i="5"/>
  <c r="L63" i="5"/>
  <c r="J62" i="5"/>
  <c r="J61" i="5"/>
  <c r="BW45" i="2"/>
  <c r="BW43" i="2"/>
  <c r="BW44" i="2"/>
  <c r="AG119" i="5"/>
  <c r="AH113" i="5"/>
  <c r="AE118" i="5"/>
  <c r="AE120" i="5"/>
  <c r="AE119" i="5"/>
  <c r="AF118" i="5"/>
  <c r="AF120" i="5"/>
  <c r="AH118" i="5"/>
  <c r="AH120" i="5"/>
  <c r="AG113" i="5"/>
  <c r="AG120" i="5"/>
  <c r="AF113" i="5"/>
  <c r="AE114" i="5"/>
  <c r="AH115" i="5"/>
  <c r="AF119" i="5"/>
  <c r="AH119" i="5"/>
  <c r="AE108" i="5"/>
  <c r="AG110" i="5"/>
  <c r="AF114" i="5"/>
  <c r="AE115" i="5"/>
  <c r="AG118" i="5"/>
  <c r="AE113" i="5"/>
  <c r="AH114" i="5"/>
  <c r="AG115" i="5"/>
  <c r="AF110" i="5"/>
  <c r="AF115" i="5"/>
  <c r="AH108" i="5"/>
  <c r="AE109" i="5"/>
  <c r="AH110" i="5"/>
  <c r="AG114" i="5"/>
  <c r="AF109" i="5"/>
  <c r="AE110" i="5"/>
  <c r="AH109" i="5"/>
  <c r="AF108" i="5"/>
  <c r="AG108" i="5"/>
  <c r="AG109" i="5"/>
  <c r="AE98" i="5"/>
  <c r="AH103" i="5"/>
  <c r="AH104" i="5"/>
  <c r="AH105" i="5"/>
  <c r="AE104" i="5"/>
  <c r="AF103" i="5"/>
  <c r="AF105" i="5"/>
  <c r="AG103" i="5"/>
  <c r="AG105" i="5"/>
  <c r="AE103" i="5"/>
  <c r="AE105" i="5"/>
  <c r="AG83" i="5"/>
  <c r="AE87" i="5"/>
  <c r="AF89" i="5"/>
  <c r="AE93" i="5"/>
  <c r="AF97" i="5"/>
  <c r="AG99" i="5"/>
  <c r="AE97" i="5"/>
  <c r="AF98" i="5"/>
  <c r="AE99" i="5"/>
  <c r="AF104" i="5"/>
  <c r="AE84" i="5"/>
  <c r="AG88" i="5"/>
  <c r="AF92" i="5"/>
  <c r="AH94" i="5"/>
  <c r="AH98" i="5"/>
  <c r="AG104" i="5"/>
  <c r="AH97" i="5"/>
  <c r="AH99" i="5"/>
  <c r="AG98" i="5"/>
  <c r="AE92" i="5"/>
  <c r="AF94" i="5"/>
  <c r="AF99" i="5"/>
  <c r="AE94" i="5"/>
  <c r="AG97" i="5"/>
  <c r="AH93" i="5"/>
  <c r="AH92" i="5"/>
  <c r="AG92" i="5"/>
  <c r="AG94" i="5"/>
  <c r="AF88" i="5"/>
  <c r="AH88" i="5"/>
  <c r="AG93" i="5"/>
  <c r="AH87" i="5"/>
  <c r="AE89" i="5"/>
  <c r="AF93" i="5"/>
  <c r="AE88" i="5"/>
  <c r="AH89" i="5"/>
  <c r="AG89" i="5"/>
  <c r="AE77" i="5"/>
  <c r="AE82" i="5"/>
  <c r="AH83" i="5"/>
  <c r="AF84" i="5"/>
  <c r="AG87" i="5"/>
  <c r="AF83" i="5"/>
  <c r="AF87" i="5"/>
  <c r="AF82" i="5"/>
  <c r="AE83" i="5"/>
  <c r="AH82" i="5"/>
  <c r="AH84" i="5"/>
  <c r="AG66" i="5"/>
  <c r="AF71" i="5"/>
  <c r="AG73" i="5"/>
  <c r="AG77" i="5"/>
  <c r="AG82" i="5"/>
  <c r="AG84" i="5"/>
  <c r="AE76" i="5"/>
  <c r="AF77" i="5"/>
  <c r="AE78" i="5"/>
  <c r="AF67" i="5"/>
  <c r="AE72" i="5"/>
  <c r="AF76" i="5"/>
  <c r="AF78" i="5"/>
  <c r="AH76" i="5"/>
  <c r="AH78" i="5"/>
  <c r="AG76" i="5"/>
  <c r="AG78" i="5"/>
  <c r="AH72" i="5"/>
  <c r="AE73" i="5"/>
  <c r="AH77" i="5"/>
  <c r="AE71" i="5"/>
  <c r="AF73" i="5"/>
  <c r="AH71" i="5"/>
  <c r="AG71" i="5"/>
  <c r="AG72" i="5"/>
  <c r="AF66" i="5"/>
  <c r="AE61" i="5"/>
  <c r="AH66" i="5"/>
  <c r="AG67" i="5"/>
  <c r="AE68" i="5"/>
  <c r="AH73" i="5"/>
  <c r="AE67" i="5"/>
  <c r="AF72" i="5"/>
  <c r="AE66" i="5"/>
  <c r="AF68" i="5"/>
  <c r="AH68" i="5"/>
  <c r="AH61" i="5"/>
  <c r="AE63" i="5"/>
  <c r="AG68" i="5"/>
  <c r="AF61" i="5"/>
  <c r="AE62" i="5"/>
  <c r="AH63" i="5"/>
  <c r="AH67" i="5"/>
  <c r="AF55" i="5"/>
  <c r="AF57" i="5"/>
  <c r="AF62" i="5"/>
  <c r="AH62" i="5"/>
  <c r="AG61" i="5"/>
  <c r="AG63" i="5"/>
  <c r="AE55" i="5"/>
  <c r="AF63" i="5"/>
  <c r="AE52" i="5"/>
  <c r="AG55" i="5"/>
  <c r="AE56" i="5"/>
  <c r="AG57" i="5"/>
  <c r="AG62" i="5"/>
  <c r="AE57" i="5"/>
  <c r="AH55" i="5"/>
  <c r="AH56" i="5"/>
  <c r="AH57" i="5"/>
  <c r="AF45" i="5"/>
  <c r="AG47" i="5"/>
  <c r="AF50" i="5"/>
  <c r="AE51" i="5"/>
  <c r="AH52" i="5"/>
  <c r="AG56" i="5"/>
  <c r="AE50" i="5"/>
  <c r="AH51" i="5"/>
  <c r="AF52" i="5"/>
  <c r="AF56" i="5"/>
  <c r="AH50" i="5"/>
  <c r="AG50" i="5"/>
  <c r="AG52" i="5"/>
  <c r="AF36" i="5"/>
  <c r="AF40" i="5"/>
  <c r="AF41" i="5"/>
  <c r="AE42" i="5"/>
  <c r="AG45" i="5"/>
  <c r="AE46" i="5"/>
  <c r="AH47" i="5"/>
  <c r="AG51" i="5"/>
  <c r="AE45" i="5"/>
  <c r="AF47" i="5"/>
  <c r="AF51" i="5"/>
  <c r="AF46" i="5"/>
  <c r="AE47" i="5"/>
  <c r="AH41" i="5"/>
  <c r="AG41" i="5"/>
  <c r="AH45" i="5"/>
  <c r="AH46" i="5"/>
  <c r="AF42" i="5"/>
  <c r="AG46" i="5"/>
  <c r="AH42" i="5"/>
  <c r="AE41" i="5"/>
  <c r="AH40" i="5"/>
  <c r="AG42" i="5"/>
  <c r="AE40" i="5"/>
  <c r="AG40" i="5"/>
  <c r="AF30" i="5"/>
  <c r="AF31" i="5"/>
  <c r="AG34" i="5"/>
  <c r="AG35" i="5"/>
  <c r="AG36" i="5"/>
  <c r="AE35" i="5"/>
  <c r="AE34" i="5"/>
  <c r="AE30" i="5"/>
  <c r="AF34" i="5"/>
  <c r="AF35" i="5"/>
  <c r="AF29" i="5"/>
  <c r="AE36" i="5"/>
  <c r="AG25" i="5"/>
  <c r="AG30" i="5"/>
  <c r="AG31" i="5"/>
  <c r="AG29" i="5"/>
  <c r="AE19" i="5"/>
  <c r="AE31" i="5"/>
  <c r="AE18" i="5"/>
  <c r="AE20" i="5"/>
  <c r="AE26" i="5"/>
  <c r="AE29" i="5"/>
  <c r="AE15" i="5"/>
  <c r="AF24" i="5"/>
  <c r="AE25" i="5"/>
  <c r="AF26" i="5"/>
  <c r="AF25" i="5"/>
  <c r="AG26" i="5"/>
  <c r="AG24" i="5"/>
  <c r="AE24" i="5"/>
  <c r="AF20" i="5"/>
  <c r="AF18" i="5"/>
  <c r="AF19" i="5"/>
  <c r="AE14" i="5"/>
  <c r="AF15" i="5"/>
  <c r="AF14" i="5"/>
  <c r="AF13" i="5"/>
  <c r="AE13" i="5"/>
  <c r="J55" i="5"/>
  <c r="K57" i="5"/>
  <c r="K56" i="5"/>
  <c r="K55" i="5"/>
  <c r="J56" i="5"/>
  <c r="L55" i="5"/>
  <c r="L56" i="5"/>
  <c r="L57" i="5"/>
  <c r="J50" i="5"/>
  <c r="L51" i="5"/>
  <c r="M56" i="5"/>
  <c r="M57" i="5"/>
  <c r="J57" i="5"/>
  <c r="L50" i="5"/>
  <c r="J52" i="5"/>
  <c r="K50" i="5"/>
  <c r="M55" i="5"/>
  <c r="M50" i="5"/>
  <c r="J51" i="5"/>
  <c r="M51" i="5"/>
  <c r="M52" i="5"/>
  <c r="K51" i="5"/>
  <c r="L34" i="5"/>
  <c r="J45" i="5"/>
  <c r="K45" i="5"/>
  <c r="M40" i="5"/>
  <c r="M41" i="5"/>
  <c r="J46" i="5"/>
  <c r="M42" i="5"/>
  <c r="J47" i="5"/>
  <c r="L52" i="5"/>
  <c r="K52" i="5"/>
  <c r="K46" i="5"/>
  <c r="K47" i="5"/>
  <c r="M45" i="5"/>
  <c r="M47" i="5"/>
  <c r="K41" i="5"/>
  <c r="L42" i="5"/>
  <c r="L45" i="5"/>
  <c r="L47" i="5"/>
  <c r="M46" i="5"/>
  <c r="L46" i="5"/>
  <c r="J42" i="5"/>
  <c r="J40" i="5"/>
  <c r="K42" i="5"/>
  <c r="L41" i="5"/>
  <c r="J41" i="5"/>
  <c r="L40" i="5"/>
  <c r="K40" i="5"/>
  <c r="L35" i="5"/>
  <c r="L36" i="5"/>
  <c r="K35" i="5"/>
  <c r="K36" i="5"/>
  <c r="J29" i="5"/>
  <c r="K34" i="5"/>
  <c r="L30" i="5"/>
  <c r="L31" i="5"/>
  <c r="J36" i="5"/>
  <c r="J35" i="5"/>
  <c r="J25" i="5"/>
  <c r="J26" i="5"/>
  <c r="J31" i="5"/>
  <c r="J34" i="5"/>
  <c r="K29" i="5"/>
  <c r="J30" i="5"/>
  <c r="K31" i="5"/>
  <c r="L29" i="5"/>
  <c r="K30" i="5"/>
  <c r="L25" i="5"/>
  <c r="L26" i="5"/>
  <c r="K26" i="5"/>
  <c r="K25" i="5"/>
  <c r="L24" i="5"/>
  <c r="K24" i="5"/>
  <c r="J24" i="5"/>
  <c r="J18" i="5"/>
  <c r="J19" i="5"/>
  <c r="J20" i="5"/>
  <c r="K19" i="5"/>
  <c r="K18" i="5"/>
  <c r="K20" i="5"/>
  <c r="P158" i="5"/>
  <c r="K15" i="5"/>
  <c r="J13" i="5"/>
  <c r="J15" i="5"/>
  <c r="K14" i="5"/>
  <c r="J14" i="5"/>
  <c r="K13" i="5"/>
  <c r="U157" i="5"/>
  <c r="Z159" i="5"/>
  <c r="P157" i="5"/>
  <c r="R158" i="5"/>
  <c r="Z157" i="5"/>
  <c r="Q159" i="5"/>
  <c r="U159" i="5"/>
  <c r="R159" i="5"/>
  <c r="T158" i="5"/>
  <c r="X158" i="5"/>
  <c r="Q158" i="5"/>
  <c r="V158" i="5"/>
  <c r="Y158" i="5"/>
  <c r="T159" i="5"/>
  <c r="X159" i="5"/>
  <c r="V159" i="5"/>
  <c r="Y159" i="5"/>
  <c r="J50" i="2"/>
  <c r="B57" i="2"/>
  <c r="B58" i="2"/>
  <c r="B59" i="2"/>
  <c r="B60" i="2"/>
  <c r="N60" i="2"/>
  <c r="N57" i="2"/>
  <c r="N58" i="2"/>
  <c r="N52" i="2"/>
  <c r="N61" i="2"/>
  <c r="N53" i="2"/>
  <c r="N62" i="2"/>
  <c r="N63" i="2"/>
  <c r="N50" i="2"/>
  <c r="N64" i="2"/>
  <c r="N51" i="2"/>
  <c r="N65" i="2"/>
  <c r="N66" i="2"/>
  <c r="N67" i="2"/>
  <c r="N59" i="2"/>
  <c r="N68" i="2"/>
  <c r="N69" i="2"/>
  <c r="N70" i="2"/>
  <c r="N71" i="2"/>
  <c r="N72" i="2"/>
  <c r="N73" i="2"/>
  <c r="N55" i="2"/>
  <c r="N74" i="2"/>
  <c r="N75" i="2"/>
  <c r="N76" i="2"/>
  <c r="N56" i="2"/>
  <c r="N77" i="2"/>
  <c r="N78" i="2"/>
  <c r="N79" i="2"/>
  <c r="N80" i="2"/>
  <c r="N81" i="2"/>
  <c r="N54" i="2"/>
  <c r="L50" i="2"/>
  <c r="L62" i="2"/>
  <c r="L60" i="2"/>
  <c r="L63" i="2"/>
  <c r="L64" i="2"/>
  <c r="L51" i="2"/>
  <c r="L65" i="2"/>
  <c r="L66" i="2"/>
  <c r="L54" i="2"/>
  <c r="L67" i="2"/>
  <c r="L55" i="2"/>
  <c r="L68" i="2"/>
  <c r="L69" i="2"/>
  <c r="L70" i="2"/>
  <c r="L53" i="2"/>
  <c r="L56" i="2"/>
  <c r="L71" i="2"/>
  <c r="L72" i="2"/>
  <c r="L73" i="2"/>
  <c r="L74" i="2"/>
  <c r="L75" i="2"/>
  <c r="L57" i="2"/>
  <c r="L76" i="2"/>
  <c r="L59" i="2"/>
  <c r="L77" i="2"/>
  <c r="L52" i="2"/>
  <c r="L78" i="2"/>
  <c r="L79" i="2"/>
  <c r="L80" i="2"/>
  <c r="L81" i="2"/>
  <c r="L58" i="2"/>
  <c r="L61" i="2"/>
  <c r="J53" i="2"/>
  <c r="J61" i="2"/>
  <c r="J54" i="2"/>
  <c r="J63" i="2"/>
  <c r="J64" i="2"/>
  <c r="J60" i="2"/>
  <c r="J65" i="2"/>
  <c r="J66" i="2"/>
  <c r="J58" i="2"/>
  <c r="J67" i="2"/>
  <c r="J51" i="2"/>
  <c r="J68" i="2"/>
  <c r="J69" i="2"/>
  <c r="J70" i="2"/>
  <c r="J57" i="2"/>
  <c r="J71" i="2"/>
  <c r="J72" i="2"/>
  <c r="J73" i="2"/>
  <c r="J74" i="2"/>
  <c r="J75" i="2"/>
  <c r="J52" i="2"/>
  <c r="J76" i="2"/>
  <c r="J59" i="2"/>
  <c r="J77" i="2"/>
  <c r="J55" i="2"/>
  <c r="J78" i="2"/>
  <c r="J79" i="2"/>
  <c r="J80" i="2"/>
  <c r="J81" i="2"/>
  <c r="J56" i="2"/>
  <c r="J62" i="2"/>
  <c r="H52" i="2"/>
  <c r="H57" i="2"/>
  <c r="H50" i="2"/>
  <c r="H64" i="2"/>
  <c r="H65" i="2"/>
  <c r="H62" i="2"/>
  <c r="H66" i="2"/>
  <c r="H67" i="2"/>
  <c r="H56" i="2"/>
  <c r="H68" i="2"/>
  <c r="H55" i="2"/>
  <c r="H69" i="2"/>
  <c r="H70" i="2"/>
  <c r="H71" i="2"/>
  <c r="H54" i="2"/>
  <c r="H53" i="2"/>
  <c r="H72" i="2"/>
  <c r="H73" i="2"/>
  <c r="H63" i="2"/>
  <c r="H74" i="2"/>
  <c r="H75" i="2"/>
  <c r="H51" i="2"/>
  <c r="H76" i="2"/>
  <c r="H59" i="2"/>
  <c r="H77" i="2"/>
  <c r="H58" i="2"/>
  <c r="H78" i="2"/>
  <c r="H79" i="2"/>
  <c r="H80" i="2"/>
  <c r="H81" i="2"/>
  <c r="H60" i="2"/>
  <c r="H61" i="2"/>
  <c r="F55" i="2"/>
  <c r="F64" i="2"/>
  <c r="F65" i="2"/>
  <c r="F66" i="2"/>
  <c r="F57" i="2"/>
  <c r="F67" i="2"/>
  <c r="F60" i="2"/>
  <c r="F68" i="2"/>
  <c r="F69" i="2"/>
  <c r="F70" i="2"/>
  <c r="F54" i="2"/>
  <c r="F61" i="2"/>
  <c r="F63" i="2"/>
  <c r="F71" i="2"/>
  <c r="F72" i="2"/>
  <c r="F73" i="2"/>
  <c r="F50" i="2"/>
  <c r="F58" i="2"/>
  <c r="F74" i="2"/>
  <c r="F56" i="2"/>
  <c r="F59" i="2"/>
  <c r="F51" i="2"/>
  <c r="F75" i="2"/>
  <c r="F76" i="2"/>
  <c r="F53" i="2"/>
  <c r="F77" i="2"/>
  <c r="F62" i="2"/>
  <c r="F78" i="2"/>
  <c r="F79" i="2"/>
  <c r="F80" i="2"/>
  <c r="F81" i="2"/>
  <c r="F52" i="2"/>
  <c r="D59" i="2"/>
  <c r="D62" i="2"/>
  <c r="D68" i="2"/>
  <c r="D55" i="2"/>
  <c r="D60" i="2"/>
  <c r="D67" i="2"/>
  <c r="D70" i="2"/>
  <c r="D71" i="2"/>
  <c r="D58" i="2"/>
  <c r="D72" i="2"/>
  <c r="D69" i="2"/>
  <c r="D73" i="2"/>
  <c r="D57" i="2"/>
  <c r="D64" i="2"/>
  <c r="D54" i="2"/>
  <c r="D65" i="2"/>
  <c r="D50" i="2"/>
  <c r="D74" i="2"/>
  <c r="D53" i="2"/>
  <c r="D75" i="2"/>
  <c r="D76" i="2"/>
  <c r="D63" i="2"/>
  <c r="D52" i="2"/>
  <c r="D66" i="2"/>
  <c r="D56" i="2"/>
  <c r="D61" i="2"/>
  <c r="D77" i="2"/>
  <c r="D78" i="2"/>
  <c r="D79" i="2"/>
  <c r="D80" i="2"/>
  <c r="D81" i="2"/>
  <c r="B73" i="2"/>
  <c r="B81" i="2"/>
  <c r="B51" i="2"/>
  <c r="B63" i="2"/>
  <c r="B64" i="2"/>
  <c r="B52" i="2"/>
  <c r="B66" i="2"/>
  <c r="B54" i="2"/>
  <c r="B80" i="2"/>
  <c r="B70" i="2"/>
  <c r="B65" i="2"/>
  <c r="B71" i="2"/>
  <c r="B61" i="2"/>
  <c r="B62" i="2"/>
  <c r="B55" i="2"/>
  <c r="B72" i="2"/>
  <c r="B50" i="2"/>
  <c r="B74" i="2"/>
  <c r="B75" i="2"/>
  <c r="B69" i="2"/>
  <c r="B76" i="2"/>
  <c r="B68" i="2"/>
  <c r="B77" i="2"/>
  <c r="B67" i="2"/>
  <c r="B78" i="2"/>
  <c r="B53" i="2"/>
  <c r="B79" i="2"/>
  <c r="B56" i="2"/>
  <c r="H60" i="5" l="1"/>
  <c r="AC17" i="5"/>
  <c r="AC70" i="5"/>
  <c r="AC28" i="5"/>
  <c r="AC102" i="5"/>
  <c r="AC60" i="5"/>
  <c r="AC49" i="5"/>
  <c r="AC112" i="5"/>
  <c r="AC91" i="5"/>
  <c r="AC54" i="5"/>
  <c r="AC75" i="5"/>
  <c r="AC33" i="5"/>
  <c r="AC12" i="5"/>
  <c r="AC23" i="5"/>
  <c r="AC117" i="5"/>
  <c r="AC65" i="5"/>
  <c r="AC44" i="5"/>
  <c r="AC86" i="5"/>
  <c r="AC81" i="5"/>
  <c r="AC107" i="5"/>
  <c r="AC39" i="5"/>
  <c r="AC96" i="5"/>
  <c r="H112" i="5"/>
  <c r="H107" i="5"/>
  <c r="H102" i="5"/>
  <c r="H117" i="5"/>
  <c r="H81" i="5"/>
  <c r="H91" i="5"/>
  <c r="H86" i="5"/>
  <c r="H96" i="5"/>
  <c r="H70" i="5"/>
  <c r="H75" i="5"/>
  <c r="H65" i="5"/>
  <c r="H54" i="5"/>
  <c r="H44" i="5"/>
  <c r="H49" i="5"/>
  <c r="H39" i="5"/>
  <c r="H28" i="5"/>
  <c r="H23" i="5"/>
  <c r="H33" i="5"/>
  <c r="H17" i="5"/>
  <c r="H12" i="5"/>
  <c r="BP33" i="1"/>
  <c r="BO33" i="1"/>
  <c r="BN33" i="1"/>
  <c r="BM33" i="1"/>
  <c r="BP32" i="1"/>
  <c r="BO32" i="1"/>
  <c r="CO32" i="1" s="1"/>
  <c r="BN32" i="1"/>
  <c r="BM32" i="1"/>
  <c r="BP20" i="1"/>
  <c r="BO20" i="1"/>
  <c r="BN20" i="1"/>
  <c r="BM20" i="1"/>
  <c r="BN9" i="1"/>
  <c r="BO9" i="1"/>
  <c r="BP9" i="1"/>
  <c r="BM9" i="1"/>
  <c r="BG33" i="1"/>
  <c r="BF33" i="1"/>
  <c r="BE33" i="1"/>
  <c r="BD33" i="1"/>
  <c r="BG32" i="1"/>
  <c r="BF32" i="1"/>
  <c r="CK32" i="1" s="1"/>
  <c r="BE32" i="1"/>
  <c r="BD32" i="1"/>
  <c r="BG20" i="1"/>
  <c r="BF20" i="1"/>
  <c r="BF149" i="1" s="1"/>
  <c r="BE20" i="1"/>
  <c r="BD20" i="1"/>
  <c r="BG9" i="1"/>
  <c r="BF9" i="1"/>
  <c r="CK9" i="1" s="1"/>
  <c r="BE9" i="1"/>
  <c r="BD9" i="1"/>
  <c r="AX33" i="1"/>
  <c r="AW33" i="1"/>
  <c r="AV33" i="1"/>
  <c r="AU33" i="1"/>
  <c r="AX32" i="1"/>
  <c r="AW32" i="1"/>
  <c r="CG32" i="1" s="1"/>
  <c r="AV32" i="1"/>
  <c r="AU32" i="1"/>
  <c r="AX20" i="1"/>
  <c r="AW20" i="1"/>
  <c r="AV20" i="1"/>
  <c r="AU20" i="1"/>
  <c r="AX9" i="1"/>
  <c r="AW9" i="1"/>
  <c r="CG9" i="1" s="1"/>
  <c r="AV9" i="1"/>
  <c r="AU9" i="1"/>
  <c r="AO33" i="1"/>
  <c r="AN33" i="1"/>
  <c r="AM33" i="1"/>
  <c r="AL33" i="1"/>
  <c r="AO32" i="1"/>
  <c r="AN32" i="1"/>
  <c r="CC32" i="1" s="1"/>
  <c r="AM32" i="1"/>
  <c r="AL32" i="1"/>
  <c r="AO20" i="1"/>
  <c r="AN20" i="1"/>
  <c r="AM20" i="1"/>
  <c r="AL20" i="1"/>
  <c r="AO13" i="1"/>
  <c r="AN13" i="1"/>
  <c r="CC13" i="1" s="1"/>
  <c r="AM13" i="1"/>
  <c r="AL13" i="1"/>
  <c r="AO9" i="1"/>
  <c r="AN9" i="1"/>
  <c r="AM9" i="1"/>
  <c r="AL9" i="1"/>
  <c r="AF33" i="1"/>
  <c r="AE33" i="1"/>
  <c r="BY33" i="1" s="1"/>
  <c r="AD33" i="1"/>
  <c r="AF32" i="1"/>
  <c r="AE32" i="1"/>
  <c r="AD32" i="1"/>
  <c r="AF27" i="1"/>
  <c r="AE27" i="1"/>
  <c r="AD27" i="1"/>
  <c r="BX27" i="1" s="1"/>
  <c r="AF20" i="1"/>
  <c r="BZ20" i="1" s="1"/>
  <c r="AE20" i="1"/>
  <c r="AD20" i="1"/>
  <c r="AF9" i="1"/>
  <c r="AE9" i="1"/>
  <c r="AD9" i="1"/>
  <c r="Y33" i="1"/>
  <c r="X33" i="1"/>
  <c r="BV33" i="1" s="1"/>
  <c r="Y32" i="1"/>
  <c r="BW32" i="1" s="1"/>
  <c r="X32" i="1"/>
  <c r="Y27" i="1"/>
  <c r="X27" i="1"/>
  <c r="BV27" i="1" s="1"/>
  <c r="Y20" i="1"/>
  <c r="X20" i="1"/>
  <c r="Y9" i="1"/>
  <c r="X9" i="1"/>
  <c r="BV9" i="1" s="1"/>
  <c r="X4" i="1"/>
  <c r="F127" i="1"/>
  <c r="E127" i="1"/>
  <c r="D127" i="1"/>
  <c r="C127" i="1"/>
  <c r="B127" i="1"/>
  <c r="A127" i="1"/>
  <c r="F126" i="1"/>
  <c r="E126" i="1"/>
  <c r="D126" i="1"/>
  <c r="C126" i="1"/>
  <c r="B126" i="1"/>
  <c r="A126" i="1"/>
  <c r="F125" i="1"/>
  <c r="E125" i="1"/>
  <c r="D125" i="1"/>
  <c r="C125" i="1"/>
  <c r="B125" i="1"/>
  <c r="A125" i="1"/>
  <c r="F124" i="1"/>
  <c r="E124" i="1"/>
  <c r="D124" i="1"/>
  <c r="C124" i="1"/>
  <c r="B124" i="1"/>
  <c r="A124" i="1"/>
  <c r="F123" i="1"/>
  <c r="E123" i="1"/>
  <c r="D123" i="1"/>
  <c r="C123" i="1"/>
  <c r="B123" i="1"/>
  <c r="A123" i="1"/>
  <c r="F122" i="1"/>
  <c r="E122" i="1"/>
  <c r="D122" i="1"/>
  <c r="C122" i="1"/>
  <c r="B122" i="1"/>
  <c r="A122" i="1"/>
  <c r="F121" i="1"/>
  <c r="E121" i="1"/>
  <c r="D121" i="1"/>
  <c r="C121" i="1"/>
  <c r="B121" i="1"/>
  <c r="A121" i="1"/>
  <c r="F120" i="1"/>
  <c r="E120" i="1"/>
  <c r="D120" i="1"/>
  <c r="C120" i="1"/>
  <c r="B120" i="1"/>
  <c r="A120" i="1"/>
  <c r="F119" i="1"/>
  <c r="E119" i="1"/>
  <c r="D119" i="1"/>
  <c r="C119" i="1"/>
  <c r="B119" i="1"/>
  <c r="A119" i="1"/>
  <c r="F118" i="1"/>
  <c r="E118" i="1"/>
  <c r="D118" i="1"/>
  <c r="C118" i="1"/>
  <c r="B118" i="1"/>
  <c r="A118" i="1"/>
  <c r="F117" i="1"/>
  <c r="E117" i="1"/>
  <c r="D117" i="1"/>
  <c r="C117" i="1"/>
  <c r="B117" i="1"/>
  <c r="A117" i="1"/>
  <c r="F116" i="1"/>
  <c r="E116" i="1"/>
  <c r="D116" i="1"/>
  <c r="C116" i="1"/>
  <c r="B116" i="1"/>
  <c r="A116" i="1"/>
  <c r="F115" i="1"/>
  <c r="E115" i="1"/>
  <c r="D115" i="1"/>
  <c r="C115" i="1"/>
  <c r="B115" i="1"/>
  <c r="A115" i="1"/>
  <c r="F114" i="1"/>
  <c r="E114" i="1"/>
  <c r="D114" i="1"/>
  <c r="C114" i="1"/>
  <c r="B114" i="1"/>
  <c r="A114" i="1"/>
  <c r="F113" i="1"/>
  <c r="E113" i="1"/>
  <c r="D113" i="1"/>
  <c r="C113" i="1"/>
  <c r="B113" i="1"/>
  <c r="A113" i="1"/>
  <c r="F112" i="1"/>
  <c r="E112" i="1"/>
  <c r="D112" i="1"/>
  <c r="C112" i="1"/>
  <c r="B112" i="1"/>
  <c r="A112" i="1"/>
  <c r="F111" i="1"/>
  <c r="E111" i="1"/>
  <c r="D111" i="1"/>
  <c r="C111" i="1"/>
  <c r="B111" i="1"/>
  <c r="A111" i="1"/>
  <c r="F110" i="1"/>
  <c r="E110" i="1"/>
  <c r="D110" i="1"/>
  <c r="C110" i="1"/>
  <c r="B110" i="1"/>
  <c r="A110" i="1"/>
  <c r="F109" i="1"/>
  <c r="E109" i="1"/>
  <c r="D109" i="1"/>
  <c r="C109" i="1"/>
  <c r="B109" i="1"/>
  <c r="A109" i="1"/>
  <c r="F108" i="1"/>
  <c r="E108" i="1"/>
  <c r="D108" i="1"/>
  <c r="C108" i="1"/>
  <c r="B108" i="1"/>
  <c r="A108" i="1"/>
  <c r="F107" i="1"/>
  <c r="E107" i="1"/>
  <c r="D107" i="1"/>
  <c r="C107" i="1"/>
  <c r="B107" i="1"/>
  <c r="A107" i="1"/>
  <c r="F106" i="1"/>
  <c r="E106" i="1"/>
  <c r="D106" i="1"/>
  <c r="C106" i="1"/>
  <c r="B106" i="1"/>
  <c r="A106" i="1"/>
  <c r="F105" i="1"/>
  <c r="E105" i="1"/>
  <c r="D105" i="1"/>
  <c r="C105" i="1"/>
  <c r="B105" i="1"/>
  <c r="A105" i="1"/>
  <c r="F104" i="1"/>
  <c r="E104" i="1"/>
  <c r="D104" i="1"/>
  <c r="C104" i="1"/>
  <c r="B104" i="1"/>
  <c r="A104" i="1"/>
  <c r="F103" i="1"/>
  <c r="E103" i="1"/>
  <c r="D103" i="1"/>
  <c r="C103" i="1"/>
  <c r="B103" i="1"/>
  <c r="A103" i="1"/>
  <c r="F102" i="1"/>
  <c r="E102" i="1"/>
  <c r="D102" i="1"/>
  <c r="C102" i="1"/>
  <c r="B102" i="1"/>
  <c r="A102" i="1"/>
  <c r="F101" i="1"/>
  <c r="E101" i="1"/>
  <c r="D101" i="1"/>
  <c r="C101" i="1"/>
  <c r="B101" i="1"/>
  <c r="A101" i="1"/>
  <c r="F100" i="1"/>
  <c r="E100" i="1"/>
  <c r="D100" i="1"/>
  <c r="C100" i="1"/>
  <c r="B100" i="1"/>
  <c r="A100" i="1"/>
  <c r="F99" i="1"/>
  <c r="E99" i="1"/>
  <c r="D99" i="1"/>
  <c r="C99" i="1"/>
  <c r="B99" i="1"/>
  <c r="A99" i="1"/>
  <c r="BG4" i="1"/>
  <c r="BF4" i="1"/>
  <c r="BE4" i="1"/>
  <c r="BD4" i="1"/>
  <c r="AX4" i="1"/>
  <c r="AW4" i="1"/>
  <c r="AV4" i="1"/>
  <c r="AU4" i="1"/>
  <c r="AO4" i="1"/>
  <c r="AN4" i="1"/>
  <c r="AM4" i="1"/>
  <c r="AL4" i="1"/>
  <c r="AF4" i="1"/>
  <c r="AE4" i="1"/>
  <c r="AD4" i="1"/>
  <c r="Y4" i="1"/>
  <c r="AK140" i="1"/>
  <c r="AK141" i="1"/>
  <c r="AJ140" i="1"/>
  <c r="AJ139" i="1"/>
  <c r="AI139" i="1"/>
  <c r="W140" i="1"/>
  <c r="A2" i="1"/>
  <c r="B2" i="1"/>
  <c r="C2" i="1"/>
  <c r="D2" i="1"/>
  <c r="E2" i="1"/>
  <c r="F2" i="1"/>
  <c r="A3" i="1"/>
  <c r="B3" i="1"/>
  <c r="C3" i="1"/>
  <c r="D3" i="1"/>
  <c r="E3" i="1"/>
  <c r="F3" i="1"/>
  <c r="F4" i="1"/>
  <c r="A5" i="1"/>
  <c r="B5" i="1"/>
  <c r="C5" i="1"/>
  <c r="D5" i="1"/>
  <c r="E5" i="1"/>
  <c r="F5" i="1"/>
  <c r="A6" i="1"/>
  <c r="B6" i="1"/>
  <c r="C6" i="1"/>
  <c r="D6" i="1"/>
  <c r="E6" i="1"/>
  <c r="F6" i="1"/>
  <c r="A7" i="1"/>
  <c r="B7" i="1"/>
  <c r="C7" i="1"/>
  <c r="D7" i="1"/>
  <c r="E7" i="1"/>
  <c r="F7" i="1"/>
  <c r="A8" i="1"/>
  <c r="B8" i="1"/>
  <c r="C8" i="1"/>
  <c r="D8" i="1"/>
  <c r="E8" i="1"/>
  <c r="F8" i="1"/>
  <c r="A10" i="1"/>
  <c r="B10" i="1"/>
  <c r="C10" i="1"/>
  <c r="D10" i="1"/>
  <c r="E10" i="1"/>
  <c r="F10" i="1"/>
  <c r="A11" i="1"/>
  <c r="B11" i="1"/>
  <c r="C11" i="1"/>
  <c r="D11" i="1"/>
  <c r="E11" i="1"/>
  <c r="F11" i="1"/>
  <c r="A12" i="1"/>
  <c r="B12" i="1"/>
  <c r="C12" i="1"/>
  <c r="D12" i="1"/>
  <c r="E12" i="1"/>
  <c r="F12" i="1"/>
  <c r="A13" i="1"/>
  <c r="B13" i="1"/>
  <c r="D13" i="1"/>
  <c r="E13" i="1"/>
  <c r="F13" i="1"/>
  <c r="A14" i="1"/>
  <c r="B14" i="1"/>
  <c r="C14" i="1"/>
  <c r="D14" i="1"/>
  <c r="E14" i="1"/>
  <c r="F14" i="1"/>
  <c r="A15" i="1"/>
  <c r="B15" i="1"/>
  <c r="C15" i="1"/>
  <c r="D15" i="1"/>
  <c r="E15" i="1"/>
  <c r="F15" i="1"/>
  <c r="A16" i="1"/>
  <c r="B16" i="1"/>
  <c r="C16" i="1"/>
  <c r="D16" i="1"/>
  <c r="E16" i="1"/>
  <c r="F16" i="1"/>
  <c r="A17" i="1"/>
  <c r="B17" i="1"/>
  <c r="C17" i="1"/>
  <c r="D17" i="1"/>
  <c r="E17" i="1"/>
  <c r="F17" i="1"/>
  <c r="A18" i="1"/>
  <c r="B18" i="1"/>
  <c r="C18" i="1"/>
  <c r="D18" i="1"/>
  <c r="E18" i="1"/>
  <c r="F18" i="1"/>
  <c r="A19" i="1"/>
  <c r="B19" i="1"/>
  <c r="C19" i="1"/>
  <c r="D19" i="1"/>
  <c r="E19" i="1"/>
  <c r="F19" i="1"/>
  <c r="A21" i="1"/>
  <c r="B21" i="1"/>
  <c r="C21" i="1"/>
  <c r="D21" i="1"/>
  <c r="E21" i="1"/>
  <c r="F21" i="1"/>
  <c r="A22" i="1"/>
  <c r="B22" i="1"/>
  <c r="C22" i="1"/>
  <c r="D22" i="1"/>
  <c r="E22" i="1"/>
  <c r="F22" i="1"/>
  <c r="A23" i="1"/>
  <c r="B23" i="1"/>
  <c r="C23" i="1"/>
  <c r="D23" i="1"/>
  <c r="E23" i="1"/>
  <c r="F23" i="1"/>
  <c r="A24" i="1"/>
  <c r="B24" i="1"/>
  <c r="C24" i="1"/>
  <c r="D24" i="1"/>
  <c r="E24" i="1"/>
  <c r="F24" i="1"/>
  <c r="A25" i="1"/>
  <c r="B25" i="1"/>
  <c r="C25" i="1"/>
  <c r="D25" i="1"/>
  <c r="E25" i="1"/>
  <c r="F25" i="1"/>
  <c r="A26" i="1"/>
  <c r="B26" i="1"/>
  <c r="C26" i="1"/>
  <c r="D26" i="1"/>
  <c r="E26" i="1"/>
  <c r="F26" i="1"/>
  <c r="C27" i="1"/>
  <c r="D27" i="1"/>
  <c r="E27" i="1"/>
  <c r="F27" i="1"/>
  <c r="A28" i="1"/>
  <c r="B28" i="1"/>
  <c r="C28" i="1"/>
  <c r="D28" i="1"/>
  <c r="E28" i="1"/>
  <c r="F28" i="1"/>
  <c r="A29" i="1"/>
  <c r="B29" i="1"/>
  <c r="C29" i="1"/>
  <c r="D29" i="1"/>
  <c r="E29" i="1"/>
  <c r="F29" i="1"/>
  <c r="A30" i="1"/>
  <c r="B30" i="1"/>
  <c r="C30" i="1"/>
  <c r="D30" i="1"/>
  <c r="E30" i="1"/>
  <c r="F30" i="1"/>
  <c r="A31" i="1"/>
  <c r="B31" i="1"/>
  <c r="C31" i="1"/>
  <c r="D31" i="1"/>
  <c r="E31" i="1"/>
  <c r="F31" i="1"/>
  <c r="AQ138" i="1"/>
  <c r="AR138" i="1"/>
  <c r="AS138" i="1"/>
  <c r="AT138" i="1"/>
  <c r="AZ138" i="1"/>
  <c r="BA138" i="1"/>
  <c r="BB138" i="1"/>
  <c r="BC138" i="1"/>
  <c r="BI138" i="1"/>
  <c r="BJ138" i="1"/>
  <c r="BK138" i="1"/>
  <c r="BL138" i="1"/>
  <c r="AQ139" i="1"/>
  <c r="AR139" i="1"/>
  <c r="AS139" i="1"/>
  <c r="AT139" i="1"/>
  <c r="AU139" i="1"/>
  <c r="AV139" i="1"/>
  <c r="AW139" i="1"/>
  <c r="AX139" i="1"/>
  <c r="AZ139" i="1"/>
  <c r="BA139" i="1"/>
  <c r="BB139" i="1"/>
  <c r="BC139" i="1"/>
  <c r="BD139" i="1"/>
  <c r="BE139" i="1"/>
  <c r="BF139" i="1"/>
  <c r="BG139" i="1"/>
  <c r="BI139" i="1"/>
  <c r="BJ139" i="1"/>
  <c r="BK139" i="1"/>
  <c r="BL139" i="1"/>
  <c r="BM139" i="1"/>
  <c r="BN139" i="1"/>
  <c r="BO139" i="1"/>
  <c r="BP139" i="1"/>
  <c r="AQ140" i="1"/>
  <c r="AR140" i="1"/>
  <c r="AS140" i="1"/>
  <c r="AT140" i="1"/>
  <c r="AU140" i="1"/>
  <c r="AV140" i="1"/>
  <c r="AW140" i="1"/>
  <c r="AX140" i="1"/>
  <c r="AZ140" i="1"/>
  <c r="BA140" i="1"/>
  <c r="BB140" i="1"/>
  <c r="BC140" i="1"/>
  <c r="BD140" i="1"/>
  <c r="BE140" i="1"/>
  <c r="BF140" i="1"/>
  <c r="BG140" i="1"/>
  <c r="BI140" i="1"/>
  <c r="BJ140" i="1"/>
  <c r="BK140" i="1"/>
  <c r="BL140" i="1"/>
  <c r="BM140" i="1"/>
  <c r="BN140" i="1"/>
  <c r="BO140" i="1"/>
  <c r="BP140" i="1"/>
  <c r="AQ141" i="1"/>
  <c r="AR141" i="1"/>
  <c r="AS141" i="1"/>
  <c r="AT141" i="1"/>
  <c r="AU141" i="1"/>
  <c r="AV141" i="1"/>
  <c r="AW141" i="1"/>
  <c r="AX141" i="1"/>
  <c r="AZ141" i="1"/>
  <c r="BA141" i="1"/>
  <c r="BB141" i="1"/>
  <c r="BC141" i="1"/>
  <c r="BD141" i="1"/>
  <c r="BE141" i="1"/>
  <c r="BF141" i="1"/>
  <c r="BG141" i="1"/>
  <c r="BI141" i="1"/>
  <c r="BJ141" i="1"/>
  <c r="BK141" i="1"/>
  <c r="BL141" i="1"/>
  <c r="BM141" i="1"/>
  <c r="BN141" i="1"/>
  <c r="BO141" i="1"/>
  <c r="BP141" i="1"/>
  <c r="AQ142" i="1"/>
  <c r="AR142" i="1"/>
  <c r="AS142" i="1"/>
  <c r="AT142" i="1"/>
  <c r="AU142" i="1"/>
  <c r="AV142" i="1"/>
  <c r="AW142" i="1"/>
  <c r="AX142" i="1"/>
  <c r="AZ142" i="1"/>
  <c r="BA142" i="1"/>
  <c r="BB142" i="1"/>
  <c r="BC142" i="1"/>
  <c r="BD142" i="1"/>
  <c r="BE142" i="1"/>
  <c r="BF142" i="1"/>
  <c r="BG142" i="1"/>
  <c r="BI142" i="1"/>
  <c r="BJ142" i="1"/>
  <c r="BK142" i="1"/>
  <c r="BL142" i="1"/>
  <c r="BM142" i="1"/>
  <c r="BN142" i="1"/>
  <c r="BO142" i="1"/>
  <c r="BP142" i="1"/>
  <c r="AQ143" i="1"/>
  <c r="AR143" i="1"/>
  <c r="AS143" i="1"/>
  <c r="AT143" i="1"/>
  <c r="AU143" i="1"/>
  <c r="AV143" i="1"/>
  <c r="AW143" i="1"/>
  <c r="AX143" i="1"/>
  <c r="AZ143" i="1"/>
  <c r="BA143" i="1"/>
  <c r="BB143" i="1"/>
  <c r="BC143" i="1"/>
  <c r="BD143" i="1"/>
  <c r="BE143" i="1"/>
  <c r="BF143" i="1"/>
  <c r="BG143" i="1"/>
  <c r="BI143" i="1"/>
  <c r="BJ143" i="1"/>
  <c r="BK143" i="1"/>
  <c r="BL143" i="1"/>
  <c r="BM143" i="1"/>
  <c r="BN143" i="1"/>
  <c r="BO143" i="1"/>
  <c r="BP143" i="1"/>
  <c r="AQ144" i="1"/>
  <c r="AR144" i="1"/>
  <c r="AS144" i="1"/>
  <c r="AT144" i="1"/>
  <c r="AU144" i="1"/>
  <c r="AV144" i="1"/>
  <c r="AW144" i="1"/>
  <c r="AX144" i="1"/>
  <c r="AZ144" i="1"/>
  <c r="BA144" i="1"/>
  <c r="BB144" i="1"/>
  <c r="BC144" i="1"/>
  <c r="BD144" i="1"/>
  <c r="BE144" i="1"/>
  <c r="BF144" i="1"/>
  <c r="BG144" i="1"/>
  <c r="BI144" i="1"/>
  <c r="BJ144" i="1"/>
  <c r="BK144" i="1"/>
  <c r="BL144" i="1"/>
  <c r="BM144" i="1"/>
  <c r="BN144" i="1"/>
  <c r="BO144" i="1"/>
  <c r="BP144" i="1"/>
  <c r="AQ145" i="1"/>
  <c r="AR145" i="1"/>
  <c r="AS145" i="1"/>
  <c r="AT145" i="1"/>
  <c r="AU145" i="1"/>
  <c r="AV145" i="1"/>
  <c r="AW145" i="1"/>
  <c r="AX145" i="1"/>
  <c r="AZ145" i="1"/>
  <c r="BA145" i="1"/>
  <c r="BB145" i="1"/>
  <c r="BC145" i="1"/>
  <c r="BD145" i="1"/>
  <c r="BE145" i="1"/>
  <c r="BF145" i="1"/>
  <c r="BG145" i="1"/>
  <c r="BI145" i="1"/>
  <c r="BJ145" i="1"/>
  <c r="BK145" i="1"/>
  <c r="BL145" i="1"/>
  <c r="BM145" i="1"/>
  <c r="BN145" i="1"/>
  <c r="BO145" i="1"/>
  <c r="BP145" i="1"/>
  <c r="AQ146" i="1"/>
  <c r="AR146" i="1"/>
  <c r="AS146" i="1"/>
  <c r="AT146" i="1"/>
  <c r="AU146" i="1"/>
  <c r="AV146" i="1"/>
  <c r="AW146" i="1"/>
  <c r="AX146" i="1"/>
  <c r="AZ146" i="1"/>
  <c r="BA146" i="1"/>
  <c r="BB146" i="1"/>
  <c r="BC146" i="1"/>
  <c r="BD146" i="1"/>
  <c r="BE146" i="1"/>
  <c r="BF146" i="1"/>
  <c r="BG146" i="1"/>
  <c r="BI146" i="1"/>
  <c r="BJ146" i="1"/>
  <c r="BK146" i="1"/>
  <c r="BL146" i="1"/>
  <c r="BM146" i="1"/>
  <c r="BN146" i="1"/>
  <c r="BO146" i="1"/>
  <c r="BP146" i="1"/>
  <c r="AQ147" i="1"/>
  <c r="AR147" i="1"/>
  <c r="AS147" i="1"/>
  <c r="AT147" i="1"/>
  <c r="AU147" i="1"/>
  <c r="AV147" i="1"/>
  <c r="AW147" i="1"/>
  <c r="AX147" i="1"/>
  <c r="AZ147" i="1"/>
  <c r="BA147" i="1"/>
  <c r="BB147" i="1"/>
  <c r="BC147" i="1"/>
  <c r="BD147" i="1"/>
  <c r="BE147" i="1"/>
  <c r="BF147" i="1"/>
  <c r="BG147" i="1"/>
  <c r="BI147" i="1"/>
  <c r="BJ147" i="1"/>
  <c r="BK147" i="1"/>
  <c r="BL147" i="1"/>
  <c r="BM147" i="1"/>
  <c r="BN147" i="1"/>
  <c r="BO147" i="1"/>
  <c r="BP147" i="1"/>
  <c r="AQ148" i="1"/>
  <c r="AR148" i="1"/>
  <c r="AS148" i="1"/>
  <c r="AT148" i="1"/>
  <c r="AU148" i="1"/>
  <c r="AV148" i="1"/>
  <c r="AW148" i="1"/>
  <c r="AX148" i="1"/>
  <c r="AZ148" i="1"/>
  <c r="BA148" i="1"/>
  <c r="BB148" i="1"/>
  <c r="BC148" i="1"/>
  <c r="BD148" i="1"/>
  <c r="BE148" i="1"/>
  <c r="BF148" i="1"/>
  <c r="BG148" i="1"/>
  <c r="BI148" i="1"/>
  <c r="BJ148" i="1"/>
  <c r="BK148" i="1"/>
  <c r="BL148" i="1"/>
  <c r="BM148" i="1"/>
  <c r="BN148" i="1"/>
  <c r="BO148" i="1"/>
  <c r="BP148" i="1"/>
  <c r="AQ149" i="1"/>
  <c r="AR149" i="1"/>
  <c r="AS149" i="1"/>
  <c r="AT149" i="1"/>
  <c r="AZ149" i="1"/>
  <c r="BA149" i="1"/>
  <c r="BB149" i="1"/>
  <c r="BC149" i="1"/>
  <c r="BI149" i="1"/>
  <c r="BJ149" i="1"/>
  <c r="BK149" i="1"/>
  <c r="BL149" i="1"/>
  <c r="AQ150" i="1"/>
  <c r="AR150" i="1"/>
  <c r="AS150" i="1"/>
  <c r="AT150" i="1"/>
  <c r="AU150" i="1"/>
  <c r="AV150" i="1"/>
  <c r="AW150" i="1"/>
  <c r="AX150" i="1"/>
  <c r="AZ150" i="1"/>
  <c r="BA150" i="1"/>
  <c r="BB150" i="1"/>
  <c r="BC150" i="1"/>
  <c r="BD150" i="1"/>
  <c r="BE150" i="1"/>
  <c r="BF150" i="1"/>
  <c r="BG150" i="1"/>
  <c r="BI150" i="1"/>
  <c r="BJ150" i="1"/>
  <c r="BK150" i="1"/>
  <c r="BL150" i="1"/>
  <c r="BM150" i="1"/>
  <c r="BN150" i="1"/>
  <c r="BO150" i="1"/>
  <c r="BP150" i="1"/>
  <c r="AQ151" i="1"/>
  <c r="AR151" i="1"/>
  <c r="AS151" i="1"/>
  <c r="AT151" i="1"/>
  <c r="AU151" i="1"/>
  <c r="AV151" i="1"/>
  <c r="AW151" i="1"/>
  <c r="AX151" i="1"/>
  <c r="AZ151" i="1"/>
  <c r="BA151" i="1"/>
  <c r="BB151" i="1"/>
  <c r="BC151" i="1"/>
  <c r="BD151" i="1"/>
  <c r="BE151" i="1"/>
  <c r="BF151" i="1"/>
  <c r="BG151" i="1"/>
  <c r="BI151" i="1"/>
  <c r="BJ151" i="1"/>
  <c r="BK151" i="1"/>
  <c r="BL151" i="1"/>
  <c r="BM151" i="1"/>
  <c r="BN151" i="1"/>
  <c r="BO151" i="1"/>
  <c r="BP151" i="1"/>
  <c r="AQ152" i="1"/>
  <c r="AR152" i="1"/>
  <c r="AS152" i="1"/>
  <c r="AT152" i="1"/>
  <c r="AU152" i="1"/>
  <c r="AV152" i="1"/>
  <c r="AW152" i="1"/>
  <c r="AX152" i="1"/>
  <c r="AZ152" i="1"/>
  <c r="BA152" i="1"/>
  <c r="BB152" i="1"/>
  <c r="BC152" i="1"/>
  <c r="BD152" i="1"/>
  <c r="BE152" i="1"/>
  <c r="BF152" i="1"/>
  <c r="BG152" i="1"/>
  <c r="BI152" i="1"/>
  <c r="BJ152" i="1"/>
  <c r="BK152" i="1"/>
  <c r="BL152" i="1"/>
  <c r="BM152" i="1"/>
  <c r="BN152" i="1"/>
  <c r="BO152" i="1"/>
  <c r="BP152" i="1"/>
  <c r="AQ153" i="1"/>
  <c r="AR153" i="1"/>
  <c r="AS153" i="1"/>
  <c r="AT153" i="1"/>
  <c r="AU153" i="1"/>
  <c r="AV153" i="1"/>
  <c r="AW153" i="1"/>
  <c r="AX153" i="1"/>
  <c r="AZ153" i="1"/>
  <c r="BA153" i="1"/>
  <c r="BB153" i="1"/>
  <c r="BC153" i="1"/>
  <c r="BD153" i="1"/>
  <c r="BE153" i="1"/>
  <c r="BF153" i="1"/>
  <c r="BG153" i="1"/>
  <c r="BI153" i="1"/>
  <c r="BJ153" i="1"/>
  <c r="BK153" i="1"/>
  <c r="BL153" i="1"/>
  <c r="BM153" i="1"/>
  <c r="BN153" i="1"/>
  <c r="BO153" i="1"/>
  <c r="BP153" i="1"/>
  <c r="AQ154" i="1"/>
  <c r="AR154" i="1"/>
  <c r="AS154" i="1"/>
  <c r="AT154" i="1"/>
  <c r="AU154" i="1"/>
  <c r="AV154" i="1"/>
  <c r="AW154" i="1"/>
  <c r="AX154" i="1"/>
  <c r="AZ154" i="1"/>
  <c r="BA154" i="1"/>
  <c r="BB154" i="1"/>
  <c r="BC154" i="1"/>
  <c r="BD154" i="1"/>
  <c r="BE154" i="1"/>
  <c r="BF154" i="1"/>
  <c r="BG154" i="1"/>
  <c r="BI154" i="1"/>
  <c r="BJ154" i="1"/>
  <c r="BK154" i="1"/>
  <c r="BL154" i="1"/>
  <c r="BM154" i="1"/>
  <c r="BN154" i="1"/>
  <c r="BO154" i="1"/>
  <c r="BP154" i="1"/>
  <c r="AQ155" i="1"/>
  <c r="AR155" i="1"/>
  <c r="AS155" i="1"/>
  <c r="AT155" i="1"/>
  <c r="AU155" i="1"/>
  <c r="AV155" i="1"/>
  <c r="AW155" i="1"/>
  <c r="AX155" i="1"/>
  <c r="AZ155" i="1"/>
  <c r="BA155" i="1"/>
  <c r="BB155" i="1"/>
  <c r="BC155" i="1"/>
  <c r="BD155" i="1"/>
  <c r="BE155" i="1"/>
  <c r="BF155" i="1"/>
  <c r="BG155" i="1"/>
  <c r="BI155" i="1"/>
  <c r="BJ155" i="1"/>
  <c r="BK155" i="1"/>
  <c r="BL155" i="1"/>
  <c r="BM155" i="1"/>
  <c r="BN155" i="1"/>
  <c r="BO155" i="1"/>
  <c r="BP155" i="1"/>
  <c r="AQ156" i="1"/>
  <c r="AR156" i="1"/>
  <c r="AS156" i="1"/>
  <c r="AT156" i="1"/>
  <c r="AU156" i="1"/>
  <c r="AV156" i="1"/>
  <c r="AW156" i="1"/>
  <c r="AX156" i="1"/>
  <c r="AZ156" i="1"/>
  <c r="BA156" i="1"/>
  <c r="BB156" i="1"/>
  <c r="BC156" i="1"/>
  <c r="BD156" i="1"/>
  <c r="BE156" i="1"/>
  <c r="BF156" i="1"/>
  <c r="BG156" i="1"/>
  <c r="BI156" i="1"/>
  <c r="BJ156" i="1"/>
  <c r="BK156" i="1"/>
  <c r="BL156" i="1"/>
  <c r="BM156" i="1"/>
  <c r="BN156" i="1"/>
  <c r="BO156" i="1"/>
  <c r="BP156" i="1"/>
  <c r="AQ157" i="1"/>
  <c r="AR157" i="1"/>
  <c r="AS157" i="1"/>
  <c r="AT157" i="1"/>
  <c r="AU157" i="1"/>
  <c r="AV157" i="1"/>
  <c r="AW157" i="1"/>
  <c r="AX157" i="1"/>
  <c r="AZ157" i="1"/>
  <c r="BA157" i="1"/>
  <c r="BB157" i="1"/>
  <c r="BC157" i="1"/>
  <c r="BD157" i="1"/>
  <c r="BE157" i="1"/>
  <c r="BF157" i="1"/>
  <c r="BG157" i="1"/>
  <c r="BI157" i="1"/>
  <c r="BJ157" i="1"/>
  <c r="BK157" i="1"/>
  <c r="BL157" i="1"/>
  <c r="BM157" i="1"/>
  <c r="BN157" i="1"/>
  <c r="BO157" i="1"/>
  <c r="BP157" i="1"/>
  <c r="AQ158" i="1"/>
  <c r="AR158" i="1"/>
  <c r="AS158" i="1"/>
  <c r="AT158" i="1"/>
  <c r="AU158" i="1"/>
  <c r="AV158" i="1"/>
  <c r="AW158" i="1"/>
  <c r="AX158" i="1"/>
  <c r="AZ158" i="1"/>
  <c r="BA158" i="1"/>
  <c r="BB158" i="1"/>
  <c r="BC158" i="1"/>
  <c r="BD158" i="1"/>
  <c r="BE158" i="1"/>
  <c r="BF158" i="1"/>
  <c r="BG158" i="1"/>
  <c r="BI158" i="1"/>
  <c r="BJ158" i="1"/>
  <c r="BK158" i="1"/>
  <c r="BL158" i="1"/>
  <c r="BM158" i="1"/>
  <c r="BN158" i="1"/>
  <c r="BO158" i="1"/>
  <c r="BP158" i="1"/>
  <c r="AQ159" i="1"/>
  <c r="AR159" i="1"/>
  <c r="AS159" i="1"/>
  <c r="AT159" i="1"/>
  <c r="AU159" i="1"/>
  <c r="AV159" i="1"/>
  <c r="AW159" i="1"/>
  <c r="AX159" i="1"/>
  <c r="AZ159" i="1"/>
  <c r="BA159" i="1"/>
  <c r="BB159" i="1"/>
  <c r="BC159" i="1"/>
  <c r="BD159" i="1"/>
  <c r="BE159" i="1"/>
  <c r="BF159" i="1"/>
  <c r="BG159" i="1"/>
  <c r="BI159" i="1"/>
  <c r="BJ159" i="1"/>
  <c r="BK159" i="1"/>
  <c r="BL159" i="1"/>
  <c r="BM159" i="1"/>
  <c r="BN159" i="1"/>
  <c r="BO159" i="1"/>
  <c r="BP159" i="1"/>
  <c r="AQ160" i="1"/>
  <c r="AR160" i="1"/>
  <c r="AS160" i="1"/>
  <c r="AT160" i="1"/>
  <c r="AU160" i="1"/>
  <c r="AV160" i="1"/>
  <c r="AW160" i="1"/>
  <c r="AX160" i="1"/>
  <c r="AZ160" i="1"/>
  <c r="BA160" i="1"/>
  <c r="BB160" i="1"/>
  <c r="BC160" i="1"/>
  <c r="BD160" i="1"/>
  <c r="BE160" i="1"/>
  <c r="BF160" i="1"/>
  <c r="BG160" i="1"/>
  <c r="BI160" i="1"/>
  <c r="BJ160" i="1"/>
  <c r="BK160" i="1"/>
  <c r="BL160" i="1"/>
  <c r="BM160" i="1"/>
  <c r="BN160" i="1"/>
  <c r="BO160" i="1"/>
  <c r="BP160" i="1"/>
  <c r="AQ161" i="1"/>
  <c r="AR161" i="1"/>
  <c r="AS161" i="1"/>
  <c r="AT161" i="1"/>
  <c r="AZ161" i="1"/>
  <c r="BA161" i="1"/>
  <c r="BB161" i="1"/>
  <c r="BC161" i="1"/>
  <c r="BI161" i="1"/>
  <c r="BJ161" i="1"/>
  <c r="BK161" i="1"/>
  <c r="BL161" i="1"/>
  <c r="AQ162" i="1"/>
  <c r="AR162" i="1"/>
  <c r="AS162" i="1"/>
  <c r="AT162" i="1"/>
  <c r="AZ162" i="1"/>
  <c r="BA162" i="1"/>
  <c r="BB162" i="1"/>
  <c r="BC162" i="1"/>
  <c r="BI162" i="1"/>
  <c r="BJ162" i="1"/>
  <c r="BK162" i="1"/>
  <c r="BL162" i="1"/>
  <c r="BN162" i="1"/>
  <c r="AH138" i="1"/>
  <c r="AI138" i="1"/>
  <c r="AJ138" i="1"/>
  <c r="AK138" i="1"/>
  <c r="AH139" i="1"/>
  <c r="AK139" i="1"/>
  <c r="AL139" i="1"/>
  <c r="AM139" i="1"/>
  <c r="AN139" i="1"/>
  <c r="AO139" i="1"/>
  <c r="AH140" i="1"/>
  <c r="AI140" i="1"/>
  <c r="AL140" i="1"/>
  <c r="AM140" i="1"/>
  <c r="AN140" i="1"/>
  <c r="AO140" i="1"/>
  <c r="AH141" i="1"/>
  <c r="AI141" i="1"/>
  <c r="AJ141" i="1"/>
  <c r="AL141" i="1"/>
  <c r="AM141" i="1"/>
  <c r="AN141" i="1"/>
  <c r="AO141" i="1"/>
  <c r="AH142" i="1"/>
  <c r="AI142" i="1"/>
  <c r="AJ142" i="1"/>
  <c r="AK142" i="1"/>
  <c r="AH143" i="1"/>
  <c r="AI143" i="1"/>
  <c r="AJ143" i="1"/>
  <c r="AK143" i="1"/>
  <c r="AL143" i="1"/>
  <c r="AM143" i="1"/>
  <c r="AN143" i="1"/>
  <c r="AO143" i="1"/>
  <c r="AH144" i="1"/>
  <c r="AI144" i="1"/>
  <c r="AJ144" i="1"/>
  <c r="AK144" i="1"/>
  <c r="AL144" i="1"/>
  <c r="AM144" i="1"/>
  <c r="AN144" i="1"/>
  <c r="AO144" i="1"/>
  <c r="AH145" i="1"/>
  <c r="AI145" i="1"/>
  <c r="AJ145" i="1"/>
  <c r="AK145" i="1"/>
  <c r="AL145" i="1"/>
  <c r="AM145" i="1"/>
  <c r="AN145" i="1"/>
  <c r="AO145" i="1"/>
  <c r="AH146" i="1"/>
  <c r="AI146" i="1"/>
  <c r="AJ146" i="1"/>
  <c r="AK146" i="1"/>
  <c r="AL146" i="1"/>
  <c r="AM146" i="1"/>
  <c r="AN146" i="1"/>
  <c r="AO146" i="1"/>
  <c r="AH147" i="1"/>
  <c r="AI147" i="1"/>
  <c r="AJ147" i="1"/>
  <c r="AK147" i="1"/>
  <c r="AL147" i="1"/>
  <c r="AM147" i="1"/>
  <c r="AN147" i="1"/>
  <c r="AO147" i="1"/>
  <c r="AH148" i="1"/>
  <c r="AI148" i="1"/>
  <c r="AJ148" i="1"/>
  <c r="AK148" i="1"/>
  <c r="AL148" i="1"/>
  <c r="AM148" i="1"/>
  <c r="AN148" i="1"/>
  <c r="AO148" i="1"/>
  <c r="AH149" i="1"/>
  <c r="AI149" i="1"/>
  <c r="AJ149" i="1"/>
  <c r="AK149" i="1"/>
  <c r="AH150" i="1"/>
  <c r="AI150" i="1"/>
  <c r="AJ150" i="1"/>
  <c r="AK150" i="1"/>
  <c r="AL150" i="1"/>
  <c r="AM150" i="1"/>
  <c r="AN150" i="1"/>
  <c r="AO150" i="1"/>
  <c r="AH151" i="1"/>
  <c r="AI151" i="1"/>
  <c r="AJ151" i="1"/>
  <c r="AK151" i="1"/>
  <c r="AL151" i="1"/>
  <c r="AM151" i="1"/>
  <c r="AN151" i="1"/>
  <c r="AO151" i="1"/>
  <c r="AH152" i="1"/>
  <c r="AI152" i="1"/>
  <c r="AJ152" i="1"/>
  <c r="AK152" i="1"/>
  <c r="AL152" i="1"/>
  <c r="AM152" i="1"/>
  <c r="AN152" i="1"/>
  <c r="AO152" i="1"/>
  <c r="AH153" i="1"/>
  <c r="AI153" i="1"/>
  <c r="AJ153" i="1"/>
  <c r="AK153" i="1"/>
  <c r="AL153" i="1"/>
  <c r="AM153" i="1"/>
  <c r="AN153" i="1"/>
  <c r="AO153" i="1"/>
  <c r="AH154" i="1"/>
  <c r="AI154" i="1"/>
  <c r="AJ154" i="1"/>
  <c r="AK154" i="1"/>
  <c r="AL154" i="1"/>
  <c r="AM154" i="1"/>
  <c r="AN154" i="1"/>
  <c r="AO154" i="1"/>
  <c r="AH155" i="1"/>
  <c r="AI155" i="1"/>
  <c r="AJ155" i="1"/>
  <c r="AK155" i="1"/>
  <c r="AL155" i="1"/>
  <c r="AM155" i="1"/>
  <c r="AN155" i="1"/>
  <c r="AO155" i="1"/>
  <c r="AH156" i="1"/>
  <c r="AI156" i="1"/>
  <c r="AJ156" i="1"/>
  <c r="AK156" i="1"/>
  <c r="AL156" i="1"/>
  <c r="AM156" i="1"/>
  <c r="AN156" i="1"/>
  <c r="AO156" i="1"/>
  <c r="AH157" i="1"/>
  <c r="AI157" i="1"/>
  <c r="AJ157" i="1"/>
  <c r="AK157" i="1"/>
  <c r="AL157" i="1"/>
  <c r="AM157" i="1"/>
  <c r="AN157" i="1"/>
  <c r="AO157" i="1"/>
  <c r="AH158" i="1"/>
  <c r="AI158" i="1"/>
  <c r="AJ158" i="1"/>
  <c r="AK158" i="1"/>
  <c r="AL158" i="1"/>
  <c r="AM158" i="1"/>
  <c r="AN158" i="1"/>
  <c r="AO158" i="1"/>
  <c r="AH159" i="1"/>
  <c r="AI159" i="1"/>
  <c r="AJ159" i="1"/>
  <c r="AK159" i="1"/>
  <c r="AL159" i="1"/>
  <c r="AM159" i="1"/>
  <c r="AN159" i="1"/>
  <c r="AO159" i="1"/>
  <c r="AH160" i="1"/>
  <c r="AI160" i="1"/>
  <c r="AJ160" i="1"/>
  <c r="AK160" i="1"/>
  <c r="AL160" i="1"/>
  <c r="AM160" i="1"/>
  <c r="AN160" i="1"/>
  <c r="AO160" i="1"/>
  <c r="AH161" i="1"/>
  <c r="AI161" i="1"/>
  <c r="AJ161" i="1"/>
  <c r="AK161" i="1"/>
  <c r="AH162" i="1"/>
  <c r="AI162" i="1"/>
  <c r="AJ162" i="1"/>
  <c r="AK162" i="1"/>
  <c r="AA138" i="1"/>
  <c r="AB138" i="1"/>
  <c r="AC138" i="1"/>
  <c r="AA139" i="1"/>
  <c r="AB139" i="1"/>
  <c r="AC139" i="1"/>
  <c r="AD139" i="1"/>
  <c r="AE139" i="1"/>
  <c r="AF139" i="1"/>
  <c r="AA140" i="1"/>
  <c r="AB140" i="1"/>
  <c r="AC140" i="1"/>
  <c r="AD140" i="1"/>
  <c r="AE140" i="1"/>
  <c r="AF140" i="1"/>
  <c r="AA141" i="1"/>
  <c r="AB141" i="1"/>
  <c r="AC141" i="1"/>
  <c r="AD141" i="1"/>
  <c r="AE141" i="1"/>
  <c r="AF141" i="1"/>
  <c r="AA142" i="1"/>
  <c r="AB142" i="1"/>
  <c r="AC142" i="1"/>
  <c r="AD142" i="1"/>
  <c r="AE142" i="1"/>
  <c r="AF142" i="1"/>
  <c r="AA143" i="1"/>
  <c r="AB143" i="1"/>
  <c r="AC143" i="1"/>
  <c r="AD143" i="1"/>
  <c r="AE143" i="1"/>
  <c r="AF143" i="1"/>
  <c r="AA144" i="1"/>
  <c r="AB144" i="1"/>
  <c r="AC144" i="1"/>
  <c r="AD144" i="1"/>
  <c r="AE144" i="1"/>
  <c r="AF144" i="1"/>
  <c r="AA145" i="1"/>
  <c r="AB145" i="1"/>
  <c r="AC145" i="1"/>
  <c r="AD145" i="1"/>
  <c r="AE145" i="1"/>
  <c r="AF145" i="1"/>
  <c r="AA146" i="1"/>
  <c r="AB146" i="1"/>
  <c r="AC146" i="1"/>
  <c r="AD146" i="1"/>
  <c r="AE146" i="1"/>
  <c r="AF146" i="1"/>
  <c r="AA147" i="1"/>
  <c r="AB147" i="1"/>
  <c r="AC147" i="1"/>
  <c r="AD147" i="1"/>
  <c r="AE147" i="1"/>
  <c r="AF147" i="1"/>
  <c r="AA148" i="1"/>
  <c r="AB148" i="1"/>
  <c r="AC148" i="1"/>
  <c r="AD148" i="1"/>
  <c r="AE148" i="1"/>
  <c r="AF148" i="1"/>
  <c r="AA149" i="1"/>
  <c r="AB149" i="1"/>
  <c r="AC149" i="1"/>
  <c r="AA150" i="1"/>
  <c r="AB150" i="1"/>
  <c r="AC150" i="1"/>
  <c r="AD150" i="1"/>
  <c r="AE150" i="1"/>
  <c r="AF150" i="1"/>
  <c r="AA151" i="1"/>
  <c r="AB151" i="1"/>
  <c r="AC151" i="1"/>
  <c r="AD151" i="1"/>
  <c r="AE151" i="1"/>
  <c r="AF151" i="1"/>
  <c r="AA152" i="1"/>
  <c r="AB152" i="1"/>
  <c r="AC152" i="1"/>
  <c r="AD152" i="1"/>
  <c r="AE152" i="1"/>
  <c r="AF152" i="1"/>
  <c r="AA153" i="1"/>
  <c r="AB153" i="1"/>
  <c r="AC153" i="1"/>
  <c r="AD153" i="1"/>
  <c r="AE153" i="1"/>
  <c r="AF153" i="1"/>
  <c r="AA154" i="1"/>
  <c r="AB154" i="1"/>
  <c r="AC154" i="1"/>
  <c r="AD154" i="1"/>
  <c r="AE154" i="1"/>
  <c r="AF154" i="1"/>
  <c r="AA155" i="1"/>
  <c r="AB155" i="1"/>
  <c r="AC155" i="1"/>
  <c r="AD155" i="1"/>
  <c r="AE155" i="1"/>
  <c r="AF155" i="1"/>
  <c r="AA156" i="1"/>
  <c r="AB156" i="1"/>
  <c r="AC156" i="1"/>
  <c r="AA157" i="1"/>
  <c r="AB157" i="1"/>
  <c r="AC157" i="1"/>
  <c r="AD157" i="1"/>
  <c r="AE157" i="1"/>
  <c r="AF157" i="1"/>
  <c r="AA158" i="1"/>
  <c r="AB158" i="1"/>
  <c r="AC158" i="1"/>
  <c r="AD158" i="1"/>
  <c r="AE158" i="1"/>
  <c r="AF158" i="1"/>
  <c r="AA159" i="1"/>
  <c r="AB159" i="1"/>
  <c r="AC159" i="1"/>
  <c r="AD159" i="1"/>
  <c r="AE159" i="1"/>
  <c r="AF159" i="1"/>
  <c r="AA160" i="1"/>
  <c r="AB160" i="1"/>
  <c r="AC160" i="1"/>
  <c r="AD160" i="1"/>
  <c r="AE160" i="1"/>
  <c r="AF160" i="1"/>
  <c r="AA161" i="1"/>
  <c r="AB161" i="1"/>
  <c r="AC161" i="1"/>
  <c r="AF161" i="1"/>
  <c r="AA162" i="1"/>
  <c r="AB162" i="1"/>
  <c r="AC162" i="1"/>
  <c r="V138" i="1"/>
  <c r="X138" i="1"/>
  <c r="V139" i="1"/>
  <c r="W139" i="1"/>
  <c r="X139" i="1"/>
  <c r="Y139" i="1"/>
  <c r="V140" i="1"/>
  <c r="X140" i="1"/>
  <c r="Y140" i="1"/>
  <c r="V141" i="1"/>
  <c r="W141" i="1"/>
  <c r="X141" i="1"/>
  <c r="Y141" i="1"/>
  <c r="V142" i="1"/>
  <c r="W142" i="1"/>
  <c r="X142" i="1"/>
  <c r="Y142" i="1"/>
  <c r="V143" i="1"/>
  <c r="W143" i="1"/>
  <c r="X143" i="1"/>
  <c r="Y143" i="1"/>
  <c r="V144" i="1"/>
  <c r="W144" i="1"/>
  <c r="X144" i="1"/>
  <c r="Y144" i="1"/>
  <c r="V145" i="1"/>
  <c r="W145" i="1"/>
  <c r="X145" i="1"/>
  <c r="Y145" i="1"/>
  <c r="V146" i="1"/>
  <c r="W146" i="1"/>
  <c r="X146" i="1"/>
  <c r="Y146" i="1"/>
  <c r="V147" i="1"/>
  <c r="W147" i="1"/>
  <c r="X147" i="1"/>
  <c r="Y147" i="1"/>
  <c r="V148" i="1"/>
  <c r="W148" i="1"/>
  <c r="X148" i="1"/>
  <c r="Y148" i="1"/>
  <c r="V149" i="1"/>
  <c r="X149" i="1"/>
  <c r="V150" i="1"/>
  <c r="W150" i="1"/>
  <c r="X150" i="1"/>
  <c r="Y150" i="1"/>
  <c r="V151" i="1"/>
  <c r="W151" i="1"/>
  <c r="X151" i="1"/>
  <c r="Y151" i="1"/>
  <c r="V152" i="1"/>
  <c r="W152" i="1"/>
  <c r="X152" i="1"/>
  <c r="Y152" i="1"/>
  <c r="V153" i="1"/>
  <c r="W153" i="1"/>
  <c r="X153" i="1"/>
  <c r="Y153" i="1"/>
  <c r="V154" i="1"/>
  <c r="W154" i="1"/>
  <c r="X154" i="1"/>
  <c r="Y154" i="1"/>
  <c r="V155" i="1"/>
  <c r="W155" i="1"/>
  <c r="X155" i="1"/>
  <c r="Y155" i="1"/>
  <c r="V156" i="1"/>
  <c r="X156" i="1"/>
  <c r="Y156" i="1"/>
  <c r="V157" i="1"/>
  <c r="W157" i="1"/>
  <c r="X157" i="1"/>
  <c r="Y157" i="1"/>
  <c r="V158" i="1"/>
  <c r="W158" i="1"/>
  <c r="X158" i="1"/>
  <c r="Y158" i="1"/>
  <c r="V159" i="1"/>
  <c r="W159" i="1"/>
  <c r="X159" i="1"/>
  <c r="Y159" i="1"/>
  <c r="V160" i="1"/>
  <c r="W160" i="1"/>
  <c r="X160" i="1"/>
  <c r="Y160" i="1"/>
  <c r="V161" i="1"/>
  <c r="X161" i="1"/>
  <c r="V162" i="1"/>
  <c r="X162" i="1"/>
  <c r="C3" i="2"/>
  <c r="C4" i="2"/>
  <c r="C2" i="2"/>
  <c r="D51" i="2"/>
  <c r="F42" i="2"/>
  <c r="E42" i="2"/>
  <c r="D42" i="2"/>
  <c r="F45" i="2"/>
  <c r="E45" i="2"/>
  <c r="D45" i="2"/>
  <c r="C42" i="2"/>
  <c r="C45" i="2"/>
  <c r="D38" i="2"/>
  <c r="E38" i="2"/>
  <c r="F38" i="2"/>
  <c r="D37" i="2"/>
  <c r="E37" i="2"/>
  <c r="F37" i="2"/>
  <c r="C37" i="2"/>
  <c r="C38" i="2"/>
  <c r="D31" i="2"/>
  <c r="E31" i="2"/>
  <c r="F31" i="2"/>
  <c r="D30" i="2"/>
  <c r="E30" i="2"/>
  <c r="F30" i="2"/>
  <c r="D28" i="2"/>
  <c r="E28" i="2"/>
  <c r="F28" i="2"/>
  <c r="D29" i="2"/>
  <c r="E29" i="2"/>
  <c r="F29" i="2"/>
  <c r="C29" i="2"/>
  <c r="C28" i="2"/>
  <c r="C30" i="2"/>
  <c r="C31" i="2"/>
  <c r="D23" i="2"/>
  <c r="E23" i="2"/>
  <c r="F23" i="2"/>
  <c r="D22" i="2"/>
  <c r="E22" i="2"/>
  <c r="F22" i="2"/>
  <c r="C22" i="2"/>
  <c r="C23" i="2"/>
  <c r="D21" i="2"/>
  <c r="E21" i="2"/>
  <c r="F21" i="2"/>
  <c r="C21" i="2"/>
  <c r="D17" i="2"/>
  <c r="E17" i="2"/>
  <c r="D15" i="2"/>
  <c r="E15" i="2"/>
  <c r="C15" i="2"/>
  <c r="C17" i="2"/>
  <c r="D16" i="2"/>
  <c r="E16" i="2"/>
  <c r="D10" i="2"/>
  <c r="C10" i="2"/>
  <c r="D9" i="2"/>
  <c r="C9" i="2"/>
  <c r="C16" i="2"/>
  <c r="BM132" i="1"/>
  <c r="BN132" i="1"/>
  <c r="BO132" i="1"/>
  <c r="BP132" i="1"/>
  <c r="BM133" i="1"/>
  <c r="BN133" i="1"/>
  <c r="BO133" i="1"/>
  <c r="BP133" i="1"/>
  <c r="BM134" i="1"/>
  <c r="BN134" i="1"/>
  <c r="BO134" i="1"/>
  <c r="BP134" i="1"/>
  <c r="BM135" i="1"/>
  <c r="BN135" i="1"/>
  <c r="BO135" i="1"/>
  <c r="BP135" i="1"/>
  <c r="BM136" i="1"/>
  <c r="BN136" i="1"/>
  <c r="BO136" i="1"/>
  <c r="BP136" i="1"/>
  <c r="BM137" i="1"/>
  <c r="BN137" i="1"/>
  <c r="BO137" i="1"/>
  <c r="BP137" i="1"/>
  <c r="BN131" i="1"/>
  <c r="BO131" i="1"/>
  <c r="BP131" i="1"/>
  <c r="BM131" i="1"/>
  <c r="BI132" i="1"/>
  <c r="BJ132" i="1"/>
  <c r="BK132" i="1"/>
  <c r="BL132" i="1"/>
  <c r="BI133" i="1"/>
  <c r="BJ133" i="1"/>
  <c r="BK133" i="1"/>
  <c r="BL133" i="1"/>
  <c r="BI134" i="1"/>
  <c r="BJ134" i="1"/>
  <c r="BK134" i="1"/>
  <c r="BL134" i="1"/>
  <c r="BI135" i="1"/>
  <c r="BJ135" i="1"/>
  <c r="BK135" i="1"/>
  <c r="BL135" i="1"/>
  <c r="BI136" i="1"/>
  <c r="BJ136" i="1"/>
  <c r="BK136" i="1"/>
  <c r="BL136" i="1"/>
  <c r="BI137" i="1"/>
  <c r="BJ137" i="1"/>
  <c r="BK137" i="1"/>
  <c r="BL137" i="1"/>
  <c r="BJ131" i="1"/>
  <c r="BK131" i="1"/>
  <c r="BL131" i="1"/>
  <c r="BI131" i="1"/>
  <c r="BP130" i="1"/>
  <c r="BO130" i="1"/>
  <c r="BN130" i="1"/>
  <c r="BM130" i="1"/>
  <c r="BL130" i="1"/>
  <c r="BK130" i="1"/>
  <c r="BJ130" i="1"/>
  <c r="BI130" i="1"/>
  <c r="BD132" i="1"/>
  <c r="BE132" i="1"/>
  <c r="BF132" i="1"/>
  <c r="BG132" i="1"/>
  <c r="BD134" i="1"/>
  <c r="BE134" i="1"/>
  <c r="BF134" i="1"/>
  <c r="BG134" i="1"/>
  <c r="BD135" i="1"/>
  <c r="BE135" i="1"/>
  <c r="BF135" i="1"/>
  <c r="BG135" i="1"/>
  <c r="BD136" i="1"/>
  <c r="BE136" i="1"/>
  <c r="BF136" i="1"/>
  <c r="BG136" i="1"/>
  <c r="BD137" i="1"/>
  <c r="BE137" i="1"/>
  <c r="BF137" i="1"/>
  <c r="BG137" i="1"/>
  <c r="BE131" i="1"/>
  <c r="BF131" i="1"/>
  <c r="BG131" i="1"/>
  <c r="BD131" i="1"/>
  <c r="AZ132" i="1"/>
  <c r="BA132" i="1"/>
  <c r="BB132" i="1"/>
  <c r="BC132" i="1"/>
  <c r="AZ133" i="1"/>
  <c r="BA133" i="1"/>
  <c r="BB133" i="1"/>
  <c r="BC133" i="1"/>
  <c r="AZ134" i="1"/>
  <c r="BA134" i="1"/>
  <c r="BB134" i="1"/>
  <c r="BC134" i="1"/>
  <c r="AZ135" i="1"/>
  <c r="BA135" i="1"/>
  <c r="BB135" i="1"/>
  <c r="BC135" i="1"/>
  <c r="AZ136" i="1"/>
  <c r="BA136" i="1"/>
  <c r="BB136" i="1"/>
  <c r="BC136" i="1"/>
  <c r="AZ137" i="1"/>
  <c r="BA137" i="1"/>
  <c r="BB137" i="1"/>
  <c r="BC137" i="1"/>
  <c r="BA131" i="1"/>
  <c r="BB131" i="1"/>
  <c r="BC131" i="1"/>
  <c r="AZ131" i="1"/>
  <c r="BG130" i="1"/>
  <c r="BF130" i="1"/>
  <c r="BE130" i="1"/>
  <c r="BD130" i="1"/>
  <c r="BC130" i="1"/>
  <c r="BB130" i="1"/>
  <c r="BA130" i="1"/>
  <c r="AZ130" i="1"/>
  <c r="AX137" i="1"/>
  <c r="AU132" i="1"/>
  <c r="AV132" i="1"/>
  <c r="AW132" i="1"/>
  <c r="AX132" i="1"/>
  <c r="AU134" i="1"/>
  <c r="AV134" i="1"/>
  <c r="AW134" i="1"/>
  <c r="AX134" i="1"/>
  <c r="AU135" i="1"/>
  <c r="AV135" i="1"/>
  <c r="AW135" i="1"/>
  <c r="AX135" i="1"/>
  <c r="AU136" i="1"/>
  <c r="AV136" i="1"/>
  <c r="AW136" i="1"/>
  <c r="AX136" i="1"/>
  <c r="AU137" i="1"/>
  <c r="AV137" i="1"/>
  <c r="AW137" i="1"/>
  <c r="AV131" i="1"/>
  <c r="AW131" i="1"/>
  <c r="AX131" i="1"/>
  <c r="AU131" i="1"/>
  <c r="AQ132" i="1"/>
  <c r="AR132" i="1"/>
  <c r="AS132" i="1"/>
  <c r="AT132" i="1"/>
  <c r="AQ133" i="1"/>
  <c r="AR133" i="1"/>
  <c r="AS133" i="1"/>
  <c r="AT133" i="1"/>
  <c r="AQ134" i="1"/>
  <c r="AR134" i="1"/>
  <c r="AS134" i="1"/>
  <c r="AT134" i="1"/>
  <c r="AQ135" i="1"/>
  <c r="AR135" i="1"/>
  <c r="AS135" i="1"/>
  <c r="AT135" i="1"/>
  <c r="AQ136" i="1"/>
  <c r="AR136" i="1"/>
  <c r="AS136" i="1"/>
  <c r="AT136" i="1"/>
  <c r="AQ137" i="1"/>
  <c r="AR137" i="1"/>
  <c r="AS137" i="1"/>
  <c r="AT137" i="1"/>
  <c r="AR131" i="1"/>
  <c r="AS131" i="1"/>
  <c r="AT131" i="1"/>
  <c r="AQ131" i="1"/>
  <c r="AX130" i="1"/>
  <c r="AW130" i="1"/>
  <c r="AV130" i="1"/>
  <c r="AU130" i="1"/>
  <c r="AT130" i="1"/>
  <c r="AS130" i="1"/>
  <c r="AR130" i="1"/>
  <c r="AQ130" i="1"/>
  <c r="AL132" i="1"/>
  <c r="AM132" i="1"/>
  <c r="AN132" i="1"/>
  <c r="AO132" i="1"/>
  <c r="AL134" i="1"/>
  <c r="AM134" i="1"/>
  <c r="AN134" i="1"/>
  <c r="AO134" i="1"/>
  <c r="AL135" i="1"/>
  <c r="AM135" i="1"/>
  <c r="AN135" i="1"/>
  <c r="AO135" i="1"/>
  <c r="AL136" i="1"/>
  <c r="AM136" i="1"/>
  <c r="AN136" i="1"/>
  <c r="AO136" i="1"/>
  <c r="AL137" i="1"/>
  <c r="AM137" i="1"/>
  <c r="AN137" i="1"/>
  <c r="AO137" i="1"/>
  <c r="AM131" i="1"/>
  <c r="AN131" i="1"/>
  <c r="AO131" i="1"/>
  <c r="AL131" i="1"/>
  <c r="AH137" i="1"/>
  <c r="AI137" i="1"/>
  <c r="AJ137" i="1"/>
  <c r="AK137" i="1"/>
  <c r="AA137" i="1"/>
  <c r="AB137" i="1"/>
  <c r="AC137" i="1"/>
  <c r="AD137" i="1"/>
  <c r="AE137" i="1"/>
  <c r="AF137" i="1"/>
  <c r="AH132" i="1"/>
  <c r="AI132" i="1"/>
  <c r="AJ132" i="1"/>
  <c r="AK132" i="1"/>
  <c r="AH133" i="1"/>
  <c r="AI133" i="1"/>
  <c r="AJ133" i="1"/>
  <c r="AK133" i="1"/>
  <c r="AH134" i="1"/>
  <c r="AI134" i="1"/>
  <c r="AJ134" i="1"/>
  <c r="AK134" i="1"/>
  <c r="AH135" i="1"/>
  <c r="AI135" i="1"/>
  <c r="AJ135" i="1"/>
  <c r="AK135" i="1"/>
  <c r="AH136" i="1"/>
  <c r="AI136" i="1"/>
  <c r="AJ136" i="1"/>
  <c r="AK136" i="1"/>
  <c r="AI131" i="1"/>
  <c r="AJ131" i="1"/>
  <c r="AK131" i="1"/>
  <c r="AH131" i="1"/>
  <c r="AM130" i="1"/>
  <c r="AN130" i="1"/>
  <c r="AO130" i="1"/>
  <c r="AL130" i="1"/>
  <c r="AI130" i="1"/>
  <c r="AJ130" i="1"/>
  <c r="AK130" i="1"/>
  <c r="AH130" i="1"/>
  <c r="AF136" i="1"/>
  <c r="AD131" i="1"/>
  <c r="AD132" i="1"/>
  <c r="AE132" i="1"/>
  <c r="AF132" i="1"/>
  <c r="AD134" i="1"/>
  <c r="AE134" i="1"/>
  <c r="AF134" i="1"/>
  <c r="AD135" i="1"/>
  <c r="AE135" i="1"/>
  <c r="AF135" i="1"/>
  <c r="AD136" i="1"/>
  <c r="AE136" i="1"/>
  <c r="AE131" i="1"/>
  <c r="AF131" i="1"/>
  <c r="AA132" i="1"/>
  <c r="AB132" i="1"/>
  <c r="AC132" i="1"/>
  <c r="AA133" i="1"/>
  <c r="AB133" i="1"/>
  <c r="AC133" i="1"/>
  <c r="AA134" i="1"/>
  <c r="AB134" i="1"/>
  <c r="AC134" i="1"/>
  <c r="AA135" i="1"/>
  <c r="AB135" i="1"/>
  <c r="AC135" i="1"/>
  <c r="AA136" i="1"/>
  <c r="AB136" i="1"/>
  <c r="AC136" i="1"/>
  <c r="AB131" i="1"/>
  <c r="AC131" i="1"/>
  <c r="AA131" i="1"/>
  <c r="Y132" i="1"/>
  <c r="Y134" i="1"/>
  <c r="Y135" i="1"/>
  <c r="Y136" i="1"/>
  <c r="Y137" i="1"/>
  <c r="Y131" i="1"/>
  <c r="X132" i="1"/>
  <c r="X133" i="1"/>
  <c r="X134" i="1"/>
  <c r="X135" i="1"/>
  <c r="X136" i="1"/>
  <c r="X137" i="1"/>
  <c r="X131" i="1"/>
  <c r="W132" i="1"/>
  <c r="W134" i="1"/>
  <c r="W135" i="1"/>
  <c r="W136" i="1"/>
  <c r="W137" i="1"/>
  <c r="W131" i="1"/>
  <c r="V132" i="1"/>
  <c r="V133" i="1"/>
  <c r="V134" i="1"/>
  <c r="V135" i="1"/>
  <c r="V136" i="1"/>
  <c r="V137" i="1"/>
  <c r="V131" i="1"/>
  <c r="N28" i="6"/>
  <c r="L28" i="6"/>
  <c r="L34" i="6"/>
  <c r="L10" i="6"/>
  <c r="AE33" i="6"/>
  <c r="AA33" i="6"/>
  <c r="AA10" i="6"/>
  <c r="W33" i="6"/>
  <c r="W10" i="6"/>
  <c r="S33" i="6"/>
  <c r="S14" i="6"/>
  <c r="O34" i="6"/>
  <c r="P21" i="6"/>
  <c r="M33" i="6"/>
  <c r="BJ10" i="2" l="1"/>
  <c r="S15" i="2"/>
  <c r="BL22" i="2"/>
  <c r="BL28" i="2"/>
  <c r="BL35" i="2"/>
  <c r="BY32" i="1"/>
  <c r="AX161" i="1"/>
  <c r="Y162" i="1"/>
  <c r="CA9" i="1"/>
  <c r="CA20" i="1"/>
  <c r="CA33" i="1"/>
  <c r="CE20" i="1"/>
  <c r="CI20" i="1"/>
  <c r="CI33" i="1"/>
  <c r="CM20" i="1"/>
  <c r="F33" i="1"/>
  <c r="B33" i="1"/>
  <c r="BV20" i="1"/>
  <c r="BX9" i="1"/>
  <c r="AY24" i="2" a="1"/>
  <c r="AY24" i="2" s="1"/>
  <c r="CD4" i="1"/>
  <c r="BK24" i="2" a="1"/>
  <c r="BK24" i="2" s="1"/>
  <c r="AD24" i="2" a="1"/>
  <c r="AD24" i="2" s="1"/>
  <c r="AO24" i="2" a="1"/>
  <c r="AO24" i="2" s="1"/>
  <c r="BU24" i="2" a="1"/>
  <c r="BU24" i="2" s="1"/>
  <c r="AZ24" i="2" a="1"/>
  <c r="AZ24" i="2" s="1"/>
  <c r="AC24" i="2" a="1"/>
  <c r="AC24" i="2" s="1"/>
  <c r="AN24" i="2" a="1"/>
  <c r="AN24" i="2" s="1"/>
  <c r="BJ24" i="2" a="1"/>
  <c r="BJ24" i="2" s="1"/>
  <c r="BV24" i="2" a="1"/>
  <c r="BV24" i="2" s="1"/>
  <c r="BS9" i="2" a="1"/>
  <c r="BS9" i="2" s="1"/>
  <c r="Q9" i="2" a="1"/>
  <c r="Q9" i="2" s="1"/>
  <c r="BV4" i="1"/>
  <c r="AM9" i="2" a="1"/>
  <c r="AM9" i="2" s="1"/>
  <c r="P9" i="2" a="1"/>
  <c r="P9" i="2" s="1"/>
  <c r="AX9" i="2" a="1"/>
  <c r="AX9" i="2" s="1"/>
  <c r="AW9" i="2" a="1"/>
  <c r="AW9" i="2" s="1"/>
  <c r="AL9" i="2" a="1"/>
  <c r="AL9" i="2" s="1"/>
  <c r="BH9" i="2" a="1"/>
  <c r="BH9" i="2" s="1"/>
  <c r="BI9" i="2" a="1"/>
  <c r="BI9" i="2" s="1"/>
  <c r="AB9" i="2" a="1"/>
  <c r="AB9" i="2" s="1"/>
  <c r="AA9" i="2" a="1"/>
  <c r="AA9" i="2" s="1"/>
  <c r="BT9" i="2" a="1"/>
  <c r="BT9" i="2" s="1"/>
  <c r="AO42" i="2" a="1"/>
  <c r="AO42" i="2" s="1"/>
  <c r="BK42" i="2" a="1"/>
  <c r="BK42" i="2" s="1"/>
  <c r="AD42" i="2" a="1"/>
  <c r="AD42" i="2" s="1"/>
  <c r="AC42" i="2" a="1"/>
  <c r="AC42" i="2" s="1"/>
  <c r="BJ42" i="2" a="1"/>
  <c r="BJ42" i="2" s="1"/>
  <c r="BV42" i="2" a="1"/>
  <c r="BV42" i="2" s="1"/>
  <c r="AN42" i="2" a="1"/>
  <c r="AN42" i="2" s="1"/>
  <c r="AZ42" i="2" a="1"/>
  <c r="AZ42" i="2" s="1"/>
  <c r="BU42" i="2" a="1"/>
  <c r="BU42" i="2" s="1"/>
  <c r="AY42" i="2" a="1"/>
  <c r="AY42" i="2" s="1"/>
  <c r="S42" i="2" a="1"/>
  <c r="S42" i="2" s="1"/>
  <c r="CO9" i="1"/>
  <c r="AO31" i="2" a="1"/>
  <c r="AO31" i="2" s="1"/>
  <c r="AN31" i="2" a="1"/>
  <c r="AN31" i="2" s="1"/>
  <c r="CE4" i="1"/>
  <c r="BV31" i="2" a="1"/>
  <c r="BV31" i="2" s="1"/>
  <c r="AZ31" i="2" a="1"/>
  <c r="AZ31" i="2" s="1"/>
  <c r="AY31" i="2" a="1"/>
  <c r="AY31" i="2" s="1"/>
  <c r="AC31" i="2" a="1"/>
  <c r="AC31" i="2" s="1"/>
  <c r="BU31" i="2" a="1"/>
  <c r="BU31" i="2" s="1"/>
  <c r="BK31" i="2" a="1"/>
  <c r="BK31" i="2" s="1"/>
  <c r="BJ31" i="2" a="1"/>
  <c r="BJ31" i="2" s="1"/>
  <c r="AD31" i="2" a="1"/>
  <c r="AD31" i="2" s="1"/>
  <c r="AN9" i="2"/>
  <c r="AY9" i="2"/>
  <c r="CD13" i="1"/>
  <c r="CL32" i="1"/>
  <c r="AO30" i="2" a="1"/>
  <c r="AO30" i="2" s="1"/>
  <c r="AZ30" i="2" a="1"/>
  <c r="AZ30" i="2" s="1"/>
  <c r="BV30" i="2" a="1"/>
  <c r="BV30" i="2" s="1"/>
  <c r="AN30" i="2" a="1"/>
  <c r="AN30" i="2" s="1"/>
  <c r="BU30" i="2" a="1"/>
  <c r="BU30" i="2" s="1"/>
  <c r="CF4" i="1"/>
  <c r="BK30" i="2" a="1"/>
  <c r="BK30" i="2" s="1"/>
  <c r="AD30" i="2" a="1"/>
  <c r="AD30" i="2" s="1"/>
  <c r="AY30" i="2" a="1"/>
  <c r="AY30" i="2" s="1"/>
  <c r="BJ30" i="2" a="1"/>
  <c r="BJ30" i="2" s="1"/>
  <c r="AC30" i="2" a="1"/>
  <c r="AC30" i="2" s="1"/>
  <c r="BW9" i="1"/>
  <c r="BU28" i="2" a="1"/>
  <c r="BU28" i="2" s="1"/>
  <c r="AZ28" i="2" a="1"/>
  <c r="AZ28" i="2" s="1"/>
  <c r="AY28" i="2" a="1"/>
  <c r="AY28" i="2" s="1"/>
  <c r="BV28" i="2" a="1"/>
  <c r="BV28" i="2" s="1"/>
  <c r="AO28" i="2" a="1"/>
  <c r="AO28" i="2" s="1"/>
  <c r="AC28" i="2" a="1"/>
  <c r="AC28" i="2" s="1"/>
  <c r="AN28" i="2" a="1"/>
  <c r="AN28" i="2" s="1"/>
  <c r="BJ28" i="2" a="1"/>
  <c r="BJ28" i="2" s="1"/>
  <c r="CG4" i="1"/>
  <c r="BK28" i="2" a="1"/>
  <c r="BK28" i="2" s="1"/>
  <c r="AD28" i="2" a="1"/>
  <c r="AD28" i="2" s="1"/>
  <c r="BP162" i="1"/>
  <c r="BK22" i="2" a="1"/>
  <c r="BK22" i="2" s="1"/>
  <c r="AD22" i="2" a="1"/>
  <c r="AD22" i="2" s="1"/>
  <c r="BJ22" i="2" a="1"/>
  <c r="BJ22" i="2" s="1"/>
  <c r="AC22" i="2" a="1"/>
  <c r="AC22" i="2" s="1"/>
  <c r="BU22" i="2" a="1"/>
  <c r="BU22" i="2" s="1"/>
  <c r="AZ22" i="2" a="1"/>
  <c r="AZ22" i="2" s="1"/>
  <c r="BV22" i="2" a="1"/>
  <c r="BV22" i="2" s="1"/>
  <c r="AO22" i="2" a="1"/>
  <c r="AO22" i="2" s="1"/>
  <c r="AN22" i="2" a="1"/>
  <c r="AN22" i="2" s="1"/>
  <c r="AY22" i="2" a="1"/>
  <c r="AY22" i="2" s="1"/>
  <c r="CC4" i="1"/>
  <c r="AZ35" i="2" a="1"/>
  <c r="AZ35" i="2" s="1"/>
  <c r="AO35" i="2" a="1"/>
  <c r="AO35" i="2" s="1"/>
  <c r="R35" i="2" a="1"/>
  <c r="R35" i="2" s="1"/>
  <c r="BK35" i="2" a="1"/>
  <c r="BK35" i="2" s="1"/>
  <c r="AD35" i="2" a="1"/>
  <c r="AD35" i="2" s="1"/>
  <c r="BV35" i="2" a="1"/>
  <c r="BV35" i="2" s="1"/>
  <c r="AY35" i="2" a="1"/>
  <c r="AY35" i="2" s="1"/>
  <c r="AN35" i="2" a="1"/>
  <c r="AN35" i="2" s="1"/>
  <c r="AC35" i="2" a="1"/>
  <c r="AC35" i="2" s="1"/>
  <c r="H35" i="2"/>
  <c r="S35" i="2" a="1"/>
  <c r="S35" i="2" s="1"/>
  <c r="BU35" i="2" a="1"/>
  <c r="BU35" i="2" s="1"/>
  <c r="CK4" i="1"/>
  <c r="BJ35" i="2" a="1"/>
  <c r="BJ35" i="2" s="1"/>
  <c r="G35" i="2"/>
  <c r="BV32" i="1"/>
  <c r="BY20" i="1"/>
  <c r="BX33" i="1"/>
  <c r="CB13" i="1"/>
  <c r="CB32" i="1"/>
  <c r="CF9" i="1"/>
  <c r="CF32" i="1"/>
  <c r="CJ9" i="1"/>
  <c r="CJ32" i="1"/>
  <c r="AO43" i="2" a="1"/>
  <c r="AO43" i="2" s="1"/>
  <c r="BK43" i="2" a="1"/>
  <c r="BK43" i="2" s="1"/>
  <c r="AY43" i="2" a="1"/>
  <c r="AY43" i="2" s="1"/>
  <c r="AN43" i="2" a="1"/>
  <c r="AN43" i="2" s="1"/>
  <c r="BV43" i="2" a="1"/>
  <c r="BV43" i="2" s="1"/>
  <c r="BJ43" i="2" a="1"/>
  <c r="BJ43" i="2" s="1"/>
  <c r="BU43" i="2" a="1"/>
  <c r="BU43" i="2" s="1"/>
  <c r="AZ43" i="2" a="1"/>
  <c r="AZ43" i="2" s="1"/>
  <c r="H43" i="2"/>
  <c r="AD43" i="2" a="1"/>
  <c r="AD43" i="2" s="1"/>
  <c r="G43" i="2"/>
  <c r="AC43" i="2" a="1"/>
  <c r="AC43" i="2" s="1"/>
  <c r="S43" i="2" a="1"/>
  <c r="S43" i="2" s="1"/>
  <c r="CP9" i="1"/>
  <c r="R43" i="2" a="1"/>
  <c r="R43" i="2" s="1"/>
  <c r="CN32" i="1"/>
  <c r="AP28" i="2"/>
  <c r="BL42" i="2"/>
  <c r="BN138" i="1"/>
  <c r="CD32" i="1"/>
  <c r="CL9" i="1"/>
  <c r="AF156" i="1"/>
  <c r="BZ27" i="1"/>
  <c r="CB9" i="1"/>
  <c r="CB20" i="1"/>
  <c r="AO162" i="1"/>
  <c r="CB33" i="1"/>
  <c r="CF20" i="1"/>
  <c r="AV162" i="1"/>
  <c r="CF33" i="1"/>
  <c r="CJ20" i="1"/>
  <c r="CJ33" i="1"/>
  <c r="CN33" i="1"/>
  <c r="AX15" i="2" a="1"/>
  <c r="AX15" i="2" s="1"/>
  <c r="BJ15" i="2" a="1"/>
  <c r="BJ15" i="2" s="1"/>
  <c r="AC15" i="2" a="1"/>
  <c r="AC15" i="2" s="1"/>
  <c r="AN15" i="2" a="1"/>
  <c r="AN15" i="2" s="1"/>
  <c r="AY15" i="2" a="1"/>
  <c r="AY15" i="2" s="1"/>
  <c r="BU15" i="2" a="1"/>
  <c r="BU15" i="2" s="1"/>
  <c r="BI15" i="2" a="1"/>
  <c r="BI15" i="2" s="1"/>
  <c r="AB15" i="2" a="1"/>
  <c r="AB15" i="2" s="1"/>
  <c r="BT15" i="2" a="1"/>
  <c r="BT15" i="2" s="1"/>
  <c r="AM15" i="2" a="1"/>
  <c r="AM15" i="2" s="1"/>
  <c r="BZ4" i="1"/>
  <c r="BV29" i="2" a="1"/>
  <c r="BV29" i="2" s="1"/>
  <c r="AN29" i="2" a="1"/>
  <c r="AN29" i="2" s="1"/>
  <c r="BU29" i="2" a="1"/>
  <c r="BU29" i="2" s="1"/>
  <c r="AZ29" i="2" a="1"/>
  <c r="AZ29" i="2" s="1"/>
  <c r="AY29" i="2" a="1"/>
  <c r="AY29" i="2" s="1"/>
  <c r="BJ29" i="2" a="1"/>
  <c r="BJ29" i="2" s="1"/>
  <c r="AC29" i="2" a="1"/>
  <c r="AC29" i="2" s="1"/>
  <c r="BK29" i="2" a="1"/>
  <c r="BK29" i="2" s="1"/>
  <c r="AD29" i="2" a="1"/>
  <c r="AD29" i="2" s="1"/>
  <c r="AO29" i="2" a="1"/>
  <c r="AO29" i="2" s="1"/>
  <c r="CH4" i="1"/>
  <c r="BW20" i="1"/>
  <c r="BY9" i="1"/>
  <c r="BX32" i="1"/>
  <c r="CC9" i="1"/>
  <c r="CC20" i="1"/>
  <c r="CC33" i="1"/>
  <c r="CG20" i="1"/>
  <c r="CG33" i="1"/>
  <c r="CK20" i="1"/>
  <c r="CK33" i="1"/>
  <c r="CO20" i="1"/>
  <c r="CO33" i="1"/>
  <c r="BV36" i="2" a="1"/>
  <c r="BV36" i="2" s="1"/>
  <c r="CL4" i="1"/>
  <c r="AZ36" i="2" a="1"/>
  <c r="AZ36" i="2" s="1"/>
  <c r="AO36" i="2" a="1"/>
  <c r="AO36" i="2" s="1"/>
  <c r="AD36" i="2" a="1"/>
  <c r="AD36" i="2" s="1"/>
  <c r="S36" i="2" a="1"/>
  <c r="S36" i="2" s="1"/>
  <c r="BK36" i="2" a="1"/>
  <c r="BK36" i="2" s="1"/>
  <c r="AY36" i="2" a="1"/>
  <c r="AY36" i="2" s="1"/>
  <c r="AN36" i="2" a="1"/>
  <c r="AN36" i="2" s="1"/>
  <c r="AC36" i="2" a="1"/>
  <c r="AC36" i="2" s="1"/>
  <c r="R36" i="2" a="1"/>
  <c r="R36" i="2" s="1"/>
  <c r="G36" i="2"/>
  <c r="H36" i="2"/>
  <c r="BJ36" i="2" a="1"/>
  <c r="BJ36" i="2" s="1"/>
  <c r="BU36" i="2" a="1"/>
  <c r="BU36" i="2" s="1"/>
  <c r="D32" i="1"/>
  <c r="C13" i="1"/>
  <c r="BS10" i="2" a="1"/>
  <c r="BS10" i="2" s="1"/>
  <c r="BI10" i="2" a="1"/>
  <c r="BI10" i="2" s="1"/>
  <c r="BW4" i="1"/>
  <c r="BH10" i="2" a="1"/>
  <c r="BH10" i="2" s="1"/>
  <c r="AL10" i="2" a="1"/>
  <c r="AL10" i="2" s="1"/>
  <c r="AB10" i="2" a="1"/>
  <c r="AB10" i="2" s="1"/>
  <c r="AW10" i="2" a="1"/>
  <c r="AW10" i="2" s="1"/>
  <c r="Q10" i="2" a="1"/>
  <c r="Q10" i="2" s="1"/>
  <c r="P10" i="2" a="1"/>
  <c r="P10" i="2" s="1"/>
  <c r="AM10" i="2" a="1"/>
  <c r="AM10" i="2" s="1"/>
  <c r="AX10" i="2" a="1"/>
  <c r="AX10" i="2" s="1"/>
  <c r="BT10" i="2" a="1"/>
  <c r="BT10" i="2" s="1"/>
  <c r="AA10" i="2" a="1"/>
  <c r="AA10" i="2" s="1"/>
  <c r="CH9" i="1"/>
  <c r="CP32" i="1"/>
  <c r="AX138" i="1"/>
  <c r="BU16" i="2" a="1"/>
  <c r="BU16" i="2" s="1"/>
  <c r="AM16" i="2" a="1"/>
  <c r="AM16" i="2" s="1"/>
  <c r="BX4" i="1"/>
  <c r="BT16" i="2" a="1"/>
  <c r="BT16" i="2" s="1"/>
  <c r="AY16" i="2" a="1"/>
  <c r="AY16" i="2" s="1"/>
  <c r="AX16" i="2" a="1"/>
  <c r="AX16" i="2" s="1"/>
  <c r="BI16" i="2" a="1"/>
  <c r="BI16" i="2" s="1"/>
  <c r="AB16" i="2" a="1"/>
  <c r="AB16" i="2" s="1"/>
  <c r="AN16" i="2" a="1"/>
  <c r="AN16" i="2" s="1"/>
  <c r="BJ16" i="2" a="1"/>
  <c r="BJ16" i="2" s="1"/>
  <c r="AC16" i="2" a="1"/>
  <c r="AC16" i="2" s="1"/>
  <c r="BY27" i="1"/>
  <c r="AO16" i="2"/>
  <c r="CN20" i="1"/>
  <c r="AF149" i="1"/>
  <c r="BD162" i="1"/>
  <c r="BJ21" i="2" a="1"/>
  <c r="BJ21" i="2" s="1"/>
  <c r="AC21" i="2" a="1"/>
  <c r="AC21" i="2" s="1"/>
  <c r="AO21" i="2" a="1"/>
  <c r="AO21" i="2" s="1"/>
  <c r="AY21" i="2" a="1"/>
  <c r="AY21" i="2" s="1"/>
  <c r="CA4" i="1"/>
  <c r="AN21" i="2" a="1"/>
  <c r="AN21" i="2" s="1"/>
  <c r="BK21" i="2" a="1"/>
  <c r="BK21" i="2" s="1"/>
  <c r="AZ21" i="2" a="1"/>
  <c r="AZ21" i="2" s="1"/>
  <c r="AD21" i="2" a="1"/>
  <c r="AD21" i="2" s="1"/>
  <c r="BV21" i="2" a="1"/>
  <c r="BV21" i="2" s="1"/>
  <c r="BU21" i="2" a="1"/>
  <c r="BU21" i="2" s="1"/>
  <c r="BK38" i="2" a="1"/>
  <c r="BK38" i="2" s="1"/>
  <c r="AD38" i="2" a="1"/>
  <c r="AD38" i="2" s="1"/>
  <c r="BJ38" i="2" a="1"/>
  <c r="BJ38" i="2" s="1"/>
  <c r="AO38" i="2" a="1"/>
  <c r="AO38" i="2" s="1"/>
  <c r="AC38" i="2" a="1"/>
  <c r="AC38" i="2" s="1"/>
  <c r="AN38" i="2" a="1"/>
  <c r="AN38" i="2" s="1"/>
  <c r="BU38" i="2" a="1"/>
  <c r="BU38" i="2" s="1"/>
  <c r="AZ38" i="2" a="1"/>
  <c r="AZ38" i="2" s="1"/>
  <c r="CI4" i="1"/>
  <c r="BV38" i="2" a="1"/>
  <c r="BV38" i="2" s="1"/>
  <c r="AY38" i="2" a="1"/>
  <c r="AY38" i="2" s="1"/>
  <c r="BZ9" i="1"/>
  <c r="CD9" i="1"/>
  <c r="CD20" i="1"/>
  <c r="CD33" i="1"/>
  <c r="CH20" i="1"/>
  <c r="CH33" i="1"/>
  <c r="CL20" i="1"/>
  <c r="CL33" i="1"/>
  <c r="CP20" i="1"/>
  <c r="CP33" i="1"/>
  <c r="AP35" i="2"/>
  <c r="BA35" i="2"/>
  <c r="BZ33" i="1"/>
  <c r="CH32" i="1"/>
  <c r="AO44" i="2" a="1"/>
  <c r="AO44" i="2" s="1"/>
  <c r="R44" i="2" a="1"/>
  <c r="R44" i="2" s="1"/>
  <c r="AZ44" i="2" a="1"/>
  <c r="AZ44" i="2" s="1"/>
  <c r="BV44" i="2" a="1"/>
  <c r="BV44" i="2" s="1"/>
  <c r="BK44" i="2" a="1"/>
  <c r="BK44" i="2" s="1"/>
  <c r="AY44" i="2" a="1"/>
  <c r="AY44" i="2" s="1"/>
  <c r="BU44" i="2" a="1"/>
  <c r="BU44" i="2" s="1"/>
  <c r="BJ44" i="2" a="1"/>
  <c r="BJ44" i="2" s="1"/>
  <c r="AD44" i="2" a="1"/>
  <c r="AD44" i="2" s="1"/>
  <c r="S44" i="2" a="1"/>
  <c r="S44" i="2" s="1"/>
  <c r="G44" i="2"/>
  <c r="CN9" i="1"/>
  <c r="AN44" i="2" a="1"/>
  <c r="AN44" i="2" s="1"/>
  <c r="AC44" i="2" a="1"/>
  <c r="AC44" i="2" s="1"/>
  <c r="A33" i="1"/>
  <c r="BW33" i="1"/>
  <c r="D33" i="1"/>
  <c r="CE33" i="1"/>
  <c r="BM162" i="1"/>
  <c r="CM33" i="1"/>
  <c r="AN17" i="2" a="1"/>
  <c r="AN17" i="2" s="1"/>
  <c r="AM17" i="2" a="1"/>
  <c r="AM17" i="2" s="1"/>
  <c r="BU17" i="2" a="1"/>
  <c r="BU17" i="2" s="1"/>
  <c r="BI17" i="2" a="1"/>
  <c r="BI17" i="2" s="1"/>
  <c r="AX17" i="2" a="1"/>
  <c r="AX17" i="2" s="1"/>
  <c r="AB17" i="2" a="1"/>
  <c r="AB17" i="2" s="1"/>
  <c r="BY4" i="1"/>
  <c r="BJ17" i="2" a="1"/>
  <c r="BJ17" i="2" s="1"/>
  <c r="AY17" i="2" a="1"/>
  <c r="AY17" i="2" s="1"/>
  <c r="AC17" i="2" a="1"/>
  <c r="AC17" i="2" s="1"/>
  <c r="BT17" i="2" a="1"/>
  <c r="BT17" i="2" s="1"/>
  <c r="AD162" i="1"/>
  <c r="BN161" i="1"/>
  <c r="AC23" i="2" a="1"/>
  <c r="AC23" i="2" s="1"/>
  <c r="BK23" i="2" a="1"/>
  <c r="BK23" i="2" s="1"/>
  <c r="AD23" i="2" a="1"/>
  <c r="AD23" i="2" s="1"/>
  <c r="BJ23" i="2" a="1"/>
  <c r="BJ23" i="2" s="1"/>
  <c r="BV23" i="2" a="1"/>
  <c r="BV23" i="2" s="1"/>
  <c r="AN23" i="2" a="1"/>
  <c r="AN23" i="2" s="1"/>
  <c r="BU23" i="2" a="1"/>
  <c r="BU23" i="2" s="1"/>
  <c r="AZ23" i="2" a="1"/>
  <c r="AZ23" i="2" s="1"/>
  <c r="CB4" i="1"/>
  <c r="AY23" i="2" a="1"/>
  <c r="AY23" i="2" s="1"/>
  <c r="AO23" i="2" a="1"/>
  <c r="AO23" i="2" s="1"/>
  <c r="BJ37" i="2" a="1"/>
  <c r="BJ37" i="2" s="1"/>
  <c r="AO37" i="2" a="1"/>
  <c r="AO37" i="2" s="1"/>
  <c r="AC37" i="2" a="1"/>
  <c r="AC37" i="2" s="1"/>
  <c r="AN37" i="2" a="1"/>
  <c r="AN37" i="2" s="1"/>
  <c r="AY37" i="2" a="1"/>
  <c r="AY37" i="2" s="1"/>
  <c r="BV37" i="2" a="1"/>
  <c r="BV37" i="2" s="1"/>
  <c r="BK37" i="2" a="1"/>
  <c r="BK37" i="2" s="1"/>
  <c r="CJ4" i="1"/>
  <c r="AZ37" i="2" a="1"/>
  <c r="AZ37" i="2" s="1"/>
  <c r="BU37" i="2" a="1"/>
  <c r="BU37" i="2" s="1"/>
  <c r="AD37" i="2" a="1"/>
  <c r="AD37" i="2" s="1"/>
  <c r="BW27" i="1"/>
  <c r="BX20" i="1"/>
  <c r="BZ32" i="1"/>
  <c r="CA13" i="1"/>
  <c r="CA32" i="1"/>
  <c r="CE9" i="1"/>
  <c r="CE32" i="1"/>
  <c r="CI9" i="1"/>
  <c r="CI32" i="1"/>
  <c r="AY45" i="2" a="1"/>
  <c r="AY45" i="2" s="1"/>
  <c r="AD45" i="2" a="1"/>
  <c r="AD45" i="2" s="1"/>
  <c r="CM9" i="1"/>
  <c r="BK45" i="2" a="1"/>
  <c r="BK45" i="2" s="1"/>
  <c r="S45" i="2" a="1"/>
  <c r="S45" i="2" s="1"/>
  <c r="BU45" i="2" a="1"/>
  <c r="BU45" i="2" s="1"/>
  <c r="AN45" i="2" a="1"/>
  <c r="AN45" i="2" s="1"/>
  <c r="R45" i="2" a="1"/>
  <c r="R45" i="2" s="1"/>
  <c r="AZ45" i="2" a="1"/>
  <c r="AZ45" i="2" s="1"/>
  <c r="BV45" i="2" a="1"/>
  <c r="BV45" i="2" s="1"/>
  <c r="AO45" i="2" a="1"/>
  <c r="AO45" i="2" s="1"/>
  <c r="BJ45" i="2" a="1"/>
  <c r="BJ45" i="2" s="1"/>
  <c r="AC45" i="2" a="1"/>
  <c r="AC45" i="2" s="1"/>
  <c r="CM32" i="1"/>
  <c r="AJ112" i="5"/>
  <c r="AJ117" i="5"/>
  <c r="AJ107" i="5"/>
  <c r="AJ102" i="5"/>
  <c r="AJ91" i="5"/>
  <c r="AJ96" i="5"/>
  <c r="AJ81" i="5"/>
  <c r="AJ86" i="5"/>
  <c r="AJ70" i="5"/>
  <c r="AJ75" i="5"/>
  <c r="AJ60" i="5"/>
  <c r="AJ65" i="5"/>
  <c r="AJ54" i="5"/>
  <c r="AJ49" i="5"/>
  <c r="AJ44" i="5"/>
  <c r="AJ39" i="5"/>
  <c r="AJ12" i="5"/>
  <c r="AJ17" i="5"/>
  <c r="AJ28" i="5"/>
  <c r="AJ23" i="5"/>
  <c r="AJ33" i="5"/>
  <c r="O117" i="5"/>
  <c r="P117" i="5" s="1"/>
  <c r="N28" i="8" s="1"/>
  <c r="O102" i="5"/>
  <c r="P102" i="5" s="1"/>
  <c r="N25" i="8" s="1"/>
  <c r="O112" i="5"/>
  <c r="P112" i="5" s="1"/>
  <c r="N27" i="8" s="1"/>
  <c r="O107" i="5"/>
  <c r="P107" i="5" s="1"/>
  <c r="N26" i="8" s="1"/>
  <c r="O96" i="5"/>
  <c r="P96" i="5" s="1"/>
  <c r="N23" i="8" s="1"/>
  <c r="O86" i="5"/>
  <c r="P86" i="5" s="1"/>
  <c r="N21" i="8" s="1"/>
  <c r="O91" i="5"/>
  <c r="P91" i="5" s="1"/>
  <c r="N22" i="8" s="1"/>
  <c r="O81" i="5"/>
  <c r="O70" i="5"/>
  <c r="P70" i="5" s="1"/>
  <c r="N17" i="8" s="1"/>
  <c r="O65" i="5"/>
  <c r="P65" i="5" s="1"/>
  <c r="N16" i="8" s="1"/>
  <c r="O75" i="5"/>
  <c r="P75" i="5" s="1"/>
  <c r="N18" i="8" s="1"/>
  <c r="O60" i="5"/>
  <c r="P60" i="5" s="1"/>
  <c r="N15" i="8" s="1"/>
  <c r="O54" i="5"/>
  <c r="O49" i="5"/>
  <c r="P49" i="5" s="1"/>
  <c r="N12" i="8" s="1"/>
  <c r="O44" i="5"/>
  <c r="P44" i="5" s="1"/>
  <c r="N11" i="8" s="1"/>
  <c r="O39" i="5"/>
  <c r="P39" i="5" s="1"/>
  <c r="N10" i="8" s="1"/>
  <c r="O28" i="5"/>
  <c r="O33" i="5"/>
  <c r="O23" i="5"/>
  <c r="O12" i="5"/>
  <c r="O17" i="5"/>
  <c r="H23" i="2"/>
  <c r="R23" i="2" a="1"/>
  <c r="R23" i="2" s="1"/>
  <c r="S23" i="2" a="1"/>
  <c r="S23" i="2" s="1"/>
  <c r="R37" i="2" a="1"/>
  <c r="R37" i="2" s="1"/>
  <c r="S37" i="2" a="1"/>
  <c r="S37" i="2" s="1"/>
  <c r="B32" i="1"/>
  <c r="AN142" i="1"/>
  <c r="C32" i="1"/>
  <c r="R28" i="2" a="1"/>
  <c r="R28" i="2" s="1"/>
  <c r="S28" i="2" a="1"/>
  <c r="S28" i="2" s="1"/>
  <c r="A20" i="1"/>
  <c r="B9" i="1"/>
  <c r="S22" i="2" a="1"/>
  <c r="S22" i="2" s="1"/>
  <c r="R22" i="2" a="1"/>
  <c r="R22" i="2" s="1"/>
  <c r="W161" i="1"/>
  <c r="B20" i="1"/>
  <c r="AL161" i="1"/>
  <c r="E9" i="1"/>
  <c r="BD161" i="1"/>
  <c r="F32" i="1"/>
  <c r="AD156" i="1"/>
  <c r="AE138" i="1"/>
  <c r="R24" i="2" a="1"/>
  <c r="R24" i="2" s="1"/>
  <c r="S24" i="2" a="1"/>
  <c r="S24" i="2" s="1"/>
  <c r="H42" i="2"/>
  <c r="R42" i="2" a="1"/>
  <c r="R42" i="2" s="1"/>
  <c r="Q17" i="2" a="1"/>
  <c r="Q17" i="2" s="1"/>
  <c r="R17" i="2" a="1"/>
  <c r="R17" i="2" s="1"/>
  <c r="AM149" i="1"/>
  <c r="C9" i="1"/>
  <c r="C20" i="1"/>
  <c r="S31" i="2" a="1"/>
  <c r="S31" i="2" s="1"/>
  <c r="R31" i="2" a="1"/>
  <c r="R31" i="2" s="1"/>
  <c r="Q16" i="2" a="1"/>
  <c r="Q16" i="2" s="1"/>
  <c r="R16" i="2" a="1"/>
  <c r="R16" i="2" s="1"/>
  <c r="R30" i="2" a="1"/>
  <c r="R30" i="2" s="1"/>
  <c r="S30" i="2" a="1"/>
  <c r="S30" i="2" s="1"/>
  <c r="H30" i="2"/>
  <c r="G30" i="2"/>
  <c r="Y138" i="1"/>
  <c r="AN138" i="1"/>
  <c r="BE149" i="1"/>
  <c r="BM149" i="1"/>
  <c r="BO162" i="1"/>
  <c r="Q15" i="2" a="1"/>
  <c r="Q15" i="2" s="1"/>
  <c r="R15" i="2" a="1"/>
  <c r="R15" i="2" s="1"/>
  <c r="R29" i="2" a="1"/>
  <c r="R29" i="2" s="1"/>
  <c r="S29" i="2" a="1"/>
  <c r="S29" i="2" s="1"/>
  <c r="S21" i="2" a="1"/>
  <c r="S21" i="2" s="1"/>
  <c r="R21" i="2" a="1"/>
  <c r="R21" i="2" s="1"/>
  <c r="R38" i="2" a="1"/>
  <c r="R38" i="2" s="1"/>
  <c r="S38" i="2" a="1"/>
  <c r="S38" i="2" s="1"/>
  <c r="A9" i="1"/>
  <c r="A27" i="1"/>
  <c r="W162" i="1"/>
  <c r="AF138" i="1"/>
  <c r="AE161" i="1"/>
  <c r="AF162" i="1"/>
  <c r="AO138" i="1"/>
  <c r="AO142" i="1"/>
  <c r="AN149" i="1"/>
  <c r="AO161" i="1"/>
  <c r="C33" i="1"/>
  <c r="AU138" i="1"/>
  <c r="D20" i="1"/>
  <c r="AU161" i="1"/>
  <c r="AX162" i="1"/>
  <c r="BG138" i="1"/>
  <c r="E20" i="1"/>
  <c r="BG161" i="1"/>
  <c r="BG162" i="1"/>
  <c r="BP149" i="1"/>
  <c r="BP161" i="1"/>
  <c r="Y161" i="1"/>
  <c r="BE161" i="1"/>
  <c r="AX149" i="1"/>
  <c r="W149" i="1"/>
  <c r="A32" i="1"/>
  <c r="AD138" i="1"/>
  <c r="AM138" i="1"/>
  <c r="AM142" i="1"/>
  <c r="AL149" i="1"/>
  <c r="AN161" i="1"/>
  <c r="AN162" i="1"/>
  <c r="AW138" i="1"/>
  <c r="AW149" i="1"/>
  <c r="AW161" i="1"/>
  <c r="AU162" i="1"/>
  <c r="BF138" i="1"/>
  <c r="BD149" i="1"/>
  <c r="E33" i="1"/>
  <c r="BO149" i="1"/>
  <c r="AW162" i="1"/>
  <c r="BD138" i="1"/>
  <c r="B27" i="1"/>
  <c r="BM161" i="1"/>
  <c r="BO161" i="1"/>
  <c r="BN149" i="1"/>
  <c r="F20" i="1"/>
  <c r="H44" i="2"/>
  <c r="G42" i="2"/>
  <c r="BM138" i="1"/>
  <c r="BO138" i="1"/>
  <c r="F9" i="1"/>
  <c r="G45" i="2"/>
  <c r="H45" i="2"/>
  <c r="BP138" i="1"/>
  <c r="BE162" i="1"/>
  <c r="BF162" i="1"/>
  <c r="E32" i="1"/>
  <c r="BF161" i="1"/>
  <c r="BG149" i="1"/>
  <c r="H37" i="2"/>
  <c r="BE138" i="1"/>
  <c r="AV161" i="1"/>
  <c r="AU149" i="1"/>
  <c r="AV149" i="1"/>
  <c r="AV138" i="1"/>
  <c r="D9" i="1"/>
  <c r="AL162" i="1"/>
  <c r="AM162" i="1"/>
  <c r="AM161" i="1"/>
  <c r="AO149" i="1"/>
  <c r="AL142" i="1"/>
  <c r="G24" i="2"/>
  <c r="AL138" i="1"/>
  <c r="H22" i="2"/>
  <c r="AE162" i="1"/>
  <c r="G16" i="2"/>
  <c r="AD161" i="1"/>
  <c r="AE156" i="1"/>
  <c r="AD149" i="1"/>
  <c r="AE149" i="1"/>
  <c r="G17" i="2"/>
  <c r="W156" i="1"/>
  <c r="W138" i="1"/>
  <c r="Y149" i="1"/>
  <c r="A4" i="1"/>
  <c r="E4" i="1"/>
  <c r="H38" i="2"/>
  <c r="D4" i="1"/>
  <c r="H31" i="2"/>
  <c r="C4" i="1"/>
  <c r="H21" i="2"/>
  <c r="B4" i="1"/>
  <c r="E10" i="2"/>
  <c r="G29" i="2"/>
  <c r="G15" i="2"/>
  <c r="F15" i="2"/>
  <c r="H24" i="2"/>
  <c r="AF133" i="1"/>
  <c r="F16" i="2"/>
  <c r="H29" i="2"/>
  <c r="G21" i="2"/>
  <c r="G31" i="2"/>
  <c r="G38" i="2"/>
  <c r="W133" i="1"/>
  <c r="F9" i="2"/>
  <c r="F17" i="2"/>
  <c r="F10" i="2"/>
  <c r="G22" i="2"/>
  <c r="G28" i="2"/>
  <c r="H28" i="2"/>
  <c r="E9" i="2"/>
  <c r="G23" i="2"/>
  <c r="G37" i="2"/>
  <c r="C5" i="2"/>
  <c r="BE133" i="1"/>
  <c r="BF133" i="1"/>
  <c r="BD133" i="1"/>
  <c r="BG133" i="1"/>
  <c r="AU133" i="1"/>
  <c r="AV133" i="1"/>
  <c r="AW133" i="1"/>
  <c r="AX133" i="1"/>
  <c r="AM133" i="1"/>
  <c r="AN133" i="1"/>
  <c r="AL133" i="1"/>
  <c r="AO133" i="1"/>
  <c r="AE133" i="1"/>
  <c r="AD133" i="1"/>
  <c r="Y133" i="1"/>
  <c r="Q10" i="6"/>
  <c r="Y21" i="6"/>
  <c r="T36" i="6"/>
  <c r="T5" i="6"/>
  <c r="L36" i="6"/>
  <c r="L5" i="6"/>
  <c r="T14" i="6"/>
  <c r="S36" i="6"/>
  <c r="S5" i="6"/>
  <c r="L33" i="6"/>
  <c r="R33" i="6"/>
  <c r="Z33" i="6"/>
  <c r="AD33" i="6"/>
  <c r="T33" i="6"/>
  <c r="R10" i="6"/>
  <c r="V21" i="6"/>
  <c r="Z34" i="6"/>
  <c r="P36" i="6"/>
  <c r="P5" i="6"/>
  <c r="M21" i="6"/>
  <c r="S21" i="6"/>
  <c r="AA21" i="6"/>
  <c r="O28" i="6"/>
  <c r="Y36" i="6"/>
  <c r="Y5" i="6"/>
  <c r="T10" i="6"/>
  <c r="X34" i="6"/>
  <c r="AF34" i="6"/>
  <c r="X33" i="6"/>
  <c r="AD36" i="6"/>
  <c r="AD10" i="6"/>
  <c r="M34" i="6"/>
  <c r="AC34" i="6"/>
  <c r="Z36" i="6"/>
  <c r="Z5" i="6"/>
  <c r="M28" i="6"/>
  <c r="Q33" i="6"/>
  <c r="Y33" i="6"/>
  <c r="O33" i="6"/>
  <c r="Q21" i="6"/>
  <c r="Y34" i="6"/>
  <c r="L21" i="6"/>
  <c r="D12" i="6"/>
  <c r="U36" i="6"/>
  <c r="U5" i="6"/>
  <c r="AB33" i="6"/>
  <c r="M10" i="6"/>
  <c r="AA36" i="6"/>
  <c r="AA5" i="6"/>
  <c r="O21" i="6"/>
  <c r="V10" i="6"/>
  <c r="AB10" i="6"/>
  <c r="R21" i="6"/>
  <c r="AD34" i="6"/>
  <c r="O10" i="6"/>
  <c r="S34" i="6"/>
  <c r="AA34" i="6"/>
  <c r="AB36" i="6"/>
  <c r="AB5" i="6"/>
  <c r="Q36" i="6"/>
  <c r="Q5" i="6"/>
  <c r="T21" i="6"/>
  <c r="AB21" i="6"/>
  <c r="N21" i="6"/>
  <c r="U10" i="6"/>
  <c r="E16" i="6"/>
  <c r="D6" i="6"/>
  <c r="E19" i="6"/>
  <c r="E14" i="6"/>
  <c r="E4" i="6"/>
  <c r="C17" i="6"/>
  <c r="E9" i="6"/>
  <c r="E20" i="6"/>
  <c r="E22" i="6"/>
  <c r="C14" i="6"/>
  <c r="C23" i="6"/>
  <c r="D7" i="6"/>
  <c r="D14" i="6"/>
  <c r="D15" i="6"/>
  <c r="D22" i="6"/>
  <c r="P34" i="6"/>
  <c r="C13" i="6"/>
  <c r="C21" i="6"/>
  <c r="D19" i="6"/>
  <c r="D4" i="6"/>
  <c r="D13" i="6"/>
  <c r="E6" i="6"/>
  <c r="E23" i="6"/>
  <c r="D20" i="6"/>
  <c r="E15" i="6"/>
  <c r="E5" i="6"/>
  <c r="D21" i="6"/>
  <c r="Q34" i="6"/>
  <c r="AC21" i="6"/>
  <c r="N10" i="6"/>
  <c r="AE36" i="6"/>
  <c r="AE10" i="6"/>
  <c r="W36" i="6"/>
  <c r="W5" i="6"/>
  <c r="N34" i="6"/>
  <c r="V33" i="6"/>
  <c r="AF36" i="6"/>
  <c r="AF10" i="6"/>
  <c r="V34" i="6"/>
  <c r="N33" i="6"/>
  <c r="W21" i="6"/>
  <c r="AE21" i="6"/>
  <c r="X10" i="6"/>
  <c r="AD21" i="6"/>
  <c r="T34" i="6"/>
  <c r="AB34" i="6"/>
  <c r="U34" i="6"/>
  <c r="R36" i="6"/>
  <c r="R5" i="6"/>
  <c r="P33" i="6"/>
  <c r="U33" i="6"/>
  <c r="AC33" i="6"/>
  <c r="E18" i="6"/>
  <c r="D9" i="6"/>
  <c r="D17" i="6"/>
  <c r="C8" i="6"/>
  <c r="E3" i="6"/>
  <c r="C16" i="6"/>
  <c r="E12" i="6"/>
  <c r="C10" i="6"/>
  <c r="E7" i="6"/>
  <c r="E13" i="6"/>
  <c r="C4" i="6"/>
  <c r="C22" i="6"/>
  <c r="C20" i="6"/>
  <c r="E21" i="6"/>
  <c r="C6" i="6"/>
  <c r="X36" i="6"/>
  <c r="X5" i="6"/>
  <c r="S10" i="6"/>
  <c r="W34" i="6"/>
  <c r="AE34" i="6"/>
  <c r="M36" i="6"/>
  <c r="M5" i="6"/>
  <c r="P10" i="6"/>
  <c r="X21" i="6"/>
  <c r="AF21" i="6"/>
  <c r="O36" i="6"/>
  <c r="O5" i="6"/>
  <c r="Q14" i="6"/>
  <c r="Y10" i="6"/>
  <c r="AC36" i="6"/>
  <c r="AC10" i="6"/>
  <c r="D18" i="6"/>
  <c r="D11" i="6"/>
  <c r="C19" i="6"/>
  <c r="E11" i="6"/>
  <c r="E10" i="6"/>
  <c r="C18" i="6"/>
  <c r="C7" i="6"/>
  <c r="D8" i="6"/>
  <c r="C12" i="6"/>
  <c r="C3" i="6"/>
  <c r="E8" i="6"/>
  <c r="C11" i="6"/>
  <c r="D23" i="6"/>
  <c r="D16" i="6"/>
  <c r="U21" i="6"/>
  <c r="V36" i="6"/>
  <c r="V5" i="6"/>
  <c r="R14" i="6"/>
  <c r="Z10" i="6"/>
  <c r="P28" i="6"/>
  <c r="R34" i="6"/>
  <c r="Z21" i="6"/>
  <c r="AF33" i="6"/>
  <c r="N36" i="6"/>
  <c r="N5" i="6"/>
  <c r="D3" i="6"/>
  <c r="C5" i="6"/>
  <c r="C9" i="6"/>
  <c r="E17" i="6"/>
  <c r="D10" i="6"/>
  <c r="C15" i="6"/>
  <c r="D5" i="6"/>
  <c r="T37" i="2" l="1"/>
  <c r="T31" i="2"/>
  <c r="BA21" i="2"/>
  <c r="T43" i="2"/>
  <c r="T29" i="2"/>
  <c r="AE42" i="2"/>
  <c r="BL31" i="2"/>
  <c r="BK15" i="2"/>
  <c r="T44" i="2"/>
  <c r="T42" i="2"/>
  <c r="T28" i="2"/>
  <c r="BK16" i="2"/>
  <c r="BL30" i="2"/>
  <c r="T45" i="2"/>
  <c r="S16" i="2"/>
  <c r="T36" i="2"/>
  <c r="T24" i="2"/>
  <c r="T23" i="2"/>
  <c r="S17" i="2"/>
  <c r="BL36" i="2"/>
  <c r="R9" i="2"/>
  <c r="T21" i="2"/>
  <c r="BK17" i="2"/>
  <c r="BL38" i="2"/>
  <c r="BL21" i="2"/>
  <c r="BL29" i="2"/>
  <c r="T35" i="2"/>
  <c r="T22" i="2"/>
  <c r="R10" i="2"/>
  <c r="T30" i="2"/>
  <c r="BL24" i="2"/>
  <c r="BL37" i="2"/>
  <c r="BL23" i="2"/>
  <c r="BJ9" i="2"/>
  <c r="T38" i="2"/>
  <c r="AK12" i="5"/>
  <c r="O3" i="8" s="1"/>
  <c r="AK23" i="5"/>
  <c r="O6" i="8" s="1"/>
  <c r="AK102" i="5"/>
  <c r="O25" i="8" s="1"/>
  <c r="AK107" i="5"/>
  <c r="O26" i="8" s="1"/>
  <c r="AK17" i="5"/>
  <c r="O4" i="8" s="1"/>
  <c r="AK117" i="5"/>
  <c r="O28" i="8" s="1"/>
  <c r="AK112" i="5"/>
  <c r="O27" i="8" s="1"/>
  <c r="AK39" i="5"/>
  <c r="O10" i="8" s="1"/>
  <c r="AK44" i="5"/>
  <c r="O11" i="8" s="1"/>
  <c r="AK49" i="5"/>
  <c r="O12" i="8" s="1"/>
  <c r="AK96" i="5"/>
  <c r="O23" i="8" s="1"/>
  <c r="AK86" i="5"/>
  <c r="O21" i="8" s="1"/>
  <c r="AK81" i="5"/>
  <c r="O20" i="8" s="1"/>
  <c r="AK54" i="5"/>
  <c r="O13" i="8" s="1"/>
  <c r="AK91" i="5"/>
  <c r="O22" i="8" s="1"/>
  <c r="AJ76" i="5"/>
  <c r="AK75" i="5"/>
  <c r="O18" i="8" s="1"/>
  <c r="AJ71" i="5"/>
  <c r="AK70" i="5"/>
  <c r="O17" i="8" s="1"/>
  <c r="AJ66" i="5"/>
  <c r="AK65" i="5"/>
  <c r="O16" i="8" s="1"/>
  <c r="AJ61" i="5"/>
  <c r="AK60" i="5"/>
  <c r="O15" i="8" s="1"/>
  <c r="G17" i="6"/>
  <c r="H17" i="6" s="1"/>
  <c r="G20" i="6"/>
  <c r="H20" i="6" s="1"/>
  <c r="G9" i="6"/>
  <c r="H9" i="6" s="1"/>
  <c r="G10" i="6"/>
  <c r="H10" i="6" s="1"/>
  <c r="G12" i="6"/>
  <c r="H12" i="6" s="1"/>
  <c r="G6" i="6"/>
  <c r="H6" i="6" s="1"/>
  <c r="G8" i="6"/>
  <c r="H8" i="6" s="1"/>
  <c r="G16" i="6"/>
  <c r="H16" i="6" s="1"/>
  <c r="G21" i="6"/>
  <c r="H21" i="6" s="1"/>
  <c r="G19" i="6"/>
  <c r="H19" i="6" s="1"/>
  <c r="G7" i="6"/>
  <c r="H7" i="6" s="1"/>
  <c r="G23" i="6"/>
  <c r="H23" i="6" s="1"/>
  <c r="G3" i="6"/>
  <c r="H3" i="6" s="1"/>
  <c r="G18" i="6"/>
  <c r="H18" i="6" s="1"/>
  <c r="G14" i="6"/>
  <c r="H14" i="6" s="1"/>
  <c r="G11" i="6"/>
  <c r="H11" i="6" s="1"/>
  <c r="G22" i="6"/>
  <c r="H22" i="6" s="1"/>
  <c r="G5" i="6"/>
  <c r="H5" i="6" s="1"/>
  <c r="G4" i="6"/>
  <c r="H4" i="6" s="1"/>
  <c r="G15" i="6"/>
  <c r="H15" i="6" s="1"/>
  <c r="G13" i="6"/>
  <c r="H13" i="6" s="1"/>
  <c r="BW37" i="2"/>
  <c r="AE37" i="2"/>
  <c r="I37" i="2"/>
  <c r="AP24" i="2"/>
  <c r="BA24" i="2"/>
  <c r="AP37" i="2"/>
  <c r="BA37" i="2"/>
  <c r="AN10" i="2"/>
  <c r="AY10" i="2"/>
  <c r="AP45" i="2"/>
  <c r="BA45" i="2"/>
  <c r="I45" i="2"/>
  <c r="I23" i="2"/>
  <c r="BW23" i="2"/>
  <c r="AE23" i="2"/>
  <c r="BL43" i="2"/>
  <c r="AE43" i="2"/>
  <c r="AP29" i="2"/>
  <c r="BA29" i="2"/>
  <c r="AP31" i="2"/>
  <c r="BA31" i="2"/>
  <c r="BL44" i="2"/>
  <c r="AE44" i="2"/>
  <c r="BW22" i="2"/>
  <c r="I22" i="2"/>
  <c r="AE22" i="2"/>
  <c r="AP21" i="2"/>
  <c r="BW31" i="2"/>
  <c r="I31" i="2"/>
  <c r="AE31" i="2"/>
  <c r="BV17" i="2"/>
  <c r="AD17" i="2"/>
  <c r="H17" i="2"/>
  <c r="BW21" i="2"/>
  <c r="AE21" i="2"/>
  <c r="I21" i="2"/>
  <c r="AE38" i="2"/>
  <c r="I38" i="2"/>
  <c r="BW38" i="2"/>
  <c r="AO17" i="2"/>
  <c r="AZ17" i="2"/>
  <c r="AP44" i="2"/>
  <c r="I44" i="2"/>
  <c r="BA44" i="2"/>
  <c r="BW36" i="2"/>
  <c r="I36" i="2"/>
  <c r="AE36" i="2"/>
  <c r="AO15" i="2"/>
  <c r="AZ15" i="2"/>
  <c r="BV15" i="2"/>
  <c r="H15" i="2"/>
  <c r="AD15" i="2"/>
  <c r="AP43" i="2"/>
  <c r="I43" i="2"/>
  <c r="BA43" i="2"/>
  <c r="BU9" i="2"/>
  <c r="AC9" i="2"/>
  <c r="G9" i="2"/>
  <c r="AP30" i="2"/>
  <c r="BA30" i="2"/>
  <c r="BW35" i="2"/>
  <c r="I35" i="2"/>
  <c r="AE35" i="2"/>
  <c r="AZ16" i="2"/>
  <c r="AP38" i="2"/>
  <c r="BA38" i="2"/>
  <c r="AP23" i="2"/>
  <c r="BA23" i="2"/>
  <c r="BA28" i="2"/>
  <c r="BW28" i="2"/>
  <c r="I28" i="2"/>
  <c r="AE28" i="2"/>
  <c r="BW24" i="2"/>
  <c r="AE24" i="2"/>
  <c r="I24" i="2"/>
  <c r="AP36" i="2"/>
  <c r="BA36" i="2"/>
  <c r="AP22" i="2"/>
  <c r="BA22" i="2"/>
  <c r="AP42" i="2"/>
  <c r="I42" i="2"/>
  <c r="BA42" i="2"/>
  <c r="BL45" i="2"/>
  <c r="AE45" i="2"/>
  <c r="BV16" i="2"/>
  <c r="H16" i="2"/>
  <c r="AD16" i="2"/>
  <c r="BU10" i="2"/>
  <c r="AC10" i="2"/>
  <c r="G10" i="2"/>
  <c r="BW29" i="2"/>
  <c r="I29" i="2"/>
  <c r="AE29" i="2"/>
  <c r="BW30" i="2"/>
  <c r="I30" i="2"/>
  <c r="AE30" i="2"/>
  <c r="AJ34" i="5"/>
  <c r="AK33" i="5"/>
  <c r="O8" i="8" s="1"/>
  <c r="AJ29" i="5"/>
  <c r="AK28" i="5"/>
  <c r="O7" i="8" s="1"/>
  <c r="AJ13" i="5"/>
  <c r="AM13" i="5" s="1"/>
  <c r="AJ18" i="5"/>
  <c r="AJ24" i="5"/>
  <c r="AJ82" i="5"/>
  <c r="AJ113" i="5"/>
  <c r="AJ55" i="5"/>
  <c r="AJ97" i="5"/>
  <c r="AJ118" i="5"/>
  <c r="AJ50" i="5"/>
  <c r="AJ87" i="5"/>
  <c r="AJ108" i="5"/>
  <c r="AJ45" i="5"/>
  <c r="AJ92" i="5"/>
  <c r="AJ103" i="5"/>
  <c r="AJ40" i="5"/>
  <c r="O113" i="5"/>
  <c r="O118" i="5"/>
  <c r="O108" i="5"/>
  <c r="O103" i="5"/>
  <c r="O82" i="5"/>
  <c r="P81" i="5"/>
  <c r="N20" i="8" s="1"/>
  <c r="O92" i="5"/>
  <c r="O87" i="5"/>
  <c r="O97" i="5"/>
  <c r="O71" i="5"/>
  <c r="O76" i="5"/>
  <c r="O61" i="5"/>
  <c r="O66" i="5"/>
  <c r="O55" i="5"/>
  <c r="P54" i="5"/>
  <c r="N13" i="8" s="1"/>
  <c r="O45" i="5"/>
  <c r="O40" i="5"/>
  <c r="O50" i="5"/>
  <c r="P33" i="5"/>
  <c r="N8" i="8" s="1"/>
  <c r="O34" i="5"/>
  <c r="P28" i="5"/>
  <c r="N7" i="8" s="1"/>
  <c r="O29" i="5"/>
  <c r="P23" i="5"/>
  <c r="N6" i="8" s="1"/>
  <c r="O24" i="5"/>
  <c r="R20" i="5"/>
  <c r="R19" i="5"/>
  <c r="R18" i="5"/>
  <c r="Q19" i="5"/>
  <c r="Q20" i="5"/>
  <c r="P17" i="5"/>
  <c r="N4" i="8" s="1"/>
  <c r="Q18" i="5"/>
  <c r="R13" i="5"/>
  <c r="R15" i="5"/>
  <c r="R14" i="5"/>
  <c r="Q14" i="5"/>
  <c r="Q15" i="5"/>
  <c r="Q13" i="5"/>
  <c r="P12" i="5"/>
  <c r="N3" i="8" s="1"/>
  <c r="AJ119" i="5" l="1"/>
  <c r="AO118" i="5"/>
  <c r="AL118" i="5"/>
  <c r="AN118" i="5"/>
  <c r="AM118" i="5"/>
  <c r="AJ114" i="5"/>
  <c r="AO113" i="5"/>
  <c r="AN113" i="5"/>
  <c r="AL113" i="5"/>
  <c r="AM113" i="5"/>
  <c r="AJ109" i="5"/>
  <c r="AO108" i="5"/>
  <c r="AL108" i="5"/>
  <c r="AN108" i="5"/>
  <c r="AM108" i="5"/>
  <c r="AM103" i="5"/>
  <c r="AN103" i="5"/>
  <c r="AO103" i="5"/>
  <c r="AJ104" i="5"/>
  <c r="AL103" i="5"/>
  <c r="AJ98" i="5"/>
  <c r="AO97" i="5"/>
  <c r="AN97" i="5"/>
  <c r="AM97" i="5"/>
  <c r="AL97" i="5"/>
  <c r="AJ93" i="5"/>
  <c r="AO92" i="5"/>
  <c r="AN92" i="5"/>
  <c r="AM92" i="5"/>
  <c r="AL92" i="5"/>
  <c r="AJ88" i="5"/>
  <c r="AO87" i="5"/>
  <c r="AN87" i="5"/>
  <c r="AM87" i="5"/>
  <c r="AL87" i="5"/>
  <c r="AM82" i="5"/>
  <c r="AN82" i="5"/>
  <c r="AO82" i="5"/>
  <c r="AJ83" i="5"/>
  <c r="AL82" i="5"/>
  <c r="AJ77" i="5"/>
  <c r="AO76" i="5"/>
  <c r="AN76" i="5"/>
  <c r="AM76" i="5"/>
  <c r="AL76" i="5"/>
  <c r="AJ72" i="5"/>
  <c r="AO71" i="5"/>
  <c r="AN71" i="5"/>
  <c r="AM71" i="5"/>
  <c r="AL71" i="5"/>
  <c r="AJ67" i="5"/>
  <c r="AO66" i="5"/>
  <c r="AM66" i="5"/>
  <c r="AN66" i="5"/>
  <c r="AL66" i="5"/>
  <c r="AM61" i="5"/>
  <c r="AN61" i="5"/>
  <c r="AO61" i="5"/>
  <c r="AJ62" i="5"/>
  <c r="AL61" i="5"/>
  <c r="AJ56" i="5"/>
  <c r="AO55" i="5"/>
  <c r="AN55" i="5"/>
  <c r="AL55" i="5"/>
  <c r="AM55" i="5"/>
  <c r="AJ51" i="5"/>
  <c r="AO50" i="5"/>
  <c r="AM50" i="5"/>
  <c r="AN50" i="5"/>
  <c r="AL50" i="5"/>
  <c r="AJ46" i="5"/>
  <c r="AO45" i="5"/>
  <c r="AN45" i="5"/>
  <c r="AM45" i="5"/>
  <c r="AL45" i="5"/>
  <c r="AL40" i="5"/>
  <c r="AM40" i="5"/>
  <c r="AN40" i="5"/>
  <c r="AO40" i="5"/>
  <c r="AJ41" i="5"/>
  <c r="AJ35" i="5"/>
  <c r="AM34" i="5"/>
  <c r="AN34" i="5"/>
  <c r="AL34" i="5"/>
  <c r="AJ30" i="5"/>
  <c r="AM29" i="5"/>
  <c r="AL29" i="5"/>
  <c r="AN29" i="5"/>
  <c r="AN24" i="5"/>
  <c r="AM24" i="5"/>
  <c r="AJ25" i="5"/>
  <c r="AL24" i="5"/>
  <c r="AJ19" i="5"/>
  <c r="AL18" i="5"/>
  <c r="AM18" i="5"/>
  <c r="AJ14" i="5"/>
  <c r="AL13" i="5"/>
  <c r="Q40" i="5"/>
  <c r="Q118" i="5"/>
  <c r="T118" i="5"/>
  <c r="R118" i="5"/>
  <c r="S118" i="5"/>
  <c r="Q113" i="5"/>
  <c r="T113" i="5"/>
  <c r="R113" i="5"/>
  <c r="S113" i="5"/>
  <c r="Q108" i="5"/>
  <c r="R108" i="5"/>
  <c r="S108" i="5"/>
  <c r="T108" i="5"/>
  <c r="Q103" i="5"/>
  <c r="T103" i="5"/>
  <c r="S103" i="5"/>
  <c r="R103" i="5"/>
  <c r="O109" i="5"/>
  <c r="O114" i="5"/>
  <c r="O104" i="5"/>
  <c r="O119" i="5"/>
  <c r="Q97" i="5"/>
  <c r="R97" i="5"/>
  <c r="S97" i="5"/>
  <c r="T97" i="5"/>
  <c r="Q92" i="5"/>
  <c r="R92" i="5"/>
  <c r="S92" i="5"/>
  <c r="T92" i="5"/>
  <c r="Q87" i="5"/>
  <c r="T87" i="5"/>
  <c r="R87" i="5"/>
  <c r="S87" i="5"/>
  <c r="T82" i="5"/>
  <c r="S82" i="5"/>
  <c r="R82" i="5"/>
  <c r="O83" i="5"/>
  <c r="Q82" i="5"/>
  <c r="O93" i="5"/>
  <c r="O88" i="5"/>
  <c r="O98" i="5"/>
  <c r="Q76" i="5"/>
  <c r="R76" i="5"/>
  <c r="T76" i="5"/>
  <c r="S76" i="5"/>
  <c r="Q71" i="5"/>
  <c r="R71" i="5"/>
  <c r="S71" i="5"/>
  <c r="T71" i="5"/>
  <c r="Q66" i="5"/>
  <c r="S66" i="5"/>
  <c r="T66" i="5"/>
  <c r="R66" i="5"/>
  <c r="Q61" i="5"/>
  <c r="T61" i="5"/>
  <c r="S61" i="5"/>
  <c r="R61" i="5"/>
  <c r="S34" i="5"/>
  <c r="S29" i="5"/>
  <c r="S24" i="5"/>
  <c r="O62" i="5"/>
  <c r="O72" i="5"/>
  <c r="O77" i="5"/>
  <c r="O67" i="5"/>
  <c r="Q55" i="5"/>
  <c r="R55" i="5"/>
  <c r="S55" i="5"/>
  <c r="T55" i="5"/>
  <c r="Q50" i="5"/>
  <c r="T50" i="5"/>
  <c r="R50" i="5"/>
  <c r="S50" i="5"/>
  <c r="Q45" i="5"/>
  <c r="S45" i="5"/>
  <c r="T45" i="5"/>
  <c r="R45" i="5"/>
  <c r="T40" i="5"/>
  <c r="S40" i="5"/>
  <c r="R40" i="5"/>
  <c r="O56" i="5"/>
  <c r="O46" i="5"/>
  <c r="O41" i="5"/>
  <c r="O51" i="5"/>
  <c r="O35" i="5"/>
  <c r="R34" i="5"/>
  <c r="Q34" i="5"/>
  <c r="O30" i="5"/>
  <c r="Q29" i="5"/>
  <c r="R29" i="5"/>
  <c r="Q24" i="5"/>
  <c r="R24" i="5"/>
  <c r="O25" i="5"/>
  <c r="AJ120" i="5" l="1"/>
  <c r="AM119" i="5"/>
  <c r="AO119" i="5"/>
  <c r="AN119" i="5"/>
  <c r="AL119" i="5"/>
  <c r="AJ115" i="5"/>
  <c r="AM114" i="5"/>
  <c r="AN114" i="5"/>
  <c r="AO114" i="5"/>
  <c r="AL114" i="5"/>
  <c r="AJ110" i="5"/>
  <c r="AO109" i="5"/>
  <c r="AN109" i="5"/>
  <c r="AL109" i="5"/>
  <c r="AM109" i="5"/>
  <c r="AL104" i="5"/>
  <c r="AN104" i="5"/>
  <c r="AM104" i="5"/>
  <c r="AO104" i="5"/>
  <c r="AJ105" i="5"/>
  <c r="AJ99" i="5"/>
  <c r="AO98" i="5"/>
  <c r="AN98" i="5"/>
  <c r="AM98" i="5"/>
  <c r="AL98" i="5"/>
  <c r="AJ94" i="5"/>
  <c r="AO93" i="5"/>
  <c r="AN93" i="5"/>
  <c r="AM93" i="5"/>
  <c r="AL93" i="5"/>
  <c r="AJ89" i="5"/>
  <c r="AN88" i="5"/>
  <c r="AM88" i="5"/>
  <c r="AL88" i="5"/>
  <c r="AO88" i="5"/>
  <c r="AL83" i="5"/>
  <c r="AM83" i="5"/>
  <c r="AN83" i="5"/>
  <c r="AO83" i="5"/>
  <c r="AJ84" i="5"/>
  <c r="AJ78" i="5"/>
  <c r="AN77" i="5"/>
  <c r="AO77" i="5"/>
  <c r="AM77" i="5"/>
  <c r="AL77" i="5"/>
  <c r="AJ73" i="5"/>
  <c r="AN72" i="5"/>
  <c r="AO72" i="5"/>
  <c r="AM72" i="5"/>
  <c r="AL72" i="5"/>
  <c r="AJ68" i="5"/>
  <c r="AO67" i="5"/>
  <c r="AN67" i="5"/>
  <c r="AM67" i="5"/>
  <c r="AL67" i="5"/>
  <c r="AL62" i="5"/>
  <c r="AO62" i="5"/>
  <c r="AM62" i="5"/>
  <c r="AN62" i="5"/>
  <c r="AJ63" i="5"/>
  <c r="AJ57" i="5"/>
  <c r="AM56" i="5"/>
  <c r="AL56" i="5"/>
  <c r="AO56" i="5"/>
  <c r="AN56" i="5"/>
  <c r="AJ52" i="5"/>
  <c r="AO51" i="5"/>
  <c r="AN51" i="5"/>
  <c r="AM51" i="5"/>
  <c r="AL51" i="5"/>
  <c r="AJ47" i="5"/>
  <c r="AO46" i="5"/>
  <c r="AN46" i="5"/>
  <c r="AM46" i="5"/>
  <c r="AL46" i="5"/>
  <c r="AL41" i="5"/>
  <c r="AN41" i="5"/>
  <c r="AM41" i="5"/>
  <c r="AO41" i="5"/>
  <c r="AJ42" i="5"/>
  <c r="AJ36" i="5"/>
  <c r="AN35" i="5"/>
  <c r="AL35" i="5"/>
  <c r="AM35" i="5"/>
  <c r="AJ31" i="5"/>
  <c r="AN30" i="5"/>
  <c r="AM30" i="5"/>
  <c r="AL30" i="5"/>
  <c r="AL25" i="5"/>
  <c r="AN25" i="5"/>
  <c r="AM25" i="5"/>
  <c r="AJ26" i="5"/>
  <c r="AJ20" i="5"/>
  <c r="AL19" i="5"/>
  <c r="AM19" i="5"/>
  <c r="AL14" i="5"/>
  <c r="AM14" i="5"/>
  <c r="AJ15" i="5"/>
  <c r="Q119" i="5"/>
  <c r="T119" i="5"/>
  <c r="R119" i="5"/>
  <c r="S119" i="5"/>
  <c r="Q114" i="5"/>
  <c r="T114" i="5"/>
  <c r="R114" i="5"/>
  <c r="S114" i="5"/>
  <c r="Q109" i="5"/>
  <c r="R109" i="5"/>
  <c r="S109" i="5"/>
  <c r="T109" i="5"/>
  <c r="Q104" i="5"/>
  <c r="R104" i="5"/>
  <c r="S104" i="5"/>
  <c r="T104" i="5"/>
  <c r="O115" i="5"/>
  <c r="O110" i="5"/>
  <c r="O120" i="5"/>
  <c r="O105" i="5"/>
  <c r="Q98" i="5"/>
  <c r="S98" i="5"/>
  <c r="R98" i="5"/>
  <c r="T98" i="5"/>
  <c r="Q93" i="5"/>
  <c r="S93" i="5"/>
  <c r="T93" i="5"/>
  <c r="R93" i="5"/>
  <c r="Q88" i="5"/>
  <c r="S88" i="5"/>
  <c r="T88" i="5"/>
  <c r="R88" i="5"/>
  <c r="Q83" i="5"/>
  <c r="R83" i="5"/>
  <c r="S83" i="5"/>
  <c r="T83" i="5"/>
  <c r="O84" i="5"/>
  <c r="O94" i="5"/>
  <c r="O89" i="5"/>
  <c r="O99" i="5"/>
  <c r="Q77" i="5"/>
  <c r="T77" i="5"/>
  <c r="R77" i="5"/>
  <c r="S77" i="5"/>
  <c r="Q72" i="5"/>
  <c r="S72" i="5"/>
  <c r="T72" i="5"/>
  <c r="R72" i="5"/>
  <c r="Q67" i="5"/>
  <c r="R67" i="5"/>
  <c r="T67" i="5"/>
  <c r="S67" i="5"/>
  <c r="Q62" i="5"/>
  <c r="R62" i="5"/>
  <c r="T62" i="5"/>
  <c r="S62" i="5"/>
  <c r="S25" i="5"/>
  <c r="S35" i="5"/>
  <c r="S30" i="5"/>
  <c r="O73" i="5"/>
  <c r="O63" i="5"/>
  <c r="O68" i="5"/>
  <c r="O78" i="5"/>
  <c r="Q56" i="5"/>
  <c r="R56" i="5"/>
  <c r="T56" i="5"/>
  <c r="S56" i="5"/>
  <c r="Q51" i="5"/>
  <c r="S51" i="5"/>
  <c r="R51" i="5"/>
  <c r="T51" i="5"/>
  <c r="Q46" i="5"/>
  <c r="S46" i="5"/>
  <c r="R46" i="5"/>
  <c r="T46" i="5"/>
  <c r="Q41" i="5"/>
  <c r="R41" i="5"/>
  <c r="T41" i="5"/>
  <c r="S41" i="5"/>
  <c r="O47" i="5"/>
  <c r="O42" i="5"/>
  <c r="O57" i="5"/>
  <c r="O52" i="5"/>
  <c r="O36" i="5"/>
  <c r="Q35" i="5"/>
  <c r="R35" i="5"/>
  <c r="O31" i="5"/>
  <c r="Q30" i="5"/>
  <c r="R30" i="5"/>
  <c r="Q25" i="5"/>
  <c r="R25" i="5"/>
  <c r="O26" i="5"/>
  <c r="AO120" i="5" l="1"/>
  <c r="AN120" i="5"/>
  <c r="AM120" i="5"/>
  <c r="AL120" i="5"/>
  <c r="AO115" i="5"/>
  <c r="AN115" i="5"/>
  <c r="AM115" i="5"/>
  <c r="AL115" i="5"/>
  <c r="AO110" i="5"/>
  <c r="AN110" i="5"/>
  <c r="AM110" i="5"/>
  <c r="AL110" i="5"/>
  <c r="AL105" i="5"/>
  <c r="AO105" i="5"/>
  <c r="AN105" i="5"/>
  <c r="AM105" i="5"/>
  <c r="AO99" i="5"/>
  <c r="AN99" i="5"/>
  <c r="AM99" i="5"/>
  <c r="AL99" i="5"/>
  <c r="AO94" i="5"/>
  <c r="AM94" i="5"/>
  <c r="AL94" i="5"/>
  <c r="AN94" i="5"/>
  <c r="AO89" i="5"/>
  <c r="AL89" i="5"/>
  <c r="AN89" i="5"/>
  <c r="AM89" i="5"/>
  <c r="AL84" i="5"/>
  <c r="AO84" i="5"/>
  <c r="AN84" i="5"/>
  <c r="AM84" i="5"/>
  <c r="AO78" i="5"/>
  <c r="AM78" i="5"/>
  <c r="AN78" i="5"/>
  <c r="AL78" i="5"/>
  <c r="AO73" i="5"/>
  <c r="AM73" i="5"/>
  <c r="AN73" i="5"/>
  <c r="AL73" i="5"/>
  <c r="AO68" i="5"/>
  <c r="AN68" i="5"/>
  <c r="AM68" i="5"/>
  <c r="AL68" i="5"/>
  <c r="AL63" i="5"/>
  <c r="AO63" i="5"/>
  <c r="AN63" i="5"/>
  <c r="AM63" i="5"/>
  <c r="AO57" i="5"/>
  <c r="AN57" i="5"/>
  <c r="AM57" i="5"/>
  <c r="AL57" i="5"/>
  <c r="AO52" i="5"/>
  <c r="AL52" i="5"/>
  <c r="AN52" i="5"/>
  <c r="AM52" i="5"/>
  <c r="AO47" i="5"/>
  <c r="AN47" i="5"/>
  <c r="AM47" i="5"/>
  <c r="AL47" i="5"/>
  <c r="AL42" i="5"/>
  <c r="AO42" i="5"/>
  <c r="AM42" i="5"/>
  <c r="AN42" i="5"/>
  <c r="AM36" i="5"/>
  <c r="AL36" i="5"/>
  <c r="AN36" i="5"/>
  <c r="AL31" i="5"/>
  <c r="AM31" i="5"/>
  <c r="AN31" i="5"/>
  <c r="AL26" i="5"/>
  <c r="AN26" i="5"/>
  <c r="AM26" i="5"/>
  <c r="AM20" i="5"/>
  <c r="AL20" i="5"/>
  <c r="AL15" i="5"/>
  <c r="AM15" i="5"/>
  <c r="Q120" i="5"/>
  <c r="R120" i="5"/>
  <c r="S120" i="5"/>
  <c r="T120" i="5"/>
  <c r="Q115" i="5"/>
  <c r="R115" i="5"/>
  <c r="S115" i="5"/>
  <c r="T115" i="5"/>
  <c r="Q110" i="5"/>
  <c r="R110" i="5"/>
  <c r="S110" i="5"/>
  <c r="T110" i="5"/>
  <c r="Q105" i="5"/>
  <c r="S105" i="5"/>
  <c r="T105" i="5"/>
  <c r="R105" i="5"/>
  <c r="Q99" i="5"/>
  <c r="T99" i="5"/>
  <c r="R99" i="5"/>
  <c r="S99" i="5"/>
  <c r="Q94" i="5"/>
  <c r="R94" i="5"/>
  <c r="S94" i="5"/>
  <c r="T94" i="5"/>
  <c r="Q89" i="5"/>
  <c r="R89" i="5"/>
  <c r="S89" i="5"/>
  <c r="T89" i="5"/>
  <c r="Q84" i="5"/>
  <c r="S84" i="5"/>
  <c r="T84" i="5"/>
  <c r="R84" i="5"/>
  <c r="Q78" i="5"/>
  <c r="R78" i="5"/>
  <c r="S78" i="5"/>
  <c r="T78" i="5"/>
  <c r="Q73" i="5"/>
  <c r="R73" i="5"/>
  <c r="S73" i="5"/>
  <c r="T73" i="5"/>
  <c r="Q68" i="5"/>
  <c r="S68" i="5"/>
  <c r="T68" i="5"/>
  <c r="R68" i="5"/>
  <c r="Q63" i="5"/>
  <c r="S63" i="5"/>
  <c r="R63" i="5"/>
  <c r="T63" i="5"/>
  <c r="S36" i="5"/>
  <c r="S26" i="5"/>
  <c r="S31" i="5"/>
  <c r="Q57" i="5"/>
  <c r="S57" i="5"/>
  <c r="T57" i="5"/>
  <c r="R57" i="5"/>
  <c r="Q52" i="5"/>
  <c r="T52" i="5"/>
  <c r="R52" i="5"/>
  <c r="S52" i="5"/>
  <c r="Q47" i="5"/>
  <c r="T47" i="5"/>
  <c r="R47" i="5"/>
  <c r="S47" i="5"/>
  <c r="S42" i="5"/>
  <c r="R42" i="5"/>
  <c r="T42" i="5"/>
  <c r="Q42" i="5"/>
  <c r="Q36" i="5"/>
  <c r="R36" i="5"/>
  <c r="Q31" i="5"/>
  <c r="R31" i="5"/>
  <c r="Q26" i="5"/>
  <c r="R26" i="5"/>
</calcChain>
</file>

<file path=xl/comments1.xml><?xml version="1.0" encoding="utf-8"?>
<comments xmlns="http://schemas.openxmlformats.org/spreadsheetml/2006/main">
  <authors>
    <author>u4eprkjp</author>
  </authors>
  <commentList>
    <comment ref="A1" authorId="0" shapeId="0">
      <text>
        <r>
          <rPr>
            <b/>
            <sz val="9"/>
            <color indexed="81"/>
            <rFont val="Tahoma"/>
            <family val="2"/>
          </rPr>
          <t>u4eprkjp:</t>
        </r>
        <r>
          <rPr>
            <sz val="9"/>
            <color indexed="81"/>
            <rFont val="Tahoma"/>
            <family val="2"/>
          </rPr>
          <t xml:space="preserve">
These are switched in coding. 1 is 2 and 2 is 1</t>
        </r>
      </text>
    </comment>
  </commentList>
</comments>
</file>

<file path=xl/comments2.xml><?xml version="1.0" encoding="utf-8"?>
<comments xmlns="http://schemas.openxmlformats.org/spreadsheetml/2006/main">
  <authors>
    <author>u4eprkjp</author>
  </authors>
  <commentList>
    <comment ref="V1" authorId="0" shapeId="0">
      <text>
        <r>
          <rPr>
            <b/>
            <sz val="9"/>
            <color indexed="81"/>
            <rFont val="Tahoma"/>
            <family val="2"/>
          </rPr>
          <t>u4eprkjp:</t>
        </r>
        <r>
          <rPr>
            <sz val="9"/>
            <color indexed="81"/>
            <rFont val="Tahoma"/>
            <family val="2"/>
          </rPr>
          <t xml:space="preserve">
These are switched in coding. 1 is 2 and 2 is 1</t>
        </r>
      </text>
    </comment>
    <comment ref="BM4" authorId="0" shapeId="0">
      <text>
        <r>
          <rPr>
            <b/>
            <sz val="9"/>
            <color indexed="81"/>
            <rFont val="Tahoma"/>
            <family val="2"/>
          </rPr>
          <t>u4eprkjp:</t>
        </r>
        <r>
          <rPr>
            <sz val="9"/>
            <color indexed="81"/>
            <rFont val="Tahoma"/>
            <family val="2"/>
          </rPr>
          <t xml:space="preserve">
Not sure how to handle this one. Because respondee did total = 100 there is no way to re-assess the score</t>
        </r>
      </text>
    </comment>
    <comment ref="G9" authorId="0" shapeId="0">
      <text>
        <r>
          <rPr>
            <b/>
            <sz val="9"/>
            <color indexed="81"/>
            <rFont val="Tahoma"/>
            <family val="2"/>
          </rPr>
          <t>u4eprkjp:</t>
        </r>
        <r>
          <rPr>
            <sz val="9"/>
            <color indexed="81"/>
            <rFont val="Tahoma"/>
            <family val="2"/>
          </rPr>
          <t xml:space="preserve">
This person didn't put 100 for top scores - sums to 100 in some places</t>
        </r>
      </text>
    </comment>
    <comment ref="G10" authorId="0" shapeId="0">
      <text>
        <r>
          <rPr>
            <b/>
            <sz val="9"/>
            <color indexed="81"/>
            <rFont val="Tahoma"/>
            <family val="2"/>
          </rPr>
          <t>u4eprkjp:</t>
        </r>
        <r>
          <rPr>
            <sz val="9"/>
            <color indexed="81"/>
            <rFont val="Tahoma"/>
            <family val="2"/>
          </rPr>
          <t xml:space="preserve">
This person did not answer the scoring questions - put 100 for top score (auto) and left the rest at 0 (auto)</t>
        </r>
      </text>
    </comment>
    <comment ref="G103" authorId="0" shapeId="0">
      <text>
        <r>
          <rPr>
            <b/>
            <sz val="9"/>
            <color indexed="81"/>
            <rFont val="Tahoma"/>
            <family val="2"/>
          </rPr>
          <t>u4eprkjp:</t>
        </r>
        <r>
          <rPr>
            <sz val="9"/>
            <color indexed="81"/>
            <rFont val="Tahoma"/>
            <family val="2"/>
          </rPr>
          <t xml:space="preserve">
This person didn't put 100 for top scores - sums to 100 in some places</t>
        </r>
      </text>
    </comment>
    <comment ref="G104" authorId="0" shapeId="0">
      <text>
        <r>
          <rPr>
            <b/>
            <sz val="9"/>
            <color indexed="81"/>
            <rFont val="Tahoma"/>
            <family val="2"/>
          </rPr>
          <t>u4eprkjp:</t>
        </r>
        <r>
          <rPr>
            <sz val="9"/>
            <color indexed="81"/>
            <rFont val="Tahoma"/>
            <family val="2"/>
          </rPr>
          <t xml:space="preserve">
This person did not answer the scoring questions - put 100 for top score (auto) and left the rest at 0 (auto)</t>
        </r>
      </text>
    </comment>
    <comment ref="AH133" authorId="0" shapeId="0">
      <text>
        <r>
          <rPr>
            <b/>
            <sz val="9"/>
            <color indexed="81"/>
            <rFont val="Tahoma"/>
            <family val="2"/>
          </rPr>
          <t>u4eprkjp:</t>
        </r>
        <r>
          <rPr>
            <sz val="9"/>
            <color indexed="81"/>
            <rFont val="Tahoma"/>
            <family val="2"/>
          </rPr>
          <t xml:space="preserve">
Ranked 2nd, Lowest score</t>
        </r>
      </text>
    </comment>
    <comment ref="BA133" authorId="0" shapeId="0">
      <text>
        <r>
          <rPr>
            <b/>
            <sz val="9"/>
            <color indexed="81"/>
            <rFont val="Tahoma"/>
            <family val="2"/>
          </rPr>
          <t>u4eprkjp:</t>
        </r>
        <r>
          <rPr>
            <sz val="9"/>
            <color indexed="81"/>
            <rFont val="Tahoma"/>
            <family val="2"/>
          </rPr>
          <t xml:space="preserve">
Ranked 2nd, scored lowest</t>
        </r>
      </text>
    </comment>
    <comment ref="BB133" authorId="0" shapeId="0">
      <text>
        <r>
          <rPr>
            <b/>
            <sz val="9"/>
            <color indexed="81"/>
            <rFont val="Tahoma"/>
            <family val="2"/>
          </rPr>
          <t>u4eprkjp:</t>
        </r>
        <r>
          <rPr>
            <sz val="9"/>
            <color indexed="81"/>
            <rFont val="Tahoma"/>
            <family val="2"/>
          </rPr>
          <t xml:space="preserve">
Ranked 3rd, scored 2nd</t>
        </r>
      </text>
    </comment>
    <comment ref="AZ142" authorId="0" shapeId="0">
      <text>
        <r>
          <rPr>
            <b/>
            <sz val="9"/>
            <color indexed="81"/>
            <rFont val="Tahoma"/>
            <family val="2"/>
          </rPr>
          <t>u4eprkjp:</t>
        </r>
        <r>
          <rPr>
            <sz val="9"/>
            <color indexed="81"/>
            <rFont val="Tahoma"/>
            <family val="2"/>
          </rPr>
          <t xml:space="preserve">
First 3 ranked First - Scores aren't tied</t>
        </r>
      </text>
    </comment>
    <comment ref="BK142" authorId="0" shapeId="0">
      <text>
        <r>
          <rPr>
            <b/>
            <sz val="9"/>
            <color indexed="81"/>
            <rFont val="Tahoma"/>
            <family val="2"/>
          </rPr>
          <t>u4eprkjp:</t>
        </r>
        <r>
          <rPr>
            <sz val="9"/>
            <color indexed="81"/>
            <rFont val="Tahoma"/>
            <family val="2"/>
          </rPr>
          <t xml:space="preserve">
Option 1,3,4 ranked first only option 1 and 4 with highest score</t>
        </r>
      </text>
    </comment>
    <comment ref="AC143" authorId="0" shapeId="0">
      <text>
        <r>
          <rPr>
            <b/>
            <sz val="9"/>
            <color indexed="81"/>
            <rFont val="Tahoma"/>
            <family val="2"/>
          </rPr>
          <t xml:space="preserve">u4eprkjp
</t>
        </r>
        <r>
          <rPr>
            <sz val="9"/>
            <color indexed="81"/>
            <rFont val="Tahoma"/>
            <family val="2"/>
          </rPr>
          <t>2nd and 3rd place has reverse score and ranking</t>
        </r>
      </text>
    </comment>
    <comment ref="BC148" authorId="0" shapeId="0">
      <text>
        <r>
          <rPr>
            <b/>
            <sz val="9"/>
            <color indexed="81"/>
            <rFont val="Tahoma"/>
            <family val="2"/>
          </rPr>
          <t>u4eprkjp:</t>
        </r>
        <r>
          <rPr>
            <sz val="9"/>
            <color indexed="81"/>
            <rFont val="Tahoma"/>
            <family val="2"/>
          </rPr>
          <t xml:space="preserve">
4th rank has 2nd score</t>
        </r>
      </text>
    </comment>
    <comment ref="AJ150" authorId="0" shapeId="0">
      <text>
        <r>
          <rPr>
            <b/>
            <sz val="9"/>
            <color indexed="81"/>
            <rFont val="Tahoma"/>
            <family val="2"/>
          </rPr>
          <t>u4eprkjp:</t>
        </r>
        <r>
          <rPr>
            <sz val="9"/>
            <color indexed="81"/>
            <rFont val="Tahoma"/>
            <family val="2"/>
          </rPr>
          <t xml:space="preserve">
2nd and 3rd rank switched with 2nd and 3rd score</t>
        </r>
      </text>
    </comment>
    <comment ref="AS153" authorId="0" shapeId="0">
      <text>
        <r>
          <rPr>
            <b/>
            <sz val="9"/>
            <color indexed="81"/>
            <rFont val="Tahoma"/>
            <family val="2"/>
          </rPr>
          <t xml:space="preserve">u4eprkjp:
</t>
        </r>
        <r>
          <rPr>
            <sz val="9"/>
            <color indexed="81"/>
            <rFont val="Tahoma"/>
            <family val="2"/>
          </rPr>
          <t>tie for 3rd rank - tied 3rd and the 4th all have score of 0</t>
        </r>
      </text>
    </comment>
    <comment ref="BK153" authorId="0" shapeId="0">
      <text>
        <r>
          <rPr>
            <b/>
            <sz val="9"/>
            <color indexed="81"/>
            <rFont val="Tahoma"/>
            <family val="2"/>
          </rPr>
          <t>u4eprkjp:</t>
        </r>
        <r>
          <rPr>
            <sz val="9"/>
            <color indexed="81"/>
            <rFont val="Tahoma"/>
            <family val="2"/>
          </rPr>
          <t xml:space="preserve">
Tie in 2nd place ranking, 2nd and 4th all have score of 0</t>
        </r>
      </text>
    </comment>
    <comment ref="AR156" authorId="0" shapeId="0">
      <text>
        <r>
          <rPr>
            <b/>
            <sz val="9"/>
            <color indexed="81"/>
            <rFont val="Tahoma"/>
            <family val="2"/>
          </rPr>
          <t>u4eprkjp:</t>
        </r>
        <r>
          <rPr>
            <sz val="9"/>
            <color indexed="81"/>
            <rFont val="Tahoma"/>
            <family val="2"/>
          </rPr>
          <t xml:space="preserve">
Tie for 2nd place in ranking, no tie in the score</t>
        </r>
      </text>
    </comment>
    <comment ref="BJ156" authorId="0" shapeId="0">
      <text>
        <r>
          <rPr>
            <b/>
            <sz val="9"/>
            <color indexed="81"/>
            <rFont val="Tahoma"/>
            <family val="2"/>
          </rPr>
          <t>u4eprkjp:</t>
        </r>
        <r>
          <rPr>
            <sz val="9"/>
            <color indexed="81"/>
            <rFont val="Tahoma"/>
            <family val="2"/>
          </rPr>
          <t xml:space="preserve">
Tie for 1st place in ranking - scores not tied.</t>
        </r>
      </text>
    </comment>
    <comment ref="AS160" authorId="0" shapeId="0">
      <text>
        <r>
          <rPr>
            <b/>
            <sz val="9"/>
            <color indexed="81"/>
            <rFont val="Tahoma"/>
            <family val="2"/>
          </rPr>
          <t>u4eprkjp:</t>
        </r>
        <r>
          <rPr>
            <sz val="9"/>
            <color indexed="81"/>
            <rFont val="Tahoma"/>
            <family val="2"/>
          </rPr>
          <t xml:space="preserve">
2nd and 3rd place switched scores and ranks</t>
        </r>
      </text>
    </comment>
    <comment ref="AA161" authorId="0" shapeId="0">
      <text>
        <r>
          <rPr>
            <b/>
            <sz val="9"/>
            <color indexed="81"/>
            <rFont val="Tahoma"/>
            <family val="2"/>
          </rPr>
          <t>u4eprkjp:</t>
        </r>
        <r>
          <rPr>
            <sz val="9"/>
            <color indexed="81"/>
            <rFont val="Tahoma"/>
            <family val="2"/>
          </rPr>
          <t xml:space="preserve">
Rank for first place tied, scores not tied.</t>
        </r>
      </text>
    </comment>
    <comment ref="AH161" authorId="0" shapeId="0">
      <text>
        <r>
          <rPr>
            <b/>
            <sz val="9"/>
            <color indexed="81"/>
            <rFont val="Tahoma"/>
            <family val="2"/>
          </rPr>
          <t>u4eprkjp:</t>
        </r>
        <r>
          <rPr>
            <sz val="9"/>
            <color indexed="81"/>
            <rFont val="Tahoma"/>
            <family val="2"/>
          </rPr>
          <t xml:space="preserve">
4th place rank tied, 1st place and one of 4th placed tied in score</t>
        </r>
      </text>
    </comment>
    <comment ref="AQ161" authorId="0" shapeId="0">
      <text>
        <r>
          <rPr>
            <b/>
            <sz val="9"/>
            <color indexed="81"/>
            <rFont val="Tahoma"/>
            <family val="2"/>
          </rPr>
          <t>u4eprkjp:</t>
        </r>
        <r>
          <rPr>
            <sz val="9"/>
            <color indexed="81"/>
            <rFont val="Tahoma"/>
            <family val="2"/>
          </rPr>
          <t xml:space="preserve">
3rd place rank tied, scores not tied</t>
        </r>
      </text>
    </comment>
    <comment ref="AZ161" authorId="0" shapeId="0">
      <text>
        <r>
          <rPr>
            <b/>
            <sz val="9"/>
            <color indexed="81"/>
            <rFont val="Tahoma"/>
            <family val="2"/>
          </rPr>
          <t>u4eprkjp:</t>
        </r>
        <r>
          <rPr>
            <sz val="9"/>
            <color indexed="81"/>
            <rFont val="Tahoma"/>
            <family val="2"/>
          </rPr>
          <t xml:space="preserve">
score only off by 1 - basically the same</t>
        </r>
      </text>
    </comment>
    <comment ref="BL161" authorId="0" shapeId="0">
      <text>
        <r>
          <rPr>
            <b/>
            <sz val="9"/>
            <color indexed="81"/>
            <rFont val="Tahoma"/>
            <family val="2"/>
          </rPr>
          <t>u4eprkjp:</t>
        </r>
        <r>
          <rPr>
            <sz val="9"/>
            <color indexed="81"/>
            <rFont val="Tahoma"/>
            <family val="2"/>
          </rPr>
          <t xml:space="preserve">
2nd and 3rd rank and score switched, 1st place rank tied - scores not</t>
        </r>
      </text>
    </comment>
    <comment ref="AQ162" authorId="0" shapeId="0">
      <text>
        <r>
          <rPr>
            <b/>
            <sz val="9"/>
            <color indexed="81"/>
            <rFont val="Tahoma"/>
            <family val="2"/>
          </rPr>
          <t>u4eprkjp:</t>
        </r>
        <r>
          <rPr>
            <sz val="9"/>
            <color indexed="81"/>
            <rFont val="Tahoma"/>
            <family val="2"/>
          </rPr>
          <t xml:space="preserve">
1st place rank is 1 less in score than 2nd place rank</t>
        </r>
      </text>
    </comment>
  </commentList>
</comments>
</file>

<file path=xl/comments3.xml><?xml version="1.0" encoding="utf-8"?>
<comments xmlns="http://schemas.openxmlformats.org/spreadsheetml/2006/main">
  <authors>
    <author>u4eprkjp</author>
  </authors>
  <commentList>
    <comment ref="A1" authorId="0" shapeId="0">
      <text>
        <r>
          <rPr>
            <b/>
            <sz val="9"/>
            <color indexed="81"/>
            <rFont val="Tahoma"/>
            <family val="2"/>
          </rPr>
          <t>u4eprkjp:</t>
        </r>
        <r>
          <rPr>
            <sz val="9"/>
            <color indexed="81"/>
            <rFont val="Tahoma"/>
            <family val="2"/>
          </rPr>
          <t xml:space="preserve">
These are switched in coding. 1 is 2 and 2 is 1</t>
        </r>
      </text>
    </comment>
  </commentList>
</comments>
</file>

<file path=xl/comments4.xml><?xml version="1.0" encoding="utf-8"?>
<comments xmlns="http://schemas.openxmlformats.org/spreadsheetml/2006/main">
  <authors>
    <author>u4eprkjp</author>
  </authors>
  <commentList>
    <comment ref="A1" authorId="0" shapeId="0">
      <text>
        <r>
          <rPr>
            <b/>
            <sz val="9"/>
            <color indexed="81"/>
            <rFont val="Tahoma"/>
            <family val="2"/>
          </rPr>
          <t>u4eprkjp:</t>
        </r>
        <r>
          <rPr>
            <sz val="9"/>
            <color indexed="81"/>
            <rFont val="Tahoma"/>
            <family val="2"/>
          </rPr>
          <t xml:space="preserve">
These are switched in coding. 1 is 2 and 2 is 1</t>
        </r>
      </text>
    </comment>
  </commentList>
</comments>
</file>

<file path=xl/sharedStrings.xml><?xml version="1.0" encoding="utf-8"?>
<sst xmlns="http://schemas.openxmlformats.org/spreadsheetml/2006/main" count="2107" uniqueCount="429">
  <si>
    <t>V1</t>
  </si>
  <si>
    <t>V2</t>
  </si>
  <si>
    <t>V3</t>
  </si>
  <si>
    <t>V4</t>
  </si>
  <si>
    <t>V5</t>
  </si>
  <si>
    <t>V6</t>
  </si>
  <si>
    <t>V7</t>
  </si>
  <si>
    <t>V8</t>
  </si>
  <si>
    <t>V9</t>
  </si>
  <si>
    <t>V10</t>
  </si>
  <si>
    <t>Q_B</t>
  </si>
  <si>
    <t>Q_B_TEXT</t>
  </si>
  <si>
    <t>Q_B2</t>
  </si>
  <si>
    <t>Q1_1</t>
  </si>
  <si>
    <t>Q1_2</t>
  </si>
  <si>
    <t>Q1</t>
  </si>
  <si>
    <t>Q2_1</t>
  </si>
  <si>
    <t>Q2_2</t>
  </si>
  <si>
    <t>Q2_3</t>
  </si>
  <si>
    <t>Q2</t>
  </si>
  <si>
    <t>Q3_1</t>
  </si>
  <si>
    <t>Q3_2</t>
  </si>
  <si>
    <t>Q3_3</t>
  </si>
  <si>
    <t>Q3_4</t>
  </si>
  <si>
    <t>Q3</t>
  </si>
  <si>
    <t>Q4_1</t>
  </si>
  <si>
    <t>Q4_2</t>
  </si>
  <si>
    <t>Q4_3</t>
  </si>
  <si>
    <t>Q4_4</t>
  </si>
  <si>
    <t>Q4</t>
  </si>
  <si>
    <t>Q5_1</t>
  </si>
  <si>
    <t>Q5_2</t>
  </si>
  <si>
    <t>Q5_3</t>
  </si>
  <si>
    <t>Q5_4</t>
  </si>
  <si>
    <t>Q5</t>
  </si>
  <si>
    <t>Q6_1</t>
  </si>
  <si>
    <t>Q6_2</t>
  </si>
  <si>
    <t>Q6_3</t>
  </si>
  <si>
    <t>Q6_4</t>
  </si>
  <si>
    <t>Q6</t>
  </si>
  <si>
    <t>Q_F</t>
  </si>
  <si>
    <t>LocationLatitude</t>
  </si>
  <si>
    <t>LocationLongitude</t>
  </si>
  <si>
    <t>LocationAccuracy</t>
  </si>
  <si>
    <t>Default Response Set</t>
  </si>
  <si>
    <t>R_9XLpSmbB2SvWXJz</t>
  </si>
  <si>
    <t>206.174.65.203</t>
  </si>
  <si>
    <t>The inherent properties of the chemical; including its inherent hazard must be established first; then the type and amount of exposure over the life cycle has relevance</t>
  </si>
  <si>
    <t>This was a tough one.  Knee jerk reaction is to protect consumers and workers first.  BUT there is far too little attention paid to non point source emissions at the end of life of products and more focus there could be helpful</t>
  </si>
  <si>
    <t xml:space="preserve">I think that physical hazards are more relevant to exposure because they result in near field exposure; </t>
  </si>
  <si>
    <t>I dont understand what is meant by subject / Activity matters because it is how the chemical is used.</t>
  </si>
  <si>
    <t>It is not clear to me whether this work will be used to assess broad scale exposure or whether it will be used to support informed product design; /  / I think there should be more parameters than flammability and reactivity for the physical properties; the form of a chemical (e.g. crystalline silica) and the volatility and solubility all matter a lot too.  I think you might want to consider both the perspective of a regulator and the perspective of a product designer</t>
  </si>
  <si>
    <t>R_a8yN8G5wVwnXRUp</t>
  </si>
  <si>
    <t>52.129.8.47</t>
  </si>
  <si>
    <t>How a substance is used is most important for exposure potential but the chemical properties are a close second (i.e. volatility is a indicator for inhalation exposure potential unless it is contained in a closed system for the use)</t>
  </si>
  <si>
    <t>ranking here is for potential exposure as expect more exposure for workers than consumers typically and proper disposal to landfill or incineration generates less exposure overall</t>
  </si>
  <si>
    <t>exposure potential for human beings is dependent on how the chemical is processed by the body.  If it bioaccumulates in the body then more exposure potential.  If substance is persistant this can be problematic to humans but if it is biaccumulative then there is more potential.  Physical hazards are typically addressed with control measures so that exposure potential can be mitigated or there would be safety concerns in general with use.</t>
  </si>
  <si>
    <t>The more the substance is used the higher potential for exposure so ubiquity is ranked highest.  Types of activities are more important than environment and the subject.  The subject and environment are usually more controlled in a production environment so less important</t>
  </si>
  <si>
    <t xml:space="preserve">the more the substance is used by consumers the higher the exposure potential, activities for consumer are very important and whether we are assessing children or adults (subject). </t>
  </si>
  <si>
    <t>To me most important for disposal is how much and where is it disposed of.  Subject not that clear</t>
  </si>
  <si>
    <t>R_4Pcm4hXdwROjCuh</t>
  </si>
  <si>
    <t>50.78.71.221</t>
  </si>
  <si>
    <t>environmental science</t>
  </si>
  <si>
    <t>Both are important with regard to chemical safety evaluation but chemical property information is generally more easy to come by and can tell you a lot before you incorporate life cycle information.  Also, I believe the tools available to take advantage of chemical property information are better than those for life cycle information currently.</t>
  </si>
  <si>
    <t>I made these rankings with the assumption that human safety is going to be of primary interest and environmental safety will come second.  I could rank these very different under different perspectives.</t>
  </si>
  <si>
    <t>ADME will be an important driver with respect to chemical exposure.  Persistance and bioaccumulation are important when secondary indirect human exposure occurs and only if persistence and bioaccumulation potential are high.</t>
  </si>
  <si>
    <t>I'm not sure I entirely understood these criteria, but use volume and patterns of use will greatly influence human exposure.</t>
  </si>
  <si>
    <t>Again, use volume and use patterns are most important.</t>
  </si>
  <si>
    <t>Considerations for human vs. ecological exposure will be very different.  For human exposure, we will be more concerned if a small number of people are highly exposed, so even something with a small market volume could require a lot of attention.  For ecological exposures, market volume and use patterns that lead to high environmental discharges are going to be big drivers.</t>
  </si>
  <si>
    <t>R_0xlaTDoC7LYoBg1</t>
  </si>
  <si>
    <t>158.28.225.245</t>
  </si>
  <si>
    <t>Properties definitely influence exposure potential and are important.   However, use is a much stronger determinant of contact. For example, if a substance has a property that suggest high potential for inhalation exposure, but is only used as a completely contained intermediate, then exposure will be low.  Alternatively, if something has a low vapor pressure suggesting minimal inhalation exposure, but is used in a way resulting in direct contact or prolonger exposure, then the exposure potential may be higher than indicated by the property alone.</t>
  </si>
  <si>
    <t>consumer highest because direct use and largest potential population, then product because direct worker use but should be PPE to mitigate exposures., disposal lowest because while important mostly related to indirect exposures for human population (different if eco focus) which are likely to be lower</t>
  </si>
  <si>
    <t>physical hazard is very important to consider under hazard, but NOT exposure potential.  indeed, characteristics which may make things more important to consider, like greater flammability, could actually lead to lower exposure potential if greater steps are implemented to prevent exposure due to hazardous nature (for example, propane containment would reduce consumer exposure potential as compare to gasoline).    Both bioaccumulation and persistence are important for exposure determination. However, I have ranked ADME as higher because if the substance can't be absorbed by humans, even if P and B, internal exposure might still be low.    While details were not provided in the document sent to this elicitation team, if the Mitchell paper ADME critera are used I suggest that absorption should be expanded to include dermal and inhalation as well as oral routes.  I have placed P and B at similar rankings (both 2 becuase couldn't do a 2.5 for each)</t>
  </si>
  <si>
    <t>think all are important but have placed in this order as think: activity is most important as determines how used which has greatest influence on exposure potential, then environment as these conditions (room volume, air exchange, indoors or outdoors will also influence), then subject and then ubiquity because even if widespread use if it occurs in a controlled manner will be less important for exposure potential than the manner of use and PPE, etc.  In practice it will also matter how each of these parameters are defined.  For example, the parameters in Figure 3 of the survey documentation for ubiquity indicate quantity and location count, but note they differ than the metrics used in the Mitchell paper, which included regional geometric mean production quantity. think the quantity and location count are more straight forward</t>
  </si>
  <si>
    <t xml:space="preserve">similar comments on relative rankings as before, however, because no less control over consumer environments other than packaging, have given equal percentage ratings to all.  will depend on metrics used to assess criteria as well, and definitions/metrics of these 4 characteristics seem to differ in survey documentation as compared to mitchell at el. </t>
  </si>
  <si>
    <t>again here depends upon metrics used. for environment have considered not just air exchange rate and volume but other conditions, like is it embedded in a matrix, does it go down the drain.  because focus here is moreso on indirect exposure, have ranked ubiquity higher than in direct exposure scenarios</t>
  </si>
  <si>
    <t>As this is a prioritization tool, think maybe difficult to draw line between level of general vs. detailed information, so just to point out that think at broad level good to  be general, as in this survey, but also that specific weightings might change given the details of how each parameter is assessed as well.  / Appreciate the opportunity to provide input.  Think the matrix in figure 2 of page 10 of survey documentation is a very informative way to show relative contribution of chemical vs. life cycle properties which could be very useful in proposed ways to reduce exposures when appropriate.  The title of "exposure risk" used both for this chart and in Mitchell et al is a little confusing, as it is really exposure potential.   this would then be combined with hazard information for risk prioritization, and the use of the word risk on this table can introduce confusion.  think thoughtful approach to describing key elements relevant to exposure potential, including P and B as these truly influence exposure and do not impact intrinsic hazard.  Also, for human exposure potential may want to think about appropriate metrics for persistence under conditions of use coupled with bioavailability.</t>
  </si>
  <si>
    <t>R_cMEVuTYXI0ogtmd</t>
  </si>
  <si>
    <t>192.111.218.8</t>
  </si>
  <si>
    <t>Lifecycle properties as defined provide direct information about opportunities for contact; whereas chemical properties provide, relative to lifecycle properties, more indirect estimates of exposure via prediction of movement through various environmental media. At the same time chemical properties are likely more informative for understanding exposure considerations related to bioavailability and ADME.</t>
  </si>
  <si>
    <t>These rankings reflect a cross between potential for direct exposure and likelihood for exposure control. However this approach is challenged by variability in production and disposal practices across sectors and regions.  /  / The consumer use phase has a very high potential for direct exposure--the consumer is directly handling chemicals. There is also real potential for direct occupational exposure  during the production phase and likely at even higher concentrations than would be experienced during the consumer use phase, but there is also greater likelihood of exposure control in the workplace than would occur in the home place. Depending on the product and region, exposure during disposal phase can be quite high (e.g., recycling of electronics in a less developed country). Furthermore contamination near manufacturing sites and lack of consumer and business stewardship in proper disposal increases potential for widespread exposure. *Categorizing contamination near manufacturing sites in the disposal phase, though contamination could also fit into the production phase.</t>
  </si>
  <si>
    <t>This is one of the most difficult criteria to rank. Persistence, bioaccumulation, and ADME properties are all important with regard to potential exposure. Flammability and reactivity less. I would have assigned higher point values to physical properties such as solubility as volatility.</t>
  </si>
  <si>
    <t xml:space="preserve">More definition accompanied by examples of the definitions would have been helpful in this survey. </t>
  </si>
  <si>
    <t>R_2fAbkhnkFg46W8J</t>
  </si>
  <si>
    <t>130.237.193.15</t>
  </si>
  <si>
    <t>The major determinant of exposure is concentrations in the exposure environment.  Concentrations in the exposure environment are determined by emission rates (a life cycle property) and persistence (a chemical property).  Emissions are linearly proportional to concentrations and are therefore most important.  If you never emit a chemical nobody is ever exposed.  The things bundled into "chemical properties" include other stuff not relevant to persistence so I think that group is less important.</t>
  </si>
  <si>
    <t>Production phase least important because most easily controlled.</t>
  </si>
  <si>
    <t>Persistence in the exposure environment is by far the most important.  And, P is correlated with high exposure potentials due to ADME and B considerations.  Chemicals that are not P are also more readily metabolized and excreted and are not bioaccumulative.  Therefore these do not add much independent information compared to P.  The physical hazard potential likely only matters for workers which I assume is a small fraction of all the people we care about in this exercise.</t>
  </si>
  <si>
    <t>R_e3e4s2NIArGTBOt</t>
  </si>
  <si>
    <t>205.193.94.40</t>
  </si>
  <si>
    <t>Risk Assessment</t>
  </si>
  <si>
    <t>Although chemical properties highly influeunce exposure potential, the direct availability of the substance to consumers is a higher factor</t>
  </si>
  <si>
    <t>Consumer Use is by far the highest contributor of human exposure since we do not consider occupational exposure. There is less of the substance left for disposal as much can be transformed via metabolism, degradation, etc.</t>
  </si>
  <si>
    <t>ADME is going to determine internal dose to a substance and so is the highest indicator. For example, if a substance cannot be systemically absorbed the external exposure is nto as important. For humans P and B both play a role in determining exposure, but since most exposure is from direct use of consumer products they are not as critical as they may be for the environment. Since we do not assess occupational exposure, physical hazard properties are not as important for us, although if you were assessing other phys-chem (VP, WS, Kow) is may be more important as it would affect consumer exposure more.</t>
  </si>
  <si>
    <t>How much is being produced in the most important factor, although this could be tempered with how it is used (e.g, closed system) or control measures to restrict releases. Again we do not consider occupational exposure.</t>
  </si>
  <si>
    <t>How many products the substance is in is very important but this is followed closely by how it is being used and who is using it (e.g., children or vulnerable populations). The location of use can also be important (e.g., inside vs outside)</t>
  </si>
  <si>
    <t>The more substance being disposed in various locations the higher the potential for human exposure. This was followed by where the disposal is occuring and how it is occurring. Who is doing the activity is not as important to us since we do not consider occupational exposure.</t>
  </si>
  <si>
    <t>It was difficult to interpret the definition of subject,activity and environment for production, consumer use and disposal.  In discussions with colleagues we all had a different understanding of what the intended question was.</t>
  </si>
  <si>
    <t>Background</t>
  </si>
  <si>
    <t>Chemical</t>
  </si>
  <si>
    <t>Human Factors</t>
  </si>
  <si>
    <t>Blank</t>
  </si>
  <si>
    <t>Count</t>
  </si>
  <si>
    <t>Chemical Properties</t>
  </si>
  <si>
    <t>Life Cycle Properties</t>
  </si>
  <si>
    <t>Rank 1st</t>
  </si>
  <si>
    <t>Rank 2nd</t>
  </si>
  <si>
    <t>Min</t>
  </si>
  <si>
    <t>Max</t>
  </si>
  <si>
    <t>Weight</t>
  </si>
  <si>
    <t>Production Phase</t>
  </si>
  <si>
    <t>Consumer Use Phase</t>
  </si>
  <si>
    <t>Disposal Phase</t>
  </si>
  <si>
    <t>Rank 3rd</t>
  </si>
  <si>
    <t>Validity Checking</t>
  </si>
  <si>
    <t>Q1_2_R</t>
  </si>
  <si>
    <t>Q1_1_S</t>
  </si>
  <si>
    <t>Q1_1_R</t>
  </si>
  <si>
    <t>Q1_2_S</t>
  </si>
  <si>
    <t>Q2_1_R</t>
  </si>
  <si>
    <t>Q2_2_R</t>
  </si>
  <si>
    <t>Q2_3_R</t>
  </si>
  <si>
    <t>Q2_1_S</t>
  </si>
  <si>
    <t>Q2_2_S</t>
  </si>
  <si>
    <t>Q2_3_S</t>
  </si>
  <si>
    <t>RECODING</t>
  </si>
  <si>
    <t>Replace</t>
  </si>
  <si>
    <t>With</t>
  </si>
  <si>
    <t>For</t>
  </si>
  <si>
    <t>2nd rank</t>
  </si>
  <si>
    <t>3rd rank</t>
  </si>
  <si>
    <t>4th rank</t>
  </si>
  <si>
    <t>Recode to max 100</t>
  </si>
  <si>
    <t>Physical Hazard</t>
  </si>
  <si>
    <t>Persistance</t>
  </si>
  <si>
    <t>Bioaccumulation</t>
  </si>
  <si>
    <t>ADME</t>
  </si>
  <si>
    <t>Rank 4th</t>
  </si>
  <si>
    <t>Rank</t>
  </si>
  <si>
    <t>Score</t>
  </si>
  <si>
    <t>Ubiquity</t>
  </si>
  <si>
    <t>Activity</t>
  </si>
  <si>
    <t>Subject</t>
  </si>
  <si>
    <t>Environment</t>
  </si>
  <si>
    <t>Final</t>
  </si>
  <si>
    <t>Comments - Chemical and Life Cycle Properties</t>
  </si>
  <si>
    <t>Comments - Life Cycle Properties Sub-Criteria</t>
  </si>
  <si>
    <t>Comments - Chemical Properties Sub-Criteria</t>
  </si>
  <si>
    <t>Comments - Production Phase Sub-Criteria</t>
  </si>
  <si>
    <t>Comments - Consumer Use Phase Sub-Criteria</t>
  </si>
  <si>
    <t>Comments - Disposal Phase Sub Criteria</t>
  </si>
  <si>
    <t>Comments - Overall</t>
  </si>
  <si>
    <t>Other*</t>
  </si>
  <si>
    <t>-</t>
  </si>
  <si>
    <t>R_1Fx0PZIkvI5gh01</t>
  </si>
  <si>
    <t>134.67.237.174</t>
  </si>
  <si>
    <t>Use dictates exposure</t>
  </si>
  <si>
    <t>R_20jYXGuET2SRnMx</t>
  </si>
  <si>
    <t>R_8wQc5V3LN7HreL3</t>
  </si>
  <si>
    <t>134.67.29.7</t>
  </si>
  <si>
    <t>Life Cycle Assessment</t>
  </si>
  <si>
    <t xml:space="preserve">The ability of a chemical to enter the body depends on its chemical interactions, both in environmental media and with entry points of the body. I feel these interactions, even if only slightly, are more improtant than the release of the chemicals for a resulting exposure. </t>
  </si>
  <si>
    <t xml:space="preserve">Recent studies have shown individuals are exposed to much higher levels of chemimcals during product use. The disposal phase in my mind is susceptible to exposure risk because there is high uncertinty that products and chemicals are actually disposed of properly. Even if they are, we are still understanding how the chemicals behave during the various end-of-life management options. I am least concerned about exposures during the production phase because I feel there is significant emphasis placed on engineering controls for workers and emission limits for manufacturing facilities. </t>
  </si>
  <si>
    <t>I consider all of these criteria important. However, I feel the ability of the chemical to enter the body and how it interacts with the body are the most important. The availability of these chemicals (persistance) is the next important because there is no potential for exposure if the chemical is not present. The physical hazard potential seemed the least important when considered against the other three.</t>
  </si>
  <si>
    <t>My rankings are based on my feeling that the activities in a workplace dictate whether or not a person can contact a chemical. How the chemical affects a person will depend on the person. The environment within the workplace will determine how the person might come into contat witha chemical if released. The widespread use of the chemical is only improtant in determining how many people may potenitally be affected and isn't as important to me if the purpose of chemical safety is to protect all humans, even a single worker.</t>
  </si>
  <si>
    <t>My feelings for this ranking mirror my explanation to ranking these criteria for the workplace.</t>
  </si>
  <si>
    <t>My reasoning for this ranking is consistent with my explanation for the workplace.</t>
  </si>
  <si>
    <t>The suvey was straightforward and easy to fill out.</t>
  </si>
  <si>
    <t>R_aV3n9T1jRuJsgxD</t>
  </si>
  <si>
    <t>134.67.237.49</t>
  </si>
  <si>
    <t>R_e8m31R7ax3h7UYR</t>
  </si>
  <si>
    <t>134.67.237.91</t>
  </si>
  <si>
    <t xml:space="preserve">Chemical properties are cheap and inexpensive and we should always collect this information.  How the chemical is used over it's lifetime and which populations are affected is more informative of exposure (though more challenging). </t>
  </si>
  <si>
    <t xml:space="preserve">All of these are important for LC.  Consumers have potential for intimate contact with chemicals and may not make rationale decisions.   Production supposes an occupational cohort.  Exposures may be high, and workers are not always informed of risks, and trade off exposure for employment.  Disposal has impact on ecosystems.      </t>
  </si>
  <si>
    <t xml:space="preserve">Chemical properties help us understand these things (hazard, persistence, bioaccumulation, adme), but we really need empirical data to confirm.  Persistance and bioaccumulation are most informed, hazard least informed, and ADME somewhere in the middle. </t>
  </si>
  <si>
    <t>Production phase impacts workers.  Historically, job title has been important in occupational epidemiology;  I interpreted subject=job title.  Without additional bounding information, ubiquity and activity (of workers not consumers) are equally important.  Environment external to production is least important for occupational exposure.  On the other hand, the environment might impose rules (climate (extreme cold, cost of ventilation), regulations (how much solvent can be released to the atmosphere)) that may impact exposures.</t>
  </si>
  <si>
    <t>The subject is very important- who is likely to engage in consumer use is most important.  The actual activity is important to quantify exposure.   If the chemical is ubiquitous we have to be careful - though subject and activity are probably stronger deciding factors.  External environment is probably not so important-  however, caution in being "too smart" and setting this to zero.</t>
  </si>
  <si>
    <t>I tend to view disposal as an ecological problem impacting ecosystems.  But wording in this question suggests I should evaluate human users of disposed chemicals; i.e., the waste industry ??</t>
  </si>
  <si>
    <t xml:space="preserve">The last question is problematic in my opinion:  Subject is defined as user of chemical in the disposal phase.  Do you mean recyclers or waste industry, as opposed to humans impacted by disposed chemicals.   / </t>
  </si>
  <si>
    <t>R_6VgUMKXtpxC3gK9</t>
  </si>
  <si>
    <t>134.67.237.101</t>
  </si>
  <si>
    <t>Human Exposure Modeling</t>
  </si>
  <si>
    <t>R_3kKdQfS6szwQVTv</t>
  </si>
  <si>
    <t>134.67.195.144</t>
  </si>
  <si>
    <t xml:space="preserve">Chemical properties are critical to exposure, but life cycle properties could be used to determine how to study investigate the exposure. </t>
  </si>
  <si>
    <t xml:space="preserve">The most exposure will occur when the consumer uses the product. Production phase will determine which chemical is in the product. </t>
  </si>
  <si>
    <t>R_51lZxN4tGWEQgqF</t>
  </si>
  <si>
    <t>134.67.237.97</t>
  </si>
  <si>
    <t>Consumer use would likely have the widest direct exposure, while production and disposal can have wider impacts over time. All three are important, but not sure about production/disposal order.</t>
  </si>
  <si>
    <t>R_86XpvbnijaKfX6d</t>
  </si>
  <si>
    <t>107.205.126.34</t>
  </si>
  <si>
    <t xml:space="preserve">Chemical properties were ranked lower, since a chemical may have properties which indicate a high potential for exposure, however if this chemical is released in very small amounts, or not at all, the exposure potential could be very low, thus Life Cycle Properties was ranked higher. </t>
  </si>
  <si>
    <t xml:space="preserve">These were difficult to rank. The importance of a given phase likely depends on the population group being considered. E.g. workers may have higher exposure during the production rather than use phase, while a member of the general population may have higher exposure during the use phase. Thus the relative scoring was somewhat arbitrary. </t>
  </si>
  <si>
    <t>Rank 1: If a chemical accumulates into food (.e.g fish) then this chemical will have a high exposure potential.  / Rank 2: A chemical may be persistent, however if it does not partition into a medium which is taken in by humans, the exposure potential may be low. However, if it does partition into an intake medium then persistence can also yield a high exposure potential. / Rank 3: My understanding is that ADME informs how long a chemical stays in the body. It is difficult to rank without information about other chemical characteristics and emission characteristics. For example if a chemical has a short half life in the body, but an individual is continually exposed to a chemical then ADME is likely irrelevant since there is a continuous chemical source. If the exposure is acute or is stopped at some point, then ADME is likely important since chemical has the potential to accumulate in the body.  / Rank 4: I do not know much about his category, however, it seems that these properties yield higher potential for chemical accidents which could yield human exposures.</t>
  </si>
  <si>
    <t xml:space="preserve">Rank 1: Activity was ranked 1st because this determines how someone comes in contact with the chemical. If there is close contact, exposure potential could be high irrespective of other criteria. / Rank 2 &amp; 3: Exposure is usually more sensitive to emission rates compared to environmental characteristics. / Rank 4: Assumed that there is not much subject variability within the production phase. / </t>
  </si>
  <si>
    <t xml:space="preserve">Rank 1: Activity was ranked 1st because this determines how someone comes in contact with the chemical. If there is close contact, exposure potential could be high irrespective of other criteria. / Rank 2,3,4: Exposure is usually more sensitive to emission/release rates compared to environmental characteristics. Population variability may be important in the use-phase, e.g. differining activities between children vs adults. /  / </t>
  </si>
  <si>
    <t xml:space="preserve">Rank 1: Activity was ranked 1st because this determines how someone comes in contact with the chemical. If there is close contact, exposure potential could be high irrespective of other criteria. / Rank 2: Exposure is usually more sensitive to emission rates compared to environmental characteristics. / Rank 3: Presumably exposure will be very different for a worker in a disposal facility compared to a member of the individual population who may be exposed to emissions from the facility. This implies that population variability in the disposal phase could change exposure potential substantially. / </t>
  </si>
  <si>
    <t xml:space="preserve">- The difference between "Activity" and "Subject" was not really clear or it seems like these categories are inter-related. For example, one "Activity" factor is 'Avg. time/use', however this seems to depend on the "Subject".  Does "subject" also include </t>
  </si>
  <si>
    <t>R_1yVsS30FTu0LxfD</t>
  </si>
  <si>
    <t>134.67.73.76</t>
  </si>
  <si>
    <t xml:space="preserve">seems like the potential for exposure would be based mostly upon where/when the chemical is present rather than strictly chemical features. </t>
  </si>
  <si>
    <t>consumer use seems like highest likelihood of exposure, as well as exposure at a toxicological relevant doses/durations/life stages.  Disposal could lead to environmental contamination and although exposure dose is likely less than consumer use, chronic, low-level exposure is an important consideration for the Agency.  I considered the Disposal phase to include disposal of waste products from production.  The production phase likely produces the highest concentration of chemicals, but the exposure potential to a broad population is limited.</t>
  </si>
  <si>
    <t>Chemical hazard form the basis of Agency decisions and therefore are the most important aspect.  Persistance and bioaccumulation are both important considerations for exposure duration, as well as potential chronic exposure.  ADME is an important consideration for internal dose metrics and target organ toxicity; however, the apical outcomes are generally used as critical effects and the dose response analysis/Agency regulations are usually based upon external exposure measures rather than internal toxicokinetics.</t>
  </si>
  <si>
    <t>The chemical identity and bioactivity will drive much of the risk decisions.  Ubiquity and environment could be more related to estimates of dose, which would be important if the chemical is toxic.</t>
  </si>
  <si>
    <t>I considered disposal as the potential for environmental contamination. In this exposure scenario, both the "what" and "how much" questions are equally important.  The activity of the chemical is still the most important, but considerations of exposure dose and duration become more important in this scenario.</t>
  </si>
  <si>
    <t>R_0xhYoYHBGW66YLj</t>
  </si>
  <si>
    <t>184.151.112.40</t>
  </si>
  <si>
    <t>Properties dictate a chemical's potential</t>
  </si>
  <si>
    <t>What you do is more important than how you make it</t>
  </si>
  <si>
    <t>Adme makes dose, bio and persistence important but hazard does not make exposure, it is enabled by dose</t>
  </si>
  <si>
    <t>R_2toFnLe12QuAUKh</t>
  </si>
  <si>
    <t>134.67.73.134</t>
  </si>
  <si>
    <t>R_0GQWSxiecq08Tgp</t>
  </si>
  <si>
    <t>LCA</t>
  </si>
  <si>
    <t>This is difficult since both matter.  If a substance is not released at all during its life cycle this becomes less important.  Also, for PBTs, for instance, the chemical properties are much more important.</t>
  </si>
  <si>
    <t>This is highly dependent upon the substance and/or product under consideration.  For electronics, disposal is extremely important.  For consumer products, the use phase may be important.  Depending on handling practices, production could be important (e.g., asbestos, Teflon).</t>
  </si>
  <si>
    <t>Again,  this was tough since in some substances the subject may be extremely important (e.g., females of reproductive age exposed to teratogens).</t>
  </si>
  <si>
    <t>The subject moved up significantly since this group can now include infants and children who may be much more highly impacted depending on the activity (which has also moved up).</t>
  </si>
  <si>
    <t>R_d5qIQk4HSLc54vb</t>
  </si>
  <si>
    <t>134.67.73.154</t>
  </si>
  <si>
    <t>R_6lOGzlgm57aujgp</t>
  </si>
  <si>
    <t>134.67.73.218</t>
  </si>
  <si>
    <t>The life cycle (which I take to be how he chemical is used) directly determines the exposure of a chemical. The properties of the chemical impact how the chemical is used, but they do not necessarily determine exposure. I feel that the chemical life cycle allows for the human factor in chemical exposure.</t>
  </si>
  <si>
    <t>When there is a list of alternative chemicals to choose from I think that there is a tendency to choose those that have ADME properties that lead to a short residency time in a human, but overall I am not sure that this significantly changes the potential for exposure. ADME and hazard both impact the effects of exposure, but not the exposure itself.</t>
  </si>
  <si>
    <t>R_dgRvD1jevOBunFH</t>
  </si>
  <si>
    <t>86.176.58.95</t>
  </si>
  <si>
    <t>Use characterisitics are as important a determinant of exposure as the nature of the chemical itself. Indeed, use is more important if near field exposures are being assessed.</t>
  </si>
  <si>
    <t>Consumer uses probably are the source of most disperse chemical releases. Industrial are more important if point/local exposures are being concerned. Modern disposal methods (especially in Europe) should ensure that disposal is a tertiary concern.</t>
  </si>
  <si>
    <t xml:space="preserve">For human exposure, ADME is the characteristic of most importance. Internal exposure isn't relevant if the substance cannot be absorbed etc.. Persistence is interesting but not necessarily a game changer .. if paint pigments were persistent, then we'd all grumble about having to repaint every year! </t>
  </si>
  <si>
    <t>The nature of industrial activities (degree of open/closedness) determines release. Ubiquity is simple a magnifier of this. The subject and environment come a close 3rd to ubiquity.</t>
  </si>
  <si>
    <t>The nature of a consumer use is paramount for determining human exposure. How frequent that this is also a critical piece of knowledge. It is less important (and broader assumptions can be perhaps be made) concerning the nature of the receiving environment and subject</t>
  </si>
  <si>
    <t>How frequent the disposal is likely to be the major determinant of the importance that the event has for humans.</t>
  </si>
  <si>
    <t>I think it'd be helpful to describe the domain that goes with some of the determinants. For example, do 'consumer uses' also include cosmetics and agrochemicals or simply household consumer products? Also, is the intention to address event exposures (acute episodes) as well as longer term/chronic exposures?</t>
  </si>
  <si>
    <t>R_8j0wZfzeZeTPYW1</t>
  </si>
  <si>
    <t>50.5.44.226</t>
  </si>
  <si>
    <t>Life Cycle Properties was ranked 1st because a chemical may have properties which indicate it may have a high exposure potential, however, if the life cycle properties indicate that the chemical may only be used in small quantities or released to particular media, etc. the chemical properties are likely not to be as important in terms of predicting exposure. E.g. if zero chemical is released, then the chemical properties would be irrelevant for exposure.</t>
  </si>
  <si>
    <t xml:space="preserve">This section was difficult to rank. For example, the importance of the life cycle stage for exposure will likely depend on the populaiton group being considered. For example, exposure to workers may be more important in the production phase rather than the consumer use phase. But for the general population, the use-phase will likely be more important than the production or disposal phase. </t>
  </si>
  <si>
    <t>R_a9Pu5z0DbECC6Al</t>
  </si>
  <si>
    <t>195.11.164.221</t>
  </si>
  <si>
    <t xml:space="preserve">In my experience the circumstances of use can make a larger contribution to exposure than the chemical properties, but clearly chemical properties are quite important. </t>
  </si>
  <si>
    <t xml:space="preserve">Consumer use is generally well controlled. Production can be well controlled, but in some circumstances there may be relatively uncontrolled use, e.g. in small manufacturing companies. Disposal is, in my view, the stage that may be most likely to give rise to exposure. </t>
  </si>
  <si>
    <t xml:space="preserve">I think persistence and bioaccumulative potential are most important. I split the score to reflect the rank order since I found it difficult to weight these relatively. </t>
  </si>
  <si>
    <t xml:space="preserve">I felt the environment was not particularly important Other scores chosen to reflect the rank order. </t>
  </si>
  <si>
    <t>Much as previous question.</t>
  </si>
  <si>
    <t>As before</t>
  </si>
  <si>
    <t>R_3K8WyTJAN8E8QsZ</t>
  </si>
  <si>
    <t>83.91.63.42</t>
  </si>
  <si>
    <t>Technology assessment</t>
  </si>
  <si>
    <t>typically, chemical properties are one of the main drivers of human exposure across pathways, then additional pathway-specific characteristics become relevant incl. life cycle properties</t>
  </si>
  <si>
    <t>the use phase is the most influential and most uncertain (highest variability as least controlled) aspect, then followed by production-related aspects and finally - mostly in case of improper treatment - end-of-life aspects</t>
  </si>
  <si>
    <t>fate (persistence), bioaccumulation (exposure) and toxicity (effects) potential are more or less equally important as they are typically combined for characterizing overall toxicity potentials for chemicals</t>
  </si>
  <si>
    <t>R_eyNwITStYJIjIvr</t>
  </si>
  <si>
    <t>77.164.63.131</t>
  </si>
  <si>
    <t>risk assessment</t>
  </si>
  <si>
    <t>Exposure is mainly determined by emission. Emission depends mainly on life cycle properties, not chemical properties. Chemical properties definitely influence exposure, but no emission is no exposure (independently of substance characteristics).</t>
  </si>
  <si>
    <t>Nowadays, the production phase is under control. Consumption and disposal are much more difficult to control. Many emissions are determined by consumer and/or disposal phase. I am not sure which one is more important.</t>
  </si>
  <si>
    <t>Ultimately, if something persists and accumulates (in the environment and/or biota) it often reaches hazardous exposure concentrations.</t>
  </si>
  <si>
    <t>I find this question difficult to answer. I think the activities and the environment (e.g., USA versus India) are the main drivers of emission during the production phase.</t>
  </si>
  <si>
    <t>See previous</t>
  </si>
  <si>
    <t>I found some questions difficult to answer, since I was not always sure I understood the words correctly (e.g. ubiquity).</t>
  </si>
  <si>
    <t>R_bDXyTy7cdBXl1I1</t>
  </si>
  <si>
    <t>192.38.89.76</t>
  </si>
  <si>
    <t>The right properties within both criteria are required for an exposure.</t>
  </si>
  <si>
    <t>R_9ukA1jyb2Xxrr0h</t>
  </si>
  <si>
    <t>81.101.12.142</t>
  </si>
  <si>
    <t>R_025cB1tgEzxvx4x</t>
  </si>
  <si>
    <t>134.53.245.153</t>
  </si>
  <si>
    <t>Both chemical and life cycle properties are important determinants of exposure.</t>
  </si>
  <si>
    <t>Relative to exposure assessment, physical hazard is least important since it is usually a measure of acute hazard. Persistence and bioaccumulation are most important for long-term exposure.</t>
  </si>
  <si>
    <t>R_e9Bf3tWfssqtW7j</t>
  </si>
  <si>
    <t>R_6E8UHc0Oer5jtl3</t>
  </si>
  <si>
    <t>after chemical properties, human behaviors drive exposure, and I assume those fall under life cycle</t>
  </si>
  <si>
    <t>bioaccumulation is a subset of persistance</t>
  </si>
  <si>
    <t>I don't understand your distction between activity and subject; if it's related to human factors/behavior it should fall under one heading and I am going with subjet (even though that definition has to do with activity)</t>
  </si>
  <si>
    <t>see last comment</t>
  </si>
  <si>
    <t>common use and subject behavior will drive exposure in during disposal; using activity definition I went with a few questions back</t>
  </si>
  <si>
    <t>161.839.3</t>
  </si>
  <si>
    <t>14326.53.180</t>
  </si>
  <si>
    <t>[Y, Y]</t>
  </si>
  <si>
    <t>[Y, N]</t>
  </si>
  <si>
    <t>[N, Y]</t>
  </si>
  <si>
    <t>[N, N]</t>
  </si>
  <si>
    <t>N/A</t>
  </si>
  <si>
    <t>Y</t>
  </si>
  <si>
    <t>Q5, Q6</t>
  </si>
  <si>
    <t>Y - but blanks</t>
  </si>
  <si>
    <t>Q4, Q6</t>
  </si>
  <si>
    <t>Q2, Q3, Q4, Q6</t>
  </si>
  <si>
    <t>Slicers</t>
  </si>
  <si>
    <t>EPA</t>
  </si>
  <si>
    <t>Non-EPA</t>
  </si>
  <si>
    <t>Unknown</t>
  </si>
  <si>
    <t>Chemical Factors</t>
  </si>
  <si>
    <t>Other</t>
  </si>
  <si>
    <t>Academia</t>
  </si>
  <si>
    <t>Government</t>
  </si>
  <si>
    <t>Industry??</t>
  </si>
  <si>
    <t>Industry</t>
  </si>
  <si>
    <t>Non-Profit</t>
  </si>
  <si>
    <t>Charity</t>
  </si>
  <si>
    <t>EPA
1 - Yes
2 - No
3 - Unk</t>
  </si>
  <si>
    <t>Bckgrnd
1 - Chem
2 - Hmn
3 - Oth
4 - Unk</t>
  </si>
  <si>
    <t>Bkg</t>
  </si>
  <si>
    <t>LEGEND</t>
  </si>
  <si>
    <t>Base</t>
  </si>
  <si>
    <t>W1</t>
  </si>
  <si>
    <t>X1</t>
  </si>
  <si>
    <t>Y1</t>
  </si>
  <si>
    <t>AA1</t>
  </si>
  <si>
    <t>AB1</t>
  </si>
  <si>
    <t>AC1</t>
  </si>
  <si>
    <t>AD1</t>
  </si>
  <si>
    <t>AE1</t>
  </si>
  <si>
    <t>AF1</t>
  </si>
  <si>
    <t>AH1</t>
  </si>
  <si>
    <t>AI1</t>
  </si>
  <si>
    <t>AJ1</t>
  </si>
  <si>
    <t>AK1</t>
  </si>
  <si>
    <t>AL1</t>
  </si>
  <si>
    <t>AM1</t>
  </si>
  <si>
    <t>AN1</t>
  </si>
  <si>
    <t>AO1</t>
  </si>
  <si>
    <t>AQ1</t>
  </si>
  <si>
    <t>AR1</t>
  </si>
  <si>
    <t>AS1</t>
  </si>
  <si>
    <t>AT1</t>
  </si>
  <si>
    <t>AU1</t>
  </si>
  <si>
    <t>AV1</t>
  </si>
  <si>
    <t>AW1</t>
  </si>
  <si>
    <t>AX1</t>
  </si>
  <si>
    <t>AZ1</t>
  </si>
  <si>
    <t>BA1</t>
  </si>
  <si>
    <t>BB1</t>
  </si>
  <si>
    <t>BC1</t>
  </si>
  <si>
    <t>BD1</t>
  </si>
  <si>
    <t>BE1</t>
  </si>
  <si>
    <t>BF1</t>
  </si>
  <si>
    <t>BG1</t>
  </si>
  <si>
    <t>BI1</t>
  </si>
  <si>
    <t>BJ1</t>
  </si>
  <si>
    <t>BK1</t>
  </si>
  <si>
    <t>BL1</t>
  </si>
  <si>
    <t>BM1</t>
  </si>
  <si>
    <t>BN1</t>
  </si>
  <si>
    <t>BO1</t>
  </si>
  <si>
    <t>BP1</t>
  </si>
  <si>
    <t>Unk-EPA</t>
  </si>
  <si>
    <t>Disposal</t>
  </si>
  <si>
    <t>1st Rank</t>
  </si>
  <si>
    <t>2nd Rank</t>
  </si>
  <si>
    <t>3rd Rank</t>
  </si>
  <si>
    <t>N_EPA</t>
  </si>
  <si>
    <t>U_EPA</t>
  </si>
  <si>
    <t>NrmQ1_2</t>
  </si>
  <si>
    <t>NrmQ1_1</t>
  </si>
  <si>
    <t>NrmQ2_1</t>
  </si>
  <si>
    <t>NrmQ2_2</t>
  </si>
  <si>
    <t>NrmQ2_3</t>
  </si>
  <si>
    <t>NrmQ3_1</t>
  </si>
  <si>
    <t>NrmQ3_2</t>
  </si>
  <si>
    <t>NrmQ3_3</t>
  </si>
  <si>
    <t>NrmQ3_4</t>
  </si>
  <si>
    <t>NrmQ4_1</t>
  </si>
  <si>
    <t>NrmQ4_2</t>
  </si>
  <si>
    <t>NrmQ4_3</t>
  </si>
  <si>
    <t>NrmQ4_4</t>
  </si>
  <si>
    <t>NrmQ5_1</t>
  </si>
  <si>
    <t>NrmQ5_2</t>
  </si>
  <si>
    <t>NrmQ5_3</t>
  </si>
  <si>
    <t>NrmQ5_4</t>
  </si>
  <si>
    <t>NrmQ6_1</t>
  </si>
  <si>
    <t>NrmQ6_2</t>
  </si>
  <si>
    <t>NrmQ6_3</t>
  </si>
  <si>
    <t>NrmQ6_4</t>
  </si>
  <si>
    <t>Chem</t>
  </si>
  <si>
    <t>Hmn</t>
  </si>
  <si>
    <t>Oth</t>
  </si>
  <si>
    <t>N</t>
  </si>
  <si>
    <t>Std</t>
  </si>
  <si>
    <t>Labels</t>
  </si>
  <si>
    <t>4th Rank</t>
  </si>
  <si>
    <t>Persistence</t>
  </si>
  <si>
    <t>Physical Hazard Potential</t>
  </si>
  <si>
    <t>Bioaccumulation Potential</t>
  </si>
  <si>
    <t>Prd</t>
  </si>
  <si>
    <t>Con</t>
  </si>
  <si>
    <t>Dis</t>
  </si>
  <si>
    <t>Q4-Q6</t>
  </si>
  <si>
    <t>Backgrnd</t>
  </si>
  <si>
    <t>Q1 - Count</t>
  </si>
  <si>
    <t>Q1 - %</t>
  </si>
  <si>
    <t>Q1 - Order</t>
  </si>
  <si>
    <t>Q2 - %</t>
  </si>
  <si>
    <t>Q2 - Order</t>
  </si>
  <si>
    <t>Q3 - %</t>
  </si>
  <si>
    <t>Q3 - Order</t>
  </si>
  <si>
    <t>Q4 - %</t>
  </si>
  <si>
    <t>Q4 - Order</t>
  </si>
  <si>
    <t>Q5 - %</t>
  </si>
  <si>
    <t>Q5 - Order</t>
  </si>
  <si>
    <t>Q6 - %</t>
  </si>
  <si>
    <t>Q6 - Order</t>
  </si>
  <si>
    <t>Q2 - Count</t>
  </si>
  <si>
    <t>Q3 - Count</t>
  </si>
  <si>
    <t>Q4 - Count</t>
  </si>
  <si>
    <t>Q5 - Count</t>
  </si>
  <si>
    <t>Q6 - Count</t>
  </si>
  <si>
    <t>EPA Split</t>
  </si>
  <si>
    <t>Background Split</t>
  </si>
  <si>
    <t>Production</t>
  </si>
  <si>
    <t>Consumer Use</t>
  </si>
  <si>
    <t>Ubiquity - Production</t>
  </si>
  <si>
    <t>Activity - Production</t>
  </si>
  <si>
    <t>Subject - Production</t>
  </si>
  <si>
    <t>Environment - Production</t>
  </si>
  <si>
    <t>Ubiquity - Consumer Use</t>
  </si>
  <si>
    <t>Activity - Consumer Use</t>
  </si>
  <si>
    <t>Subject - Consumer Use</t>
  </si>
  <si>
    <t>Environment - Consumer Use</t>
  </si>
  <si>
    <t>Ubiquity - Disposal</t>
  </si>
  <si>
    <t>Activity - Disposal</t>
  </si>
  <si>
    <t>Subject - Disposal</t>
  </si>
  <si>
    <t>Environment - Disposal</t>
  </si>
  <si>
    <t>p-value</t>
  </si>
  <si>
    <t>t-stat</t>
  </si>
  <si>
    <t>Obs 
Mean</t>
  </si>
  <si>
    <t>Exp 
Mean</t>
  </si>
  <si>
    <t>MEAN &amp; DISTRIBUTION 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</si>
</sst>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00"/>
    <numFmt numFmtId="166" formatCode="0.000000000"/>
    <numFmt numFmtId="167" formatCode="0.0%"/>
    <numFmt numFmtId="168" formatCode="0.0000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rgb="FFFF0000"/>
      <name val="Calibri"/>
      <family val="2"/>
      <scheme val="minor"/>
    </font>
    <font>
      <sz val="9"/>
      <color indexed="81"/>
      <name val="Tahoma"/>
      <family val="2"/>
    </font>
    <font>
      <b/>
      <sz val="9"/>
      <color indexed="81"/>
      <name val="Tahoma"/>
      <family val="2"/>
    </font>
    <font>
      <b/>
      <i/>
      <sz val="11"/>
      <color theme="1"/>
      <name val="Calibri"/>
      <family val="2"/>
      <scheme val="minor"/>
    </font>
    <font>
      <i/>
      <sz val="11"/>
      <color theme="1"/>
      <name val="Calibri"/>
      <family val="2"/>
      <scheme val="minor"/>
    </font>
    <font>
      <i/>
      <sz val="12"/>
      <color theme="1"/>
      <name val="Calibri"/>
      <family val="2"/>
      <scheme val="minor"/>
    </font>
    <font>
      <b/>
      <sz val="12"/>
      <color theme="1"/>
      <name val="Calibri"/>
      <family val="2"/>
      <scheme val="minor"/>
    </font>
    <font>
      <b/>
      <u/>
      <sz val="11"/>
      <name val="Calibri"/>
      <family val="2"/>
      <scheme val="minor"/>
    </font>
    <font>
      <sz val="12"/>
      <color theme="1"/>
      <name val="Calibri"/>
      <family val="2"/>
      <scheme val="minor"/>
    </font>
    <font>
      <b/>
      <i/>
      <sz val="11"/>
      <color theme="9" tint="-0.249977111117893"/>
      <name val="Calibri"/>
      <family val="2"/>
      <scheme val="minor"/>
    </font>
    <font>
      <sz val="14"/>
      <color theme="1"/>
      <name val="Calibri"/>
      <family val="2"/>
      <scheme val="minor"/>
    </font>
    <font>
      <b/>
      <sz val="11"/>
      <name val="Calibri"/>
      <family val="2"/>
      <scheme val="minor"/>
    </font>
    <font>
      <b/>
      <sz val="12"/>
      <color rgb="FF7030A0"/>
      <name val="Calibri"/>
      <family val="2"/>
      <scheme val="minor"/>
    </font>
    <font>
      <sz val="11"/>
      <name val="Calibri"/>
      <family val="2"/>
      <scheme val="minor"/>
    </font>
    <font>
      <b/>
      <sz val="11"/>
      <color rgb="FFFF0000"/>
      <name val="Calibri"/>
      <family val="2"/>
      <scheme val="minor"/>
    </font>
    <font>
      <b/>
      <sz val="16"/>
      <color theme="1" tint="0.499984740745262"/>
      <name val="Calibri"/>
      <family val="2"/>
      <scheme val="minor"/>
    </font>
    <font>
      <b/>
      <sz val="11"/>
      <color rgb="FFFFC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theme="0" tint="-0.34998626667073579"/>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theme="0" tint="-0.34998626667073579"/>
      </top>
      <bottom style="medium">
        <color indexed="64"/>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189">
    <xf numFmtId="0" fontId="0" fillId="0" borderId="0" xfId="0"/>
    <xf numFmtId="0" fontId="0" fillId="0" borderId="0" xfId="0" applyNumberFormat="1"/>
    <xf numFmtId="22" fontId="0" fillId="0" borderId="0" xfId="0" applyNumberFormat="1"/>
    <xf numFmtId="0" fontId="16" fillId="0" borderId="0" xfId="0" applyFont="1"/>
    <xf numFmtId="0" fontId="0" fillId="0" borderId="0" xfId="0" applyAlignment="1">
      <alignment horizontal="right" indent="3"/>
    </xf>
    <xf numFmtId="0" fontId="0" fillId="33" borderId="10" xfId="0" applyFill="1" applyBorder="1"/>
    <xf numFmtId="0" fontId="0" fillId="33" borderId="11" xfId="0" applyFill="1" applyBorder="1"/>
    <xf numFmtId="0" fontId="0" fillId="33" borderId="12" xfId="0" applyFill="1" applyBorder="1"/>
    <xf numFmtId="0" fontId="0" fillId="0" borderId="13" xfId="0" applyBorder="1"/>
    <xf numFmtId="0" fontId="0" fillId="0" borderId="0" xfId="0" applyBorder="1"/>
    <xf numFmtId="0" fontId="0" fillId="0" borderId="14" xfId="0" applyBorder="1"/>
    <xf numFmtId="0" fontId="0" fillId="0" borderId="14" xfId="0" applyNumberFormat="1" applyBorder="1"/>
    <xf numFmtId="0" fontId="0" fillId="0" borderId="15" xfId="0" applyBorder="1"/>
    <xf numFmtId="0" fontId="0" fillId="0" borderId="16" xfId="0" applyBorder="1"/>
    <xf numFmtId="0" fontId="0" fillId="0" borderId="17" xfId="0" applyBorder="1"/>
    <xf numFmtId="0" fontId="0" fillId="34" borderId="0" xfId="0" applyFill="1"/>
    <xf numFmtId="0" fontId="0" fillId="0" borderId="0" xfId="0" applyAlignment="1">
      <alignment vertical="center"/>
    </xf>
    <xf numFmtId="0" fontId="0" fillId="0" borderId="0" xfId="0" applyAlignment="1">
      <alignment horizontal="left" vertical="center" indent="1"/>
    </xf>
    <xf numFmtId="0" fontId="0" fillId="0" borderId="0" xfId="0" applyAlignment="1">
      <alignment horizontal="center" vertical="center"/>
    </xf>
    <xf numFmtId="0" fontId="14" fillId="0" borderId="0" xfId="0" applyFont="1" applyAlignment="1">
      <alignment horizontal="center"/>
    </xf>
    <xf numFmtId="0" fontId="14" fillId="0" borderId="0" xfId="0" applyFont="1" applyAlignment="1">
      <alignment horizontal="center" vertical="center"/>
    </xf>
    <xf numFmtId="0" fontId="14" fillId="34" borderId="0" xfId="0" applyFont="1" applyFill="1" applyAlignment="1">
      <alignment horizontal="center"/>
    </xf>
    <xf numFmtId="0" fontId="18" fillId="0" borderId="0" xfId="0" applyFont="1" applyAlignment="1">
      <alignment horizontal="right" indent="3"/>
    </xf>
    <xf numFmtId="0" fontId="18" fillId="0" borderId="0" xfId="0" applyFont="1"/>
    <xf numFmtId="0" fontId="16" fillId="0" borderId="0" xfId="0" applyFont="1" applyAlignment="1">
      <alignment horizontal="center"/>
    </xf>
    <xf numFmtId="1" fontId="0" fillId="0" borderId="0" xfId="0" applyNumberFormat="1" applyAlignment="1">
      <alignment horizontal="center" vertical="center"/>
    </xf>
    <xf numFmtId="2" fontId="0" fillId="0" borderId="0" xfId="0" applyNumberFormat="1" applyAlignment="1">
      <alignment horizontal="center" vertical="center"/>
    </xf>
    <xf numFmtId="0" fontId="0" fillId="34" borderId="0" xfId="0" applyFill="1" applyBorder="1"/>
    <xf numFmtId="0" fontId="0" fillId="0" borderId="0" xfId="0" applyAlignment="1">
      <alignment horizontal="center"/>
    </xf>
    <xf numFmtId="0" fontId="16" fillId="0" borderId="0" xfId="0" applyFont="1" applyAlignment="1">
      <alignment horizontal="center" vertical="center"/>
    </xf>
    <xf numFmtId="0" fontId="21" fillId="0" borderId="0" xfId="0" applyFont="1"/>
    <xf numFmtId="0" fontId="21" fillId="0" borderId="0" xfId="0" applyFont="1" applyAlignment="1">
      <alignment horizontal="center"/>
    </xf>
    <xf numFmtId="0" fontId="0" fillId="35" borderId="10" xfId="0" applyFill="1" applyBorder="1"/>
    <xf numFmtId="0" fontId="22" fillId="0" borderId="0" xfId="0" applyFont="1"/>
    <xf numFmtId="0" fontId="23" fillId="0" borderId="0" xfId="0" applyFont="1"/>
    <xf numFmtId="0" fontId="24" fillId="0" borderId="0" xfId="0" applyFont="1"/>
    <xf numFmtId="0" fontId="0" fillId="33" borderId="0" xfId="0" applyFill="1"/>
    <xf numFmtId="0" fontId="0" fillId="35" borderId="11" xfId="0" applyFill="1" applyBorder="1"/>
    <xf numFmtId="0" fontId="0" fillId="36" borderId="0" xfId="0" applyFill="1" applyBorder="1"/>
    <xf numFmtId="2" fontId="0" fillId="0" borderId="0" xfId="0" applyNumberFormat="1"/>
    <xf numFmtId="0" fontId="14" fillId="0" borderId="0" xfId="0" applyFont="1"/>
    <xf numFmtId="0" fontId="16" fillId="0" borderId="0" xfId="0" applyFont="1" applyAlignment="1">
      <alignment horizontal="left"/>
    </xf>
    <xf numFmtId="0" fontId="0" fillId="0" borderId="0" xfId="0" applyAlignment="1">
      <alignment horizontal="left"/>
    </xf>
    <xf numFmtId="0" fontId="0" fillId="33" borderId="0" xfId="0" quotePrefix="1" applyFill="1"/>
    <xf numFmtId="0" fontId="0" fillId="0" borderId="18" xfId="0" applyBorder="1"/>
    <xf numFmtId="0" fontId="0" fillId="0" borderId="19" xfId="0" applyBorder="1"/>
    <xf numFmtId="0" fontId="0" fillId="0" borderId="20" xfId="0" applyBorder="1"/>
    <xf numFmtId="0" fontId="0" fillId="0" borderId="13" xfId="0" applyNumberFormat="1" applyBorder="1"/>
    <xf numFmtId="0" fontId="0" fillId="37" borderId="0" xfId="0" applyFill="1"/>
    <xf numFmtId="0" fontId="0" fillId="37" borderId="0" xfId="0" applyFill="1" applyBorder="1"/>
    <xf numFmtId="22" fontId="0" fillId="37" borderId="0" xfId="0" applyNumberFormat="1" applyFill="1"/>
    <xf numFmtId="0" fontId="0" fillId="37" borderId="13" xfId="0" applyFill="1" applyBorder="1"/>
    <xf numFmtId="0" fontId="0" fillId="37" borderId="14" xfId="0" applyFill="1" applyBorder="1"/>
    <xf numFmtId="0" fontId="0" fillId="37" borderId="14" xfId="0" applyNumberFormat="1" applyFill="1" applyBorder="1"/>
    <xf numFmtId="0" fontId="0" fillId="0" borderId="0" xfId="0" applyFont="1" applyAlignment="1">
      <alignment horizontal="center"/>
    </xf>
    <xf numFmtId="0" fontId="0" fillId="0" borderId="0" xfId="0" applyFont="1"/>
    <xf numFmtId="0" fontId="0" fillId="37" borderId="0" xfId="0" applyFont="1" applyFill="1" applyAlignment="1">
      <alignment horizontal="center"/>
    </xf>
    <xf numFmtId="0" fontId="0" fillId="37" borderId="0" xfId="0" applyFont="1" applyFill="1"/>
    <xf numFmtId="0" fontId="26" fillId="37" borderId="0" xfId="0" applyFont="1" applyFill="1"/>
    <xf numFmtId="0" fontId="0" fillId="38" borderId="13" xfId="0" applyFill="1" applyBorder="1"/>
    <xf numFmtId="0" fontId="0" fillId="38" borderId="0" xfId="0" applyFill="1" applyBorder="1"/>
    <xf numFmtId="0" fontId="0" fillId="39" borderId="0" xfId="0" applyFill="1"/>
    <xf numFmtId="0" fontId="0" fillId="40" borderId="0" xfId="0" applyFill="1"/>
    <xf numFmtId="0" fontId="0" fillId="37" borderId="0" xfId="0" applyFill="1" applyAlignment="1">
      <alignment horizontal="center"/>
    </xf>
    <xf numFmtId="0" fontId="0" fillId="33" borderId="0" xfId="0" applyFill="1" applyAlignment="1">
      <alignment horizontal="center"/>
    </xf>
    <xf numFmtId="22" fontId="0" fillId="0" borderId="16" xfId="0" applyNumberFormat="1" applyBorder="1"/>
    <xf numFmtId="0" fontId="0" fillId="0" borderId="17" xfId="0" applyNumberFormat="1" applyBorder="1"/>
    <xf numFmtId="0" fontId="0" fillId="41" borderId="21" xfId="0" applyFill="1" applyBorder="1" applyAlignment="1">
      <alignment horizontal="center"/>
    </xf>
    <xf numFmtId="0" fontId="0" fillId="41" borderId="22" xfId="0" applyFill="1" applyBorder="1" applyAlignment="1">
      <alignment horizontal="center"/>
    </xf>
    <xf numFmtId="0" fontId="0" fillId="41" borderId="23" xfId="0" applyFill="1" applyBorder="1" applyAlignment="1">
      <alignment horizontal="center"/>
    </xf>
    <xf numFmtId="0" fontId="0" fillId="0" borderId="0" xfId="0" applyFill="1"/>
    <xf numFmtId="0" fontId="0" fillId="0" borderId="16" xfId="0" applyFill="1" applyBorder="1"/>
    <xf numFmtId="0" fontId="0" fillId="34" borderId="0" xfId="0" applyFont="1" applyFill="1"/>
    <xf numFmtId="0" fontId="24" fillId="0" borderId="0" xfId="0" applyFont="1" applyAlignment="1">
      <alignment horizontal="center"/>
    </xf>
    <xf numFmtId="0" fontId="0" fillId="0" borderId="16" xfId="0" applyBorder="1" applyAlignment="1">
      <alignment horizontal="center"/>
    </xf>
    <xf numFmtId="0" fontId="0" fillId="41" borderId="24" xfId="0" applyFill="1" applyBorder="1" applyAlignment="1">
      <alignment horizontal="center"/>
    </xf>
    <xf numFmtId="0" fontId="0" fillId="41" borderId="25" xfId="0" applyFill="1" applyBorder="1" applyAlignment="1">
      <alignment horizontal="center"/>
    </xf>
    <xf numFmtId="0" fontId="0" fillId="41" borderId="26" xfId="0" applyFill="1" applyBorder="1" applyAlignment="1">
      <alignment horizontal="center"/>
    </xf>
    <xf numFmtId="0" fontId="0" fillId="36" borderId="16" xfId="0" applyFont="1" applyFill="1" applyBorder="1" applyAlignment="1">
      <alignment horizontal="center"/>
    </xf>
    <xf numFmtId="0" fontId="0" fillId="36" borderId="16" xfId="0" applyFont="1" applyFill="1" applyBorder="1"/>
    <xf numFmtId="0" fontId="16" fillId="36" borderId="16" xfId="0" applyFont="1" applyFill="1" applyBorder="1" applyAlignment="1">
      <alignment horizontal="center"/>
    </xf>
    <xf numFmtId="0" fontId="24" fillId="37" borderId="16" xfId="0" applyFont="1" applyFill="1" applyBorder="1"/>
    <xf numFmtId="0" fontId="24" fillId="36" borderId="16" xfId="0" applyFont="1" applyFill="1" applyBorder="1"/>
    <xf numFmtId="0" fontId="0" fillId="0" borderId="16" xfId="0" applyFont="1" applyBorder="1"/>
    <xf numFmtId="0" fontId="0" fillId="0" borderId="16" xfId="0" applyFont="1" applyBorder="1" applyAlignment="1">
      <alignment horizontal="center"/>
    </xf>
    <xf numFmtId="0" fontId="24" fillId="0" borderId="16" xfId="0" applyFont="1" applyBorder="1"/>
    <xf numFmtId="0" fontId="0" fillId="0" borderId="0" xfId="0" applyBorder="1" applyAlignment="1">
      <alignment horizontal="center"/>
    </xf>
    <xf numFmtId="0" fontId="0" fillId="0" borderId="0" xfId="0" applyFill="1" applyBorder="1"/>
    <xf numFmtId="0" fontId="0" fillId="0" borderId="0" xfId="0" applyFont="1" applyBorder="1" applyAlignment="1">
      <alignment horizontal="center"/>
    </xf>
    <xf numFmtId="0" fontId="0" fillId="0" borderId="0" xfId="0" applyFont="1" applyBorder="1"/>
    <xf numFmtId="0" fontId="0" fillId="36" borderId="16" xfId="0" applyFill="1" applyBorder="1"/>
    <xf numFmtId="22" fontId="0" fillId="36" borderId="16" xfId="0" applyNumberFormat="1" applyFill="1" applyBorder="1"/>
    <xf numFmtId="0" fontId="0" fillId="36" borderId="15" xfId="0" applyFill="1" applyBorder="1"/>
    <xf numFmtId="0" fontId="0" fillId="36" borderId="17" xfId="0" applyFill="1" applyBorder="1"/>
    <xf numFmtId="0" fontId="0" fillId="36" borderId="17" xfId="0" applyNumberFormat="1" applyFill="1" applyBorder="1"/>
    <xf numFmtId="0" fontId="24" fillId="0" borderId="0" xfId="0" applyFont="1" applyBorder="1"/>
    <xf numFmtId="0" fontId="0" fillId="0" borderId="0" xfId="0" applyFill="1" applyAlignment="1">
      <alignment horizontal="center"/>
    </xf>
    <xf numFmtId="22" fontId="0" fillId="0" borderId="0" xfId="0" applyNumberFormat="1" applyFill="1"/>
    <xf numFmtId="0" fontId="0" fillId="0" borderId="0" xfId="0" applyNumberFormat="1" applyFill="1" applyBorder="1"/>
    <xf numFmtId="0" fontId="0" fillId="0" borderId="0" xfId="0" applyNumberFormat="1" applyFill="1"/>
    <xf numFmtId="0" fontId="0" fillId="0" borderId="13" xfId="0" applyFill="1" applyBorder="1"/>
    <xf numFmtId="22" fontId="0" fillId="0" borderId="0" xfId="0" applyNumberFormat="1" applyBorder="1"/>
    <xf numFmtId="0" fontId="0" fillId="0" borderId="0" xfId="0" applyNumberFormat="1" applyBorder="1"/>
    <xf numFmtId="0" fontId="22" fillId="0" borderId="0" xfId="0" applyFont="1" applyBorder="1"/>
    <xf numFmtId="0" fontId="0" fillId="33" borderId="0" xfId="0" applyFill="1" applyBorder="1"/>
    <xf numFmtId="0" fontId="0" fillId="0" borderId="0" xfId="0" applyAlignment="1">
      <alignment wrapText="1"/>
    </xf>
    <xf numFmtId="0" fontId="27" fillId="0" borderId="0" xfId="0" applyFont="1" applyFill="1" applyBorder="1"/>
    <xf numFmtId="0" fontId="16" fillId="33" borderId="0" xfId="0" applyFont="1" applyFill="1"/>
    <xf numFmtId="0" fontId="0" fillId="33" borderId="0" xfId="0" applyFill="1" applyAlignment="1">
      <alignment vertical="center"/>
    </xf>
    <xf numFmtId="2" fontId="0" fillId="33" borderId="0" xfId="0" applyNumberFormat="1" applyFill="1"/>
    <xf numFmtId="0" fontId="16" fillId="33" borderId="0" xfId="0" applyFont="1" applyFill="1" applyAlignment="1">
      <alignment horizontal="center" vertical="center"/>
    </xf>
    <xf numFmtId="0" fontId="0" fillId="33" borderId="0" xfId="0" applyFill="1" applyAlignment="1">
      <alignment horizontal="center" vertical="center"/>
    </xf>
    <xf numFmtId="0" fontId="14" fillId="33" borderId="0" xfId="0" applyFont="1" applyFill="1"/>
    <xf numFmtId="0" fontId="0" fillId="33" borderId="0" xfId="0" applyFill="1" applyAlignment="1">
      <alignment horizontal="left"/>
    </xf>
    <xf numFmtId="0" fontId="28" fillId="42" borderId="0" xfId="0" applyFont="1" applyFill="1" applyBorder="1" applyAlignment="1">
      <alignment horizontal="left" vertical="center" indent="1"/>
    </xf>
    <xf numFmtId="0" fontId="0" fillId="42" borderId="0" xfId="0" applyFill="1" applyAlignment="1">
      <alignment horizontal="left" vertical="center" indent="1"/>
    </xf>
    <xf numFmtId="0" fontId="28" fillId="43" borderId="0" xfId="0" applyFont="1" applyFill="1" applyBorder="1" applyAlignment="1">
      <alignment horizontal="left" vertical="center" indent="1"/>
    </xf>
    <xf numFmtId="0" fontId="0" fillId="43" borderId="0" xfId="0" applyFill="1" applyAlignment="1">
      <alignment horizontal="left" vertical="center" indent="1"/>
    </xf>
    <xf numFmtId="0" fontId="28" fillId="42" borderId="21" xfId="0" applyFont="1" applyFill="1" applyBorder="1" applyAlignment="1">
      <alignment horizontal="left" vertical="center" indent="1"/>
    </xf>
    <xf numFmtId="0" fontId="28" fillId="43" borderId="21" xfId="0" applyFont="1" applyFill="1" applyBorder="1" applyAlignment="1">
      <alignment horizontal="left" vertical="center" indent="1"/>
    </xf>
    <xf numFmtId="0" fontId="28" fillId="42" borderId="23" xfId="0" applyFont="1" applyFill="1" applyBorder="1" applyAlignment="1">
      <alignment horizontal="left" vertical="center" indent="1"/>
    </xf>
    <xf numFmtId="0" fontId="28" fillId="43" borderId="23" xfId="0" applyFont="1" applyFill="1" applyBorder="1" applyAlignment="1">
      <alignment horizontal="left" vertical="center" indent="1"/>
    </xf>
    <xf numFmtId="9" fontId="0" fillId="0" borderId="0" xfId="42" applyFont="1"/>
    <xf numFmtId="164" fontId="0" fillId="0" borderId="0" xfId="0" applyNumberFormat="1"/>
    <xf numFmtId="165" fontId="0" fillId="0" borderId="0" xfId="0" applyNumberFormat="1"/>
    <xf numFmtId="166" fontId="0" fillId="0" borderId="0" xfId="0" applyNumberFormat="1" applyAlignment="1"/>
    <xf numFmtId="0" fontId="16" fillId="0" borderId="0" xfId="0" applyFont="1" applyFill="1" applyBorder="1"/>
    <xf numFmtId="164" fontId="0" fillId="0" borderId="0" xfId="0" applyNumberFormat="1" applyAlignment="1">
      <alignment horizontal="center" vertical="center"/>
    </xf>
    <xf numFmtId="0" fontId="29" fillId="0" borderId="0" xfId="0" applyFont="1"/>
    <xf numFmtId="0" fontId="30" fillId="34" borderId="0" xfId="0" applyFont="1" applyFill="1"/>
    <xf numFmtId="0" fontId="31" fillId="0" borderId="0" xfId="0" applyFont="1"/>
    <xf numFmtId="0" fontId="28" fillId="0" borderId="27" xfId="0" applyFont="1" applyFill="1" applyBorder="1" applyAlignment="1">
      <alignment horizontal="left" vertical="center" indent="1"/>
    </xf>
    <xf numFmtId="0" fontId="28" fillId="0" borderId="28" xfId="0" applyFont="1" applyFill="1" applyBorder="1" applyAlignment="1">
      <alignment horizontal="left" vertical="center" indent="1"/>
    </xf>
    <xf numFmtId="0" fontId="0" fillId="0" borderId="29" xfId="0" applyFill="1" applyBorder="1" applyAlignment="1">
      <alignment horizontal="left" vertical="center" indent="1"/>
    </xf>
    <xf numFmtId="0" fontId="28" fillId="0" borderId="30" xfId="0" applyFont="1" applyFill="1" applyBorder="1" applyAlignment="1">
      <alignment horizontal="left" vertical="center" indent="1"/>
    </xf>
    <xf numFmtId="0" fontId="28" fillId="0" borderId="31" xfId="0" applyFont="1" applyFill="1" applyBorder="1" applyAlignment="1">
      <alignment horizontal="left" vertical="center" indent="1"/>
    </xf>
    <xf numFmtId="0" fontId="0" fillId="0" borderId="32" xfId="0" applyFill="1" applyBorder="1" applyAlignment="1">
      <alignment horizontal="left" vertical="center" indent="1"/>
    </xf>
    <xf numFmtId="0" fontId="28" fillId="0" borderId="33" xfId="0" applyFont="1" applyFill="1" applyBorder="1" applyAlignment="1">
      <alignment horizontal="left" vertical="center" indent="1"/>
    </xf>
    <xf numFmtId="0" fontId="28" fillId="0" borderId="34" xfId="0" applyFont="1" applyFill="1" applyBorder="1" applyAlignment="1">
      <alignment horizontal="left" vertical="center" indent="1"/>
    </xf>
    <xf numFmtId="0" fontId="0" fillId="0" borderId="35" xfId="0" applyFill="1" applyBorder="1" applyAlignment="1">
      <alignment horizontal="left" vertical="center" indent="1"/>
    </xf>
    <xf numFmtId="0" fontId="14" fillId="0" borderId="0" xfId="0" applyFont="1" applyFill="1" applyAlignment="1">
      <alignment horizontal="center"/>
    </xf>
    <xf numFmtId="167" fontId="14" fillId="0" borderId="0" xfId="42" applyNumberFormat="1" applyFont="1"/>
    <xf numFmtId="0" fontId="16" fillId="0" borderId="0" xfId="0" applyFont="1" applyFill="1"/>
    <xf numFmtId="0" fontId="32" fillId="0" borderId="0" xfId="0" applyFont="1"/>
    <xf numFmtId="0" fontId="33" fillId="0" borderId="0" xfId="0" applyFont="1"/>
    <xf numFmtId="167" fontId="17" fillId="0" borderId="0" xfId="42" applyNumberFormat="1" applyFont="1"/>
    <xf numFmtId="0" fontId="17" fillId="0" borderId="0" xfId="0" applyFont="1"/>
    <xf numFmtId="167" fontId="17" fillId="0" borderId="0" xfId="0" applyNumberFormat="1" applyFont="1"/>
    <xf numFmtId="167" fontId="17" fillId="0" borderId="0" xfId="42" applyNumberFormat="1" applyFont="1" applyFill="1"/>
    <xf numFmtId="167" fontId="17" fillId="0" borderId="0" xfId="0" applyNumberFormat="1" applyFont="1" applyFill="1"/>
    <xf numFmtId="0" fontId="17" fillId="0" borderId="0" xfId="0" applyFont="1" applyFill="1"/>
    <xf numFmtId="0" fontId="0" fillId="0" borderId="0" xfId="0" applyAlignment="1"/>
    <xf numFmtId="0" fontId="16" fillId="0" borderId="0" xfId="0" applyFont="1" applyBorder="1" applyAlignment="1">
      <alignment vertical="center"/>
    </xf>
    <xf numFmtId="0" fontId="16" fillId="0" borderId="0" xfId="0" applyFont="1" applyFill="1" applyBorder="1" applyAlignment="1">
      <alignment vertical="center"/>
    </xf>
    <xf numFmtId="0" fontId="0" fillId="42" borderId="0" xfId="0" applyFill="1"/>
    <xf numFmtId="0" fontId="16" fillId="42" borderId="0" xfId="0" applyFont="1" applyFill="1" applyBorder="1"/>
    <xf numFmtId="0" fontId="0" fillId="42" borderId="0" xfId="0" applyFill="1" applyAlignment="1">
      <alignment vertical="center"/>
    </xf>
    <xf numFmtId="2" fontId="0" fillId="42" borderId="0" xfId="0" applyNumberFormat="1" applyFill="1" applyAlignment="1">
      <alignment vertical="center"/>
    </xf>
    <xf numFmtId="2" fontId="0" fillId="42" borderId="0" xfId="0" applyNumberFormat="1" applyFill="1"/>
    <xf numFmtId="0" fontId="24" fillId="42" borderId="0" xfId="0" applyFont="1" applyFill="1" applyBorder="1" applyAlignment="1">
      <alignment horizontal="center" vertical="center" wrapText="1"/>
    </xf>
    <xf numFmtId="0" fontId="28" fillId="42" borderId="36" xfId="0" applyFont="1" applyFill="1" applyBorder="1" applyAlignment="1">
      <alignment horizontal="left" vertical="center" indent="2"/>
    </xf>
    <xf numFmtId="2" fontId="26" fillId="42" borderId="37" xfId="0" applyNumberFormat="1" applyFont="1" applyFill="1" applyBorder="1" applyAlignment="1">
      <alignment horizontal="right" vertical="center" indent="1"/>
    </xf>
    <xf numFmtId="0" fontId="26" fillId="42" borderId="38" xfId="0" applyFont="1" applyFill="1" applyBorder="1" applyAlignment="1">
      <alignment horizontal="right" vertical="center" indent="1"/>
    </xf>
    <xf numFmtId="2" fontId="26" fillId="42" borderId="38" xfId="0" applyNumberFormat="1" applyFont="1" applyFill="1" applyBorder="1" applyAlignment="1">
      <alignment horizontal="right" vertical="center" indent="1"/>
    </xf>
    <xf numFmtId="164" fontId="26" fillId="42" borderId="39" xfId="0" applyNumberFormat="1" applyFont="1" applyFill="1" applyBorder="1" applyAlignment="1">
      <alignment horizontal="right" vertical="center" indent="1"/>
    </xf>
    <xf numFmtId="0" fontId="28" fillId="42" borderId="40" xfId="0" applyFont="1" applyFill="1" applyBorder="1" applyAlignment="1">
      <alignment horizontal="left" vertical="center" indent="2"/>
    </xf>
    <xf numFmtId="2" fontId="26" fillId="42" borderId="41" xfId="0" applyNumberFormat="1" applyFont="1" applyFill="1" applyBorder="1" applyAlignment="1">
      <alignment horizontal="right" vertical="center" indent="1"/>
    </xf>
    <xf numFmtId="0" fontId="26" fillId="42" borderId="40" xfId="0" applyFont="1" applyFill="1" applyBorder="1" applyAlignment="1">
      <alignment horizontal="right" vertical="center" indent="1"/>
    </xf>
    <xf numFmtId="2" fontId="26" fillId="42" borderId="40" xfId="0" applyNumberFormat="1" applyFont="1" applyFill="1" applyBorder="1" applyAlignment="1">
      <alignment horizontal="right" vertical="center" indent="1"/>
    </xf>
    <xf numFmtId="164" fontId="26" fillId="42" borderId="42" xfId="0" applyNumberFormat="1" applyFont="1" applyFill="1" applyBorder="1" applyAlignment="1">
      <alignment horizontal="right" vertical="center" indent="1"/>
    </xf>
    <xf numFmtId="0" fontId="28" fillId="42" borderId="43" xfId="0" applyFont="1" applyFill="1" applyBorder="1" applyAlignment="1">
      <alignment horizontal="left" vertical="center" indent="2"/>
    </xf>
    <xf numFmtId="2" fontId="26" fillId="42" borderId="44" xfId="0" applyNumberFormat="1" applyFont="1" applyFill="1" applyBorder="1" applyAlignment="1">
      <alignment horizontal="right" vertical="center" indent="1"/>
    </xf>
    <xf numFmtId="0" fontId="26" fillId="42" borderId="43" xfId="0" applyFont="1" applyFill="1" applyBorder="1" applyAlignment="1">
      <alignment horizontal="right" vertical="center" indent="1"/>
    </xf>
    <xf numFmtId="2" fontId="26" fillId="42" borderId="43" xfId="0" applyNumberFormat="1" applyFont="1" applyFill="1" applyBorder="1" applyAlignment="1">
      <alignment horizontal="right" vertical="center" indent="1"/>
    </xf>
    <xf numFmtId="164" fontId="26" fillId="42" borderId="45" xfId="0" applyNumberFormat="1" applyFont="1" applyFill="1" applyBorder="1" applyAlignment="1">
      <alignment horizontal="right" vertical="center" indent="1"/>
    </xf>
    <xf numFmtId="2" fontId="26" fillId="42" borderId="46" xfId="0" applyNumberFormat="1" applyFont="1" applyFill="1" applyBorder="1" applyAlignment="1">
      <alignment horizontal="right" vertical="center" indent="1"/>
    </xf>
    <xf numFmtId="0" fontId="26" fillId="42" borderId="36" xfId="0" applyFont="1" applyFill="1" applyBorder="1" applyAlignment="1">
      <alignment horizontal="right" vertical="center" indent="1"/>
    </xf>
    <xf numFmtId="2" fontId="26" fillId="42" borderId="36" xfId="0" applyNumberFormat="1" applyFont="1" applyFill="1" applyBorder="1" applyAlignment="1">
      <alignment horizontal="right" vertical="center" indent="1"/>
    </xf>
    <xf numFmtId="164" fontId="26" fillId="42" borderId="47" xfId="0" applyNumberFormat="1" applyFont="1" applyFill="1" applyBorder="1" applyAlignment="1">
      <alignment horizontal="right" vertical="center" indent="1"/>
    </xf>
    <xf numFmtId="2" fontId="26" fillId="0" borderId="0" xfId="0" applyNumberFormat="1" applyFont="1" applyFill="1" applyBorder="1" applyAlignment="1">
      <alignment horizontal="right" vertical="center"/>
    </xf>
    <xf numFmtId="2" fontId="26" fillId="0" borderId="0" xfId="0" applyNumberFormat="1" applyFont="1" applyAlignment="1">
      <alignment horizontal="right"/>
    </xf>
    <xf numFmtId="0" fontId="16" fillId="0" borderId="13" xfId="0" applyFont="1" applyFill="1" applyBorder="1"/>
    <xf numFmtId="2" fontId="24" fillId="0" borderId="0" xfId="0" applyNumberFormat="1" applyFont="1" applyAlignment="1">
      <alignment horizontal="right"/>
    </xf>
    <xf numFmtId="164" fontId="34" fillId="0" borderId="0" xfId="0" applyNumberFormat="1" applyFont="1"/>
    <xf numFmtId="168" fontId="0" fillId="0" borderId="0" xfId="0" applyNumberFormat="1" applyAlignment="1">
      <alignment vertical="center"/>
    </xf>
    <xf numFmtId="1" fontId="26" fillId="0" borderId="0" xfId="0" applyNumberFormat="1" applyFont="1" applyFill="1" applyBorder="1" applyAlignment="1">
      <alignment horizontal="right" vertical="center"/>
    </xf>
    <xf numFmtId="1" fontId="0" fillId="0" borderId="0" xfId="0" applyNumberFormat="1" applyAlignment="1">
      <alignment vertical="center"/>
    </xf>
    <xf numFmtId="0" fontId="28" fillId="42" borderId="0" xfId="0" applyFont="1" applyFill="1" applyBorder="1" applyAlignment="1">
      <alignment horizontal="left" vertical="center" indent="2"/>
    </xf>
    <xf numFmtId="0" fontId="25" fillId="0" borderId="0" xfId="0" applyFont="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2">
    <dxf>
      <fill>
        <patternFill>
          <bgColor theme="6" tint="0.59996337778862885"/>
        </patternFill>
      </fill>
    </dxf>
    <dxf>
      <fill>
        <patternFill>
          <bgColor theme="9" tint="0.59996337778862885"/>
        </patternFill>
      </fill>
    </dxf>
    <dxf>
      <fill>
        <patternFill>
          <bgColor rgb="FFFFFF00"/>
        </patternFill>
      </fill>
    </dxf>
    <dxf>
      <fill>
        <patternFill>
          <bgColor rgb="FFFF0000"/>
        </patternFill>
      </fill>
    </dxf>
    <dxf>
      <fill>
        <patternFill>
          <bgColor theme="9" tint="0.59996337778862885"/>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91818102889806E-2"/>
          <c:y val="2.3058188721565853E-2"/>
          <c:w val="0.81343458021945658"/>
          <c:h val="0.88129976348521055"/>
        </c:manualLayout>
      </c:layout>
      <c:barChart>
        <c:barDir val="col"/>
        <c:grouping val="percentStacked"/>
        <c:varyColors val="0"/>
        <c:ser>
          <c:idx val="0"/>
          <c:order val="0"/>
          <c:tx>
            <c:strRef>
              <c:f>'Chart Data'!$O$157</c:f>
              <c:strCache>
                <c:ptCount val="1"/>
                <c:pt idx="0">
                  <c:v>1st Rank</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C1D-4987-88BD-18C37BF1D4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Data'!$P$156:$Z$156</c:f>
              <c:strCache>
                <c:ptCount val="6"/>
                <c:pt idx="0">
                  <c:v>EPA</c:v>
                </c:pt>
                <c:pt idx="1">
                  <c:v>Non-EPA</c:v>
                </c:pt>
                <c:pt idx="2">
                  <c:v>Unknown</c:v>
                </c:pt>
                <c:pt idx="4">
                  <c:v>EPA</c:v>
                </c:pt>
                <c:pt idx="5">
                  <c:v>Non-EPA</c:v>
                </c:pt>
              </c:strCache>
            </c:strRef>
          </c:cat>
          <c:val>
            <c:numRef>
              <c:f>'Chart Data'!$P$157:$Z$157</c:f>
              <c:numCache>
                <c:formatCode>0%</c:formatCode>
                <c:ptCount val="6"/>
                <c:pt idx="0">
                  <c:v>0</c:v>
                </c:pt>
                <c:pt idx="1">
                  <c:v>0.21428571428571427</c:v>
                </c:pt>
                <c:pt idx="2">
                  <c:v>0.16666666666666666</c:v>
                </c:pt>
                <c:pt idx="4">
                  <c:v>0.16666666666666666</c:v>
                </c:pt>
                <c:pt idx="5">
                  <c:v>0.21428571428571427</c:v>
                </c:pt>
              </c:numCache>
            </c:numRef>
          </c:val>
          <c:extLst>
            <c:ext xmlns:c16="http://schemas.microsoft.com/office/drawing/2014/chart" uri="{C3380CC4-5D6E-409C-BE32-E72D297353CC}">
              <c16:uniqueId val="{00000001-6C1D-4987-88BD-18C37BF1D42E}"/>
            </c:ext>
          </c:extLst>
        </c:ser>
        <c:ser>
          <c:idx val="1"/>
          <c:order val="1"/>
          <c:tx>
            <c:strRef>
              <c:f>'Chart Data'!$O$158</c:f>
              <c:strCache>
                <c:ptCount val="1"/>
                <c:pt idx="0">
                  <c:v>2nd Rank</c:v>
                </c:pt>
              </c:strCache>
            </c:strRef>
          </c:tx>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2-6C1D-4987-88BD-18C37BF1D4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Data'!$P$156:$Z$156</c:f>
              <c:strCache>
                <c:ptCount val="6"/>
                <c:pt idx="0">
                  <c:v>EPA</c:v>
                </c:pt>
                <c:pt idx="1">
                  <c:v>Non-EPA</c:v>
                </c:pt>
                <c:pt idx="2">
                  <c:v>Unknown</c:v>
                </c:pt>
                <c:pt idx="4">
                  <c:v>EPA</c:v>
                </c:pt>
                <c:pt idx="5">
                  <c:v>Non-EPA</c:v>
                </c:pt>
              </c:strCache>
            </c:strRef>
          </c:cat>
          <c:val>
            <c:numRef>
              <c:f>'Chart Data'!$P$158:$Z$158</c:f>
              <c:numCache>
                <c:formatCode>0%</c:formatCode>
                <c:ptCount val="6"/>
                <c:pt idx="0">
                  <c:v>0.66666666666666663</c:v>
                </c:pt>
                <c:pt idx="1">
                  <c:v>0.42857142857142855</c:v>
                </c:pt>
                <c:pt idx="2">
                  <c:v>0.41666666666666669</c:v>
                </c:pt>
                <c:pt idx="4">
                  <c:v>0.33333333333333331</c:v>
                </c:pt>
                <c:pt idx="5">
                  <c:v>0.2857142857142857</c:v>
                </c:pt>
              </c:numCache>
            </c:numRef>
          </c:val>
          <c:extLst>
            <c:ext xmlns:c16="http://schemas.microsoft.com/office/drawing/2014/chart" uri="{C3380CC4-5D6E-409C-BE32-E72D297353CC}">
              <c16:uniqueId val="{00000003-6C1D-4987-88BD-18C37BF1D42E}"/>
            </c:ext>
          </c:extLst>
        </c:ser>
        <c:ser>
          <c:idx val="2"/>
          <c:order val="2"/>
          <c:tx>
            <c:strRef>
              <c:f>'Chart Data'!$O$159</c:f>
              <c:strCache>
                <c:ptCount val="1"/>
                <c:pt idx="0">
                  <c:v>3rd Rank</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Data'!$P$156:$Z$156</c:f>
              <c:strCache>
                <c:ptCount val="6"/>
                <c:pt idx="0">
                  <c:v>EPA</c:v>
                </c:pt>
                <c:pt idx="1">
                  <c:v>Non-EPA</c:v>
                </c:pt>
                <c:pt idx="2">
                  <c:v>Unknown</c:v>
                </c:pt>
                <c:pt idx="4">
                  <c:v>EPA</c:v>
                </c:pt>
                <c:pt idx="5">
                  <c:v>Non-EPA</c:v>
                </c:pt>
              </c:strCache>
            </c:strRef>
          </c:cat>
          <c:val>
            <c:numRef>
              <c:f>'Chart Data'!$P$159:$Z$159</c:f>
              <c:numCache>
                <c:formatCode>0%</c:formatCode>
                <c:ptCount val="6"/>
                <c:pt idx="0">
                  <c:v>0.33333333333333331</c:v>
                </c:pt>
                <c:pt idx="1">
                  <c:v>0.35714285714285715</c:v>
                </c:pt>
                <c:pt idx="2">
                  <c:v>0.41666666666666669</c:v>
                </c:pt>
                <c:pt idx="4">
                  <c:v>0.5</c:v>
                </c:pt>
                <c:pt idx="5">
                  <c:v>0.5</c:v>
                </c:pt>
              </c:numCache>
            </c:numRef>
          </c:val>
          <c:extLst>
            <c:ext xmlns:c16="http://schemas.microsoft.com/office/drawing/2014/chart" uri="{C3380CC4-5D6E-409C-BE32-E72D297353CC}">
              <c16:uniqueId val="{00000004-6C1D-4987-88BD-18C37BF1D42E}"/>
            </c:ext>
          </c:extLst>
        </c:ser>
        <c:dLbls>
          <c:showLegendKey val="0"/>
          <c:showVal val="0"/>
          <c:showCatName val="0"/>
          <c:showSerName val="0"/>
          <c:showPercent val="0"/>
          <c:showBubbleSize val="0"/>
        </c:dLbls>
        <c:gapWidth val="47"/>
        <c:overlap val="100"/>
        <c:axId val="343788024"/>
        <c:axId val="343785280"/>
      </c:barChart>
      <c:catAx>
        <c:axId val="343788024"/>
        <c:scaling>
          <c:orientation val="minMax"/>
        </c:scaling>
        <c:delete val="0"/>
        <c:axPos val="b"/>
        <c:numFmt formatCode="General" sourceLinked="0"/>
        <c:majorTickMark val="out"/>
        <c:minorTickMark val="none"/>
        <c:tickLblPos val="nextTo"/>
        <c:crossAx val="343785280"/>
        <c:crosses val="autoZero"/>
        <c:auto val="1"/>
        <c:lblAlgn val="ctr"/>
        <c:lblOffset val="100"/>
        <c:noMultiLvlLbl val="0"/>
      </c:catAx>
      <c:valAx>
        <c:axId val="343785280"/>
        <c:scaling>
          <c:orientation val="minMax"/>
        </c:scaling>
        <c:delete val="1"/>
        <c:axPos val="l"/>
        <c:majorGridlines/>
        <c:numFmt formatCode="0%" sourceLinked="1"/>
        <c:majorTickMark val="out"/>
        <c:minorTickMark val="none"/>
        <c:tickLblPos val="none"/>
        <c:crossAx val="343788024"/>
        <c:crosses val="autoZero"/>
        <c:crossBetween val="between"/>
      </c:valAx>
    </c:plotArea>
    <c:legend>
      <c:legendPos val="r"/>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 EPA Affiliation - Life Cycle Phases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Data'!$Q$23</c:f>
              <c:strCache>
                <c:ptCount val="1"/>
                <c:pt idx="0">
                  <c:v>1st Rank</c:v>
                </c:pt>
              </c:strCache>
            </c:strRef>
          </c:tx>
          <c:spPr>
            <a:solidFill>
              <a:schemeClr val="accent1"/>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0-5496-42E9-BF14-ECD9A0319A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Data'!$P$24:$P$27,'Chart Data'!$P$29:$P$32,'Chart Data'!$P$34:$P$36)</c:f>
              <c:strCache>
                <c:ptCount val="11"/>
                <c:pt idx="0">
                  <c:v>EPA</c:v>
                </c:pt>
                <c:pt idx="1">
                  <c:v>Non-EPA</c:v>
                </c:pt>
                <c:pt idx="2">
                  <c:v>Unk-EPA</c:v>
                </c:pt>
                <c:pt idx="4">
                  <c:v>EPA</c:v>
                </c:pt>
                <c:pt idx="5">
                  <c:v>Non-EPA</c:v>
                </c:pt>
                <c:pt idx="6">
                  <c:v>Unk-EPA</c:v>
                </c:pt>
                <c:pt idx="8">
                  <c:v>EPA</c:v>
                </c:pt>
                <c:pt idx="9">
                  <c:v>Non-EPA</c:v>
                </c:pt>
                <c:pt idx="10">
                  <c:v>Unk-EPA</c:v>
                </c:pt>
              </c:strCache>
            </c:strRef>
          </c:cat>
          <c:val>
            <c:numRef>
              <c:f>('Chart Data'!$Q$24:$Q$27,'Chart Data'!$Q$29:$Q$32,'Chart Data'!$Q$34:$Q$36)</c:f>
              <c:numCache>
                <c:formatCode>0%</c:formatCode>
                <c:ptCount val="11"/>
                <c:pt idx="0">
                  <c:v>0.83333333333333337</c:v>
                </c:pt>
                <c:pt idx="1">
                  <c:v>0.6428571428571429</c:v>
                </c:pt>
                <c:pt idx="2">
                  <c:v>0.83333333333333337</c:v>
                </c:pt>
                <c:pt idx="4">
                  <c:v>0.16666666666666666</c:v>
                </c:pt>
                <c:pt idx="5">
                  <c:v>0.21428571428571427</c:v>
                </c:pt>
                <c:pt idx="6">
                  <c:v>0.16666666666666666</c:v>
                </c:pt>
                <c:pt idx="8">
                  <c:v>0</c:v>
                </c:pt>
                <c:pt idx="9">
                  <c:v>0.21428571428571427</c:v>
                </c:pt>
                <c:pt idx="10">
                  <c:v>0.16666666666666666</c:v>
                </c:pt>
              </c:numCache>
            </c:numRef>
          </c:val>
          <c:extLst>
            <c:ext xmlns:c16="http://schemas.microsoft.com/office/drawing/2014/chart" uri="{C3380CC4-5D6E-409C-BE32-E72D297353CC}">
              <c16:uniqueId val="{00000001-5496-42E9-BF14-ECD9A0319A8D}"/>
            </c:ext>
          </c:extLst>
        </c:ser>
        <c:ser>
          <c:idx val="1"/>
          <c:order val="1"/>
          <c:tx>
            <c:strRef>
              <c:f>'Chart Data'!$R$23</c:f>
              <c:strCache>
                <c:ptCount val="1"/>
                <c:pt idx="0">
                  <c:v>2nd Rank</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5496-42E9-BF14-ECD9A0319A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Data'!$P$24:$P$27,'Chart Data'!$P$29:$P$32,'Chart Data'!$P$34:$P$36)</c:f>
              <c:strCache>
                <c:ptCount val="11"/>
                <c:pt idx="0">
                  <c:v>EPA</c:v>
                </c:pt>
                <c:pt idx="1">
                  <c:v>Non-EPA</c:v>
                </c:pt>
                <c:pt idx="2">
                  <c:v>Unk-EPA</c:v>
                </c:pt>
                <c:pt idx="4">
                  <c:v>EPA</c:v>
                </c:pt>
                <c:pt idx="5">
                  <c:v>Non-EPA</c:v>
                </c:pt>
                <c:pt idx="6">
                  <c:v>Unk-EPA</c:v>
                </c:pt>
                <c:pt idx="8">
                  <c:v>EPA</c:v>
                </c:pt>
                <c:pt idx="9">
                  <c:v>Non-EPA</c:v>
                </c:pt>
                <c:pt idx="10">
                  <c:v>Unk-EPA</c:v>
                </c:pt>
              </c:strCache>
            </c:strRef>
          </c:cat>
          <c:val>
            <c:numRef>
              <c:f>('Chart Data'!$R$24:$R$27,'Chart Data'!$R$29:$R$32,'Chart Data'!$R$34:$R$36)</c:f>
              <c:numCache>
                <c:formatCode>0%</c:formatCode>
                <c:ptCount val="11"/>
                <c:pt idx="0">
                  <c:v>0</c:v>
                </c:pt>
                <c:pt idx="1">
                  <c:v>0.2857142857142857</c:v>
                </c:pt>
                <c:pt idx="2">
                  <c:v>8.3333333333333329E-2</c:v>
                </c:pt>
                <c:pt idx="4">
                  <c:v>0.33333333333333331</c:v>
                </c:pt>
                <c:pt idx="5">
                  <c:v>0.2857142857142857</c:v>
                </c:pt>
                <c:pt idx="6">
                  <c:v>0.5</c:v>
                </c:pt>
                <c:pt idx="8">
                  <c:v>0.66666666666666663</c:v>
                </c:pt>
                <c:pt idx="9">
                  <c:v>0.42857142857142855</c:v>
                </c:pt>
                <c:pt idx="10">
                  <c:v>0.41666666666666669</c:v>
                </c:pt>
              </c:numCache>
            </c:numRef>
          </c:val>
          <c:extLst>
            <c:ext xmlns:c16="http://schemas.microsoft.com/office/drawing/2014/chart" uri="{C3380CC4-5D6E-409C-BE32-E72D297353CC}">
              <c16:uniqueId val="{00000003-5496-42E9-BF14-ECD9A0319A8D}"/>
            </c:ext>
          </c:extLst>
        </c:ser>
        <c:ser>
          <c:idx val="2"/>
          <c:order val="2"/>
          <c:tx>
            <c:strRef>
              <c:f>'Chart Data'!$S$23</c:f>
              <c:strCache>
                <c:ptCount val="1"/>
                <c:pt idx="0">
                  <c:v>3rd Rank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Data'!$P$24:$P$27,'Chart Data'!$P$29:$P$32,'Chart Data'!$P$34:$P$36)</c:f>
              <c:strCache>
                <c:ptCount val="11"/>
                <c:pt idx="0">
                  <c:v>EPA</c:v>
                </c:pt>
                <c:pt idx="1">
                  <c:v>Non-EPA</c:v>
                </c:pt>
                <c:pt idx="2">
                  <c:v>Unk-EPA</c:v>
                </c:pt>
                <c:pt idx="4">
                  <c:v>EPA</c:v>
                </c:pt>
                <c:pt idx="5">
                  <c:v>Non-EPA</c:v>
                </c:pt>
                <c:pt idx="6">
                  <c:v>Unk-EPA</c:v>
                </c:pt>
                <c:pt idx="8">
                  <c:v>EPA</c:v>
                </c:pt>
                <c:pt idx="9">
                  <c:v>Non-EPA</c:v>
                </c:pt>
                <c:pt idx="10">
                  <c:v>Unk-EPA</c:v>
                </c:pt>
              </c:strCache>
            </c:strRef>
          </c:cat>
          <c:val>
            <c:numRef>
              <c:f>('Chart Data'!$S$24:$S$27,'Chart Data'!$S$29:$S$32,'Chart Data'!$S$34:$S$36)</c:f>
              <c:numCache>
                <c:formatCode>0%</c:formatCode>
                <c:ptCount val="11"/>
                <c:pt idx="0">
                  <c:v>0.16666666666666666</c:v>
                </c:pt>
                <c:pt idx="1">
                  <c:v>7.1428571428571425E-2</c:v>
                </c:pt>
                <c:pt idx="2">
                  <c:v>8.3333333333333329E-2</c:v>
                </c:pt>
                <c:pt idx="4">
                  <c:v>0.5</c:v>
                </c:pt>
                <c:pt idx="5">
                  <c:v>0.5</c:v>
                </c:pt>
                <c:pt idx="6">
                  <c:v>0.33333333333333331</c:v>
                </c:pt>
                <c:pt idx="8">
                  <c:v>0.33333333333333331</c:v>
                </c:pt>
                <c:pt idx="9">
                  <c:v>0.35714285714285715</c:v>
                </c:pt>
                <c:pt idx="10">
                  <c:v>0.41666666666666669</c:v>
                </c:pt>
              </c:numCache>
            </c:numRef>
          </c:val>
          <c:extLst>
            <c:ext xmlns:c16="http://schemas.microsoft.com/office/drawing/2014/chart" uri="{C3380CC4-5D6E-409C-BE32-E72D297353CC}">
              <c16:uniqueId val="{00000004-5496-42E9-BF14-ECD9A0319A8D}"/>
            </c:ext>
          </c:extLst>
        </c:ser>
        <c:dLbls>
          <c:showLegendKey val="0"/>
          <c:showVal val="0"/>
          <c:showCatName val="0"/>
          <c:showSerName val="0"/>
          <c:showPercent val="0"/>
          <c:showBubbleSize val="0"/>
        </c:dLbls>
        <c:gapWidth val="55"/>
        <c:overlap val="100"/>
        <c:axId val="343784104"/>
        <c:axId val="371592888"/>
      </c:barChart>
      <c:catAx>
        <c:axId val="3437841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592888"/>
        <c:crosses val="autoZero"/>
        <c:auto val="1"/>
        <c:lblAlgn val="ctr"/>
        <c:lblOffset val="100"/>
        <c:noMultiLvlLbl val="0"/>
      </c:catAx>
      <c:valAx>
        <c:axId val="37159288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43784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 EPA Affiliation - Properties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Data'!$Q$12</c:f>
              <c:strCache>
                <c:ptCount val="1"/>
                <c:pt idx="0">
                  <c:v>1st Rank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Data'!$P$13:$P$16,'Chart Data'!$P$18:$P$20)</c:f>
              <c:strCache>
                <c:ptCount val="7"/>
                <c:pt idx="0">
                  <c:v>EPA</c:v>
                </c:pt>
                <c:pt idx="1">
                  <c:v>Non-EPA</c:v>
                </c:pt>
                <c:pt idx="2">
                  <c:v>Unk-EPA</c:v>
                </c:pt>
                <c:pt idx="4">
                  <c:v>EPA</c:v>
                </c:pt>
                <c:pt idx="5">
                  <c:v>Non-EPA</c:v>
                </c:pt>
                <c:pt idx="6">
                  <c:v>Unk-EPA</c:v>
                </c:pt>
              </c:strCache>
            </c:strRef>
          </c:cat>
          <c:val>
            <c:numRef>
              <c:f>('Chart Data'!$Q$13:$Q$16,'Chart Data'!$Q$18:$Q$20)</c:f>
              <c:numCache>
                <c:formatCode>0%</c:formatCode>
                <c:ptCount val="7"/>
                <c:pt idx="0">
                  <c:v>0.66666666666666663</c:v>
                </c:pt>
                <c:pt idx="1">
                  <c:v>0.6428571428571429</c:v>
                </c:pt>
                <c:pt idx="2">
                  <c:v>0.66666666666666663</c:v>
                </c:pt>
                <c:pt idx="4">
                  <c:v>0.33333333333333331</c:v>
                </c:pt>
                <c:pt idx="5">
                  <c:v>0.42857142857142855</c:v>
                </c:pt>
                <c:pt idx="6">
                  <c:v>0.5</c:v>
                </c:pt>
              </c:numCache>
            </c:numRef>
          </c:val>
          <c:extLst>
            <c:ext xmlns:c16="http://schemas.microsoft.com/office/drawing/2014/chart" uri="{C3380CC4-5D6E-409C-BE32-E72D297353CC}">
              <c16:uniqueId val="{00000000-DE25-428A-826C-3155BCF82ABC}"/>
            </c:ext>
          </c:extLst>
        </c:ser>
        <c:ser>
          <c:idx val="1"/>
          <c:order val="1"/>
          <c:tx>
            <c:strRef>
              <c:f>'Chart Data'!$R$12</c:f>
              <c:strCache>
                <c:ptCount val="1"/>
                <c:pt idx="0">
                  <c:v>2nd Rank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Data'!$P$13:$P$16,'Chart Data'!$P$18:$P$20)</c:f>
              <c:strCache>
                <c:ptCount val="7"/>
                <c:pt idx="0">
                  <c:v>EPA</c:v>
                </c:pt>
                <c:pt idx="1">
                  <c:v>Non-EPA</c:v>
                </c:pt>
                <c:pt idx="2">
                  <c:v>Unk-EPA</c:v>
                </c:pt>
                <c:pt idx="4">
                  <c:v>EPA</c:v>
                </c:pt>
                <c:pt idx="5">
                  <c:v>Non-EPA</c:v>
                </c:pt>
                <c:pt idx="6">
                  <c:v>Unk-EPA</c:v>
                </c:pt>
              </c:strCache>
            </c:strRef>
          </c:cat>
          <c:val>
            <c:numRef>
              <c:f>('Chart Data'!$R$13:$R$16,'Chart Data'!$R$18:$R$20)</c:f>
              <c:numCache>
                <c:formatCode>0%</c:formatCode>
                <c:ptCount val="7"/>
                <c:pt idx="0">
                  <c:v>0.33333333333333331</c:v>
                </c:pt>
                <c:pt idx="1">
                  <c:v>0.35714285714285715</c:v>
                </c:pt>
                <c:pt idx="2">
                  <c:v>0.33333333333333331</c:v>
                </c:pt>
                <c:pt idx="4">
                  <c:v>0.66666666666666663</c:v>
                </c:pt>
                <c:pt idx="5">
                  <c:v>0.5714285714285714</c:v>
                </c:pt>
                <c:pt idx="6">
                  <c:v>0.5</c:v>
                </c:pt>
              </c:numCache>
            </c:numRef>
          </c:val>
          <c:extLst>
            <c:ext xmlns:c16="http://schemas.microsoft.com/office/drawing/2014/chart" uri="{C3380CC4-5D6E-409C-BE32-E72D297353CC}">
              <c16:uniqueId val="{00000001-DE25-428A-826C-3155BCF82ABC}"/>
            </c:ext>
          </c:extLst>
        </c:ser>
        <c:dLbls>
          <c:showLegendKey val="0"/>
          <c:showVal val="0"/>
          <c:showCatName val="0"/>
          <c:showSerName val="0"/>
          <c:showPercent val="0"/>
          <c:showBubbleSize val="0"/>
        </c:dLbls>
        <c:gapWidth val="55"/>
        <c:overlap val="100"/>
        <c:axId val="371594064"/>
        <c:axId val="371589360"/>
      </c:barChart>
      <c:catAx>
        <c:axId val="371594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589360"/>
        <c:crosses val="autoZero"/>
        <c:auto val="1"/>
        <c:lblAlgn val="ctr"/>
        <c:lblOffset val="100"/>
        <c:noMultiLvlLbl val="0"/>
      </c:catAx>
      <c:valAx>
        <c:axId val="37158936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715940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 EPA Affiliation - Chemical Properties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Data'!$Q$39</c:f>
              <c:strCache>
                <c:ptCount val="1"/>
                <c:pt idx="0">
                  <c:v>1st Rank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Data'!$Q$40:$Q$43,'Chart Data'!$Q$45:$Q$48,'Chart Data'!$Q$50:$Q$53,'Chart Data'!$Q$55:$Q$57)</c:f>
              <c:numCache>
                <c:formatCode>0%</c:formatCode>
                <c:ptCount val="15"/>
                <c:pt idx="0">
                  <c:v>0.33333333333333331</c:v>
                </c:pt>
                <c:pt idx="1">
                  <c:v>0.42857142857142855</c:v>
                </c:pt>
                <c:pt idx="2">
                  <c:v>0.33333333333333331</c:v>
                </c:pt>
                <c:pt idx="4">
                  <c:v>0.33333333333333331</c:v>
                </c:pt>
                <c:pt idx="5">
                  <c:v>7.1428571428571425E-2</c:v>
                </c:pt>
                <c:pt idx="6">
                  <c:v>0.41666666666666669</c:v>
                </c:pt>
                <c:pt idx="8">
                  <c:v>0.16666666666666666</c:v>
                </c:pt>
                <c:pt idx="9">
                  <c:v>0.35714285714285715</c:v>
                </c:pt>
                <c:pt idx="10">
                  <c:v>0.25</c:v>
                </c:pt>
                <c:pt idx="12">
                  <c:v>0.16666666666666666</c:v>
                </c:pt>
                <c:pt idx="13">
                  <c:v>0.14285714285714285</c:v>
                </c:pt>
                <c:pt idx="14">
                  <c:v>0.41666666666666669</c:v>
                </c:pt>
              </c:numCache>
            </c:numRef>
          </c:val>
          <c:extLst>
            <c:ext xmlns:c16="http://schemas.microsoft.com/office/drawing/2014/chart" uri="{C3380CC4-5D6E-409C-BE32-E72D297353CC}">
              <c16:uniqueId val="{00000000-DB7F-4B42-9928-119B81B8B240}"/>
            </c:ext>
          </c:extLst>
        </c:ser>
        <c:ser>
          <c:idx val="1"/>
          <c:order val="1"/>
          <c:tx>
            <c:strRef>
              <c:f>'Chart Data'!$R$39</c:f>
              <c:strCache>
                <c:ptCount val="1"/>
                <c:pt idx="0">
                  <c:v>2nd Rank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Data'!$R$40:$R$43,'Chart Data'!$R$45:$R$48,'Chart Data'!$R$50:$R$53,'Chart Data'!$R$55:$R$57)</c:f>
              <c:numCache>
                <c:formatCode>0%</c:formatCode>
                <c:ptCount val="15"/>
                <c:pt idx="0">
                  <c:v>0.16666666666666666</c:v>
                </c:pt>
                <c:pt idx="1">
                  <c:v>0.42857142857142855</c:v>
                </c:pt>
                <c:pt idx="2">
                  <c:v>0.16666666666666666</c:v>
                </c:pt>
                <c:pt idx="4">
                  <c:v>0.33333333333333331</c:v>
                </c:pt>
                <c:pt idx="5">
                  <c:v>0.5</c:v>
                </c:pt>
                <c:pt idx="6">
                  <c:v>0.41666666666666669</c:v>
                </c:pt>
                <c:pt idx="8">
                  <c:v>0.5</c:v>
                </c:pt>
                <c:pt idx="9">
                  <c:v>7.1428571428571425E-2</c:v>
                </c:pt>
                <c:pt idx="10">
                  <c:v>0.41666666666666669</c:v>
                </c:pt>
                <c:pt idx="12">
                  <c:v>0.16666666666666666</c:v>
                </c:pt>
                <c:pt idx="13">
                  <c:v>0.14285714285714285</c:v>
                </c:pt>
                <c:pt idx="14">
                  <c:v>0.16666666666666666</c:v>
                </c:pt>
              </c:numCache>
            </c:numRef>
          </c:val>
          <c:extLst>
            <c:ext xmlns:c16="http://schemas.microsoft.com/office/drawing/2014/chart" uri="{C3380CC4-5D6E-409C-BE32-E72D297353CC}">
              <c16:uniqueId val="{00000001-DB7F-4B42-9928-119B81B8B240}"/>
            </c:ext>
          </c:extLst>
        </c:ser>
        <c:ser>
          <c:idx val="2"/>
          <c:order val="2"/>
          <c:tx>
            <c:strRef>
              <c:f>'Chart Data'!$S$39</c:f>
              <c:strCache>
                <c:ptCount val="1"/>
                <c:pt idx="0">
                  <c:v>3rd Rank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Data'!$S$40:$S$43,'Chart Data'!$S$45:$S$48,'Chart Data'!$S$50:$S$53,'Chart Data'!$S$55:$S$57)</c:f>
              <c:numCache>
                <c:formatCode>0%</c:formatCode>
                <c:ptCount val="15"/>
                <c:pt idx="0">
                  <c:v>0.33333333333333331</c:v>
                </c:pt>
                <c:pt idx="1">
                  <c:v>0.14285714285714285</c:v>
                </c:pt>
                <c:pt idx="2">
                  <c:v>0.33333333333333331</c:v>
                </c:pt>
                <c:pt idx="4">
                  <c:v>0.33333333333333331</c:v>
                </c:pt>
                <c:pt idx="5">
                  <c:v>0.14285714285714285</c:v>
                </c:pt>
                <c:pt idx="6">
                  <c:v>0.16666666666666666</c:v>
                </c:pt>
                <c:pt idx="8">
                  <c:v>0.16666666666666666</c:v>
                </c:pt>
                <c:pt idx="9">
                  <c:v>0.5714285714285714</c:v>
                </c:pt>
                <c:pt idx="10">
                  <c:v>0.25</c:v>
                </c:pt>
                <c:pt idx="12">
                  <c:v>0.16666666666666666</c:v>
                </c:pt>
                <c:pt idx="13">
                  <c:v>7.1428571428571425E-2</c:v>
                </c:pt>
                <c:pt idx="14">
                  <c:v>8.3333333333333329E-2</c:v>
                </c:pt>
              </c:numCache>
            </c:numRef>
          </c:val>
          <c:extLst>
            <c:ext xmlns:c16="http://schemas.microsoft.com/office/drawing/2014/chart" uri="{C3380CC4-5D6E-409C-BE32-E72D297353CC}">
              <c16:uniqueId val="{00000002-DB7F-4B42-9928-119B81B8B240}"/>
            </c:ext>
          </c:extLst>
        </c:ser>
        <c:ser>
          <c:idx val="3"/>
          <c:order val="3"/>
          <c:tx>
            <c:strRef>
              <c:f>'Chart Data'!$T$39</c:f>
              <c:strCache>
                <c:ptCount val="1"/>
                <c:pt idx="0">
                  <c:v>4th Rank</c:v>
                </c:pt>
              </c:strCache>
            </c:strRef>
          </c:tx>
          <c:spPr>
            <a:solidFill>
              <a:schemeClr val="accent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DB7F-4B42-9928-119B81B8B240}"/>
                </c:ext>
              </c:extLst>
            </c:dLbl>
            <c:dLbl>
              <c:idx val="4"/>
              <c:delete val="1"/>
              <c:extLst>
                <c:ext xmlns:c15="http://schemas.microsoft.com/office/drawing/2012/chart" uri="{CE6537A1-D6FC-4f65-9D91-7224C49458BB}"/>
                <c:ext xmlns:c16="http://schemas.microsoft.com/office/drawing/2014/chart" uri="{C3380CC4-5D6E-409C-BE32-E72D297353CC}">
                  <c16:uniqueId val="{00000004-DB7F-4B42-9928-119B81B8B240}"/>
                </c:ext>
              </c:extLst>
            </c:dLbl>
            <c:dLbl>
              <c:idx val="6"/>
              <c:delete val="1"/>
              <c:extLst>
                <c:ext xmlns:c15="http://schemas.microsoft.com/office/drawing/2012/chart" uri="{CE6537A1-D6FC-4f65-9D91-7224C49458BB}"/>
                <c:ext xmlns:c16="http://schemas.microsoft.com/office/drawing/2014/chart" uri="{C3380CC4-5D6E-409C-BE32-E72D297353CC}">
                  <c16:uniqueId val="{00000005-DB7F-4B42-9928-119B81B8B240}"/>
                </c:ext>
              </c:extLst>
            </c:dLbl>
            <c:dLbl>
              <c:idx val="9"/>
              <c:delete val="1"/>
              <c:extLst>
                <c:ext xmlns:c15="http://schemas.microsoft.com/office/drawing/2012/chart" uri="{CE6537A1-D6FC-4f65-9D91-7224C49458BB}"/>
                <c:ext xmlns:c16="http://schemas.microsoft.com/office/drawing/2014/chart" uri="{C3380CC4-5D6E-409C-BE32-E72D297353CC}">
                  <c16:uniqueId val="{00000006-DB7F-4B42-9928-119B81B8B2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Data'!$T$40:$T$43,'Chart Data'!$T$45:$T$48,'Chart Data'!$T$50:$T$53,'Chart Data'!$T$55:$T$57)</c:f>
              <c:numCache>
                <c:formatCode>0%</c:formatCode>
                <c:ptCount val="15"/>
                <c:pt idx="0">
                  <c:v>0.16666666666666666</c:v>
                </c:pt>
                <c:pt idx="1">
                  <c:v>0</c:v>
                </c:pt>
                <c:pt idx="2">
                  <c:v>0.16666666666666666</c:v>
                </c:pt>
                <c:pt idx="4">
                  <c:v>0</c:v>
                </c:pt>
                <c:pt idx="5">
                  <c:v>0.2857142857142857</c:v>
                </c:pt>
                <c:pt idx="6">
                  <c:v>0</c:v>
                </c:pt>
                <c:pt idx="8">
                  <c:v>0.16666666666666666</c:v>
                </c:pt>
                <c:pt idx="9">
                  <c:v>0</c:v>
                </c:pt>
                <c:pt idx="10">
                  <c:v>8.3333333333333329E-2</c:v>
                </c:pt>
                <c:pt idx="12">
                  <c:v>0.5</c:v>
                </c:pt>
                <c:pt idx="13">
                  <c:v>0.6428571428571429</c:v>
                </c:pt>
                <c:pt idx="14">
                  <c:v>0.33333333333333331</c:v>
                </c:pt>
              </c:numCache>
            </c:numRef>
          </c:val>
          <c:extLst>
            <c:ext xmlns:c16="http://schemas.microsoft.com/office/drawing/2014/chart" uri="{C3380CC4-5D6E-409C-BE32-E72D297353CC}">
              <c16:uniqueId val="{00000007-DB7F-4B42-9928-119B81B8B240}"/>
            </c:ext>
          </c:extLst>
        </c:ser>
        <c:dLbls>
          <c:showLegendKey val="0"/>
          <c:showVal val="0"/>
          <c:showCatName val="0"/>
          <c:showSerName val="0"/>
          <c:showPercent val="0"/>
          <c:showBubbleSize val="0"/>
        </c:dLbls>
        <c:gapWidth val="55"/>
        <c:overlap val="100"/>
        <c:axId val="371594848"/>
        <c:axId val="371595632"/>
      </c:barChart>
      <c:catAx>
        <c:axId val="3715948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595632"/>
        <c:crosses val="autoZero"/>
        <c:auto val="1"/>
        <c:lblAlgn val="ctr"/>
        <c:lblOffset val="100"/>
        <c:noMultiLvlLbl val="0"/>
      </c:catAx>
      <c:valAx>
        <c:axId val="37159563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715948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 EPA Affiliation - Production Phase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Data'!$Q$60</c:f>
              <c:strCache>
                <c:ptCount val="1"/>
                <c:pt idx="0">
                  <c:v>1st Rank</c:v>
                </c:pt>
              </c:strCache>
            </c:strRef>
          </c:tx>
          <c:spPr>
            <a:solidFill>
              <a:schemeClr val="accent1"/>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0-8D0E-4254-9CFD-8308C58297D3}"/>
                </c:ext>
              </c:extLst>
            </c:dLbl>
            <c:dLbl>
              <c:idx val="14"/>
              <c:delete val="1"/>
              <c:extLst>
                <c:ext xmlns:c15="http://schemas.microsoft.com/office/drawing/2012/chart" uri="{CE6537A1-D6FC-4f65-9D91-7224C49458BB}"/>
                <c:ext xmlns:c16="http://schemas.microsoft.com/office/drawing/2014/chart" uri="{C3380CC4-5D6E-409C-BE32-E72D297353CC}">
                  <c16:uniqueId val="{00000001-8D0E-4254-9CFD-8308C58297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Data'!$Q$61:$Q$64,'Chart Data'!$Q$66:$Q$69,'Chart Data'!$Q$71:$Q$74,'Chart Data'!$Q$76:$Q$78)</c:f>
              <c:numCache>
                <c:formatCode>0%</c:formatCode>
                <c:ptCount val="15"/>
                <c:pt idx="0">
                  <c:v>0.5</c:v>
                </c:pt>
                <c:pt idx="1">
                  <c:v>0.5</c:v>
                </c:pt>
                <c:pt idx="2">
                  <c:v>0.6</c:v>
                </c:pt>
                <c:pt idx="4">
                  <c:v>0.5</c:v>
                </c:pt>
                <c:pt idx="5">
                  <c:v>0.35714285714285715</c:v>
                </c:pt>
                <c:pt idx="6">
                  <c:v>0.6</c:v>
                </c:pt>
                <c:pt idx="8">
                  <c:v>0</c:v>
                </c:pt>
                <c:pt idx="9">
                  <c:v>7.1428571428571425E-2</c:v>
                </c:pt>
                <c:pt idx="10">
                  <c:v>0.3</c:v>
                </c:pt>
                <c:pt idx="12">
                  <c:v>0.16666666666666666</c:v>
                </c:pt>
                <c:pt idx="13">
                  <c:v>7.1428571428571425E-2</c:v>
                </c:pt>
                <c:pt idx="14">
                  <c:v>0</c:v>
                </c:pt>
              </c:numCache>
            </c:numRef>
          </c:val>
          <c:extLst>
            <c:ext xmlns:c16="http://schemas.microsoft.com/office/drawing/2014/chart" uri="{C3380CC4-5D6E-409C-BE32-E72D297353CC}">
              <c16:uniqueId val="{00000002-8D0E-4254-9CFD-8308C58297D3}"/>
            </c:ext>
          </c:extLst>
        </c:ser>
        <c:ser>
          <c:idx val="1"/>
          <c:order val="1"/>
          <c:tx>
            <c:strRef>
              <c:f>'Chart Data'!$R$60</c:f>
              <c:strCache>
                <c:ptCount val="1"/>
                <c:pt idx="0">
                  <c:v>2nd Rank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Data'!$R$61:$R$64,'Chart Data'!$R$66:$R$69,'Chart Data'!$R$71:$R$74,'Chart Data'!$R$76:$R$78)</c:f>
              <c:numCache>
                <c:formatCode>0%</c:formatCode>
                <c:ptCount val="15"/>
                <c:pt idx="0">
                  <c:v>0.16666666666666666</c:v>
                </c:pt>
                <c:pt idx="1">
                  <c:v>0.2857142857142857</c:v>
                </c:pt>
                <c:pt idx="2">
                  <c:v>0.3</c:v>
                </c:pt>
                <c:pt idx="4">
                  <c:v>0.16666666666666666</c:v>
                </c:pt>
                <c:pt idx="5">
                  <c:v>0.21428571428571427</c:v>
                </c:pt>
                <c:pt idx="6">
                  <c:v>0.1</c:v>
                </c:pt>
                <c:pt idx="8">
                  <c:v>0.33333333333333331</c:v>
                </c:pt>
                <c:pt idx="9">
                  <c:v>0.14285714285714285</c:v>
                </c:pt>
                <c:pt idx="10">
                  <c:v>0.2</c:v>
                </c:pt>
                <c:pt idx="12">
                  <c:v>0.16666666666666666</c:v>
                </c:pt>
                <c:pt idx="13">
                  <c:v>0.35714285714285715</c:v>
                </c:pt>
                <c:pt idx="14">
                  <c:v>0.3</c:v>
                </c:pt>
              </c:numCache>
            </c:numRef>
          </c:val>
          <c:extLst>
            <c:ext xmlns:c16="http://schemas.microsoft.com/office/drawing/2014/chart" uri="{C3380CC4-5D6E-409C-BE32-E72D297353CC}">
              <c16:uniqueId val="{00000003-8D0E-4254-9CFD-8308C58297D3}"/>
            </c:ext>
          </c:extLst>
        </c:ser>
        <c:ser>
          <c:idx val="2"/>
          <c:order val="2"/>
          <c:tx>
            <c:strRef>
              <c:f>'Chart Data'!$S$60</c:f>
              <c:strCache>
                <c:ptCount val="1"/>
                <c:pt idx="0">
                  <c:v>3rd Rank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Data'!$S$61:$S$64,'Chart Data'!$S$66:$S$69,'Chart Data'!$S$71:$S$74,'Chart Data'!$S$76:$S$78)</c:f>
              <c:numCache>
                <c:formatCode>0%</c:formatCode>
                <c:ptCount val="15"/>
                <c:pt idx="0">
                  <c:v>0.33333333333333331</c:v>
                </c:pt>
                <c:pt idx="1">
                  <c:v>7.1428571428571425E-2</c:v>
                </c:pt>
                <c:pt idx="2">
                  <c:v>0.1</c:v>
                </c:pt>
                <c:pt idx="4">
                  <c:v>0.16666666666666666</c:v>
                </c:pt>
                <c:pt idx="5">
                  <c:v>0.2857142857142857</c:v>
                </c:pt>
                <c:pt idx="6">
                  <c:v>0.2</c:v>
                </c:pt>
                <c:pt idx="8">
                  <c:v>0.16666666666666666</c:v>
                </c:pt>
                <c:pt idx="9">
                  <c:v>0.35714285714285715</c:v>
                </c:pt>
                <c:pt idx="10">
                  <c:v>0.3</c:v>
                </c:pt>
                <c:pt idx="12">
                  <c:v>0.5</c:v>
                </c:pt>
                <c:pt idx="13">
                  <c:v>0.42857142857142855</c:v>
                </c:pt>
                <c:pt idx="14">
                  <c:v>0.4</c:v>
                </c:pt>
              </c:numCache>
            </c:numRef>
          </c:val>
          <c:extLst>
            <c:ext xmlns:c16="http://schemas.microsoft.com/office/drawing/2014/chart" uri="{C3380CC4-5D6E-409C-BE32-E72D297353CC}">
              <c16:uniqueId val="{00000004-8D0E-4254-9CFD-8308C58297D3}"/>
            </c:ext>
          </c:extLst>
        </c:ser>
        <c:ser>
          <c:idx val="3"/>
          <c:order val="3"/>
          <c:tx>
            <c:strRef>
              <c:f>'Chart Data'!$T$60</c:f>
              <c:strCache>
                <c:ptCount val="1"/>
                <c:pt idx="0">
                  <c:v>4th Rank</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8D0E-4254-9CFD-8308C58297D3}"/>
                </c:ext>
              </c:extLst>
            </c:dLbl>
            <c:dLbl>
              <c:idx val="2"/>
              <c:delete val="1"/>
              <c:extLst>
                <c:ext xmlns:c15="http://schemas.microsoft.com/office/drawing/2012/chart" uri="{CE6537A1-D6FC-4f65-9D91-7224C49458BB}"/>
                <c:ext xmlns:c16="http://schemas.microsoft.com/office/drawing/2014/chart" uri="{C3380CC4-5D6E-409C-BE32-E72D297353CC}">
                  <c16:uniqueId val="{00000006-8D0E-4254-9CFD-8308C58297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Data'!$T$61:$T$64,'Chart Data'!$T$66:$T$69,'Chart Data'!$T$71:$T$74,'Chart Data'!$T$76:$T$78)</c:f>
              <c:numCache>
                <c:formatCode>0%</c:formatCode>
                <c:ptCount val="15"/>
                <c:pt idx="0">
                  <c:v>0</c:v>
                </c:pt>
                <c:pt idx="1">
                  <c:v>0.14285714285714285</c:v>
                </c:pt>
                <c:pt idx="2">
                  <c:v>0</c:v>
                </c:pt>
                <c:pt idx="4">
                  <c:v>0.16666666666666666</c:v>
                </c:pt>
                <c:pt idx="5">
                  <c:v>0.14285714285714285</c:v>
                </c:pt>
                <c:pt idx="6">
                  <c:v>0.1</c:v>
                </c:pt>
                <c:pt idx="8">
                  <c:v>0.5</c:v>
                </c:pt>
                <c:pt idx="9">
                  <c:v>0.42857142857142855</c:v>
                </c:pt>
                <c:pt idx="10">
                  <c:v>0.2</c:v>
                </c:pt>
                <c:pt idx="12">
                  <c:v>0.16666666666666666</c:v>
                </c:pt>
                <c:pt idx="13">
                  <c:v>0.14285714285714285</c:v>
                </c:pt>
                <c:pt idx="14">
                  <c:v>0.3</c:v>
                </c:pt>
              </c:numCache>
            </c:numRef>
          </c:val>
          <c:extLst>
            <c:ext xmlns:c16="http://schemas.microsoft.com/office/drawing/2014/chart" uri="{C3380CC4-5D6E-409C-BE32-E72D297353CC}">
              <c16:uniqueId val="{00000007-8D0E-4254-9CFD-8308C58297D3}"/>
            </c:ext>
          </c:extLst>
        </c:ser>
        <c:dLbls>
          <c:showLegendKey val="0"/>
          <c:showVal val="0"/>
          <c:showCatName val="0"/>
          <c:showSerName val="0"/>
          <c:showPercent val="0"/>
          <c:showBubbleSize val="0"/>
        </c:dLbls>
        <c:gapWidth val="55"/>
        <c:overlap val="100"/>
        <c:axId val="371591320"/>
        <c:axId val="371589752"/>
      </c:barChart>
      <c:catAx>
        <c:axId val="3715913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589752"/>
        <c:crosses val="autoZero"/>
        <c:auto val="1"/>
        <c:lblAlgn val="ctr"/>
        <c:lblOffset val="100"/>
        <c:noMultiLvlLbl val="0"/>
      </c:catAx>
      <c:valAx>
        <c:axId val="37158975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715913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 EPA Affiliation - Consumer</a:t>
            </a:r>
            <a:r>
              <a:rPr lang="en-US" baseline="0"/>
              <a:t> Use Phase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Data'!$Q$81</c:f>
              <c:strCache>
                <c:ptCount val="1"/>
                <c:pt idx="0">
                  <c:v>1st Rank</c:v>
                </c:pt>
              </c:strCache>
            </c:strRef>
          </c:tx>
          <c:spPr>
            <a:solidFill>
              <a:schemeClr val="accent1"/>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0-1FB6-46CE-81B3-996FD75F54B7}"/>
                </c:ext>
              </c:extLst>
            </c:dLbl>
            <c:dLbl>
              <c:idx val="13"/>
              <c:delete val="1"/>
              <c:extLst>
                <c:ext xmlns:c15="http://schemas.microsoft.com/office/drawing/2012/chart" uri="{CE6537A1-D6FC-4f65-9D91-7224C49458BB}"/>
                <c:ext xmlns:c16="http://schemas.microsoft.com/office/drawing/2014/chart" uri="{C3380CC4-5D6E-409C-BE32-E72D297353CC}">
                  <c16:uniqueId val="{00000001-1FB6-46CE-81B3-996FD75F54B7}"/>
                </c:ext>
              </c:extLst>
            </c:dLbl>
            <c:dLbl>
              <c:idx val="14"/>
              <c:delete val="1"/>
              <c:extLst>
                <c:ext xmlns:c15="http://schemas.microsoft.com/office/drawing/2012/chart" uri="{CE6537A1-D6FC-4f65-9D91-7224C49458BB}"/>
                <c:ext xmlns:c16="http://schemas.microsoft.com/office/drawing/2014/chart" uri="{C3380CC4-5D6E-409C-BE32-E72D297353CC}">
                  <c16:uniqueId val="{00000002-1FB6-46CE-81B3-996FD75F54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Data'!$Q$82:$Q$85,'Chart Data'!$Q$87:$Q$90,'Chart Data'!$Q$92:$Q$95,'Chart Data'!$Q$97:$Q$99)</c:f>
              <c:numCache>
                <c:formatCode>0%</c:formatCode>
                <c:ptCount val="15"/>
                <c:pt idx="0">
                  <c:v>0.5</c:v>
                </c:pt>
                <c:pt idx="1">
                  <c:v>0.5714285714285714</c:v>
                </c:pt>
                <c:pt idx="2">
                  <c:v>0.4</c:v>
                </c:pt>
                <c:pt idx="4">
                  <c:v>0.16666666666666666</c:v>
                </c:pt>
                <c:pt idx="5">
                  <c:v>0.35714285714285715</c:v>
                </c:pt>
                <c:pt idx="6">
                  <c:v>0.6</c:v>
                </c:pt>
                <c:pt idx="8">
                  <c:v>0.33333333333333331</c:v>
                </c:pt>
                <c:pt idx="9">
                  <c:v>7.1428571428571425E-2</c:v>
                </c:pt>
                <c:pt idx="10">
                  <c:v>0.3</c:v>
                </c:pt>
                <c:pt idx="12">
                  <c:v>0</c:v>
                </c:pt>
                <c:pt idx="13">
                  <c:v>0</c:v>
                </c:pt>
                <c:pt idx="14">
                  <c:v>0</c:v>
                </c:pt>
              </c:numCache>
            </c:numRef>
          </c:val>
          <c:extLst>
            <c:ext xmlns:c16="http://schemas.microsoft.com/office/drawing/2014/chart" uri="{C3380CC4-5D6E-409C-BE32-E72D297353CC}">
              <c16:uniqueId val="{00000003-1FB6-46CE-81B3-996FD75F54B7}"/>
            </c:ext>
          </c:extLst>
        </c:ser>
        <c:ser>
          <c:idx val="1"/>
          <c:order val="1"/>
          <c:tx>
            <c:strRef>
              <c:f>'Chart Data'!$R$81</c:f>
              <c:strCache>
                <c:ptCount val="1"/>
                <c:pt idx="0">
                  <c:v>2nd Rank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Data'!$R$82:$R$85,'Chart Data'!$R$87:$R$90,'Chart Data'!$R$92:$R$95,'Chart Data'!$R$97:$R$99)</c:f>
              <c:numCache>
                <c:formatCode>0%</c:formatCode>
                <c:ptCount val="15"/>
                <c:pt idx="0">
                  <c:v>0.33333333333333331</c:v>
                </c:pt>
                <c:pt idx="1">
                  <c:v>0.35714285714285715</c:v>
                </c:pt>
                <c:pt idx="2">
                  <c:v>0.4</c:v>
                </c:pt>
                <c:pt idx="4">
                  <c:v>0.5</c:v>
                </c:pt>
                <c:pt idx="5">
                  <c:v>0.35714285714285715</c:v>
                </c:pt>
                <c:pt idx="6">
                  <c:v>0.1</c:v>
                </c:pt>
                <c:pt idx="8">
                  <c:v>0.16666666666666666</c:v>
                </c:pt>
                <c:pt idx="9">
                  <c:v>0.14285714285714285</c:v>
                </c:pt>
                <c:pt idx="10">
                  <c:v>0.4</c:v>
                </c:pt>
                <c:pt idx="12">
                  <c:v>0.16666666666666666</c:v>
                </c:pt>
                <c:pt idx="13">
                  <c:v>0.14285714285714285</c:v>
                </c:pt>
                <c:pt idx="14">
                  <c:v>0.3</c:v>
                </c:pt>
              </c:numCache>
            </c:numRef>
          </c:val>
          <c:extLst>
            <c:ext xmlns:c16="http://schemas.microsoft.com/office/drawing/2014/chart" uri="{C3380CC4-5D6E-409C-BE32-E72D297353CC}">
              <c16:uniqueId val="{00000004-1FB6-46CE-81B3-996FD75F54B7}"/>
            </c:ext>
          </c:extLst>
        </c:ser>
        <c:ser>
          <c:idx val="2"/>
          <c:order val="2"/>
          <c:tx>
            <c:strRef>
              <c:f>'Chart Data'!$S$81</c:f>
              <c:strCache>
                <c:ptCount val="1"/>
                <c:pt idx="0">
                  <c:v>3rd Rank</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1FB6-46CE-81B3-996FD75F54B7}"/>
                </c:ext>
              </c:extLst>
            </c:dLbl>
            <c:dLbl>
              <c:idx val="4"/>
              <c:delete val="1"/>
              <c:extLst>
                <c:ext xmlns:c15="http://schemas.microsoft.com/office/drawing/2012/chart" uri="{CE6537A1-D6FC-4f65-9D91-7224C49458BB}"/>
                <c:ext xmlns:c16="http://schemas.microsoft.com/office/drawing/2014/chart" uri="{C3380CC4-5D6E-409C-BE32-E72D297353CC}">
                  <c16:uniqueId val="{00000006-1FB6-46CE-81B3-996FD75F54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Data'!$S$82:$S$85,'Chart Data'!$S$87:$S$90,'Chart Data'!$S$92:$S$95,'Chart Data'!$S$97:$S$99)</c:f>
              <c:numCache>
                <c:formatCode>0%</c:formatCode>
                <c:ptCount val="15"/>
                <c:pt idx="0">
                  <c:v>0.16666666666666666</c:v>
                </c:pt>
                <c:pt idx="1">
                  <c:v>0</c:v>
                </c:pt>
                <c:pt idx="2">
                  <c:v>0.2</c:v>
                </c:pt>
                <c:pt idx="4">
                  <c:v>0</c:v>
                </c:pt>
                <c:pt idx="5">
                  <c:v>0.14285714285714285</c:v>
                </c:pt>
                <c:pt idx="6">
                  <c:v>0.2</c:v>
                </c:pt>
                <c:pt idx="8">
                  <c:v>0.5</c:v>
                </c:pt>
                <c:pt idx="9">
                  <c:v>0.6428571428571429</c:v>
                </c:pt>
                <c:pt idx="10">
                  <c:v>0.3</c:v>
                </c:pt>
                <c:pt idx="12">
                  <c:v>0.33333333333333331</c:v>
                </c:pt>
                <c:pt idx="13">
                  <c:v>0.2857142857142857</c:v>
                </c:pt>
                <c:pt idx="14">
                  <c:v>0.3</c:v>
                </c:pt>
              </c:numCache>
            </c:numRef>
          </c:val>
          <c:extLst>
            <c:ext xmlns:c16="http://schemas.microsoft.com/office/drawing/2014/chart" uri="{C3380CC4-5D6E-409C-BE32-E72D297353CC}">
              <c16:uniqueId val="{00000007-1FB6-46CE-81B3-996FD75F54B7}"/>
            </c:ext>
          </c:extLst>
        </c:ser>
        <c:ser>
          <c:idx val="3"/>
          <c:order val="3"/>
          <c:tx>
            <c:strRef>
              <c:f>'Chart Data'!$T$81</c:f>
              <c:strCache>
                <c:ptCount val="1"/>
                <c:pt idx="0">
                  <c:v>4th Rank</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1FB6-46CE-81B3-996FD75F54B7}"/>
                </c:ext>
              </c:extLst>
            </c:dLbl>
            <c:dLbl>
              <c:idx val="2"/>
              <c:delete val="1"/>
              <c:extLst>
                <c:ext xmlns:c15="http://schemas.microsoft.com/office/drawing/2012/chart" uri="{CE6537A1-D6FC-4f65-9D91-7224C49458BB}"/>
                <c:ext xmlns:c16="http://schemas.microsoft.com/office/drawing/2014/chart" uri="{C3380CC4-5D6E-409C-BE32-E72D297353CC}">
                  <c16:uniqueId val="{00000009-1FB6-46CE-81B3-996FD75F54B7}"/>
                </c:ext>
              </c:extLst>
            </c:dLbl>
            <c:dLbl>
              <c:idx val="8"/>
              <c:delete val="1"/>
              <c:extLst>
                <c:ext xmlns:c15="http://schemas.microsoft.com/office/drawing/2012/chart" uri="{CE6537A1-D6FC-4f65-9D91-7224C49458BB}"/>
                <c:ext xmlns:c16="http://schemas.microsoft.com/office/drawing/2014/chart" uri="{C3380CC4-5D6E-409C-BE32-E72D297353CC}">
                  <c16:uniqueId val="{0000000A-1FB6-46CE-81B3-996FD75F54B7}"/>
                </c:ext>
              </c:extLst>
            </c:dLbl>
            <c:dLbl>
              <c:idx val="10"/>
              <c:delete val="1"/>
              <c:extLst>
                <c:ext xmlns:c15="http://schemas.microsoft.com/office/drawing/2012/chart" uri="{CE6537A1-D6FC-4f65-9D91-7224C49458BB}"/>
                <c:ext xmlns:c16="http://schemas.microsoft.com/office/drawing/2014/chart" uri="{C3380CC4-5D6E-409C-BE32-E72D297353CC}">
                  <c16:uniqueId val="{0000000B-1FB6-46CE-81B3-996FD75F54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Data'!$T$82:$T$85,'Chart Data'!$T$87:$T$90,'Chart Data'!$T$92:$T$95,'Chart Data'!$T$97:$T$99)</c:f>
              <c:numCache>
                <c:formatCode>0%</c:formatCode>
                <c:ptCount val="15"/>
                <c:pt idx="0">
                  <c:v>0</c:v>
                </c:pt>
                <c:pt idx="1">
                  <c:v>7.1428571428571425E-2</c:v>
                </c:pt>
                <c:pt idx="2">
                  <c:v>0</c:v>
                </c:pt>
                <c:pt idx="4">
                  <c:v>0.33333333333333331</c:v>
                </c:pt>
                <c:pt idx="5">
                  <c:v>0.14285714285714285</c:v>
                </c:pt>
                <c:pt idx="6">
                  <c:v>0.1</c:v>
                </c:pt>
                <c:pt idx="8">
                  <c:v>0</c:v>
                </c:pt>
                <c:pt idx="9">
                  <c:v>0.14285714285714285</c:v>
                </c:pt>
                <c:pt idx="10">
                  <c:v>0</c:v>
                </c:pt>
                <c:pt idx="12">
                  <c:v>0.5</c:v>
                </c:pt>
                <c:pt idx="13">
                  <c:v>0.5714285714285714</c:v>
                </c:pt>
                <c:pt idx="14">
                  <c:v>0.4</c:v>
                </c:pt>
              </c:numCache>
            </c:numRef>
          </c:val>
          <c:extLst>
            <c:ext xmlns:c16="http://schemas.microsoft.com/office/drawing/2014/chart" uri="{C3380CC4-5D6E-409C-BE32-E72D297353CC}">
              <c16:uniqueId val="{0000000C-1FB6-46CE-81B3-996FD75F54B7}"/>
            </c:ext>
          </c:extLst>
        </c:ser>
        <c:dLbls>
          <c:showLegendKey val="0"/>
          <c:showVal val="0"/>
          <c:showCatName val="0"/>
          <c:showSerName val="0"/>
          <c:showPercent val="0"/>
          <c:showBubbleSize val="0"/>
        </c:dLbls>
        <c:gapWidth val="55"/>
        <c:overlap val="100"/>
        <c:axId val="371596416"/>
        <c:axId val="371590144"/>
      </c:barChart>
      <c:catAx>
        <c:axId val="3715964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590144"/>
        <c:crosses val="autoZero"/>
        <c:auto val="1"/>
        <c:lblAlgn val="ctr"/>
        <c:lblOffset val="100"/>
        <c:noMultiLvlLbl val="0"/>
      </c:catAx>
      <c:valAx>
        <c:axId val="37159014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71596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 EPA Affiliation - Disposal Phase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Data'!$Q$102</c:f>
              <c:strCache>
                <c:ptCount val="1"/>
                <c:pt idx="0">
                  <c:v>1st Rank</c:v>
                </c:pt>
              </c:strCache>
            </c:strRef>
          </c:tx>
          <c:spPr>
            <a:solidFill>
              <a:schemeClr val="accent1"/>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0-EF7D-47AB-9A9D-E52AE209B6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Data'!$Q$103:$Q$106,'Chart Data'!$Q$108:$Q$111,'Chart Data'!$Q$113:$Q$116,'Chart Data'!$Q$118:$Q$120)</c:f>
              <c:numCache>
                <c:formatCode>0%</c:formatCode>
                <c:ptCount val="15"/>
                <c:pt idx="0">
                  <c:v>0.33333333333333331</c:v>
                </c:pt>
                <c:pt idx="1">
                  <c:v>0.7142857142857143</c:v>
                </c:pt>
                <c:pt idx="2">
                  <c:v>0.5</c:v>
                </c:pt>
                <c:pt idx="4">
                  <c:v>0.33333333333333331</c:v>
                </c:pt>
                <c:pt idx="5">
                  <c:v>0.21428571428571427</c:v>
                </c:pt>
                <c:pt idx="6">
                  <c:v>0.5</c:v>
                </c:pt>
                <c:pt idx="8">
                  <c:v>0.33333333333333331</c:v>
                </c:pt>
                <c:pt idx="9">
                  <c:v>0.14285714285714285</c:v>
                </c:pt>
                <c:pt idx="10">
                  <c:v>0.2</c:v>
                </c:pt>
                <c:pt idx="12">
                  <c:v>0</c:v>
                </c:pt>
                <c:pt idx="13">
                  <c:v>7.1428571428571425E-2</c:v>
                </c:pt>
                <c:pt idx="14">
                  <c:v>0.1</c:v>
                </c:pt>
              </c:numCache>
            </c:numRef>
          </c:val>
          <c:extLst>
            <c:ext xmlns:c16="http://schemas.microsoft.com/office/drawing/2014/chart" uri="{C3380CC4-5D6E-409C-BE32-E72D297353CC}">
              <c16:uniqueId val="{00000001-EF7D-47AB-9A9D-E52AE209B67C}"/>
            </c:ext>
          </c:extLst>
        </c:ser>
        <c:ser>
          <c:idx val="1"/>
          <c:order val="1"/>
          <c:tx>
            <c:strRef>
              <c:f>'Chart Data'!$R$102</c:f>
              <c:strCache>
                <c:ptCount val="1"/>
                <c:pt idx="0">
                  <c:v>2nd Rank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Data'!$R$103:$R$106,'Chart Data'!$R$108:$R$111,'Chart Data'!$R$113:$R$116,'Chart Data'!$R$118:$R$120)</c:f>
              <c:numCache>
                <c:formatCode>0%</c:formatCode>
                <c:ptCount val="15"/>
                <c:pt idx="0">
                  <c:v>0.5</c:v>
                </c:pt>
                <c:pt idx="1">
                  <c:v>0.14285714285714285</c:v>
                </c:pt>
                <c:pt idx="2">
                  <c:v>0.5</c:v>
                </c:pt>
                <c:pt idx="4">
                  <c:v>0.33333333333333331</c:v>
                </c:pt>
                <c:pt idx="5">
                  <c:v>0.2857142857142857</c:v>
                </c:pt>
                <c:pt idx="6">
                  <c:v>0.3</c:v>
                </c:pt>
                <c:pt idx="8">
                  <c:v>0.16666666666666666</c:v>
                </c:pt>
                <c:pt idx="9">
                  <c:v>0.5</c:v>
                </c:pt>
                <c:pt idx="10">
                  <c:v>0.2</c:v>
                </c:pt>
                <c:pt idx="12">
                  <c:v>0.16666666666666666</c:v>
                </c:pt>
                <c:pt idx="13">
                  <c:v>0.14285714285714285</c:v>
                </c:pt>
                <c:pt idx="14">
                  <c:v>0.1</c:v>
                </c:pt>
              </c:numCache>
            </c:numRef>
          </c:val>
          <c:extLst>
            <c:ext xmlns:c16="http://schemas.microsoft.com/office/drawing/2014/chart" uri="{C3380CC4-5D6E-409C-BE32-E72D297353CC}">
              <c16:uniqueId val="{00000002-EF7D-47AB-9A9D-E52AE209B67C}"/>
            </c:ext>
          </c:extLst>
        </c:ser>
        <c:ser>
          <c:idx val="2"/>
          <c:order val="2"/>
          <c:tx>
            <c:strRef>
              <c:f>'Chart Data'!$S$102</c:f>
              <c:strCache>
                <c:ptCount val="1"/>
                <c:pt idx="0">
                  <c:v>3rd Rank</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EF7D-47AB-9A9D-E52AE209B67C}"/>
                </c:ext>
              </c:extLst>
            </c:dLbl>
            <c:dLbl>
              <c:idx val="2"/>
              <c:delete val="1"/>
              <c:extLst>
                <c:ext xmlns:c15="http://schemas.microsoft.com/office/drawing/2012/chart" uri="{CE6537A1-D6FC-4f65-9D91-7224C49458BB}"/>
                <c:ext xmlns:c16="http://schemas.microsoft.com/office/drawing/2014/chart" uri="{C3380CC4-5D6E-409C-BE32-E72D297353CC}">
                  <c16:uniqueId val="{00000004-EF7D-47AB-9A9D-E52AE209B6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Data'!$S$103:$S$106,'Chart Data'!$S$108:$S$111,'Chart Data'!$S$113:$S$116,'Chart Data'!$S$118:$S$120)</c:f>
              <c:numCache>
                <c:formatCode>0%</c:formatCode>
                <c:ptCount val="15"/>
                <c:pt idx="0">
                  <c:v>0</c:v>
                </c:pt>
                <c:pt idx="1">
                  <c:v>7.1428571428571425E-2</c:v>
                </c:pt>
                <c:pt idx="2">
                  <c:v>0</c:v>
                </c:pt>
                <c:pt idx="4">
                  <c:v>0.16666666666666666</c:v>
                </c:pt>
                <c:pt idx="5">
                  <c:v>0.35714285714285715</c:v>
                </c:pt>
                <c:pt idx="6">
                  <c:v>0.1</c:v>
                </c:pt>
                <c:pt idx="8">
                  <c:v>0.33333333333333331</c:v>
                </c:pt>
                <c:pt idx="9">
                  <c:v>0.21428571428571427</c:v>
                </c:pt>
                <c:pt idx="10">
                  <c:v>0.3</c:v>
                </c:pt>
                <c:pt idx="12">
                  <c:v>0.5</c:v>
                </c:pt>
                <c:pt idx="13">
                  <c:v>0.21428571428571427</c:v>
                </c:pt>
                <c:pt idx="14">
                  <c:v>0.6</c:v>
                </c:pt>
              </c:numCache>
            </c:numRef>
          </c:val>
          <c:extLst>
            <c:ext xmlns:c16="http://schemas.microsoft.com/office/drawing/2014/chart" uri="{C3380CC4-5D6E-409C-BE32-E72D297353CC}">
              <c16:uniqueId val="{00000005-EF7D-47AB-9A9D-E52AE209B67C}"/>
            </c:ext>
          </c:extLst>
        </c:ser>
        <c:ser>
          <c:idx val="3"/>
          <c:order val="3"/>
          <c:tx>
            <c:strRef>
              <c:f>'Chart Data'!$T$102</c:f>
              <c:strCache>
                <c:ptCount val="1"/>
                <c:pt idx="0">
                  <c:v>4th Rank</c:v>
                </c:pt>
              </c:strCache>
            </c:strRef>
          </c:tx>
          <c:spPr>
            <a:solidFill>
              <a:schemeClr val="accent4"/>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6-EF7D-47AB-9A9D-E52AE209B6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Data'!$P$40:$P$43,'Chart Data'!$P$45:$P$48,'Chart Data'!$P$50:$P$53,'Chart Data'!$P$55:$P$57)</c:f>
              <c:strCache>
                <c:ptCount val="15"/>
                <c:pt idx="0">
                  <c:v>EPA</c:v>
                </c:pt>
                <c:pt idx="1">
                  <c:v>Non-EPA</c:v>
                </c:pt>
                <c:pt idx="2">
                  <c:v>Unk-EPA</c:v>
                </c:pt>
                <c:pt idx="4">
                  <c:v>EPA</c:v>
                </c:pt>
                <c:pt idx="5">
                  <c:v>Non-EPA</c:v>
                </c:pt>
                <c:pt idx="6">
                  <c:v>Unk-EPA</c:v>
                </c:pt>
                <c:pt idx="8">
                  <c:v>EPA</c:v>
                </c:pt>
                <c:pt idx="9">
                  <c:v>Non-EPA</c:v>
                </c:pt>
                <c:pt idx="10">
                  <c:v>Unk-EPA</c:v>
                </c:pt>
                <c:pt idx="12">
                  <c:v>EPA</c:v>
                </c:pt>
                <c:pt idx="13">
                  <c:v>Non-EPA</c:v>
                </c:pt>
                <c:pt idx="14">
                  <c:v>Unk-EPA</c:v>
                </c:pt>
              </c:strCache>
            </c:strRef>
          </c:cat>
          <c:val>
            <c:numRef>
              <c:f>('Chart Data'!$T$103:$T$106,'Chart Data'!$T$108:$T$111,'Chart Data'!$T$113:$T$116,'Chart Data'!$T$118:$T$120)</c:f>
              <c:numCache>
                <c:formatCode>0%</c:formatCode>
                <c:ptCount val="15"/>
                <c:pt idx="0">
                  <c:v>0.16666666666666666</c:v>
                </c:pt>
                <c:pt idx="1">
                  <c:v>7.1428571428571425E-2</c:v>
                </c:pt>
                <c:pt idx="2">
                  <c:v>0</c:v>
                </c:pt>
                <c:pt idx="4">
                  <c:v>0.16666666666666666</c:v>
                </c:pt>
                <c:pt idx="5">
                  <c:v>0.14285714285714285</c:v>
                </c:pt>
                <c:pt idx="6">
                  <c:v>0.1</c:v>
                </c:pt>
                <c:pt idx="8">
                  <c:v>0.16666666666666666</c:v>
                </c:pt>
                <c:pt idx="9">
                  <c:v>0.14285714285714285</c:v>
                </c:pt>
                <c:pt idx="10">
                  <c:v>0.3</c:v>
                </c:pt>
                <c:pt idx="12">
                  <c:v>0.33333333333333331</c:v>
                </c:pt>
                <c:pt idx="13">
                  <c:v>0.5714285714285714</c:v>
                </c:pt>
                <c:pt idx="14">
                  <c:v>0.2</c:v>
                </c:pt>
              </c:numCache>
            </c:numRef>
          </c:val>
          <c:extLst>
            <c:ext xmlns:c16="http://schemas.microsoft.com/office/drawing/2014/chart" uri="{C3380CC4-5D6E-409C-BE32-E72D297353CC}">
              <c16:uniqueId val="{00000007-EF7D-47AB-9A9D-E52AE209B67C}"/>
            </c:ext>
          </c:extLst>
        </c:ser>
        <c:dLbls>
          <c:showLegendKey val="0"/>
          <c:showVal val="0"/>
          <c:showCatName val="0"/>
          <c:showSerName val="0"/>
          <c:showPercent val="0"/>
          <c:showBubbleSize val="0"/>
        </c:dLbls>
        <c:gapWidth val="55"/>
        <c:overlap val="100"/>
        <c:axId val="371593672"/>
        <c:axId val="371590928"/>
      </c:barChart>
      <c:catAx>
        <c:axId val="3715936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590928"/>
        <c:crosses val="autoZero"/>
        <c:auto val="1"/>
        <c:lblAlgn val="ctr"/>
        <c:lblOffset val="100"/>
        <c:noMultiLvlLbl val="0"/>
      </c:catAx>
      <c:valAx>
        <c:axId val="37159092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71593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 Expertise - Properties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Data'!$AL$12</c:f>
              <c:strCache>
                <c:ptCount val="1"/>
                <c:pt idx="0">
                  <c:v>1st Rank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Data'!$AK$13:$AK$16,'Chart Data'!$AK$18:$AK$20)</c:f>
              <c:strCache>
                <c:ptCount val="7"/>
                <c:pt idx="0">
                  <c:v>Chemical</c:v>
                </c:pt>
                <c:pt idx="1">
                  <c:v>Human Factors</c:v>
                </c:pt>
                <c:pt idx="2">
                  <c:v>Other</c:v>
                </c:pt>
                <c:pt idx="4">
                  <c:v>Chemical</c:v>
                </c:pt>
                <c:pt idx="5">
                  <c:v>Human Factors</c:v>
                </c:pt>
                <c:pt idx="6">
                  <c:v>Other</c:v>
                </c:pt>
              </c:strCache>
            </c:strRef>
          </c:cat>
          <c:val>
            <c:numRef>
              <c:f>('Chart Data'!$AL$13:$AL$16,'Chart Data'!$AL$18:$AL$20)</c:f>
              <c:numCache>
                <c:formatCode>0%</c:formatCode>
                <c:ptCount val="7"/>
                <c:pt idx="0">
                  <c:v>0.65</c:v>
                </c:pt>
                <c:pt idx="1">
                  <c:v>0.8</c:v>
                </c:pt>
                <c:pt idx="2">
                  <c:v>0.5714285714285714</c:v>
                </c:pt>
                <c:pt idx="4">
                  <c:v>0.5</c:v>
                </c:pt>
                <c:pt idx="5">
                  <c:v>0.2</c:v>
                </c:pt>
                <c:pt idx="6">
                  <c:v>0.42857142857142855</c:v>
                </c:pt>
              </c:numCache>
            </c:numRef>
          </c:val>
          <c:extLst>
            <c:ext xmlns:c16="http://schemas.microsoft.com/office/drawing/2014/chart" uri="{C3380CC4-5D6E-409C-BE32-E72D297353CC}">
              <c16:uniqueId val="{00000000-4685-4610-A646-EB2890E6E4AA}"/>
            </c:ext>
          </c:extLst>
        </c:ser>
        <c:ser>
          <c:idx val="1"/>
          <c:order val="1"/>
          <c:tx>
            <c:strRef>
              <c:f>'Chart Data'!$AM$12</c:f>
              <c:strCache>
                <c:ptCount val="1"/>
                <c:pt idx="0">
                  <c:v>2nd Rank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Data'!$AK$13:$AK$16,'Chart Data'!$AK$18:$AK$20)</c:f>
              <c:strCache>
                <c:ptCount val="7"/>
                <c:pt idx="0">
                  <c:v>Chemical</c:v>
                </c:pt>
                <c:pt idx="1">
                  <c:v>Human Factors</c:v>
                </c:pt>
                <c:pt idx="2">
                  <c:v>Other</c:v>
                </c:pt>
                <c:pt idx="4">
                  <c:v>Chemical</c:v>
                </c:pt>
                <c:pt idx="5">
                  <c:v>Human Factors</c:v>
                </c:pt>
                <c:pt idx="6">
                  <c:v>Other</c:v>
                </c:pt>
              </c:strCache>
            </c:strRef>
          </c:cat>
          <c:val>
            <c:numRef>
              <c:f>('Chart Data'!$AM$13:$AM$16,'Chart Data'!$AM$18:$AM$20)</c:f>
              <c:numCache>
                <c:formatCode>0%</c:formatCode>
                <c:ptCount val="7"/>
                <c:pt idx="0">
                  <c:v>0.35</c:v>
                </c:pt>
                <c:pt idx="1">
                  <c:v>0.2</c:v>
                </c:pt>
                <c:pt idx="2">
                  <c:v>0.42857142857142855</c:v>
                </c:pt>
                <c:pt idx="4">
                  <c:v>0.5</c:v>
                </c:pt>
                <c:pt idx="5">
                  <c:v>0.8</c:v>
                </c:pt>
                <c:pt idx="6">
                  <c:v>0.5714285714285714</c:v>
                </c:pt>
              </c:numCache>
            </c:numRef>
          </c:val>
          <c:extLst>
            <c:ext xmlns:c16="http://schemas.microsoft.com/office/drawing/2014/chart" uri="{C3380CC4-5D6E-409C-BE32-E72D297353CC}">
              <c16:uniqueId val="{00000001-4685-4610-A646-EB2890E6E4AA}"/>
            </c:ext>
          </c:extLst>
        </c:ser>
        <c:dLbls>
          <c:showLegendKey val="0"/>
          <c:showVal val="0"/>
          <c:showCatName val="0"/>
          <c:showSerName val="0"/>
          <c:showPercent val="0"/>
          <c:showBubbleSize val="0"/>
        </c:dLbls>
        <c:gapWidth val="55"/>
        <c:overlap val="100"/>
        <c:axId val="371592104"/>
        <c:axId val="371594456"/>
      </c:barChart>
      <c:catAx>
        <c:axId val="3715921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594456"/>
        <c:crosses val="autoZero"/>
        <c:auto val="1"/>
        <c:lblAlgn val="ctr"/>
        <c:lblOffset val="100"/>
        <c:noMultiLvlLbl val="0"/>
      </c:catAx>
      <c:valAx>
        <c:axId val="37159445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715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 Expertise - Life Cycle Phases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Data'!$AL$23</c:f>
              <c:strCache>
                <c:ptCount val="1"/>
                <c:pt idx="0">
                  <c:v>1st Rank</c:v>
                </c:pt>
              </c:strCache>
            </c:strRef>
          </c:tx>
          <c:spPr>
            <a:solidFill>
              <a:schemeClr val="accent1"/>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0-322A-44C9-8635-0E81D32DCA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Data'!$AK$24:$AK$27,'Chart Data'!$AK$29:$AK$32,'Chart Data'!$AK$34:$AK$36)</c:f>
              <c:strCache>
                <c:ptCount val="11"/>
                <c:pt idx="0">
                  <c:v>Chemical</c:v>
                </c:pt>
                <c:pt idx="1">
                  <c:v>Human Factors</c:v>
                </c:pt>
                <c:pt idx="2">
                  <c:v>Other</c:v>
                </c:pt>
                <c:pt idx="4">
                  <c:v>Chemical</c:v>
                </c:pt>
                <c:pt idx="5">
                  <c:v>Human Factors</c:v>
                </c:pt>
                <c:pt idx="6">
                  <c:v>Other</c:v>
                </c:pt>
                <c:pt idx="8">
                  <c:v>Chemical</c:v>
                </c:pt>
                <c:pt idx="9">
                  <c:v>Human Factors</c:v>
                </c:pt>
                <c:pt idx="10">
                  <c:v>Other</c:v>
                </c:pt>
              </c:strCache>
            </c:strRef>
          </c:cat>
          <c:val>
            <c:numRef>
              <c:f>('Chart Data'!$AL$24:$AL$27,'Chart Data'!$AL$29:$AL$32,'Chart Data'!$AL$34:$AL$36)</c:f>
              <c:numCache>
                <c:formatCode>0%</c:formatCode>
                <c:ptCount val="11"/>
                <c:pt idx="0">
                  <c:v>0.75</c:v>
                </c:pt>
                <c:pt idx="1">
                  <c:v>0.8</c:v>
                </c:pt>
                <c:pt idx="2">
                  <c:v>0.7142857142857143</c:v>
                </c:pt>
                <c:pt idx="4">
                  <c:v>0.2</c:v>
                </c:pt>
                <c:pt idx="5">
                  <c:v>0.2</c:v>
                </c:pt>
                <c:pt idx="6">
                  <c:v>0.14285714285714285</c:v>
                </c:pt>
                <c:pt idx="8">
                  <c:v>0.15</c:v>
                </c:pt>
                <c:pt idx="9">
                  <c:v>0.2</c:v>
                </c:pt>
                <c:pt idx="10">
                  <c:v>0.14285714285714285</c:v>
                </c:pt>
              </c:numCache>
            </c:numRef>
          </c:val>
          <c:extLst>
            <c:ext xmlns:c16="http://schemas.microsoft.com/office/drawing/2014/chart" uri="{C3380CC4-5D6E-409C-BE32-E72D297353CC}">
              <c16:uniqueId val="{00000001-322A-44C9-8635-0E81D32DCA12}"/>
            </c:ext>
          </c:extLst>
        </c:ser>
        <c:ser>
          <c:idx val="1"/>
          <c:order val="1"/>
          <c:tx>
            <c:strRef>
              <c:f>'Chart Data'!$AM$23</c:f>
              <c:strCache>
                <c:ptCount val="1"/>
                <c:pt idx="0">
                  <c:v>2nd Rank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Data'!$AK$24:$AK$27,'Chart Data'!$AK$29:$AK$32,'Chart Data'!$AK$34:$AK$36)</c:f>
              <c:strCache>
                <c:ptCount val="11"/>
                <c:pt idx="0">
                  <c:v>Chemical</c:v>
                </c:pt>
                <c:pt idx="1">
                  <c:v>Human Factors</c:v>
                </c:pt>
                <c:pt idx="2">
                  <c:v>Other</c:v>
                </c:pt>
                <c:pt idx="4">
                  <c:v>Chemical</c:v>
                </c:pt>
                <c:pt idx="5">
                  <c:v>Human Factors</c:v>
                </c:pt>
                <c:pt idx="6">
                  <c:v>Other</c:v>
                </c:pt>
                <c:pt idx="8">
                  <c:v>Chemical</c:v>
                </c:pt>
                <c:pt idx="9">
                  <c:v>Human Factors</c:v>
                </c:pt>
                <c:pt idx="10">
                  <c:v>Other</c:v>
                </c:pt>
              </c:strCache>
            </c:strRef>
          </c:cat>
          <c:val>
            <c:numRef>
              <c:f>('Chart Data'!$AM$24:$AM$27,'Chart Data'!$AM$29:$AM$32,'Chart Data'!$AM$34:$AM$36)</c:f>
              <c:numCache>
                <c:formatCode>0%</c:formatCode>
                <c:ptCount val="11"/>
                <c:pt idx="0">
                  <c:v>0.1</c:v>
                </c:pt>
                <c:pt idx="1">
                  <c:v>0.2</c:v>
                </c:pt>
                <c:pt idx="2">
                  <c:v>0.2857142857142857</c:v>
                </c:pt>
                <c:pt idx="4">
                  <c:v>0.45</c:v>
                </c:pt>
                <c:pt idx="5">
                  <c:v>0.2</c:v>
                </c:pt>
                <c:pt idx="6">
                  <c:v>0.2857142857142857</c:v>
                </c:pt>
                <c:pt idx="8">
                  <c:v>0.45</c:v>
                </c:pt>
                <c:pt idx="9">
                  <c:v>0.6</c:v>
                </c:pt>
                <c:pt idx="10">
                  <c:v>0.42857142857142855</c:v>
                </c:pt>
              </c:numCache>
            </c:numRef>
          </c:val>
          <c:extLst>
            <c:ext xmlns:c16="http://schemas.microsoft.com/office/drawing/2014/chart" uri="{C3380CC4-5D6E-409C-BE32-E72D297353CC}">
              <c16:uniqueId val="{00000002-322A-44C9-8635-0E81D32DCA12}"/>
            </c:ext>
          </c:extLst>
        </c:ser>
        <c:ser>
          <c:idx val="2"/>
          <c:order val="2"/>
          <c:tx>
            <c:strRef>
              <c:f>'Chart Data'!$AN$23</c:f>
              <c:strCache>
                <c:ptCount val="1"/>
                <c:pt idx="0">
                  <c:v>3rd Rank</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322A-44C9-8635-0E81D32DCA12}"/>
                </c:ext>
              </c:extLst>
            </c:dLbl>
            <c:dLbl>
              <c:idx val="2"/>
              <c:delete val="1"/>
              <c:extLst>
                <c:ext xmlns:c15="http://schemas.microsoft.com/office/drawing/2012/chart" uri="{CE6537A1-D6FC-4f65-9D91-7224C49458BB}"/>
                <c:ext xmlns:c16="http://schemas.microsoft.com/office/drawing/2014/chart" uri="{C3380CC4-5D6E-409C-BE32-E72D297353CC}">
                  <c16:uniqueId val="{00000004-322A-44C9-8635-0E81D32DCA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Data'!$AK$24:$AK$27,'Chart Data'!$AK$29:$AK$32,'Chart Data'!$AK$34:$AK$36)</c:f>
              <c:strCache>
                <c:ptCount val="11"/>
                <c:pt idx="0">
                  <c:v>Chemical</c:v>
                </c:pt>
                <c:pt idx="1">
                  <c:v>Human Factors</c:v>
                </c:pt>
                <c:pt idx="2">
                  <c:v>Other</c:v>
                </c:pt>
                <c:pt idx="4">
                  <c:v>Chemical</c:v>
                </c:pt>
                <c:pt idx="5">
                  <c:v>Human Factors</c:v>
                </c:pt>
                <c:pt idx="6">
                  <c:v>Other</c:v>
                </c:pt>
                <c:pt idx="8">
                  <c:v>Chemical</c:v>
                </c:pt>
                <c:pt idx="9">
                  <c:v>Human Factors</c:v>
                </c:pt>
                <c:pt idx="10">
                  <c:v>Other</c:v>
                </c:pt>
              </c:strCache>
            </c:strRef>
          </c:cat>
          <c:val>
            <c:numRef>
              <c:f>('Chart Data'!$AN$24:$AN$27,'Chart Data'!$AN$29:$AN$32,'Chart Data'!$AN$34:$AN$36)</c:f>
              <c:numCache>
                <c:formatCode>0%</c:formatCode>
                <c:ptCount val="11"/>
                <c:pt idx="0">
                  <c:v>0.15</c:v>
                </c:pt>
                <c:pt idx="1">
                  <c:v>0</c:v>
                </c:pt>
                <c:pt idx="2">
                  <c:v>0</c:v>
                </c:pt>
                <c:pt idx="4">
                  <c:v>0.35</c:v>
                </c:pt>
                <c:pt idx="5">
                  <c:v>0.6</c:v>
                </c:pt>
                <c:pt idx="6">
                  <c:v>0.5714285714285714</c:v>
                </c:pt>
                <c:pt idx="8">
                  <c:v>0.4</c:v>
                </c:pt>
                <c:pt idx="9">
                  <c:v>0.2</c:v>
                </c:pt>
                <c:pt idx="10">
                  <c:v>0.42857142857142855</c:v>
                </c:pt>
              </c:numCache>
            </c:numRef>
          </c:val>
          <c:extLst>
            <c:ext xmlns:c16="http://schemas.microsoft.com/office/drawing/2014/chart" uri="{C3380CC4-5D6E-409C-BE32-E72D297353CC}">
              <c16:uniqueId val="{00000005-322A-44C9-8635-0E81D32DCA12}"/>
            </c:ext>
          </c:extLst>
        </c:ser>
        <c:dLbls>
          <c:showLegendKey val="0"/>
          <c:showVal val="0"/>
          <c:showCatName val="0"/>
          <c:showSerName val="0"/>
          <c:showPercent val="0"/>
          <c:showBubbleSize val="0"/>
        </c:dLbls>
        <c:gapWidth val="55"/>
        <c:overlap val="100"/>
        <c:axId val="372758104"/>
        <c:axId val="372759672"/>
      </c:barChart>
      <c:catAx>
        <c:axId val="3727581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59672"/>
        <c:crosses val="autoZero"/>
        <c:auto val="1"/>
        <c:lblAlgn val="ctr"/>
        <c:lblOffset val="100"/>
        <c:noMultiLvlLbl val="0"/>
      </c:catAx>
      <c:valAx>
        <c:axId val="37275967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72758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 Expertise - Chemical Properties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Data'!$AL$39</c:f>
              <c:strCache>
                <c:ptCount val="1"/>
                <c:pt idx="0">
                  <c:v>1st Rank</c:v>
                </c:pt>
              </c:strCache>
            </c:strRef>
          </c:tx>
          <c:spPr>
            <a:solidFill>
              <a:schemeClr val="accent1"/>
            </a:solidFill>
            <a:ln>
              <a:noFill/>
            </a:ln>
            <a:effectLst/>
          </c:spPr>
          <c:invertIfNegative val="0"/>
          <c:dLbls>
            <c:dLbl>
              <c:idx val="13"/>
              <c:delete val="1"/>
              <c:extLst>
                <c:ext xmlns:c15="http://schemas.microsoft.com/office/drawing/2012/chart" uri="{CE6537A1-D6FC-4f65-9D91-7224C49458BB}"/>
                <c:ext xmlns:c16="http://schemas.microsoft.com/office/drawing/2014/chart" uri="{C3380CC4-5D6E-409C-BE32-E72D297353CC}">
                  <c16:uniqueId val="{00000000-6256-467C-A326-65D84E2CF0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Data'!$AL$40:$AL$43,'Chart Data'!$AL$45:$AL$48,'Chart Data'!$AL$50:$AL$53,'Chart Data'!$AL$55:$AL$57)</c:f>
              <c:numCache>
                <c:formatCode>0%</c:formatCode>
                <c:ptCount val="15"/>
                <c:pt idx="0">
                  <c:v>0.35</c:v>
                </c:pt>
                <c:pt idx="1">
                  <c:v>0.4</c:v>
                </c:pt>
                <c:pt idx="2">
                  <c:v>0.42857142857142855</c:v>
                </c:pt>
                <c:pt idx="4">
                  <c:v>0.25</c:v>
                </c:pt>
                <c:pt idx="5">
                  <c:v>0.4</c:v>
                </c:pt>
                <c:pt idx="6">
                  <c:v>0.14285714285714285</c:v>
                </c:pt>
                <c:pt idx="8">
                  <c:v>0.3</c:v>
                </c:pt>
                <c:pt idx="9">
                  <c:v>0.2</c:v>
                </c:pt>
                <c:pt idx="10">
                  <c:v>0.2857142857142857</c:v>
                </c:pt>
                <c:pt idx="12">
                  <c:v>0.25</c:v>
                </c:pt>
                <c:pt idx="13">
                  <c:v>0</c:v>
                </c:pt>
                <c:pt idx="14">
                  <c:v>0.42857142857142855</c:v>
                </c:pt>
              </c:numCache>
            </c:numRef>
          </c:val>
          <c:extLst>
            <c:ext xmlns:c16="http://schemas.microsoft.com/office/drawing/2014/chart" uri="{C3380CC4-5D6E-409C-BE32-E72D297353CC}">
              <c16:uniqueId val="{00000001-6256-467C-A326-65D84E2CF02F}"/>
            </c:ext>
          </c:extLst>
        </c:ser>
        <c:ser>
          <c:idx val="1"/>
          <c:order val="1"/>
          <c:tx>
            <c:strRef>
              <c:f>'Chart Data'!$AM$39</c:f>
              <c:strCache>
                <c:ptCount val="1"/>
                <c:pt idx="0">
                  <c:v>2nd Rank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Data'!$AM$40:$AM$43,'Chart Data'!$AM$45:$AM$48,'Chart Data'!$AM$50:$AM$53,'Chart Data'!$AM$55:$AM$57)</c:f>
              <c:numCache>
                <c:formatCode>0%</c:formatCode>
                <c:ptCount val="15"/>
                <c:pt idx="0">
                  <c:v>0.25</c:v>
                </c:pt>
                <c:pt idx="1">
                  <c:v>0.6</c:v>
                </c:pt>
                <c:pt idx="2">
                  <c:v>0.14285714285714285</c:v>
                </c:pt>
                <c:pt idx="4">
                  <c:v>0.35</c:v>
                </c:pt>
                <c:pt idx="5">
                  <c:v>0.4</c:v>
                </c:pt>
                <c:pt idx="6">
                  <c:v>0.7142857142857143</c:v>
                </c:pt>
                <c:pt idx="8">
                  <c:v>0.3</c:v>
                </c:pt>
                <c:pt idx="9">
                  <c:v>0.4</c:v>
                </c:pt>
                <c:pt idx="10">
                  <c:v>0.14285714285714285</c:v>
                </c:pt>
                <c:pt idx="12">
                  <c:v>0.15</c:v>
                </c:pt>
                <c:pt idx="13">
                  <c:v>0.2</c:v>
                </c:pt>
                <c:pt idx="14">
                  <c:v>0.14285714285714285</c:v>
                </c:pt>
              </c:numCache>
            </c:numRef>
          </c:val>
          <c:extLst>
            <c:ext xmlns:c16="http://schemas.microsoft.com/office/drawing/2014/chart" uri="{C3380CC4-5D6E-409C-BE32-E72D297353CC}">
              <c16:uniqueId val="{00000002-6256-467C-A326-65D84E2CF02F}"/>
            </c:ext>
          </c:extLst>
        </c:ser>
        <c:ser>
          <c:idx val="2"/>
          <c:order val="2"/>
          <c:tx>
            <c:strRef>
              <c:f>'Chart Data'!$AN$39</c:f>
              <c:strCache>
                <c:ptCount val="1"/>
                <c:pt idx="0">
                  <c:v>3rd Rank</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6256-467C-A326-65D84E2CF02F}"/>
                </c:ext>
              </c:extLst>
            </c:dLbl>
            <c:dLbl>
              <c:idx val="6"/>
              <c:delete val="1"/>
              <c:extLst>
                <c:ext xmlns:c15="http://schemas.microsoft.com/office/drawing/2012/chart" uri="{CE6537A1-D6FC-4f65-9D91-7224C49458BB}"/>
                <c:ext xmlns:c16="http://schemas.microsoft.com/office/drawing/2014/chart" uri="{C3380CC4-5D6E-409C-BE32-E72D297353CC}">
                  <c16:uniqueId val="{00000004-6256-467C-A326-65D84E2CF02F}"/>
                </c:ext>
              </c:extLst>
            </c:dLbl>
            <c:dLbl>
              <c:idx val="14"/>
              <c:delete val="1"/>
              <c:extLst>
                <c:ext xmlns:c15="http://schemas.microsoft.com/office/drawing/2012/chart" uri="{CE6537A1-D6FC-4f65-9D91-7224C49458BB}"/>
                <c:ext xmlns:c16="http://schemas.microsoft.com/office/drawing/2014/chart" uri="{C3380CC4-5D6E-409C-BE32-E72D297353CC}">
                  <c16:uniqueId val="{00000005-6256-467C-A326-65D84E2CF0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Data'!$AN$40:$AN$43,'Chart Data'!$AN$45:$AN$48,'Chart Data'!$AN$50:$AN$53,'Chart Data'!$AN$55:$AN$57)</c:f>
              <c:numCache>
                <c:formatCode>0%</c:formatCode>
                <c:ptCount val="15"/>
                <c:pt idx="0">
                  <c:v>0.3</c:v>
                </c:pt>
                <c:pt idx="1">
                  <c:v>0</c:v>
                </c:pt>
                <c:pt idx="2">
                  <c:v>0.2857142857142857</c:v>
                </c:pt>
                <c:pt idx="4">
                  <c:v>0.25</c:v>
                </c:pt>
                <c:pt idx="5">
                  <c:v>0.2</c:v>
                </c:pt>
                <c:pt idx="6">
                  <c:v>0</c:v>
                </c:pt>
                <c:pt idx="8">
                  <c:v>0.3</c:v>
                </c:pt>
                <c:pt idx="9">
                  <c:v>0.4</c:v>
                </c:pt>
                <c:pt idx="10">
                  <c:v>0.5714285714285714</c:v>
                </c:pt>
                <c:pt idx="12">
                  <c:v>0.1</c:v>
                </c:pt>
                <c:pt idx="13">
                  <c:v>0.2</c:v>
                </c:pt>
                <c:pt idx="14">
                  <c:v>0</c:v>
                </c:pt>
              </c:numCache>
            </c:numRef>
          </c:val>
          <c:extLst>
            <c:ext xmlns:c16="http://schemas.microsoft.com/office/drawing/2014/chart" uri="{C3380CC4-5D6E-409C-BE32-E72D297353CC}">
              <c16:uniqueId val="{00000006-6256-467C-A326-65D84E2CF02F}"/>
            </c:ext>
          </c:extLst>
        </c:ser>
        <c:ser>
          <c:idx val="3"/>
          <c:order val="3"/>
          <c:tx>
            <c:strRef>
              <c:f>'Chart Data'!$AO$39</c:f>
              <c:strCache>
                <c:ptCount val="1"/>
                <c:pt idx="0">
                  <c:v>4th Rank</c:v>
                </c:pt>
              </c:strCache>
            </c:strRef>
          </c:tx>
          <c:spPr>
            <a:solidFill>
              <a:schemeClr val="accent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256-467C-A326-65D84E2CF02F}"/>
                </c:ext>
              </c:extLst>
            </c:dLbl>
            <c:dLbl>
              <c:idx val="5"/>
              <c:delete val="1"/>
              <c:extLst>
                <c:ext xmlns:c15="http://schemas.microsoft.com/office/drawing/2012/chart" uri="{CE6537A1-D6FC-4f65-9D91-7224C49458BB}"/>
                <c:ext xmlns:c16="http://schemas.microsoft.com/office/drawing/2014/chart" uri="{C3380CC4-5D6E-409C-BE32-E72D297353CC}">
                  <c16:uniqueId val="{00000008-6256-467C-A326-65D84E2CF02F}"/>
                </c:ext>
              </c:extLst>
            </c:dLbl>
            <c:dLbl>
              <c:idx val="9"/>
              <c:delete val="1"/>
              <c:extLst>
                <c:ext xmlns:c15="http://schemas.microsoft.com/office/drawing/2012/chart" uri="{CE6537A1-D6FC-4f65-9D91-7224C49458BB}"/>
                <c:ext xmlns:c16="http://schemas.microsoft.com/office/drawing/2014/chart" uri="{C3380CC4-5D6E-409C-BE32-E72D297353CC}">
                  <c16:uniqueId val="{00000009-6256-467C-A326-65D84E2CF02F}"/>
                </c:ext>
              </c:extLst>
            </c:dLbl>
            <c:dLbl>
              <c:idx val="10"/>
              <c:delete val="1"/>
              <c:extLst>
                <c:ext xmlns:c15="http://schemas.microsoft.com/office/drawing/2012/chart" uri="{CE6537A1-D6FC-4f65-9D91-7224C49458BB}"/>
                <c:ext xmlns:c16="http://schemas.microsoft.com/office/drawing/2014/chart" uri="{C3380CC4-5D6E-409C-BE32-E72D297353CC}">
                  <c16:uniqueId val="{0000000A-6256-467C-A326-65D84E2CF0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Data'!$AO$40:$AO$43,'Chart Data'!$AO$45:$AO$48,'Chart Data'!$AO$50:$AO$53,'Chart Data'!$AO$55:$AO$57)</c:f>
              <c:numCache>
                <c:formatCode>0%</c:formatCode>
                <c:ptCount val="15"/>
                <c:pt idx="0">
                  <c:v>0.1</c:v>
                </c:pt>
                <c:pt idx="1">
                  <c:v>0</c:v>
                </c:pt>
                <c:pt idx="2">
                  <c:v>0.14285714285714285</c:v>
                </c:pt>
                <c:pt idx="4">
                  <c:v>0.15</c:v>
                </c:pt>
                <c:pt idx="5">
                  <c:v>0</c:v>
                </c:pt>
                <c:pt idx="6">
                  <c:v>0.14285714285714285</c:v>
                </c:pt>
                <c:pt idx="8">
                  <c:v>0.1</c:v>
                </c:pt>
                <c:pt idx="9">
                  <c:v>0</c:v>
                </c:pt>
                <c:pt idx="10">
                  <c:v>0</c:v>
                </c:pt>
                <c:pt idx="12">
                  <c:v>0.5</c:v>
                </c:pt>
                <c:pt idx="13">
                  <c:v>0.6</c:v>
                </c:pt>
                <c:pt idx="14">
                  <c:v>0.42857142857142855</c:v>
                </c:pt>
              </c:numCache>
            </c:numRef>
          </c:val>
          <c:extLst>
            <c:ext xmlns:c16="http://schemas.microsoft.com/office/drawing/2014/chart" uri="{C3380CC4-5D6E-409C-BE32-E72D297353CC}">
              <c16:uniqueId val="{0000000B-6256-467C-A326-65D84E2CF02F}"/>
            </c:ext>
          </c:extLst>
        </c:ser>
        <c:dLbls>
          <c:showLegendKey val="0"/>
          <c:showVal val="0"/>
          <c:showCatName val="0"/>
          <c:showSerName val="0"/>
          <c:showPercent val="0"/>
          <c:showBubbleSize val="0"/>
        </c:dLbls>
        <c:gapWidth val="55"/>
        <c:overlap val="100"/>
        <c:axId val="372757712"/>
        <c:axId val="372758888"/>
      </c:barChart>
      <c:catAx>
        <c:axId val="3727577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58888"/>
        <c:crosses val="autoZero"/>
        <c:auto val="1"/>
        <c:lblAlgn val="ctr"/>
        <c:lblOffset val="100"/>
        <c:noMultiLvlLbl val="0"/>
      </c:catAx>
      <c:valAx>
        <c:axId val="37275888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72757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 Expertise</a:t>
            </a:r>
            <a:r>
              <a:rPr lang="en-US" baseline="0"/>
              <a:t> </a:t>
            </a:r>
            <a:r>
              <a:rPr lang="en-US"/>
              <a:t>- Production Phase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Data'!$AL$60</c:f>
              <c:strCache>
                <c:ptCount val="1"/>
                <c:pt idx="0">
                  <c:v>1st Rank</c:v>
                </c:pt>
              </c:strCache>
            </c:strRef>
          </c:tx>
          <c:spPr>
            <a:solidFill>
              <a:schemeClr val="accent1"/>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0-6341-44E8-9F1A-0B38085D555A}"/>
                </c:ext>
              </c:extLst>
            </c:dLbl>
            <c:dLbl>
              <c:idx val="10"/>
              <c:delete val="1"/>
              <c:extLst>
                <c:ext xmlns:c15="http://schemas.microsoft.com/office/drawing/2012/chart" uri="{CE6537A1-D6FC-4f65-9D91-7224C49458BB}"/>
                <c:ext xmlns:c16="http://schemas.microsoft.com/office/drawing/2014/chart" uri="{C3380CC4-5D6E-409C-BE32-E72D297353CC}">
                  <c16:uniqueId val="{00000001-6341-44E8-9F1A-0B38085D555A}"/>
                </c:ext>
              </c:extLst>
            </c:dLbl>
            <c:dLbl>
              <c:idx val="13"/>
              <c:delete val="1"/>
              <c:extLst>
                <c:ext xmlns:c15="http://schemas.microsoft.com/office/drawing/2012/chart" uri="{CE6537A1-D6FC-4f65-9D91-7224C49458BB}"/>
                <c:ext xmlns:c16="http://schemas.microsoft.com/office/drawing/2014/chart" uri="{C3380CC4-5D6E-409C-BE32-E72D297353CC}">
                  <c16:uniqueId val="{00000002-6341-44E8-9F1A-0B38085D555A}"/>
                </c:ext>
              </c:extLst>
            </c:dLbl>
            <c:dLbl>
              <c:idx val="14"/>
              <c:delete val="1"/>
              <c:extLst>
                <c:ext xmlns:c15="http://schemas.microsoft.com/office/drawing/2012/chart" uri="{CE6537A1-D6FC-4f65-9D91-7224C49458BB}"/>
                <c:ext xmlns:c16="http://schemas.microsoft.com/office/drawing/2014/chart" uri="{C3380CC4-5D6E-409C-BE32-E72D297353CC}">
                  <c16:uniqueId val="{00000003-6341-44E8-9F1A-0B38085D55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Data'!$AL$61:$AL$64,'Chart Data'!$AL$66:$AL$69,'Chart Data'!$AL$71:$AL$74,'Chart Data'!$AL$76:$AL$78)</c:f>
              <c:numCache>
                <c:formatCode>0%</c:formatCode>
                <c:ptCount val="15"/>
                <c:pt idx="0">
                  <c:v>0.61111111111111116</c:v>
                </c:pt>
                <c:pt idx="1">
                  <c:v>0.4</c:v>
                </c:pt>
                <c:pt idx="2">
                  <c:v>0.42857142857142855</c:v>
                </c:pt>
                <c:pt idx="4">
                  <c:v>0.44444444444444442</c:v>
                </c:pt>
                <c:pt idx="5">
                  <c:v>0.4</c:v>
                </c:pt>
                <c:pt idx="6">
                  <c:v>0.5714285714285714</c:v>
                </c:pt>
                <c:pt idx="8">
                  <c:v>0</c:v>
                </c:pt>
                <c:pt idx="9">
                  <c:v>0.4</c:v>
                </c:pt>
                <c:pt idx="10">
                  <c:v>0</c:v>
                </c:pt>
                <c:pt idx="12">
                  <c:v>0.22222222222222221</c:v>
                </c:pt>
                <c:pt idx="13">
                  <c:v>0</c:v>
                </c:pt>
                <c:pt idx="14">
                  <c:v>0</c:v>
                </c:pt>
              </c:numCache>
            </c:numRef>
          </c:val>
          <c:extLst>
            <c:ext xmlns:c16="http://schemas.microsoft.com/office/drawing/2014/chart" uri="{C3380CC4-5D6E-409C-BE32-E72D297353CC}">
              <c16:uniqueId val="{00000004-6341-44E8-9F1A-0B38085D555A}"/>
            </c:ext>
          </c:extLst>
        </c:ser>
        <c:ser>
          <c:idx val="1"/>
          <c:order val="1"/>
          <c:tx>
            <c:strRef>
              <c:f>'Chart Data'!$AM$60</c:f>
              <c:strCache>
                <c:ptCount val="1"/>
                <c:pt idx="0">
                  <c:v>2nd Rank</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5-6341-44E8-9F1A-0B38085D555A}"/>
                </c:ext>
              </c:extLst>
            </c:dLbl>
            <c:dLbl>
              <c:idx val="6"/>
              <c:delete val="1"/>
              <c:extLst>
                <c:ext xmlns:c15="http://schemas.microsoft.com/office/drawing/2012/chart" uri="{CE6537A1-D6FC-4f65-9D91-7224C49458BB}"/>
                <c:ext xmlns:c16="http://schemas.microsoft.com/office/drawing/2014/chart" uri="{C3380CC4-5D6E-409C-BE32-E72D297353CC}">
                  <c16:uniqueId val="{00000006-6341-44E8-9F1A-0B38085D55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Data'!$AM$61:$AM$64,'Chart Data'!$AM$66:$AM$69,'Chart Data'!$AM$71:$AM$74,'Chart Data'!$AM$76:$AM$78)</c:f>
              <c:numCache>
                <c:formatCode>0%</c:formatCode>
                <c:ptCount val="15"/>
                <c:pt idx="0">
                  <c:v>0.27777777777777779</c:v>
                </c:pt>
                <c:pt idx="1">
                  <c:v>0.2</c:v>
                </c:pt>
                <c:pt idx="2">
                  <c:v>0.2857142857142857</c:v>
                </c:pt>
                <c:pt idx="4">
                  <c:v>0.27777777777777779</c:v>
                </c:pt>
                <c:pt idx="5">
                  <c:v>0</c:v>
                </c:pt>
                <c:pt idx="6">
                  <c:v>0</c:v>
                </c:pt>
                <c:pt idx="8">
                  <c:v>0.22222222222222221</c:v>
                </c:pt>
                <c:pt idx="9">
                  <c:v>0.4</c:v>
                </c:pt>
                <c:pt idx="10">
                  <c:v>0.42857142857142855</c:v>
                </c:pt>
                <c:pt idx="12">
                  <c:v>0.1111111111111111</c:v>
                </c:pt>
                <c:pt idx="13">
                  <c:v>0.2</c:v>
                </c:pt>
                <c:pt idx="14">
                  <c:v>0.42857142857142855</c:v>
                </c:pt>
              </c:numCache>
            </c:numRef>
          </c:val>
          <c:extLst>
            <c:ext xmlns:c16="http://schemas.microsoft.com/office/drawing/2014/chart" uri="{C3380CC4-5D6E-409C-BE32-E72D297353CC}">
              <c16:uniqueId val="{00000007-6341-44E8-9F1A-0B38085D555A}"/>
            </c:ext>
          </c:extLst>
        </c:ser>
        <c:ser>
          <c:idx val="2"/>
          <c:order val="2"/>
          <c:tx>
            <c:strRef>
              <c:f>'Chart Data'!$AN$60</c:f>
              <c:strCache>
                <c:ptCount val="1"/>
                <c:pt idx="0">
                  <c:v>3rd Rank</c:v>
                </c:pt>
              </c:strCache>
            </c:strRef>
          </c:tx>
          <c:spPr>
            <a:solidFill>
              <a:schemeClr val="accent3"/>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8-6341-44E8-9F1A-0B38085D55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Data'!$AN$61:$AN$64,'Chart Data'!$AN$66:$AN$69,'Chart Data'!$AN$71:$AN$74,'Chart Data'!$AN$76:$AN$78)</c:f>
              <c:numCache>
                <c:formatCode>0%</c:formatCode>
                <c:ptCount val="15"/>
                <c:pt idx="0">
                  <c:v>5.5555555555555552E-2</c:v>
                </c:pt>
                <c:pt idx="1">
                  <c:v>0.4</c:v>
                </c:pt>
                <c:pt idx="2">
                  <c:v>0.14285714285714285</c:v>
                </c:pt>
                <c:pt idx="4">
                  <c:v>0.22222222222222221</c:v>
                </c:pt>
                <c:pt idx="5">
                  <c:v>0.4</c:v>
                </c:pt>
                <c:pt idx="6">
                  <c:v>0.14285714285714285</c:v>
                </c:pt>
                <c:pt idx="8">
                  <c:v>0.5</c:v>
                </c:pt>
                <c:pt idx="9">
                  <c:v>0</c:v>
                </c:pt>
                <c:pt idx="10">
                  <c:v>0.5714285714285714</c:v>
                </c:pt>
                <c:pt idx="12">
                  <c:v>0.27777777777777779</c:v>
                </c:pt>
                <c:pt idx="13">
                  <c:v>0.6</c:v>
                </c:pt>
                <c:pt idx="14">
                  <c:v>0.14285714285714285</c:v>
                </c:pt>
              </c:numCache>
            </c:numRef>
          </c:val>
          <c:extLst>
            <c:ext xmlns:c16="http://schemas.microsoft.com/office/drawing/2014/chart" uri="{C3380CC4-5D6E-409C-BE32-E72D297353CC}">
              <c16:uniqueId val="{00000009-6341-44E8-9F1A-0B38085D555A}"/>
            </c:ext>
          </c:extLst>
        </c:ser>
        <c:ser>
          <c:idx val="3"/>
          <c:order val="3"/>
          <c:tx>
            <c:strRef>
              <c:f>'Chart Data'!$AO$60</c:f>
              <c:strCache>
                <c:ptCount val="1"/>
                <c:pt idx="0">
                  <c:v>4th Rank</c:v>
                </c:pt>
              </c:strCache>
            </c:strRef>
          </c:tx>
          <c:spPr>
            <a:solidFill>
              <a:schemeClr val="accent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6341-44E8-9F1A-0B38085D555A}"/>
                </c:ext>
              </c:extLst>
            </c:dLbl>
            <c:dLbl>
              <c:idx val="10"/>
              <c:delete val="1"/>
              <c:extLst>
                <c:ext xmlns:c15="http://schemas.microsoft.com/office/drawing/2012/chart" uri="{CE6537A1-D6FC-4f65-9D91-7224C49458BB}"/>
                <c:ext xmlns:c16="http://schemas.microsoft.com/office/drawing/2014/chart" uri="{C3380CC4-5D6E-409C-BE32-E72D297353CC}">
                  <c16:uniqueId val="{0000000B-6341-44E8-9F1A-0B38085D55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Data'!$AO$61:$AO$64,'Chart Data'!$AO$66:$AO$69,'Chart Data'!$AO$71:$AO$74,'Chart Data'!$AO$76:$AO$78)</c:f>
              <c:numCache>
                <c:formatCode>0%</c:formatCode>
                <c:ptCount val="15"/>
                <c:pt idx="0">
                  <c:v>5.5555555555555552E-2</c:v>
                </c:pt>
                <c:pt idx="1">
                  <c:v>0</c:v>
                </c:pt>
                <c:pt idx="2">
                  <c:v>0.14285714285714285</c:v>
                </c:pt>
                <c:pt idx="4">
                  <c:v>5.5555555555555552E-2</c:v>
                </c:pt>
                <c:pt idx="5">
                  <c:v>0.2</c:v>
                </c:pt>
                <c:pt idx="6">
                  <c:v>0.2857142857142857</c:v>
                </c:pt>
                <c:pt idx="8">
                  <c:v>0.27777777777777779</c:v>
                </c:pt>
                <c:pt idx="9">
                  <c:v>0.2</c:v>
                </c:pt>
                <c:pt idx="10">
                  <c:v>0</c:v>
                </c:pt>
                <c:pt idx="12">
                  <c:v>0.3888888888888889</c:v>
                </c:pt>
                <c:pt idx="13">
                  <c:v>0.2</c:v>
                </c:pt>
                <c:pt idx="14">
                  <c:v>0.42857142857142855</c:v>
                </c:pt>
              </c:numCache>
            </c:numRef>
          </c:val>
          <c:extLst>
            <c:ext xmlns:c16="http://schemas.microsoft.com/office/drawing/2014/chart" uri="{C3380CC4-5D6E-409C-BE32-E72D297353CC}">
              <c16:uniqueId val="{0000000C-6341-44E8-9F1A-0B38085D555A}"/>
            </c:ext>
          </c:extLst>
        </c:ser>
        <c:dLbls>
          <c:showLegendKey val="0"/>
          <c:showVal val="0"/>
          <c:showCatName val="0"/>
          <c:showSerName val="0"/>
          <c:showPercent val="0"/>
          <c:showBubbleSize val="0"/>
        </c:dLbls>
        <c:gapWidth val="55"/>
        <c:overlap val="100"/>
        <c:axId val="372760064"/>
        <c:axId val="372759280"/>
      </c:barChart>
      <c:catAx>
        <c:axId val="372760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59280"/>
        <c:crosses val="autoZero"/>
        <c:auto val="1"/>
        <c:lblAlgn val="ctr"/>
        <c:lblOffset val="100"/>
        <c:noMultiLvlLbl val="0"/>
      </c:catAx>
      <c:valAx>
        <c:axId val="37275928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727600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a:t>
            </a:r>
            <a:r>
              <a:rPr lang="en-US" baseline="0"/>
              <a:t> Expertise - Consumer Use Phase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Data'!$AL$81</c:f>
              <c:strCache>
                <c:ptCount val="1"/>
                <c:pt idx="0">
                  <c:v>1st Rank</c:v>
                </c:pt>
              </c:strCache>
            </c:strRef>
          </c:tx>
          <c:spPr>
            <a:solidFill>
              <a:schemeClr val="accent1"/>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0-05A7-47F4-8408-744059139F97}"/>
                </c:ext>
              </c:extLst>
            </c:dLbl>
            <c:dLbl>
              <c:idx val="12"/>
              <c:delete val="1"/>
              <c:extLst>
                <c:ext xmlns:c15="http://schemas.microsoft.com/office/drawing/2012/chart" uri="{CE6537A1-D6FC-4f65-9D91-7224C49458BB}"/>
                <c:ext xmlns:c16="http://schemas.microsoft.com/office/drawing/2014/chart" uri="{C3380CC4-5D6E-409C-BE32-E72D297353CC}">
                  <c16:uniqueId val="{00000001-05A7-47F4-8408-744059139F97}"/>
                </c:ext>
              </c:extLst>
            </c:dLbl>
            <c:dLbl>
              <c:idx val="13"/>
              <c:delete val="1"/>
              <c:extLst>
                <c:ext xmlns:c15="http://schemas.microsoft.com/office/drawing/2012/chart" uri="{CE6537A1-D6FC-4f65-9D91-7224C49458BB}"/>
                <c:ext xmlns:c16="http://schemas.microsoft.com/office/drawing/2014/chart" uri="{C3380CC4-5D6E-409C-BE32-E72D297353CC}">
                  <c16:uniqueId val="{00000002-05A7-47F4-8408-744059139F97}"/>
                </c:ext>
              </c:extLst>
            </c:dLbl>
            <c:dLbl>
              <c:idx val="14"/>
              <c:delete val="1"/>
              <c:extLst>
                <c:ext xmlns:c15="http://schemas.microsoft.com/office/drawing/2012/chart" uri="{CE6537A1-D6FC-4f65-9D91-7224C49458BB}"/>
                <c:ext xmlns:c16="http://schemas.microsoft.com/office/drawing/2014/chart" uri="{C3380CC4-5D6E-409C-BE32-E72D297353CC}">
                  <c16:uniqueId val="{00000003-05A7-47F4-8408-744059139F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Data'!$AL$82:$AL$85,'Chart Data'!$AL$87:$AL$90,'Chart Data'!$AL$92:$AL$95,'Chart Data'!$AL$97:$AL$99)</c:f>
              <c:numCache>
                <c:formatCode>0%</c:formatCode>
                <c:ptCount val="15"/>
                <c:pt idx="0">
                  <c:v>0.5</c:v>
                </c:pt>
                <c:pt idx="1">
                  <c:v>0.6</c:v>
                </c:pt>
                <c:pt idx="2">
                  <c:v>0.42857142857142855</c:v>
                </c:pt>
                <c:pt idx="4">
                  <c:v>0.3888888888888889</c:v>
                </c:pt>
                <c:pt idx="5">
                  <c:v>0.2</c:v>
                </c:pt>
                <c:pt idx="6">
                  <c:v>0.5714285714285714</c:v>
                </c:pt>
                <c:pt idx="8">
                  <c:v>0.27777777777777779</c:v>
                </c:pt>
                <c:pt idx="9">
                  <c:v>0.2</c:v>
                </c:pt>
                <c:pt idx="10">
                  <c:v>0</c:v>
                </c:pt>
                <c:pt idx="12">
                  <c:v>0</c:v>
                </c:pt>
                <c:pt idx="13">
                  <c:v>0</c:v>
                </c:pt>
                <c:pt idx="14">
                  <c:v>0</c:v>
                </c:pt>
              </c:numCache>
            </c:numRef>
          </c:val>
          <c:extLst>
            <c:ext xmlns:c16="http://schemas.microsoft.com/office/drawing/2014/chart" uri="{C3380CC4-5D6E-409C-BE32-E72D297353CC}">
              <c16:uniqueId val="{00000004-05A7-47F4-8408-744059139F97}"/>
            </c:ext>
          </c:extLst>
        </c:ser>
        <c:ser>
          <c:idx val="1"/>
          <c:order val="1"/>
          <c:tx>
            <c:strRef>
              <c:f>'Chart Data'!$AM$81</c:f>
              <c:strCache>
                <c:ptCount val="1"/>
                <c:pt idx="0">
                  <c:v>2nd Rank</c:v>
                </c:pt>
              </c:strCache>
            </c:strRef>
          </c:tx>
          <c:spPr>
            <a:solidFill>
              <a:schemeClr val="accent2"/>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5-05A7-47F4-8408-744059139F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Data'!$AM$82:$AM$85,'Chart Data'!$AM$87:$AM$90,'Chart Data'!$AM$92:$AM$95,'Chart Data'!$AM$97:$AM$99)</c:f>
              <c:numCache>
                <c:formatCode>0%</c:formatCode>
                <c:ptCount val="15"/>
                <c:pt idx="0">
                  <c:v>0.3888888888888889</c:v>
                </c:pt>
                <c:pt idx="1">
                  <c:v>0.2</c:v>
                </c:pt>
                <c:pt idx="2">
                  <c:v>0.42857142857142855</c:v>
                </c:pt>
                <c:pt idx="4">
                  <c:v>0.3888888888888889</c:v>
                </c:pt>
                <c:pt idx="5">
                  <c:v>0.4</c:v>
                </c:pt>
                <c:pt idx="6">
                  <c:v>0</c:v>
                </c:pt>
                <c:pt idx="8">
                  <c:v>0.16666666666666666</c:v>
                </c:pt>
                <c:pt idx="9">
                  <c:v>0.2</c:v>
                </c:pt>
                <c:pt idx="10">
                  <c:v>0.42857142857142855</c:v>
                </c:pt>
                <c:pt idx="12">
                  <c:v>0.1111111111111111</c:v>
                </c:pt>
                <c:pt idx="13">
                  <c:v>0.4</c:v>
                </c:pt>
                <c:pt idx="14">
                  <c:v>0.2857142857142857</c:v>
                </c:pt>
              </c:numCache>
            </c:numRef>
          </c:val>
          <c:extLst>
            <c:ext xmlns:c16="http://schemas.microsoft.com/office/drawing/2014/chart" uri="{C3380CC4-5D6E-409C-BE32-E72D297353CC}">
              <c16:uniqueId val="{00000006-05A7-47F4-8408-744059139F97}"/>
            </c:ext>
          </c:extLst>
        </c:ser>
        <c:ser>
          <c:idx val="2"/>
          <c:order val="2"/>
          <c:tx>
            <c:strRef>
              <c:f>'Chart Data'!$AN$81</c:f>
              <c:strCache>
                <c:ptCount val="1"/>
                <c:pt idx="0">
                  <c:v>3rd Rank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Data'!$AN$82:$AN$85,'Chart Data'!$AN$87:$AN$90,'Chart Data'!$AN$92:$AN$95,'Chart Data'!$AN$97:$AN$99)</c:f>
              <c:numCache>
                <c:formatCode>0%</c:formatCode>
                <c:ptCount val="15"/>
                <c:pt idx="0">
                  <c:v>5.5555555555555552E-2</c:v>
                </c:pt>
                <c:pt idx="1">
                  <c:v>0.2</c:v>
                </c:pt>
                <c:pt idx="2">
                  <c:v>0.14285714285714285</c:v>
                </c:pt>
                <c:pt idx="4">
                  <c:v>0.1111111111111111</c:v>
                </c:pt>
                <c:pt idx="5">
                  <c:v>0.2</c:v>
                </c:pt>
                <c:pt idx="6">
                  <c:v>0.14285714285714285</c:v>
                </c:pt>
                <c:pt idx="8">
                  <c:v>0.44444444444444442</c:v>
                </c:pt>
                <c:pt idx="9">
                  <c:v>0.6</c:v>
                </c:pt>
                <c:pt idx="10">
                  <c:v>0.5714285714285714</c:v>
                </c:pt>
                <c:pt idx="12">
                  <c:v>0.3888888888888889</c:v>
                </c:pt>
                <c:pt idx="13">
                  <c:v>0.2</c:v>
                </c:pt>
                <c:pt idx="14">
                  <c:v>0.14285714285714285</c:v>
                </c:pt>
              </c:numCache>
            </c:numRef>
          </c:val>
          <c:extLst>
            <c:ext xmlns:c16="http://schemas.microsoft.com/office/drawing/2014/chart" uri="{C3380CC4-5D6E-409C-BE32-E72D297353CC}">
              <c16:uniqueId val="{00000007-05A7-47F4-8408-744059139F97}"/>
            </c:ext>
          </c:extLst>
        </c:ser>
        <c:ser>
          <c:idx val="3"/>
          <c:order val="3"/>
          <c:tx>
            <c:strRef>
              <c:f>'Chart Data'!$AO$81</c:f>
              <c:strCache>
                <c:ptCount val="1"/>
                <c:pt idx="0">
                  <c:v>4th Rank</c:v>
                </c:pt>
              </c:strCache>
            </c:strRef>
          </c:tx>
          <c:spPr>
            <a:solidFill>
              <a:schemeClr val="accent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8-05A7-47F4-8408-744059139F97}"/>
                </c:ext>
              </c:extLst>
            </c:dLbl>
            <c:dLbl>
              <c:idx val="2"/>
              <c:delete val="1"/>
              <c:extLst>
                <c:ext xmlns:c15="http://schemas.microsoft.com/office/drawing/2012/chart" uri="{CE6537A1-D6FC-4f65-9D91-7224C49458BB}"/>
                <c:ext xmlns:c16="http://schemas.microsoft.com/office/drawing/2014/chart" uri="{C3380CC4-5D6E-409C-BE32-E72D297353CC}">
                  <c16:uniqueId val="{00000009-05A7-47F4-8408-744059139F97}"/>
                </c:ext>
              </c:extLst>
            </c:dLbl>
            <c:dLbl>
              <c:idx val="9"/>
              <c:delete val="1"/>
              <c:extLst>
                <c:ext xmlns:c15="http://schemas.microsoft.com/office/drawing/2012/chart" uri="{CE6537A1-D6FC-4f65-9D91-7224C49458BB}"/>
                <c:ext xmlns:c16="http://schemas.microsoft.com/office/drawing/2014/chart" uri="{C3380CC4-5D6E-409C-BE32-E72D297353CC}">
                  <c16:uniqueId val="{0000000A-05A7-47F4-8408-744059139F97}"/>
                </c:ext>
              </c:extLst>
            </c:dLbl>
            <c:dLbl>
              <c:idx val="10"/>
              <c:delete val="1"/>
              <c:extLst>
                <c:ext xmlns:c15="http://schemas.microsoft.com/office/drawing/2012/chart" uri="{CE6537A1-D6FC-4f65-9D91-7224C49458BB}"/>
                <c:ext xmlns:c16="http://schemas.microsoft.com/office/drawing/2014/chart" uri="{C3380CC4-5D6E-409C-BE32-E72D297353CC}">
                  <c16:uniqueId val="{0000000B-05A7-47F4-8408-744059139F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Data'!$AO$82:$AO$85,'Chart Data'!$AO$87:$AO$90,'Chart Data'!$AO$92:$AO$95,'Chart Data'!$AO$97:$AO$99)</c:f>
              <c:numCache>
                <c:formatCode>0%</c:formatCode>
                <c:ptCount val="15"/>
                <c:pt idx="0">
                  <c:v>5.5555555555555552E-2</c:v>
                </c:pt>
                <c:pt idx="1">
                  <c:v>0</c:v>
                </c:pt>
                <c:pt idx="2">
                  <c:v>0</c:v>
                </c:pt>
                <c:pt idx="4">
                  <c:v>0.1111111111111111</c:v>
                </c:pt>
                <c:pt idx="5">
                  <c:v>0.2</c:v>
                </c:pt>
                <c:pt idx="6">
                  <c:v>0.2857142857142857</c:v>
                </c:pt>
                <c:pt idx="8">
                  <c:v>0.1111111111111111</c:v>
                </c:pt>
                <c:pt idx="9">
                  <c:v>0</c:v>
                </c:pt>
                <c:pt idx="10">
                  <c:v>0</c:v>
                </c:pt>
                <c:pt idx="12">
                  <c:v>0.5</c:v>
                </c:pt>
                <c:pt idx="13">
                  <c:v>0.4</c:v>
                </c:pt>
                <c:pt idx="14">
                  <c:v>0.5714285714285714</c:v>
                </c:pt>
              </c:numCache>
            </c:numRef>
          </c:val>
          <c:extLst>
            <c:ext xmlns:c16="http://schemas.microsoft.com/office/drawing/2014/chart" uri="{C3380CC4-5D6E-409C-BE32-E72D297353CC}">
              <c16:uniqueId val="{0000000C-05A7-47F4-8408-744059139F97}"/>
            </c:ext>
          </c:extLst>
        </c:ser>
        <c:dLbls>
          <c:showLegendKey val="0"/>
          <c:showVal val="0"/>
          <c:showCatName val="0"/>
          <c:showSerName val="0"/>
          <c:showPercent val="0"/>
          <c:showBubbleSize val="0"/>
        </c:dLbls>
        <c:gapWidth val="55"/>
        <c:overlap val="100"/>
        <c:axId val="372756144"/>
        <c:axId val="372760848"/>
      </c:barChart>
      <c:catAx>
        <c:axId val="372756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60848"/>
        <c:crosses val="autoZero"/>
        <c:auto val="1"/>
        <c:lblAlgn val="ctr"/>
        <c:lblOffset val="100"/>
        <c:noMultiLvlLbl val="0"/>
      </c:catAx>
      <c:valAx>
        <c:axId val="37276084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72756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Rank by Expertise - Disposal Phase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532433193156492E-2"/>
          <c:y val="0.12615646258503402"/>
          <c:w val="0.81196557658946744"/>
          <c:h val="0.7575228989233489"/>
        </c:manualLayout>
      </c:layout>
      <c:barChart>
        <c:barDir val="col"/>
        <c:grouping val="percentStacked"/>
        <c:varyColors val="0"/>
        <c:ser>
          <c:idx val="0"/>
          <c:order val="0"/>
          <c:tx>
            <c:strRef>
              <c:f>'Chart Data'!$AL$102</c:f>
              <c:strCache>
                <c:ptCount val="1"/>
                <c:pt idx="0">
                  <c:v>1st Rank</c:v>
                </c:pt>
              </c:strCache>
            </c:strRef>
          </c:tx>
          <c:spPr>
            <a:solidFill>
              <a:schemeClr val="accent1"/>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0-5564-412C-B25B-9C6AFFAA6534}"/>
                </c:ext>
              </c:extLst>
            </c:dLbl>
            <c:dLbl>
              <c:idx val="14"/>
              <c:delete val="1"/>
              <c:extLst>
                <c:ext xmlns:c15="http://schemas.microsoft.com/office/drawing/2012/chart" uri="{CE6537A1-D6FC-4f65-9D91-7224C49458BB}"/>
                <c:ext xmlns:c16="http://schemas.microsoft.com/office/drawing/2014/chart" uri="{C3380CC4-5D6E-409C-BE32-E72D297353CC}">
                  <c16:uniqueId val="{00000001-5564-412C-B25B-9C6AFFAA65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Data'!$AL$103:$AL$106,'Chart Data'!$AL$108:$AL$111,'Chart Data'!$AL$113:$AL$116,'Chart Data'!$AL$118:$AL$120)</c:f>
              <c:numCache>
                <c:formatCode>0%</c:formatCode>
                <c:ptCount val="15"/>
                <c:pt idx="0">
                  <c:v>0.66666666666666663</c:v>
                </c:pt>
                <c:pt idx="1">
                  <c:v>0.4</c:v>
                </c:pt>
                <c:pt idx="2">
                  <c:v>0.42857142857142855</c:v>
                </c:pt>
                <c:pt idx="4">
                  <c:v>0.33333333333333331</c:v>
                </c:pt>
                <c:pt idx="5">
                  <c:v>0.6</c:v>
                </c:pt>
                <c:pt idx="6">
                  <c:v>0.14285714285714285</c:v>
                </c:pt>
                <c:pt idx="8">
                  <c:v>0.1111111111111111</c:v>
                </c:pt>
                <c:pt idx="9">
                  <c:v>0</c:v>
                </c:pt>
                <c:pt idx="10">
                  <c:v>0.5714285714285714</c:v>
                </c:pt>
                <c:pt idx="12">
                  <c:v>5.5555555555555552E-2</c:v>
                </c:pt>
                <c:pt idx="13">
                  <c:v>0.2</c:v>
                </c:pt>
                <c:pt idx="14">
                  <c:v>0</c:v>
                </c:pt>
              </c:numCache>
            </c:numRef>
          </c:val>
          <c:extLst>
            <c:ext xmlns:c16="http://schemas.microsoft.com/office/drawing/2014/chart" uri="{C3380CC4-5D6E-409C-BE32-E72D297353CC}">
              <c16:uniqueId val="{00000002-5564-412C-B25B-9C6AFFAA6534}"/>
            </c:ext>
          </c:extLst>
        </c:ser>
        <c:ser>
          <c:idx val="1"/>
          <c:order val="1"/>
          <c:tx>
            <c:strRef>
              <c:f>'Chart Data'!$AM$102</c:f>
              <c:strCache>
                <c:ptCount val="1"/>
                <c:pt idx="0">
                  <c:v>2nd Rank</c:v>
                </c:pt>
              </c:strCache>
            </c:strRef>
          </c:tx>
          <c:spPr>
            <a:solidFill>
              <a:schemeClr val="accent2"/>
            </a:solidFill>
            <a:ln>
              <a:noFill/>
            </a:ln>
            <a:effectLst/>
          </c:spPr>
          <c:invertIfNegative val="0"/>
          <c:dLbls>
            <c:dLbl>
              <c:idx val="13"/>
              <c:delete val="1"/>
              <c:extLst>
                <c:ext xmlns:c15="http://schemas.microsoft.com/office/drawing/2012/chart" uri="{CE6537A1-D6FC-4f65-9D91-7224C49458BB}"/>
                <c:ext xmlns:c16="http://schemas.microsoft.com/office/drawing/2014/chart" uri="{C3380CC4-5D6E-409C-BE32-E72D297353CC}">
                  <c16:uniqueId val="{00000003-5564-412C-B25B-9C6AFFAA65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Data'!$AM$103:$AM$106,'Chart Data'!$AM$108:$AM$111,'Chart Data'!$AM$113:$AM$116,'Chart Data'!$AM$118:$AM$120)</c:f>
              <c:numCache>
                <c:formatCode>0%</c:formatCode>
                <c:ptCount val="15"/>
                <c:pt idx="0">
                  <c:v>0.33333333333333331</c:v>
                </c:pt>
                <c:pt idx="1">
                  <c:v>0.4</c:v>
                </c:pt>
                <c:pt idx="2">
                  <c:v>0.2857142857142857</c:v>
                </c:pt>
                <c:pt idx="4">
                  <c:v>0.27777777777777779</c:v>
                </c:pt>
                <c:pt idx="5">
                  <c:v>0.2</c:v>
                </c:pt>
                <c:pt idx="6">
                  <c:v>0.42857142857142855</c:v>
                </c:pt>
                <c:pt idx="8">
                  <c:v>0.33333333333333331</c:v>
                </c:pt>
                <c:pt idx="9">
                  <c:v>0.6</c:v>
                </c:pt>
                <c:pt idx="10">
                  <c:v>0.14285714285714285</c:v>
                </c:pt>
                <c:pt idx="12">
                  <c:v>0.16666666666666666</c:v>
                </c:pt>
                <c:pt idx="13">
                  <c:v>0</c:v>
                </c:pt>
                <c:pt idx="14">
                  <c:v>0.14285714285714285</c:v>
                </c:pt>
              </c:numCache>
            </c:numRef>
          </c:val>
          <c:extLst>
            <c:ext xmlns:c16="http://schemas.microsoft.com/office/drawing/2014/chart" uri="{C3380CC4-5D6E-409C-BE32-E72D297353CC}">
              <c16:uniqueId val="{00000004-5564-412C-B25B-9C6AFFAA6534}"/>
            </c:ext>
          </c:extLst>
        </c:ser>
        <c:ser>
          <c:idx val="2"/>
          <c:order val="2"/>
          <c:tx>
            <c:strRef>
              <c:f>'Chart Data'!$AN$102</c:f>
              <c:strCache>
                <c:ptCount val="1"/>
                <c:pt idx="0">
                  <c:v>3rd Rank</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5564-412C-B25B-9C6AFFAA6534}"/>
                </c:ext>
              </c:extLst>
            </c:dLbl>
            <c:dLbl>
              <c:idx val="2"/>
              <c:delete val="1"/>
              <c:extLst>
                <c:ext xmlns:c15="http://schemas.microsoft.com/office/drawing/2012/chart" uri="{CE6537A1-D6FC-4f65-9D91-7224C49458BB}"/>
                <c:ext xmlns:c16="http://schemas.microsoft.com/office/drawing/2014/chart" uri="{C3380CC4-5D6E-409C-BE32-E72D297353CC}">
                  <c16:uniqueId val="{00000006-5564-412C-B25B-9C6AFFAA65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Data'!$AN$103:$AN$106,'Chart Data'!$AN$108:$AN$111,'Chart Data'!$AN$113:$AN$116,'Chart Data'!$AN$118:$AN$120)</c:f>
              <c:numCache>
                <c:formatCode>0%</c:formatCode>
                <c:ptCount val="15"/>
                <c:pt idx="0">
                  <c:v>0</c:v>
                </c:pt>
                <c:pt idx="1">
                  <c:v>0.2</c:v>
                </c:pt>
                <c:pt idx="2">
                  <c:v>0</c:v>
                </c:pt>
                <c:pt idx="4">
                  <c:v>0.27777777777777779</c:v>
                </c:pt>
                <c:pt idx="5">
                  <c:v>0.2</c:v>
                </c:pt>
                <c:pt idx="6">
                  <c:v>0.14285714285714285</c:v>
                </c:pt>
                <c:pt idx="8">
                  <c:v>0.27777777777777779</c:v>
                </c:pt>
                <c:pt idx="9">
                  <c:v>0.4</c:v>
                </c:pt>
                <c:pt idx="10">
                  <c:v>0.14285714285714285</c:v>
                </c:pt>
                <c:pt idx="12">
                  <c:v>0.33333333333333331</c:v>
                </c:pt>
                <c:pt idx="13">
                  <c:v>0.2</c:v>
                </c:pt>
                <c:pt idx="14">
                  <c:v>0.7142857142857143</c:v>
                </c:pt>
              </c:numCache>
            </c:numRef>
          </c:val>
          <c:extLst>
            <c:ext xmlns:c16="http://schemas.microsoft.com/office/drawing/2014/chart" uri="{C3380CC4-5D6E-409C-BE32-E72D297353CC}">
              <c16:uniqueId val="{00000007-5564-412C-B25B-9C6AFFAA6534}"/>
            </c:ext>
          </c:extLst>
        </c:ser>
        <c:ser>
          <c:idx val="3"/>
          <c:order val="3"/>
          <c:tx>
            <c:strRef>
              <c:f>'Chart Data'!$AO$102</c:f>
              <c:strCache>
                <c:ptCount val="1"/>
                <c:pt idx="0">
                  <c:v>4th Rank</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564-412C-B25B-9C6AFFAA6534}"/>
                </c:ext>
              </c:extLst>
            </c:dLbl>
            <c:dLbl>
              <c:idx val="1"/>
              <c:delete val="1"/>
              <c:extLst>
                <c:ext xmlns:c15="http://schemas.microsoft.com/office/drawing/2012/chart" uri="{CE6537A1-D6FC-4f65-9D91-7224C49458BB}"/>
                <c:ext xmlns:c16="http://schemas.microsoft.com/office/drawing/2014/chart" uri="{C3380CC4-5D6E-409C-BE32-E72D297353CC}">
                  <c16:uniqueId val="{00000009-5564-412C-B25B-9C6AFFAA6534}"/>
                </c:ext>
              </c:extLst>
            </c:dLbl>
            <c:dLbl>
              <c:idx val="5"/>
              <c:delete val="1"/>
              <c:extLst>
                <c:ext xmlns:c15="http://schemas.microsoft.com/office/drawing/2012/chart" uri="{CE6537A1-D6FC-4f65-9D91-7224C49458BB}"/>
                <c:ext xmlns:c16="http://schemas.microsoft.com/office/drawing/2014/chart" uri="{C3380CC4-5D6E-409C-BE32-E72D297353CC}">
                  <c16:uniqueId val="{0000000A-5564-412C-B25B-9C6AFFAA6534}"/>
                </c:ext>
              </c:extLst>
            </c:dLbl>
            <c:dLbl>
              <c:idx val="9"/>
              <c:delete val="1"/>
              <c:extLst>
                <c:ext xmlns:c15="http://schemas.microsoft.com/office/drawing/2012/chart" uri="{CE6537A1-D6FC-4f65-9D91-7224C49458BB}"/>
                <c:ext xmlns:c16="http://schemas.microsoft.com/office/drawing/2014/chart" uri="{C3380CC4-5D6E-409C-BE32-E72D297353CC}">
                  <c16:uniqueId val="{0000000B-5564-412C-B25B-9C6AFFAA65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Data'!$AK$40:$AK$43,'Chart Data'!$AK$45:$AK$48,'Chart Data'!$AK$50:$AK$53,'Chart Data'!$AK$55:$AK$57)</c:f>
              <c:strCache>
                <c:ptCount val="15"/>
                <c:pt idx="0">
                  <c:v>Chemical</c:v>
                </c:pt>
                <c:pt idx="1">
                  <c:v>Human Factors</c:v>
                </c:pt>
                <c:pt idx="2">
                  <c:v>Other</c:v>
                </c:pt>
                <c:pt idx="4">
                  <c:v>Chemical</c:v>
                </c:pt>
                <c:pt idx="5">
                  <c:v>Human Factors</c:v>
                </c:pt>
                <c:pt idx="6">
                  <c:v>Other</c:v>
                </c:pt>
                <c:pt idx="8">
                  <c:v>Chemical</c:v>
                </c:pt>
                <c:pt idx="9">
                  <c:v>Human Factors</c:v>
                </c:pt>
                <c:pt idx="10">
                  <c:v>Other</c:v>
                </c:pt>
                <c:pt idx="12">
                  <c:v>Chemical</c:v>
                </c:pt>
                <c:pt idx="13">
                  <c:v>Human Factors</c:v>
                </c:pt>
                <c:pt idx="14">
                  <c:v>Other</c:v>
                </c:pt>
              </c:strCache>
            </c:strRef>
          </c:cat>
          <c:val>
            <c:numRef>
              <c:f>('Chart Data'!$AO$103:$AO$106,'Chart Data'!$AO$108:$AO$111,'Chart Data'!$AO$113:$AO$116,'Chart Data'!$AO$118:$AO$120)</c:f>
              <c:numCache>
                <c:formatCode>0%</c:formatCode>
                <c:ptCount val="15"/>
                <c:pt idx="0">
                  <c:v>0</c:v>
                </c:pt>
                <c:pt idx="1">
                  <c:v>0</c:v>
                </c:pt>
                <c:pt idx="2">
                  <c:v>0.2857142857142857</c:v>
                </c:pt>
                <c:pt idx="4">
                  <c:v>0.1111111111111111</c:v>
                </c:pt>
                <c:pt idx="5">
                  <c:v>0</c:v>
                </c:pt>
                <c:pt idx="6">
                  <c:v>0.2857142857142857</c:v>
                </c:pt>
                <c:pt idx="8">
                  <c:v>0.27777777777777779</c:v>
                </c:pt>
                <c:pt idx="9">
                  <c:v>0</c:v>
                </c:pt>
                <c:pt idx="10">
                  <c:v>0.14285714285714285</c:v>
                </c:pt>
                <c:pt idx="12">
                  <c:v>0.44444444444444442</c:v>
                </c:pt>
                <c:pt idx="13">
                  <c:v>0.6</c:v>
                </c:pt>
                <c:pt idx="14">
                  <c:v>0.14285714285714285</c:v>
                </c:pt>
              </c:numCache>
            </c:numRef>
          </c:val>
          <c:extLst>
            <c:ext xmlns:c16="http://schemas.microsoft.com/office/drawing/2014/chart" uri="{C3380CC4-5D6E-409C-BE32-E72D297353CC}">
              <c16:uniqueId val="{0000000C-5564-412C-B25B-9C6AFFAA6534}"/>
            </c:ext>
          </c:extLst>
        </c:ser>
        <c:dLbls>
          <c:showLegendKey val="0"/>
          <c:showVal val="0"/>
          <c:showCatName val="0"/>
          <c:showSerName val="0"/>
          <c:showPercent val="0"/>
          <c:showBubbleSize val="0"/>
        </c:dLbls>
        <c:gapWidth val="55"/>
        <c:overlap val="100"/>
        <c:axId val="372762024"/>
        <c:axId val="372762416"/>
      </c:barChart>
      <c:catAx>
        <c:axId val="372762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62416"/>
        <c:crosses val="autoZero"/>
        <c:auto val="1"/>
        <c:lblAlgn val="ctr"/>
        <c:lblOffset val="100"/>
        <c:noMultiLvlLbl val="0"/>
      </c:catAx>
      <c:valAx>
        <c:axId val="37276241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72762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Mean</a:t>
            </a:r>
            <a:r>
              <a:rPr lang="en-US" baseline="0"/>
              <a:t> &amp; Distribution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Mean</c:v>
          </c:tx>
          <c:spPr>
            <a:noFill/>
            <a:ln w="12700">
              <a:solidFill>
                <a:schemeClr val="tx1"/>
              </a:solidFill>
            </a:ln>
            <a:effectLst/>
          </c:spPr>
          <c:invertIfNegative val="0"/>
          <c:cat>
            <c:strRef>
              <c:f>T_Stat!$AC$1:$AF$1</c:f>
              <c:strCache>
                <c:ptCount val="4"/>
                <c:pt idx="0">
                  <c:v>Ubiquity - Disposal</c:v>
                </c:pt>
                <c:pt idx="1">
                  <c:v>Activity - Disposal</c:v>
                </c:pt>
                <c:pt idx="2">
                  <c:v>Subject - Disposal</c:v>
                </c:pt>
                <c:pt idx="3">
                  <c:v>Environment - Disposal</c:v>
                </c:pt>
              </c:strCache>
            </c:strRef>
          </c:cat>
          <c:val>
            <c:numRef>
              <c:f>T_Stat!$AC$36:$AF$36</c:f>
              <c:numCache>
                <c:formatCode>0.00</c:formatCode>
                <c:ptCount val="4"/>
                <c:pt idx="0">
                  <c:v>0.38728072862687124</c:v>
                </c:pt>
                <c:pt idx="1">
                  <c:v>0.20973895569369111</c:v>
                </c:pt>
                <c:pt idx="2">
                  <c:v>0.16980159930903377</c:v>
                </c:pt>
                <c:pt idx="3">
                  <c:v>0.23317871637040397</c:v>
                </c:pt>
              </c:numCache>
            </c:numRef>
          </c:val>
          <c:extLst>
            <c:ext xmlns:c16="http://schemas.microsoft.com/office/drawing/2014/chart" uri="{C3380CC4-5D6E-409C-BE32-E72D297353CC}">
              <c16:uniqueId val="{00000000-66A1-498D-A045-E8E6EC35EB31}"/>
            </c:ext>
          </c:extLst>
        </c:ser>
        <c:dLbls>
          <c:showLegendKey val="0"/>
          <c:showVal val="0"/>
          <c:showCatName val="0"/>
          <c:showSerName val="0"/>
          <c:showPercent val="0"/>
          <c:showBubbleSize val="0"/>
        </c:dLbls>
        <c:gapWidth val="219"/>
        <c:axId val="372758496"/>
        <c:axId val="372755360"/>
      </c:barChart>
      <c:scatterChart>
        <c:scatterStyle val="lineMarker"/>
        <c:varyColors val="0"/>
        <c:ser>
          <c:idx val="3"/>
          <c:order val="1"/>
          <c:tx>
            <c:v>ExpMean</c:v>
          </c:tx>
          <c:spPr>
            <a:ln w="6350" cap="rnd">
              <a:solidFill>
                <a:schemeClr val="tx1"/>
              </a:solidFill>
              <a:prstDash val="dash"/>
              <a:round/>
            </a:ln>
            <a:effectLst/>
          </c:spPr>
          <c:marker>
            <c:symbol val="circle"/>
            <c:size val="5"/>
            <c:spPr>
              <a:noFill/>
              <a:ln w="9525">
                <a:noFill/>
              </a:ln>
              <a:effectLst/>
            </c:spPr>
          </c:marker>
          <c:xVal>
            <c:numRef>
              <c:f>T_Stat!$AC$37:$AF$37</c:f>
              <c:numCache>
                <c:formatCode>General</c:formatCode>
                <c:ptCount val="4"/>
                <c:pt idx="0">
                  <c:v>0.5</c:v>
                </c:pt>
                <c:pt idx="1">
                  <c:v>2.5</c:v>
                </c:pt>
                <c:pt idx="2">
                  <c:v>3.5</c:v>
                </c:pt>
                <c:pt idx="3">
                  <c:v>4.5</c:v>
                </c:pt>
              </c:numCache>
            </c:numRef>
          </c:xVal>
          <c:yVal>
            <c:numRef>
              <c:f>T_Stat!$AC$38:$AF$38</c:f>
              <c:numCache>
                <c:formatCode>General</c:formatCode>
                <c:ptCount val="4"/>
                <c:pt idx="0">
                  <c:v>0.25</c:v>
                </c:pt>
                <c:pt idx="1">
                  <c:v>0.25</c:v>
                </c:pt>
                <c:pt idx="2">
                  <c:v>0.25</c:v>
                </c:pt>
                <c:pt idx="3">
                  <c:v>0.25</c:v>
                </c:pt>
              </c:numCache>
            </c:numRef>
          </c:yVal>
          <c:smooth val="0"/>
          <c:extLst>
            <c:ext xmlns:c16="http://schemas.microsoft.com/office/drawing/2014/chart" uri="{C3380CC4-5D6E-409C-BE32-E72D297353CC}">
              <c16:uniqueId val="{00000001-66A1-498D-A045-E8E6EC35EB31}"/>
            </c:ext>
          </c:extLst>
        </c:ser>
        <c:ser>
          <c:idx val="2"/>
          <c:order val="2"/>
          <c:tx>
            <c:strRef>
              <c:f>T_Stat!$AC$1</c:f>
              <c:strCache>
                <c:ptCount val="1"/>
                <c:pt idx="0">
                  <c:v>Ubiquity - Disposal</c:v>
                </c:pt>
              </c:strCache>
            </c:strRef>
          </c:tx>
          <c:spPr>
            <a:ln w="25400" cap="rnd">
              <a:noFill/>
              <a:round/>
            </a:ln>
            <a:effectLst/>
          </c:spPr>
          <c:marker>
            <c:symbol val="circle"/>
            <c:size val="5"/>
            <c:spPr>
              <a:noFill/>
              <a:ln w="9525">
                <a:solidFill>
                  <a:schemeClr val="tx1"/>
                </a:solidFill>
              </a:ln>
              <a:effectLst/>
            </c:spPr>
          </c:marker>
          <c:xVal>
            <c:numRef>
              <c:f>T_Stat!$AG$3:$AG$34</c:f>
              <c:numCache>
                <c:formatCode>0</c:formatCode>
                <c:ptCount val="3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numCache>
            </c:numRef>
          </c:xVal>
          <c:yVal>
            <c:numRef>
              <c:f>T_Stat!$AC$3:$AC$34</c:f>
              <c:numCache>
                <c:formatCode>0.00</c:formatCode>
                <c:ptCount val="32"/>
                <c:pt idx="0">
                  <c:v>0.29673590504451036</c:v>
                </c:pt>
                <c:pt idx="1">
                  <c:v>0.42735042735042733</c:v>
                </c:pt>
                <c:pt idx="2">
                  <c:v>1</c:v>
                </c:pt>
                <c:pt idx="3">
                  <c:v>0.24358974358974358</c:v>
                </c:pt>
                <c:pt idx="4">
                  <c:v>0.32051282051282054</c:v>
                </c:pt>
                <c:pt idx="5">
                  <c:v>0.86206896551724133</c:v>
                </c:pt>
                <c:pt idx="6">
                  <c:v>0.43478260869565216</c:v>
                </c:pt>
                <c:pt idx="7">
                  <c:v>0.3135313531353135</c:v>
                </c:pt>
                <c:pt idx="8">
                  <c:v>#N/A</c:v>
                </c:pt>
                <c:pt idx="9">
                  <c:v>0.12</c:v>
                </c:pt>
                <c:pt idx="10">
                  <c:v>0.24315068493150685</c:v>
                </c:pt>
                <c:pt idx="11">
                  <c:v>0.26109660574412535</c:v>
                </c:pt>
                <c:pt idx="12">
                  <c:v>0.62893081761006286</c:v>
                </c:pt>
                <c:pt idx="13">
                  <c:v>0.25806451612903225</c:v>
                </c:pt>
                <c:pt idx="14">
                  <c:v>0.25787965616045844</c:v>
                </c:pt>
                <c:pt idx="15">
                  <c:v>0.2608695652173913</c:v>
                </c:pt>
                <c:pt idx="16">
                  <c:v>0.2</c:v>
                </c:pt>
                <c:pt idx="17">
                  <c:v>0.5</c:v>
                </c:pt>
                <c:pt idx="18">
                  <c:v>0.3</c:v>
                </c:pt>
                <c:pt idx="19">
                  <c:v>0.28985507246376813</c:v>
                </c:pt>
                <c:pt idx="20">
                  <c:v>#N/A</c:v>
                </c:pt>
                <c:pt idx="21">
                  <c:v>0.31034482758620691</c:v>
                </c:pt>
                <c:pt idx="22">
                  <c:v>1</c:v>
                </c:pt>
                <c:pt idx="23">
                  <c:v>#N/A</c:v>
                </c:pt>
                <c:pt idx="24">
                  <c:v>0.31914893617021278</c:v>
                </c:pt>
                <c:pt idx="25">
                  <c:v>0.24242424242424243</c:v>
                </c:pt>
                <c:pt idx="26">
                  <c:v>#N/A</c:v>
                </c:pt>
                <c:pt idx="27">
                  <c:v>0.41666666666666669</c:v>
                </c:pt>
                <c:pt idx="28">
                  <c:v>0.31948881789137379</c:v>
                </c:pt>
                <c:pt idx="29">
                  <c:v>0.32258064516129031</c:v>
                </c:pt>
                <c:pt idx="30">
                  <c:v>0.22419928825622773</c:v>
                </c:pt>
                <c:pt idx="31">
                  <c:v>0.47058823529411764</c:v>
                </c:pt>
              </c:numCache>
            </c:numRef>
          </c:yVal>
          <c:smooth val="0"/>
          <c:extLst>
            <c:ext xmlns:c16="http://schemas.microsoft.com/office/drawing/2014/chart" uri="{C3380CC4-5D6E-409C-BE32-E72D297353CC}">
              <c16:uniqueId val="{00000002-66A1-498D-A045-E8E6EC35EB31}"/>
            </c:ext>
          </c:extLst>
        </c:ser>
        <c:ser>
          <c:idx val="1"/>
          <c:order val="3"/>
          <c:tx>
            <c:strRef>
              <c:f>T_Stat!$AD$1</c:f>
              <c:strCache>
                <c:ptCount val="1"/>
                <c:pt idx="0">
                  <c:v>Activity - Disposal</c:v>
                </c:pt>
              </c:strCache>
            </c:strRef>
          </c:tx>
          <c:spPr>
            <a:ln w="25400" cap="rnd">
              <a:noFill/>
              <a:round/>
            </a:ln>
            <a:effectLst/>
          </c:spPr>
          <c:marker>
            <c:symbol val="circle"/>
            <c:size val="5"/>
            <c:spPr>
              <a:noFill/>
              <a:ln w="9525">
                <a:solidFill>
                  <a:schemeClr val="tx1"/>
                </a:solidFill>
              </a:ln>
              <a:effectLst/>
            </c:spPr>
          </c:marker>
          <c:xVal>
            <c:numRef>
              <c:f>T_Stat!$AH$3:$AH$34</c:f>
              <c:numCache>
                <c:formatCode>0</c:formatCode>
                <c:ptCount val="3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numCache>
            </c:numRef>
          </c:xVal>
          <c:yVal>
            <c:numRef>
              <c:f>T_Stat!$AD$3:$AD$34</c:f>
              <c:numCache>
                <c:formatCode>0.00</c:formatCode>
                <c:ptCount val="32"/>
                <c:pt idx="0">
                  <c:v>0.26706231454005935</c:v>
                </c:pt>
                <c:pt idx="1">
                  <c:v>0.13675213675213677</c:v>
                </c:pt>
                <c:pt idx="2">
                  <c:v>0</c:v>
                </c:pt>
                <c:pt idx="3">
                  <c:v>0.24358974358974358</c:v>
                </c:pt>
                <c:pt idx="4">
                  <c:v>0.25641025641025639</c:v>
                </c:pt>
                <c:pt idx="5">
                  <c:v>8.6206896551724144E-2</c:v>
                </c:pt>
                <c:pt idx="6">
                  <c:v>0.17391304347826086</c:v>
                </c:pt>
                <c:pt idx="7">
                  <c:v>0.18811881188118809</c:v>
                </c:pt>
                <c:pt idx="8">
                  <c:v>#N/A</c:v>
                </c:pt>
                <c:pt idx="9">
                  <c:v>0.4</c:v>
                </c:pt>
                <c:pt idx="10">
                  <c:v>0.24315068493150685</c:v>
                </c:pt>
                <c:pt idx="11">
                  <c:v>0.23759791122715404</c:v>
                </c:pt>
                <c:pt idx="12">
                  <c:v>0.14465408805031446</c:v>
                </c:pt>
                <c:pt idx="13">
                  <c:v>0.22580645161290322</c:v>
                </c:pt>
                <c:pt idx="14">
                  <c:v>0.22636103151862463</c:v>
                </c:pt>
                <c:pt idx="15">
                  <c:v>0.28985507246376813</c:v>
                </c:pt>
                <c:pt idx="16">
                  <c:v>0.5</c:v>
                </c:pt>
                <c:pt idx="17">
                  <c:v>0</c:v>
                </c:pt>
                <c:pt idx="18">
                  <c:v>0.2</c:v>
                </c:pt>
                <c:pt idx="19">
                  <c:v>0.21739130434782608</c:v>
                </c:pt>
                <c:pt idx="20">
                  <c:v>#N/A</c:v>
                </c:pt>
                <c:pt idx="21">
                  <c:v>0.17241379310344829</c:v>
                </c:pt>
                <c:pt idx="22">
                  <c:v>0</c:v>
                </c:pt>
                <c:pt idx="23">
                  <c:v>#N/A</c:v>
                </c:pt>
                <c:pt idx="24">
                  <c:v>0.42553191489361702</c:v>
                </c:pt>
                <c:pt idx="25">
                  <c:v>0.27272727272727271</c:v>
                </c:pt>
                <c:pt idx="26">
                  <c:v>#N/A</c:v>
                </c:pt>
                <c:pt idx="27">
                  <c:v>0.25</c:v>
                </c:pt>
                <c:pt idx="28">
                  <c:v>0.28753993610223644</c:v>
                </c:pt>
                <c:pt idx="29">
                  <c:v>0.16129032258064516</c:v>
                </c:pt>
                <c:pt idx="30">
                  <c:v>0.19572953736654805</c:v>
                </c:pt>
                <c:pt idx="31">
                  <c:v>7.0588235294117646E-2</c:v>
                </c:pt>
              </c:numCache>
            </c:numRef>
          </c:yVal>
          <c:smooth val="0"/>
          <c:extLst>
            <c:ext xmlns:c16="http://schemas.microsoft.com/office/drawing/2014/chart" uri="{C3380CC4-5D6E-409C-BE32-E72D297353CC}">
              <c16:uniqueId val="{00000003-66A1-498D-A045-E8E6EC35EB31}"/>
            </c:ext>
          </c:extLst>
        </c:ser>
        <c:ser>
          <c:idx val="4"/>
          <c:order val="4"/>
          <c:tx>
            <c:strRef>
              <c:f>T_Stat!$AE$1</c:f>
              <c:strCache>
                <c:ptCount val="1"/>
                <c:pt idx="0">
                  <c:v>Subject - Disposal</c:v>
                </c:pt>
              </c:strCache>
            </c:strRef>
          </c:tx>
          <c:spPr>
            <a:ln w="25400" cap="rnd">
              <a:noFill/>
              <a:round/>
            </a:ln>
            <a:effectLst/>
          </c:spPr>
          <c:marker>
            <c:symbol val="circle"/>
            <c:size val="5"/>
            <c:spPr>
              <a:noFill/>
              <a:ln w="9525">
                <a:solidFill>
                  <a:schemeClr val="tx1"/>
                </a:solidFill>
              </a:ln>
              <a:effectLst/>
            </c:spPr>
          </c:marker>
          <c:xVal>
            <c:numRef>
              <c:f>T_Stat!$AI$3:$AI$34</c:f>
              <c:numCache>
                <c:formatCode>0</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xVal>
          <c:yVal>
            <c:numRef>
              <c:f>T_Stat!$AE$3:$AE$34</c:f>
              <c:numCache>
                <c:formatCode>0.00</c:formatCode>
                <c:ptCount val="32"/>
                <c:pt idx="0">
                  <c:v>0.17804154302670624</c:v>
                </c:pt>
                <c:pt idx="1">
                  <c:v>0.12820512820512819</c:v>
                </c:pt>
                <c:pt idx="2">
                  <c:v>0</c:v>
                </c:pt>
                <c:pt idx="3">
                  <c:v>0.19230769230769232</c:v>
                </c:pt>
                <c:pt idx="4">
                  <c:v>0.16666666666666666</c:v>
                </c:pt>
                <c:pt idx="5">
                  <c:v>8.6206896551724137E-3</c:v>
                </c:pt>
                <c:pt idx="6">
                  <c:v>8.6956521739130432E-2</c:v>
                </c:pt>
                <c:pt idx="7">
                  <c:v>0.2277227722772277</c:v>
                </c:pt>
                <c:pt idx="8">
                  <c:v>#N/A</c:v>
                </c:pt>
                <c:pt idx="9">
                  <c:v>0.28000000000000003</c:v>
                </c:pt>
                <c:pt idx="10">
                  <c:v>0.17123287671232876</c:v>
                </c:pt>
                <c:pt idx="11">
                  <c:v>0.24020887728459531</c:v>
                </c:pt>
                <c:pt idx="12">
                  <c:v>8.1761006289308172E-2</c:v>
                </c:pt>
                <c:pt idx="13">
                  <c:v>0.19354838709677419</c:v>
                </c:pt>
                <c:pt idx="14">
                  <c:v>0.22922636103151864</c:v>
                </c:pt>
                <c:pt idx="15">
                  <c:v>0.2318840579710145</c:v>
                </c:pt>
                <c:pt idx="16">
                  <c:v>0.2</c:v>
                </c:pt>
                <c:pt idx="17">
                  <c:v>0</c:v>
                </c:pt>
                <c:pt idx="18">
                  <c:v>0.1</c:v>
                </c:pt>
                <c:pt idx="19">
                  <c:v>0.2318840579710145</c:v>
                </c:pt>
                <c:pt idx="20">
                  <c:v>#N/A</c:v>
                </c:pt>
                <c:pt idx="21">
                  <c:v>0.17241379310344829</c:v>
                </c:pt>
                <c:pt idx="22">
                  <c:v>0</c:v>
                </c:pt>
                <c:pt idx="23">
                  <c:v>#N/A</c:v>
                </c:pt>
                <c:pt idx="24">
                  <c:v>0.21276595744680851</c:v>
                </c:pt>
                <c:pt idx="25">
                  <c:v>0.18181818181818182</c:v>
                </c:pt>
                <c:pt idx="26">
                  <c:v>#N/A</c:v>
                </c:pt>
                <c:pt idx="27">
                  <c:v>0.16666666666666666</c:v>
                </c:pt>
                <c:pt idx="28">
                  <c:v>0.16613418530351437</c:v>
                </c:pt>
                <c:pt idx="29">
                  <c:v>0.25806451612903225</c:v>
                </c:pt>
                <c:pt idx="30">
                  <c:v>0.29537366548042704</c:v>
                </c:pt>
                <c:pt idx="31">
                  <c:v>0.35294117647058826</c:v>
                </c:pt>
              </c:numCache>
            </c:numRef>
          </c:yVal>
          <c:smooth val="0"/>
          <c:extLst>
            <c:ext xmlns:c16="http://schemas.microsoft.com/office/drawing/2014/chart" uri="{C3380CC4-5D6E-409C-BE32-E72D297353CC}">
              <c16:uniqueId val="{00000004-66A1-498D-A045-E8E6EC35EB31}"/>
            </c:ext>
          </c:extLst>
        </c:ser>
        <c:ser>
          <c:idx val="5"/>
          <c:order val="5"/>
          <c:tx>
            <c:strRef>
              <c:f>T_Stat!$AF$1</c:f>
              <c:strCache>
                <c:ptCount val="1"/>
                <c:pt idx="0">
                  <c:v>Environment - Disposal</c:v>
                </c:pt>
              </c:strCache>
            </c:strRef>
          </c:tx>
          <c:spPr>
            <a:ln w="25400" cap="rnd">
              <a:noFill/>
              <a:round/>
            </a:ln>
            <a:effectLst/>
          </c:spPr>
          <c:marker>
            <c:symbol val="circle"/>
            <c:size val="5"/>
            <c:spPr>
              <a:noFill/>
              <a:ln w="9525">
                <a:solidFill>
                  <a:schemeClr val="tx1"/>
                </a:solidFill>
              </a:ln>
              <a:effectLst/>
            </c:spPr>
          </c:marker>
          <c:xVal>
            <c:numRef>
              <c:f>T_Stat!$AJ$3:$AJ$34</c:f>
              <c:numCache>
                <c:formatCode>0</c:formatCode>
                <c:ptCount val="32"/>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numCache>
            </c:numRef>
          </c:xVal>
          <c:yVal>
            <c:numRef>
              <c:f>T_Stat!$AF$3:$AF$34</c:f>
              <c:numCache>
                <c:formatCode>0.00</c:formatCode>
                <c:ptCount val="32"/>
                <c:pt idx="0">
                  <c:v>0.25816023738872401</c:v>
                </c:pt>
                <c:pt idx="1">
                  <c:v>0.30769230769230771</c:v>
                </c:pt>
                <c:pt idx="2">
                  <c:v>0</c:v>
                </c:pt>
                <c:pt idx="3">
                  <c:v>0.32051282051282054</c:v>
                </c:pt>
                <c:pt idx="4">
                  <c:v>0.25641025641025639</c:v>
                </c:pt>
                <c:pt idx="5">
                  <c:v>4.3103448275862072E-2</c:v>
                </c:pt>
                <c:pt idx="6">
                  <c:v>0.30434782608695654</c:v>
                </c:pt>
                <c:pt idx="7">
                  <c:v>0.27062706270627063</c:v>
                </c:pt>
                <c:pt idx="8">
                  <c:v>#N/A</c:v>
                </c:pt>
                <c:pt idx="9">
                  <c:v>0.2</c:v>
                </c:pt>
                <c:pt idx="10">
                  <c:v>0.34246575342465752</c:v>
                </c:pt>
                <c:pt idx="11">
                  <c:v>0.26109660574412535</c:v>
                </c:pt>
                <c:pt idx="12">
                  <c:v>0.14465408805031446</c:v>
                </c:pt>
                <c:pt idx="13">
                  <c:v>0.32258064516129031</c:v>
                </c:pt>
                <c:pt idx="14">
                  <c:v>0.28653295128939826</c:v>
                </c:pt>
                <c:pt idx="15">
                  <c:v>0.21739130434782608</c:v>
                </c:pt>
                <c:pt idx="16">
                  <c:v>0.1</c:v>
                </c:pt>
                <c:pt idx="17">
                  <c:v>0.5</c:v>
                </c:pt>
                <c:pt idx="18">
                  <c:v>0.4</c:v>
                </c:pt>
                <c:pt idx="19">
                  <c:v>0.2608695652173913</c:v>
                </c:pt>
                <c:pt idx="20">
                  <c:v>#N/A</c:v>
                </c:pt>
                <c:pt idx="21">
                  <c:v>0.34482758620689657</c:v>
                </c:pt>
                <c:pt idx="22">
                  <c:v>0</c:v>
                </c:pt>
                <c:pt idx="23">
                  <c:v>#N/A</c:v>
                </c:pt>
                <c:pt idx="24">
                  <c:v>4.2553191489361701E-2</c:v>
                </c:pt>
                <c:pt idx="25">
                  <c:v>0.30303030303030304</c:v>
                </c:pt>
                <c:pt idx="26">
                  <c:v>#N/A</c:v>
                </c:pt>
                <c:pt idx="27">
                  <c:v>0.16666666666666666</c:v>
                </c:pt>
                <c:pt idx="28">
                  <c:v>0.2268370607028754</c:v>
                </c:pt>
                <c:pt idx="29">
                  <c:v>0.25806451612903225</c:v>
                </c:pt>
                <c:pt idx="30">
                  <c:v>0.28469750889679712</c:v>
                </c:pt>
                <c:pt idx="31">
                  <c:v>0.10588235294117647</c:v>
                </c:pt>
              </c:numCache>
            </c:numRef>
          </c:yVal>
          <c:smooth val="0"/>
          <c:extLst>
            <c:ext xmlns:c16="http://schemas.microsoft.com/office/drawing/2014/chart" uri="{C3380CC4-5D6E-409C-BE32-E72D297353CC}">
              <c16:uniqueId val="{00000005-66A1-498D-A045-E8E6EC35EB31}"/>
            </c:ext>
          </c:extLst>
        </c:ser>
        <c:dLbls>
          <c:showLegendKey val="0"/>
          <c:showVal val="0"/>
          <c:showCatName val="0"/>
          <c:showSerName val="0"/>
          <c:showPercent val="0"/>
          <c:showBubbleSize val="0"/>
        </c:dLbls>
        <c:axId val="372758496"/>
        <c:axId val="372755360"/>
      </c:scatterChart>
      <c:catAx>
        <c:axId val="3727584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55360"/>
        <c:crosses val="autoZero"/>
        <c:auto val="1"/>
        <c:lblAlgn val="ctr"/>
        <c:lblOffset val="100"/>
        <c:noMultiLvlLbl val="0"/>
      </c:catAx>
      <c:valAx>
        <c:axId val="372755360"/>
        <c:scaling>
          <c:orientation val="minMax"/>
          <c:max val="1"/>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Weight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58496"/>
        <c:crossesAt val="1"/>
        <c:crossBetween val="between"/>
        <c:majorUnit val="0.2"/>
      </c:valAx>
      <c:spPr>
        <a:noFill/>
        <a:ln w="9525">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noFill/>
            <a:ln w="12700">
              <a:solidFill>
                <a:schemeClr val="tx1"/>
              </a:solidFill>
            </a:ln>
            <a:effectLst/>
          </c:spPr>
          <c:invertIfNegative val="0"/>
          <c:cat>
            <c:strRef>
              <c:f>T_Stat!$L$1:$M$1</c:f>
              <c:strCache>
                <c:ptCount val="2"/>
                <c:pt idx="0">
                  <c:v>Chemical Properties</c:v>
                </c:pt>
                <c:pt idx="1">
                  <c:v>Life Cycle Properties</c:v>
                </c:pt>
              </c:strCache>
            </c:strRef>
          </c:cat>
          <c:val>
            <c:numRef>
              <c:f>T_Stat!$L$36:$M$36</c:f>
              <c:numCache>
                <c:formatCode>0.00</c:formatCode>
                <c:ptCount val="2"/>
                <c:pt idx="0">
                  <c:v>0.49976804894832477</c:v>
                </c:pt>
                <c:pt idx="1">
                  <c:v>0.50023195105167528</c:v>
                </c:pt>
              </c:numCache>
            </c:numRef>
          </c:val>
          <c:extLst>
            <c:ext xmlns:c16="http://schemas.microsoft.com/office/drawing/2014/chart" uri="{C3380CC4-5D6E-409C-BE32-E72D297353CC}">
              <c16:uniqueId val="{00000000-A0E5-46AF-9D8A-B97B6F74FB53}"/>
            </c:ext>
          </c:extLst>
        </c:ser>
        <c:dLbls>
          <c:showLegendKey val="0"/>
          <c:showVal val="0"/>
          <c:showCatName val="0"/>
          <c:showSerName val="0"/>
          <c:showPercent val="0"/>
          <c:showBubbleSize val="0"/>
        </c:dLbls>
        <c:gapWidth val="219"/>
        <c:axId val="372756536"/>
        <c:axId val="372756928"/>
      </c:barChart>
      <c:scatterChart>
        <c:scatterStyle val="lineMarker"/>
        <c:varyColors val="0"/>
        <c:ser>
          <c:idx val="2"/>
          <c:order val="1"/>
          <c:tx>
            <c:strRef>
              <c:f>T_Stat!$L$1</c:f>
              <c:strCache>
                <c:ptCount val="1"/>
                <c:pt idx="0">
                  <c:v>Chemical Properties</c:v>
                </c:pt>
              </c:strCache>
            </c:strRef>
          </c:tx>
          <c:spPr>
            <a:ln w="25400" cap="rnd">
              <a:noFill/>
              <a:round/>
            </a:ln>
            <a:effectLst/>
          </c:spPr>
          <c:marker>
            <c:symbol val="circle"/>
            <c:size val="5"/>
            <c:spPr>
              <a:noFill/>
              <a:ln w="9525">
                <a:solidFill>
                  <a:schemeClr val="tx1"/>
                </a:solidFill>
              </a:ln>
              <a:effectLst/>
            </c:spPr>
          </c:marker>
          <c:xVal>
            <c:numRef>
              <c:f>T_Stat!$AG$3:$AG$34</c:f>
              <c:numCache>
                <c:formatCode>0</c:formatCode>
                <c:ptCount val="3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numCache>
            </c:numRef>
          </c:xVal>
          <c:yVal>
            <c:numRef>
              <c:f>T_Stat!$L$3:$L$34</c:f>
              <c:numCache>
                <c:formatCode>0.00</c:formatCode>
                <c:ptCount val="32"/>
                <c:pt idx="0">
                  <c:v>0.5524861878453039</c:v>
                </c:pt>
                <c:pt idx="1">
                  <c:v>0.44444444444444442</c:v>
                </c:pt>
                <c:pt idx="2">
                  <c:v>0.60396039603960405</c:v>
                </c:pt>
                <c:pt idx="3">
                  <c:v>0.41176470588235292</c:v>
                </c:pt>
                <c:pt idx="4">
                  <c:v>0.44134078212290501</c:v>
                </c:pt>
                <c:pt idx="5">
                  <c:v>0.375</c:v>
                </c:pt>
                <c:pt idx="6">
                  <c:v>0.44444444444444442</c:v>
                </c:pt>
                <c:pt idx="7">
                  <c:v>0.34117647058823536</c:v>
                </c:pt>
                <c:pt idx="8">
                  <c:v>#N/A</c:v>
                </c:pt>
                <c:pt idx="9">
                  <c:v>0.58823529411764708</c:v>
                </c:pt>
                <c:pt idx="10">
                  <c:v>0.44444444444444442</c:v>
                </c:pt>
                <c:pt idx="11">
                  <c:v>0.41520467836257308</c:v>
                </c:pt>
                <c:pt idx="12">
                  <c:v>0.23664122137404581</c:v>
                </c:pt>
                <c:pt idx="13">
                  <c:v>0.55555555555555558</c:v>
                </c:pt>
                <c:pt idx="14">
                  <c:v>0.5494505494505495</c:v>
                </c:pt>
                <c:pt idx="15">
                  <c:v>0.42857142857142855</c:v>
                </c:pt>
                <c:pt idx="16">
                  <c:v>0.25925925925925924</c:v>
                </c:pt>
                <c:pt idx="17">
                  <c:v>1</c:v>
                </c:pt>
                <c:pt idx="18">
                  <c:v>0.81818181818181812</c:v>
                </c:pt>
                <c:pt idx="19">
                  <c:v>0.41176470588235292</c:v>
                </c:pt>
                <c:pt idx="20">
                  <c:v>0.65359477124183007</c:v>
                </c:pt>
                <c:pt idx="21">
                  <c:v>0.41176470588235292</c:v>
                </c:pt>
                <c:pt idx="22">
                  <c:v>0.5</c:v>
                </c:pt>
                <c:pt idx="23">
                  <c:v>0.42857142857142855</c:v>
                </c:pt>
                <c:pt idx="24">
                  <c:v>0.42857142857142855</c:v>
                </c:pt>
                <c:pt idx="25">
                  <c:v>0.59595959595959602</c:v>
                </c:pt>
                <c:pt idx="26">
                  <c:v>#N/A</c:v>
                </c:pt>
                <c:pt idx="27">
                  <c:v>0.5</c:v>
                </c:pt>
                <c:pt idx="28">
                  <c:v>0.44444444444444442</c:v>
                </c:pt>
                <c:pt idx="29">
                  <c:v>0.5</c:v>
                </c:pt>
                <c:pt idx="30">
                  <c:v>0.61016949152542377</c:v>
                </c:pt>
                <c:pt idx="31">
                  <c:v>0.59803921568627461</c:v>
                </c:pt>
              </c:numCache>
            </c:numRef>
          </c:yVal>
          <c:smooth val="0"/>
          <c:extLst>
            <c:ext xmlns:c16="http://schemas.microsoft.com/office/drawing/2014/chart" uri="{C3380CC4-5D6E-409C-BE32-E72D297353CC}">
              <c16:uniqueId val="{00000001-A0E5-46AF-9D8A-B97B6F74FB53}"/>
            </c:ext>
          </c:extLst>
        </c:ser>
        <c:ser>
          <c:idx val="1"/>
          <c:order val="2"/>
          <c:tx>
            <c:strRef>
              <c:f>T_Stat!$M$1</c:f>
              <c:strCache>
                <c:ptCount val="1"/>
                <c:pt idx="0">
                  <c:v>Life Cycle Properties</c:v>
                </c:pt>
              </c:strCache>
            </c:strRef>
          </c:tx>
          <c:spPr>
            <a:ln w="25400" cap="rnd">
              <a:noFill/>
              <a:round/>
            </a:ln>
            <a:effectLst/>
          </c:spPr>
          <c:marker>
            <c:symbol val="circle"/>
            <c:size val="5"/>
            <c:spPr>
              <a:noFill/>
              <a:ln w="9525">
                <a:solidFill>
                  <a:schemeClr val="tx1"/>
                </a:solidFill>
              </a:ln>
              <a:effectLst/>
            </c:spPr>
          </c:marker>
          <c:xVal>
            <c:numRef>
              <c:f>T_Stat!$AH$3:$AH$34</c:f>
              <c:numCache>
                <c:formatCode>0</c:formatCode>
                <c:ptCount val="3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numCache>
            </c:numRef>
          </c:xVal>
          <c:yVal>
            <c:numRef>
              <c:f>T_Stat!$M$3:$M$34</c:f>
              <c:numCache>
                <c:formatCode>0.00</c:formatCode>
                <c:ptCount val="32"/>
                <c:pt idx="0">
                  <c:v>0.44751381215469616</c:v>
                </c:pt>
                <c:pt idx="1">
                  <c:v>0.55555555555555558</c:v>
                </c:pt>
                <c:pt idx="2">
                  <c:v>0.39603960396039606</c:v>
                </c:pt>
                <c:pt idx="3">
                  <c:v>0.58823529411764708</c:v>
                </c:pt>
                <c:pt idx="4">
                  <c:v>0.55865921787709494</c:v>
                </c:pt>
                <c:pt idx="5">
                  <c:v>0.625</c:v>
                </c:pt>
                <c:pt idx="6">
                  <c:v>0.55555555555555558</c:v>
                </c:pt>
                <c:pt idx="7">
                  <c:v>0.6588235294117647</c:v>
                </c:pt>
                <c:pt idx="8">
                  <c:v>#N/A</c:v>
                </c:pt>
                <c:pt idx="9">
                  <c:v>0.41176470588235292</c:v>
                </c:pt>
                <c:pt idx="10">
                  <c:v>0.55555555555555558</c:v>
                </c:pt>
                <c:pt idx="11">
                  <c:v>0.58479532163742687</c:v>
                </c:pt>
                <c:pt idx="12">
                  <c:v>0.76335877862595425</c:v>
                </c:pt>
                <c:pt idx="13">
                  <c:v>0.44444444444444442</c:v>
                </c:pt>
                <c:pt idx="14">
                  <c:v>0.45054945054945056</c:v>
                </c:pt>
                <c:pt idx="15">
                  <c:v>0.5714285714285714</c:v>
                </c:pt>
                <c:pt idx="16">
                  <c:v>0.7407407407407407</c:v>
                </c:pt>
                <c:pt idx="17">
                  <c:v>0</c:v>
                </c:pt>
                <c:pt idx="18">
                  <c:v>0.1818181818181818</c:v>
                </c:pt>
                <c:pt idx="19">
                  <c:v>0.58823529411764708</c:v>
                </c:pt>
                <c:pt idx="20">
                  <c:v>0.34640522875816993</c:v>
                </c:pt>
                <c:pt idx="21">
                  <c:v>0.58823529411764708</c:v>
                </c:pt>
                <c:pt idx="22">
                  <c:v>0.5</c:v>
                </c:pt>
                <c:pt idx="23">
                  <c:v>0.5714285714285714</c:v>
                </c:pt>
                <c:pt idx="24">
                  <c:v>0.5714285714285714</c:v>
                </c:pt>
                <c:pt idx="25">
                  <c:v>0.40404040404040398</c:v>
                </c:pt>
                <c:pt idx="26">
                  <c:v>#N/A</c:v>
                </c:pt>
                <c:pt idx="27">
                  <c:v>0.5</c:v>
                </c:pt>
                <c:pt idx="28">
                  <c:v>0.55555555555555558</c:v>
                </c:pt>
                <c:pt idx="29">
                  <c:v>0.5</c:v>
                </c:pt>
                <c:pt idx="30">
                  <c:v>0.38983050847457629</c:v>
                </c:pt>
                <c:pt idx="31">
                  <c:v>0.40196078431372551</c:v>
                </c:pt>
              </c:numCache>
            </c:numRef>
          </c:yVal>
          <c:smooth val="0"/>
          <c:extLst>
            <c:ext xmlns:c16="http://schemas.microsoft.com/office/drawing/2014/chart" uri="{C3380CC4-5D6E-409C-BE32-E72D297353CC}">
              <c16:uniqueId val="{00000002-A0E5-46AF-9D8A-B97B6F74FB53}"/>
            </c:ext>
          </c:extLst>
        </c:ser>
        <c:ser>
          <c:idx val="3"/>
          <c:order val="3"/>
          <c:spPr>
            <a:ln w="6350" cap="rnd">
              <a:solidFill>
                <a:schemeClr val="tx1"/>
              </a:solidFill>
              <a:prstDash val="dash"/>
              <a:round/>
            </a:ln>
            <a:effectLst/>
          </c:spPr>
          <c:marker>
            <c:symbol val="circle"/>
            <c:size val="5"/>
            <c:spPr>
              <a:noFill/>
              <a:ln w="9525">
                <a:noFill/>
              </a:ln>
              <a:effectLst/>
            </c:spPr>
          </c:marker>
          <c:xVal>
            <c:numRef>
              <c:f>T_Stat!$L$37:$M$37</c:f>
              <c:numCache>
                <c:formatCode>General</c:formatCode>
                <c:ptCount val="2"/>
                <c:pt idx="0">
                  <c:v>0.5</c:v>
                </c:pt>
                <c:pt idx="1">
                  <c:v>2.5</c:v>
                </c:pt>
              </c:numCache>
            </c:numRef>
          </c:xVal>
          <c:yVal>
            <c:numRef>
              <c:f>T_Stat!$L$38:$M$38</c:f>
              <c:numCache>
                <c:formatCode>General</c:formatCode>
                <c:ptCount val="2"/>
                <c:pt idx="0" formatCode="0.00">
                  <c:v>0.5</c:v>
                </c:pt>
                <c:pt idx="1">
                  <c:v>0.5</c:v>
                </c:pt>
              </c:numCache>
            </c:numRef>
          </c:yVal>
          <c:smooth val="0"/>
          <c:extLst>
            <c:ext xmlns:c16="http://schemas.microsoft.com/office/drawing/2014/chart" uri="{C3380CC4-5D6E-409C-BE32-E72D297353CC}">
              <c16:uniqueId val="{00000003-A0E5-46AF-9D8A-B97B6F74FB53}"/>
            </c:ext>
          </c:extLst>
        </c:ser>
        <c:dLbls>
          <c:showLegendKey val="0"/>
          <c:showVal val="0"/>
          <c:showCatName val="0"/>
          <c:showSerName val="0"/>
          <c:showPercent val="0"/>
          <c:showBubbleSize val="0"/>
        </c:dLbls>
        <c:axId val="372756536"/>
        <c:axId val="372756928"/>
      </c:scatterChart>
      <c:catAx>
        <c:axId val="3727565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56928"/>
        <c:crosses val="autoZero"/>
        <c:auto val="1"/>
        <c:lblAlgn val="ctr"/>
        <c:lblOffset val="100"/>
        <c:noMultiLvlLbl val="0"/>
      </c:catAx>
      <c:valAx>
        <c:axId val="372756928"/>
        <c:scaling>
          <c:orientation val="minMax"/>
          <c:max val="1"/>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Weight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56536"/>
        <c:crossesAt val="1"/>
        <c:crossBetween val="between"/>
        <c:majorUnit val="0.2"/>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noFill/>
            <a:ln w="12700">
              <a:solidFill>
                <a:schemeClr val="tx1"/>
              </a:solidFill>
            </a:ln>
            <a:effectLst/>
          </c:spPr>
          <c:invertIfNegative val="0"/>
          <c:cat>
            <c:strRef>
              <c:f>T_Stat!$N$1:$P$1</c:f>
              <c:strCache>
                <c:ptCount val="3"/>
                <c:pt idx="0">
                  <c:v>Production Phase</c:v>
                </c:pt>
                <c:pt idx="1">
                  <c:v>Consumer Use Phase</c:v>
                </c:pt>
                <c:pt idx="2">
                  <c:v>Disposal Phase</c:v>
                </c:pt>
              </c:strCache>
            </c:strRef>
          </c:cat>
          <c:val>
            <c:numRef>
              <c:f>T_Stat!$N$36:$P$36</c:f>
              <c:numCache>
                <c:formatCode>0.00</c:formatCode>
                <c:ptCount val="3"/>
                <c:pt idx="0">
                  <c:v>0.26744911169447882</c:v>
                </c:pt>
                <c:pt idx="1">
                  <c:v>0.4682306852162138</c:v>
                </c:pt>
                <c:pt idx="2">
                  <c:v>0.26432020308930743</c:v>
                </c:pt>
              </c:numCache>
            </c:numRef>
          </c:val>
          <c:extLst>
            <c:ext xmlns:c16="http://schemas.microsoft.com/office/drawing/2014/chart" uri="{C3380CC4-5D6E-409C-BE32-E72D297353CC}">
              <c16:uniqueId val="{00000000-F168-4EB1-8D2B-5F1AE3864CF2}"/>
            </c:ext>
          </c:extLst>
        </c:ser>
        <c:dLbls>
          <c:showLegendKey val="0"/>
          <c:showVal val="0"/>
          <c:showCatName val="0"/>
          <c:showSerName val="0"/>
          <c:showPercent val="0"/>
          <c:showBubbleSize val="0"/>
        </c:dLbls>
        <c:gapWidth val="219"/>
        <c:axId val="369989752"/>
        <c:axId val="369988576"/>
      </c:barChart>
      <c:scatterChart>
        <c:scatterStyle val="lineMarker"/>
        <c:varyColors val="0"/>
        <c:ser>
          <c:idx val="2"/>
          <c:order val="1"/>
          <c:tx>
            <c:strRef>
              <c:f>T_Stat!$N$1</c:f>
              <c:strCache>
                <c:ptCount val="1"/>
                <c:pt idx="0">
                  <c:v>Production Phase</c:v>
                </c:pt>
              </c:strCache>
            </c:strRef>
          </c:tx>
          <c:spPr>
            <a:ln w="25400" cap="rnd">
              <a:noFill/>
              <a:round/>
            </a:ln>
            <a:effectLst/>
          </c:spPr>
          <c:marker>
            <c:symbol val="circle"/>
            <c:size val="5"/>
            <c:spPr>
              <a:noFill/>
              <a:ln w="9525">
                <a:solidFill>
                  <a:schemeClr val="tx1"/>
                </a:solidFill>
              </a:ln>
              <a:effectLst/>
            </c:spPr>
          </c:marker>
          <c:xVal>
            <c:numRef>
              <c:f>T_Stat!$AG$3:$AG$34</c:f>
              <c:numCache>
                <c:formatCode>0</c:formatCode>
                <c:ptCount val="3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numCache>
            </c:numRef>
          </c:xVal>
          <c:yVal>
            <c:numRef>
              <c:f>T_Stat!$N$3:$N$34</c:f>
              <c:numCache>
                <c:formatCode>0.00</c:formatCode>
                <c:ptCount val="32"/>
                <c:pt idx="0">
                  <c:v>0.30418250950570341</c:v>
                </c:pt>
                <c:pt idx="1">
                  <c:v>0.52910052910052907</c:v>
                </c:pt>
                <c:pt idx="2">
                  <c:v>0.2</c:v>
                </c:pt>
                <c:pt idx="3">
                  <c:v>0.33039647577092512</c:v>
                </c:pt>
                <c:pt idx="4">
                  <c:v>0.25</c:v>
                </c:pt>
                <c:pt idx="5">
                  <c:v>5.4054054054054057E-2</c:v>
                </c:pt>
                <c:pt idx="6">
                  <c:v>0.3</c:v>
                </c:pt>
                <c:pt idx="7">
                  <c:v>0.31428571428571433</c:v>
                </c:pt>
                <c:pt idx="8">
                  <c:v>#N/A</c:v>
                </c:pt>
                <c:pt idx="9">
                  <c:v>0.16230366492146597</c:v>
                </c:pt>
                <c:pt idx="10">
                  <c:v>0.15789473684210525</c:v>
                </c:pt>
                <c:pt idx="11">
                  <c:v>0.33333333333333331</c:v>
                </c:pt>
                <c:pt idx="12">
                  <c:v>0.1619718309859155</c:v>
                </c:pt>
                <c:pt idx="13">
                  <c:v>0.33744855967078191</c:v>
                </c:pt>
                <c:pt idx="14">
                  <c:v>0.30232558139534882</c:v>
                </c:pt>
                <c:pt idx="15">
                  <c:v>0.29166666666666669</c:v>
                </c:pt>
                <c:pt idx="16">
                  <c:v>7.1428571428571425E-2</c:v>
                </c:pt>
                <c:pt idx="17">
                  <c:v>0</c:v>
                </c:pt>
                <c:pt idx="18">
                  <c:v>0.5</c:v>
                </c:pt>
                <c:pt idx="19">
                  <c:v>0.47619047619047616</c:v>
                </c:pt>
                <c:pt idx="20">
                  <c:v>0.29556650246305421</c:v>
                </c:pt>
                <c:pt idx="21">
                  <c:v>0.25</c:v>
                </c:pt>
                <c:pt idx="22">
                  <c:v>0</c:v>
                </c:pt>
                <c:pt idx="23">
                  <c:v>0.24875621890547264</c:v>
                </c:pt>
                <c:pt idx="24">
                  <c:v>0.3125</c:v>
                </c:pt>
                <c:pt idx="25">
                  <c:v>0.35119047619047616</c:v>
                </c:pt>
                <c:pt idx="26">
                  <c:v>#N/A</c:v>
                </c:pt>
                <c:pt idx="27">
                  <c:v>0.27272727272727271</c:v>
                </c:pt>
                <c:pt idx="28">
                  <c:v>0.39525691699604742</c:v>
                </c:pt>
                <c:pt idx="29">
                  <c:v>0.375</c:v>
                </c:pt>
                <c:pt idx="30">
                  <c:v>0.3165829145728643</c:v>
                </c:pt>
                <c:pt idx="31">
                  <c:v>0.12931034482758622</c:v>
                </c:pt>
              </c:numCache>
            </c:numRef>
          </c:yVal>
          <c:smooth val="0"/>
          <c:extLst>
            <c:ext xmlns:c16="http://schemas.microsoft.com/office/drawing/2014/chart" uri="{C3380CC4-5D6E-409C-BE32-E72D297353CC}">
              <c16:uniqueId val="{00000001-F168-4EB1-8D2B-5F1AE3864CF2}"/>
            </c:ext>
          </c:extLst>
        </c:ser>
        <c:ser>
          <c:idx val="1"/>
          <c:order val="2"/>
          <c:tx>
            <c:strRef>
              <c:f>T_Stat!$O$1</c:f>
              <c:strCache>
                <c:ptCount val="1"/>
                <c:pt idx="0">
                  <c:v>Consumer Use Phase</c:v>
                </c:pt>
              </c:strCache>
            </c:strRef>
          </c:tx>
          <c:spPr>
            <a:ln w="25400" cap="rnd">
              <a:noFill/>
              <a:round/>
            </a:ln>
            <a:effectLst/>
          </c:spPr>
          <c:marker>
            <c:symbol val="circle"/>
            <c:size val="5"/>
            <c:spPr>
              <a:noFill/>
              <a:ln w="9525">
                <a:solidFill>
                  <a:schemeClr val="tx1"/>
                </a:solidFill>
              </a:ln>
              <a:effectLst/>
            </c:spPr>
          </c:marker>
          <c:xVal>
            <c:numRef>
              <c:f>T_Stat!$AH$3:$AH$34</c:f>
              <c:numCache>
                <c:formatCode>0</c:formatCode>
                <c:ptCount val="3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numCache>
            </c:numRef>
          </c:xVal>
          <c:yVal>
            <c:numRef>
              <c:f>T_Stat!$O$3:$O$34</c:f>
              <c:numCache>
                <c:formatCode>0.00</c:formatCode>
                <c:ptCount val="32"/>
                <c:pt idx="0">
                  <c:v>0.38022813688212925</c:v>
                </c:pt>
                <c:pt idx="1">
                  <c:v>0.31746031746031744</c:v>
                </c:pt>
                <c:pt idx="2">
                  <c:v>0.5</c:v>
                </c:pt>
                <c:pt idx="3">
                  <c:v>0.44052863436123346</c:v>
                </c:pt>
                <c:pt idx="4">
                  <c:v>0.41666666666666669</c:v>
                </c:pt>
                <c:pt idx="5">
                  <c:v>0.54054054054054057</c:v>
                </c:pt>
                <c:pt idx="6">
                  <c:v>0.5</c:v>
                </c:pt>
                <c:pt idx="7">
                  <c:v>0.5714285714285714</c:v>
                </c:pt>
                <c:pt idx="8">
                  <c:v>#N/A</c:v>
                </c:pt>
                <c:pt idx="9">
                  <c:v>0.52356020942408377</c:v>
                </c:pt>
                <c:pt idx="10">
                  <c:v>0.52631578947368418</c:v>
                </c:pt>
                <c:pt idx="11">
                  <c:v>0.33333333333333331</c:v>
                </c:pt>
                <c:pt idx="12">
                  <c:v>0.70422535211267601</c:v>
                </c:pt>
                <c:pt idx="13">
                  <c:v>0.41152263374485598</c:v>
                </c:pt>
                <c:pt idx="14">
                  <c:v>0.38759689922480622</c:v>
                </c:pt>
                <c:pt idx="15">
                  <c:v>0.41666666666666669</c:v>
                </c:pt>
                <c:pt idx="16">
                  <c:v>0.7142857142857143</c:v>
                </c:pt>
                <c:pt idx="17">
                  <c:v>1</c:v>
                </c:pt>
                <c:pt idx="18">
                  <c:v>0.2</c:v>
                </c:pt>
                <c:pt idx="19">
                  <c:v>0.33333333333333331</c:v>
                </c:pt>
                <c:pt idx="20">
                  <c:v>0.49261083743842365</c:v>
                </c:pt>
                <c:pt idx="21">
                  <c:v>0.41666666666666669</c:v>
                </c:pt>
                <c:pt idx="22">
                  <c:v>1</c:v>
                </c:pt>
                <c:pt idx="23">
                  <c:v>0.49751243781094528</c:v>
                </c:pt>
                <c:pt idx="24">
                  <c:v>6.25E-2</c:v>
                </c:pt>
                <c:pt idx="25">
                  <c:v>0.47619047619047616</c:v>
                </c:pt>
                <c:pt idx="26">
                  <c:v>#N/A</c:v>
                </c:pt>
                <c:pt idx="27">
                  <c:v>0.45454545454545453</c:v>
                </c:pt>
                <c:pt idx="28">
                  <c:v>0.3201581027667984</c:v>
                </c:pt>
                <c:pt idx="29">
                  <c:v>0.20833333333333334</c:v>
                </c:pt>
                <c:pt idx="30">
                  <c:v>0.21105527638190952</c:v>
                </c:pt>
                <c:pt idx="31">
                  <c:v>0.68965517241379315</c:v>
                </c:pt>
              </c:numCache>
            </c:numRef>
          </c:yVal>
          <c:smooth val="0"/>
          <c:extLst>
            <c:ext xmlns:c16="http://schemas.microsoft.com/office/drawing/2014/chart" uri="{C3380CC4-5D6E-409C-BE32-E72D297353CC}">
              <c16:uniqueId val="{00000002-F168-4EB1-8D2B-5F1AE3864CF2}"/>
            </c:ext>
          </c:extLst>
        </c:ser>
        <c:ser>
          <c:idx val="3"/>
          <c:order val="3"/>
          <c:spPr>
            <a:ln w="6350" cap="rnd">
              <a:solidFill>
                <a:schemeClr val="tx1"/>
              </a:solidFill>
              <a:prstDash val="dash"/>
              <a:round/>
            </a:ln>
            <a:effectLst/>
          </c:spPr>
          <c:marker>
            <c:symbol val="circle"/>
            <c:size val="5"/>
            <c:spPr>
              <a:noFill/>
              <a:ln w="9525">
                <a:noFill/>
              </a:ln>
              <a:effectLst/>
            </c:spPr>
          </c:marker>
          <c:xVal>
            <c:numRef>
              <c:f>T_Stat!$N$37:$P$37</c:f>
              <c:numCache>
                <c:formatCode>General</c:formatCode>
                <c:ptCount val="3"/>
                <c:pt idx="0">
                  <c:v>0.5</c:v>
                </c:pt>
                <c:pt idx="1">
                  <c:v>2.5</c:v>
                </c:pt>
                <c:pt idx="2">
                  <c:v>3.5</c:v>
                </c:pt>
              </c:numCache>
            </c:numRef>
          </c:xVal>
          <c:yVal>
            <c:numRef>
              <c:f>T_Stat!$N$38:$P$38</c:f>
              <c:numCache>
                <c:formatCode>0.00</c:formatCode>
                <c:ptCount val="3"/>
                <c:pt idx="0">
                  <c:v>0.33333333333333331</c:v>
                </c:pt>
                <c:pt idx="1">
                  <c:v>0.33333333333333331</c:v>
                </c:pt>
                <c:pt idx="2">
                  <c:v>0.33333333333333331</c:v>
                </c:pt>
              </c:numCache>
            </c:numRef>
          </c:yVal>
          <c:smooth val="0"/>
          <c:extLst>
            <c:ext xmlns:c16="http://schemas.microsoft.com/office/drawing/2014/chart" uri="{C3380CC4-5D6E-409C-BE32-E72D297353CC}">
              <c16:uniqueId val="{00000003-F168-4EB1-8D2B-5F1AE3864CF2}"/>
            </c:ext>
          </c:extLst>
        </c:ser>
        <c:ser>
          <c:idx val="4"/>
          <c:order val="4"/>
          <c:tx>
            <c:strRef>
              <c:f>T_Stat!$P$1</c:f>
              <c:strCache>
                <c:ptCount val="1"/>
                <c:pt idx="0">
                  <c:v>Disposal Phase</c:v>
                </c:pt>
              </c:strCache>
            </c:strRef>
          </c:tx>
          <c:spPr>
            <a:ln w="25400" cap="rnd">
              <a:noFill/>
              <a:round/>
            </a:ln>
            <a:effectLst/>
          </c:spPr>
          <c:marker>
            <c:symbol val="circle"/>
            <c:size val="5"/>
            <c:spPr>
              <a:noFill/>
              <a:ln w="9525">
                <a:solidFill>
                  <a:schemeClr val="tx1"/>
                </a:solidFill>
              </a:ln>
              <a:effectLst/>
            </c:spPr>
          </c:marker>
          <c:xVal>
            <c:numRef>
              <c:f>T_Stat!$AI$3:$AI$34</c:f>
              <c:numCache>
                <c:formatCode>0</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xVal>
          <c:yVal>
            <c:numRef>
              <c:f>T_Stat!$P$3:$P$34</c:f>
              <c:numCache>
                <c:formatCode>0.00</c:formatCode>
                <c:ptCount val="32"/>
                <c:pt idx="0">
                  <c:v>0.31558935361216728</c:v>
                </c:pt>
                <c:pt idx="1">
                  <c:v>0.15343915343915343</c:v>
                </c:pt>
                <c:pt idx="2">
                  <c:v>0.3</c:v>
                </c:pt>
                <c:pt idx="3">
                  <c:v>0.22907488986784141</c:v>
                </c:pt>
                <c:pt idx="4">
                  <c:v>0.33333333333333331</c:v>
                </c:pt>
                <c:pt idx="5">
                  <c:v>0.40540540540540543</c:v>
                </c:pt>
                <c:pt idx="6">
                  <c:v>0.2</c:v>
                </c:pt>
                <c:pt idx="7">
                  <c:v>0.11428571428571428</c:v>
                </c:pt>
                <c:pt idx="8">
                  <c:v>#N/A</c:v>
                </c:pt>
                <c:pt idx="9">
                  <c:v>0.31413612565445026</c:v>
                </c:pt>
                <c:pt idx="10">
                  <c:v>0.31578947368421051</c:v>
                </c:pt>
                <c:pt idx="11">
                  <c:v>0.33333333333333331</c:v>
                </c:pt>
                <c:pt idx="12">
                  <c:v>0.13380281690140844</c:v>
                </c:pt>
                <c:pt idx="13">
                  <c:v>0.25102880658436216</c:v>
                </c:pt>
                <c:pt idx="14">
                  <c:v>0.31007751937984496</c:v>
                </c:pt>
                <c:pt idx="15">
                  <c:v>0.29166666666666669</c:v>
                </c:pt>
                <c:pt idx="16">
                  <c:v>0.21428571428571427</c:v>
                </c:pt>
                <c:pt idx="17">
                  <c:v>0</c:v>
                </c:pt>
                <c:pt idx="18">
                  <c:v>0.3</c:v>
                </c:pt>
                <c:pt idx="19">
                  <c:v>0.19047619047619047</c:v>
                </c:pt>
                <c:pt idx="20">
                  <c:v>0.21182266009852216</c:v>
                </c:pt>
                <c:pt idx="21">
                  <c:v>0.33333333333333331</c:v>
                </c:pt>
                <c:pt idx="22">
                  <c:v>0</c:v>
                </c:pt>
                <c:pt idx="23">
                  <c:v>0.2537313432835821</c:v>
                </c:pt>
                <c:pt idx="24">
                  <c:v>0.625</c:v>
                </c:pt>
                <c:pt idx="25">
                  <c:v>0.17261904761904762</c:v>
                </c:pt>
                <c:pt idx="26">
                  <c:v>#N/A</c:v>
                </c:pt>
                <c:pt idx="27">
                  <c:v>0.27272727272727271</c:v>
                </c:pt>
                <c:pt idx="28">
                  <c:v>0.28458498023715417</c:v>
                </c:pt>
                <c:pt idx="29">
                  <c:v>0.41666666666666669</c:v>
                </c:pt>
                <c:pt idx="30">
                  <c:v>0.47236180904522612</c:v>
                </c:pt>
                <c:pt idx="31">
                  <c:v>0.18103448275862069</c:v>
                </c:pt>
              </c:numCache>
            </c:numRef>
          </c:yVal>
          <c:smooth val="0"/>
          <c:extLst>
            <c:ext xmlns:c16="http://schemas.microsoft.com/office/drawing/2014/chart" uri="{C3380CC4-5D6E-409C-BE32-E72D297353CC}">
              <c16:uniqueId val="{00000004-F168-4EB1-8D2B-5F1AE3864CF2}"/>
            </c:ext>
          </c:extLst>
        </c:ser>
        <c:dLbls>
          <c:showLegendKey val="0"/>
          <c:showVal val="0"/>
          <c:showCatName val="0"/>
          <c:showSerName val="0"/>
          <c:showPercent val="0"/>
          <c:showBubbleSize val="0"/>
        </c:dLbls>
        <c:axId val="369989752"/>
        <c:axId val="369988576"/>
      </c:scatterChart>
      <c:catAx>
        <c:axId val="3699897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988576"/>
        <c:crosses val="autoZero"/>
        <c:auto val="1"/>
        <c:lblAlgn val="ctr"/>
        <c:lblOffset val="100"/>
        <c:noMultiLvlLbl val="0"/>
      </c:catAx>
      <c:valAx>
        <c:axId val="369988576"/>
        <c:scaling>
          <c:orientation val="minMax"/>
          <c:max val="1"/>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Weight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989752"/>
        <c:crossesAt val="1"/>
        <c:crossBetween val="between"/>
        <c:majorUnit val="0.2"/>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noFill/>
            <a:ln w="12700">
              <a:solidFill>
                <a:schemeClr val="tx1"/>
              </a:solidFill>
            </a:ln>
            <a:effectLst/>
          </c:spPr>
          <c:invertIfNegative val="0"/>
          <c:cat>
            <c:strRef>
              <c:f>T_Stat!$Q$1:$T$1</c:f>
              <c:strCache>
                <c:ptCount val="4"/>
                <c:pt idx="0">
                  <c:v>Physical Hazard Potential</c:v>
                </c:pt>
                <c:pt idx="1">
                  <c:v>Persistance</c:v>
                </c:pt>
                <c:pt idx="2">
                  <c:v>Bioaccumulation Potential</c:v>
                </c:pt>
                <c:pt idx="3">
                  <c:v>ADME</c:v>
                </c:pt>
              </c:strCache>
            </c:strRef>
          </c:cat>
          <c:val>
            <c:numRef>
              <c:f>T_Stat!$Q$36:$T$36</c:f>
              <c:numCache>
                <c:formatCode>0.00</c:formatCode>
                <c:ptCount val="4"/>
                <c:pt idx="0">
                  <c:v>0.15958094326949052</c:v>
                </c:pt>
                <c:pt idx="1">
                  <c:v>0.26693309412524441</c:v>
                </c:pt>
                <c:pt idx="2">
                  <c:v>0.24232259077994564</c:v>
                </c:pt>
                <c:pt idx="3">
                  <c:v>0.33116337182531935</c:v>
                </c:pt>
              </c:numCache>
            </c:numRef>
          </c:val>
          <c:extLst>
            <c:ext xmlns:c16="http://schemas.microsoft.com/office/drawing/2014/chart" uri="{C3380CC4-5D6E-409C-BE32-E72D297353CC}">
              <c16:uniqueId val="{00000000-B620-4591-8AF5-628D9810F76C}"/>
            </c:ext>
          </c:extLst>
        </c:ser>
        <c:dLbls>
          <c:showLegendKey val="0"/>
          <c:showVal val="0"/>
          <c:showCatName val="0"/>
          <c:showSerName val="0"/>
          <c:showPercent val="0"/>
          <c:showBubbleSize val="0"/>
        </c:dLbls>
        <c:gapWidth val="219"/>
        <c:axId val="369983872"/>
        <c:axId val="369988184"/>
      </c:barChart>
      <c:scatterChart>
        <c:scatterStyle val="lineMarker"/>
        <c:varyColors val="0"/>
        <c:ser>
          <c:idx val="2"/>
          <c:order val="1"/>
          <c:tx>
            <c:strRef>
              <c:f>T_Stat!$Q$1</c:f>
              <c:strCache>
                <c:ptCount val="1"/>
                <c:pt idx="0">
                  <c:v>Physical Hazard Potential</c:v>
                </c:pt>
              </c:strCache>
            </c:strRef>
          </c:tx>
          <c:spPr>
            <a:ln w="25400" cap="rnd">
              <a:noFill/>
              <a:round/>
            </a:ln>
            <a:effectLst/>
          </c:spPr>
          <c:marker>
            <c:symbol val="circle"/>
            <c:size val="5"/>
            <c:spPr>
              <a:noFill/>
              <a:ln w="9525">
                <a:solidFill>
                  <a:schemeClr val="tx1"/>
                </a:solidFill>
              </a:ln>
              <a:effectLst/>
            </c:spPr>
          </c:marker>
          <c:xVal>
            <c:numRef>
              <c:f>T_Stat!$AG$3:$AG$34</c:f>
              <c:numCache>
                <c:formatCode>0</c:formatCode>
                <c:ptCount val="3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numCache>
            </c:numRef>
          </c:xVal>
          <c:yVal>
            <c:numRef>
              <c:f>T_Stat!$Q$3:$Q$34</c:f>
              <c:numCache>
                <c:formatCode>0.00</c:formatCode>
                <c:ptCount val="32"/>
                <c:pt idx="0">
                  <c:v>0.31948881789137379</c:v>
                </c:pt>
                <c:pt idx="1">
                  <c:v>8.0168776371308023E-2</c:v>
                </c:pt>
                <c:pt idx="2">
                  <c:v>0.1</c:v>
                </c:pt>
                <c:pt idx="3">
                  <c:v>0</c:v>
                </c:pt>
                <c:pt idx="4">
                  <c:v>0.12280701754385964</c:v>
                </c:pt>
                <c:pt idx="5">
                  <c:v>1.4084507042253521E-2</c:v>
                </c:pt>
                <c:pt idx="6">
                  <c:v>9.5022624434389136E-2</c:v>
                </c:pt>
                <c:pt idx="7">
                  <c:v>1.5625E-2</c:v>
                </c:pt>
                <c:pt idx="8">
                  <c:v>#N/A</c:v>
                </c:pt>
                <c:pt idx="9">
                  <c:v>0.17857142857142858</c:v>
                </c:pt>
                <c:pt idx="10">
                  <c:v>1.9607843137254902E-2</c:v>
                </c:pt>
                <c:pt idx="11">
                  <c:v>0.14384920634920637</c:v>
                </c:pt>
                <c:pt idx="12">
                  <c:v>0.11764705882352941</c:v>
                </c:pt>
                <c:pt idx="13">
                  <c:v>0.303951367781155</c:v>
                </c:pt>
                <c:pt idx="14">
                  <c:v>0.19047619047619047</c:v>
                </c:pt>
                <c:pt idx="15">
                  <c:v>0.10909090909090909</c:v>
                </c:pt>
                <c:pt idx="16">
                  <c:v>0.41666666666666669</c:v>
                </c:pt>
                <c:pt idx="17">
                  <c:v>0</c:v>
                </c:pt>
                <c:pt idx="18">
                  <c:v>0.3</c:v>
                </c:pt>
                <c:pt idx="19">
                  <c:v>0.29850746268656714</c:v>
                </c:pt>
                <c:pt idx="20">
                  <c:v>0.32894736842105265</c:v>
                </c:pt>
                <c:pt idx="21">
                  <c:v>0</c:v>
                </c:pt>
                <c:pt idx="22">
                  <c:v>0</c:v>
                </c:pt>
                <c:pt idx="23">
                  <c:v>0.17241379310344829</c:v>
                </c:pt>
                <c:pt idx="24">
                  <c:v>0.1</c:v>
                </c:pt>
                <c:pt idx="25">
                  <c:v>0.26954177897574122</c:v>
                </c:pt>
                <c:pt idx="26">
                  <c:v>#N/A</c:v>
                </c:pt>
                <c:pt idx="27">
                  <c:v>0.1875</c:v>
                </c:pt>
                <c:pt idx="28">
                  <c:v>0.33222591362126247</c:v>
                </c:pt>
                <c:pt idx="29">
                  <c:v>7.6923076923076927E-2</c:v>
                </c:pt>
                <c:pt idx="30">
                  <c:v>0.29799247176913424</c:v>
                </c:pt>
                <c:pt idx="31">
                  <c:v>0.19631901840490801</c:v>
                </c:pt>
              </c:numCache>
            </c:numRef>
          </c:yVal>
          <c:smooth val="0"/>
          <c:extLst>
            <c:ext xmlns:c16="http://schemas.microsoft.com/office/drawing/2014/chart" uri="{C3380CC4-5D6E-409C-BE32-E72D297353CC}">
              <c16:uniqueId val="{00000001-B620-4591-8AF5-628D9810F76C}"/>
            </c:ext>
          </c:extLst>
        </c:ser>
        <c:ser>
          <c:idx val="1"/>
          <c:order val="2"/>
          <c:tx>
            <c:strRef>
              <c:f>T_Stat!$R$1</c:f>
              <c:strCache>
                <c:ptCount val="1"/>
                <c:pt idx="0">
                  <c:v>Persistance</c:v>
                </c:pt>
              </c:strCache>
            </c:strRef>
          </c:tx>
          <c:spPr>
            <a:ln w="25400" cap="rnd">
              <a:noFill/>
              <a:round/>
            </a:ln>
            <a:effectLst/>
          </c:spPr>
          <c:marker>
            <c:symbol val="circle"/>
            <c:size val="5"/>
            <c:spPr>
              <a:noFill/>
              <a:ln w="9525">
                <a:solidFill>
                  <a:schemeClr val="tx1"/>
                </a:solidFill>
              </a:ln>
              <a:effectLst/>
            </c:spPr>
          </c:marker>
          <c:xVal>
            <c:numRef>
              <c:f>T_Stat!$AH$3:$AH$34</c:f>
              <c:numCache>
                <c:formatCode>0</c:formatCode>
                <c:ptCount val="3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numCache>
            </c:numRef>
          </c:xVal>
          <c:yVal>
            <c:numRef>
              <c:f>T_Stat!$R$3:$R$34</c:f>
              <c:numCache>
                <c:formatCode>0.00</c:formatCode>
                <c:ptCount val="32"/>
                <c:pt idx="0">
                  <c:v>0.2108626198083067</c:v>
                </c:pt>
                <c:pt idx="1">
                  <c:v>0.18565400843881857</c:v>
                </c:pt>
                <c:pt idx="2">
                  <c:v>0.2</c:v>
                </c:pt>
                <c:pt idx="3">
                  <c:v>0.29166666666666669</c:v>
                </c:pt>
                <c:pt idx="4">
                  <c:v>0.29239766081871343</c:v>
                </c:pt>
                <c:pt idx="5">
                  <c:v>0.70422535211267601</c:v>
                </c:pt>
                <c:pt idx="6">
                  <c:v>0.22624434389140272</c:v>
                </c:pt>
                <c:pt idx="7">
                  <c:v>5.4687500000000007E-2</c:v>
                </c:pt>
                <c:pt idx="8">
                  <c:v>#N/A</c:v>
                </c:pt>
                <c:pt idx="9">
                  <c:v>0.21428571428571427</c:v>
                </c:pt>
                <c:pt idx="10">
                  <c:v>0.19607843137254902</c:v>
                </c:pt>
                <c:pt idx="11">
                  <c:v>0.2361111111111111</c:v>
                </c:pt>
                <c:pt idx="12">
                  <c:v>0.25735294117647056</c:v>
                </c:pt>
                <c:pt idx="13">
                  <c:v>0.22796352583586627</c:v>
                </c:pt>
                <c:pt idx="14">
                  <c:v>0.25396825396825395</c:v>
                </c:pt>
                <c:pt idx="15">
                  <c:v>0.34545454545454546</c:v>
                </c:pt>
                <c:pt idx="16">
                  <c:v>0.25</c:v>
                </c:pt>
                <c:pt idx="17">
                  <c:v>0</c:v>
                </c:pt>
                <c:pt idx="18">
                  <c:v>0.5</c:v>
                </c:pt>
                <c:pt idx="19">
                  <c:v>0.26865671641791045</c:v>
                </c:pt>
                <c:pt idx="20">
                  <c:v>0.18092105263157895</c:v>
                </c:pt>
                <c:pt idx="21">
                  <c:v>0.45</c:v>
                </c:pt>
                <c:pt idx="22">
                  <c:v>0</c:v>
                </c:pt>
                <c:pt idx="23">
                  <c:v>0.31034482758620691</c:v>
                </c:pt>
                <c:pt idx="24">
                  <c:v>0.4</c:v>
                </c:pt>
                <c:pt idx="25">
                  <c:v>0.26954177897574122</c:v>
                </c:pt>
                <c:pt idx="26">
                  <c:v>#N/A</c:v>
                </c:pt>
                <c:pt idx="27">
                  <c:v>0.3125</c:v>
                </c:pt>
                <c:pt idx="28">
                  <c:v>0.23255813953488372</c:v>
                </c:pt>
                <c:pt idx="29">
                  <c:v>0.34615384615384615</c:v>
                </c:pt>
                <c:pt idx="30">
                  <c:v>0.1609159347553325</c:v>
                </c:pt>
                <c:pt idx="31">
                  <c:v>0.42944785276073622</c:v>
                </c:pt>
              </c:numCache>
            </c:numRef>
          </c:yVal>
          <c:smooth val="0"/>
          <c:extLst>
            <c:ext xmlns:c16="http://schemas.microsoft.com/office/drawing/2014/chart" uri="{C3380CC4-5D6E-409C-BE32-E72D297353CC}">
              <c16:uniqueId val="{00000002-B620-4591-8AF5-628D9810F76C}"/>
            </c:ext>
          </c:extLst>
        </c:ser>
        <c:ser>
          <c:idx val="3"/>
          <c:order val="3"/>
          <c:spPr>
            <a:ln w="6350" cap="rnd">
              <a:solidFill>
                <a:schemeClr val="tx1"/>
              </a:solidFill>
              <a:prstDash val="dash"/>
              <a:round/>
            </a:ln>
            <a:effectLst/>
          </c:spPr>
          <c:marker>
            <c:symbol val="circle"/>
            <c:size val="5"/>
            <c:spPr>
              <a:noFill/>
              <a:ln w="9525">
                <a:noFill/>
              </a:ln>
              <a:effectLst/>
            </c:spPr>
          </c:marker>
          <c:xVal>
            <c:numRef>
              <c:f>T_Stat!$Q$37:$T$37</c:f>
              <c:numCache>
                <c:formatCode>General</c:formatCode>
                <c:ptCount val="4"/>
                <c:pt idx="0">
                  <c:v>0.5</c:v>
                </c:pt>
                <c:pt idx="1">
                  <c:v>2.5</c:v>
                </c:pt>
                <c:pt idx="2">
                  <c:v>3.5</c:v>
                </c:pt>
                <c:pt idx="3">
                  <c:v>4.5</c:v>
                </c:pt>
              </c:numCache>
            </c:numRef>
          </c:xVal>
          <c:yVal>
            <c:numRef>
              <c:f>T_Stat!$Q$38:$T$38</c:f>
              <c:numCache>
                <c:formatCode>General</c:formatCode>
                <c:ptCount val="4"/>
                <c:pt idx="0">
                  <c:v>0.25</c:v>
                </c:pt>
                <c:pt idx="1">
                  <c:v>0.25</c:v>
                </c:pt>
                <c:pt idx="2">
                  <c:v>0.25</c:v>
                </c:pt>
                <c:pt idx="3">
                  <c:v>0.25</c:v>
                </c:pt>
              </c:numCache>
            </c:numRef>
          </c:yVal>
          <c:smooth val="0"/>
          <c:extLst>
            <c:ext xmlns:c16="http://schemas.microsoft.com/office/drawing/2014/chart" uri="{C3380CC4-5D6E-409C-BE32-E72D297353CC}">
              <c16:uniqueId val="{00000003-B620-4591-8AF5-628D9810F76C}"/>
            </c:ext>
          </c:extLst>
        </c:ser>
        <c:ser>
          <c:idx val="4"/>
          <c:order val="4"/>
          <c:tx>
            <c:strRef>
              <c:f>T_Stat!$S$1</c:f>
              <c:strCache>
                <c:ptCount val="1"/>
                <c:pt idx="0">
                  <c:v>Bioaccumulation Potential</c:v>
                </c:pt>
              </c:strCache>
            </c:strRef>
          </c:tx>
          <c:spPr>
            <a:ln w="25400" cap="rnd">
              <a:noFill/>
              <a:round/>
            </a:ln>
            <a:effectLst/>
          </c:spPr>
          <c:marker>
            <c:symbol val="circle"/>
            <c:size val="5"/>
            <c:spPr>
              <a:noFill/>
              <a:ln w="9525">
                <a:solidFill>
                  <a:schemeClr val="tx1"/>
                </a:solidFill>
              </a:ln>
              <a:effectLst/>
            </c:spPr>
          </c:marker>
          <c:xVal>
            <c:numRef>
              <c:f>T_Stat!$AI$3:$AI$34</c:f>
              <c:numCache>
                <c:formatCode>0</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xVal>
          <c:yVal>
            <c:numRef>
              <c:f>T_Stat!$S$3:$S$34</c:f>
              <c:numCache>
                <c:formatCode>0.00</c:formatCode>
                <c:ptCount val="32"/>
                <c:pt idx="0">
                  <c:v>0.20766773162939298</c:v>
                </c:pt>
                <c:pt idx="1">
                  <c:v>0.31223628691983124</c:v>
                </c:pt>
                <c:pt idx="2">
                  <c:v>0.2</c:v>
                </c:pt>
                <c:pt idx="3">
                  <c:v>0.29166666666666669</c:v>
                </c:pt>
                <c:pt idx="4">
                  <c:v>0.29239766081871343</c:v>
                </c:pt>
                <c:pt idx="5">
                  <c:v>7.0422535211267609E-2</c:v>
                </c:pt>
                <c:pt idx="6">
                  <c:v>0.22624434389140272</c:v>
                </c:pt>
                <c:pt idx="7">
                  <c:v>0.1484375</c:v>
                </c:pt>
                <c:pt idx="8">
                  <c:v>#N/A</c:v>
                </c:pt>
                <c:pt idx="9">
                  <c:v>0.25</c:v>
                </c:pt>
                <c:pt idx="10">
                  <c:v>0.39215686274509803</c:v>
                </c:pt>
                <c:pt idx="11">
                  <c:v>0.34722222222222221</c:v>
                </c:pt>
                <c:pt idx="12">
                  <c:v>0.25735294117647056</c:v>
                </c:pt>
                <c:pt idx="13">
                  <c:v>0.24012158054711247</c:v>
                </c:pt>
                <c:pt idx="14">
                  <c:v>0.23809523809523808</c:v>
                </c:pt>
                <c:pt idx="15">
                  <c:v>0.36363636363636365</c:v>
                </c:pt>
                <c:pt idx="16">
                  <c:v>0.25</c:v>
                </c:pt>
                <c:pt idx="17">
                  <c:v>0</c:v>
                </c:pt>
                <c:pt idx="18">
                  <c:v>0.14000000000000001</c:v>
                </c:pt>
                <c:pt idx="19">
                  <c:v>0.2537313432835821</c:v>
                </c:pt>
                <c:pt idx="20">
                  <c:v>0.27302631578947367</c:v>
                </c:pt>
                <c:pt idx="21">
                  <c:v>0.5</c:v>
                </c:pt>
                <c:pt idx="22">
                  <c:v>0</c:v>
                </c:pt>
                <c:pt idx="23">
                  <c:v>0.34482758620689657</c:v>
                </c:pt>
                <c:pt idx="24">
                  <c:v>0.3</c:v>
                </c:pt>
                <c:pt idx="25">
                  <c:v>0.26954177897574122</c:v>
                </c:pt>
                <c:pt idx="26">
                  <c:v>#N/A</c:v>
                </c:pt>
                <c:pt idx="27">
                  <c:v>0.1875</c:v>
                </c:pt>
                <c:pt idx="28">
                  <c:v>0.16943521594684385</c:v>
                </c:pt>
                <c:pt idx="29">
                  <c:v>0.38461538461538464</c:v>
                </c:pt>
                <c:pt idx="30">
                  <c:v>0.29799247176913424</c:v>
                </c:pt>
                <c:pt idx="31">
                  <c:v>6.1349693251533742E-2</c:v>
                </c:pt>
              </c:numCache>
            </c:numRef>
          </c:yVal>
          <c:smooth val="0"/>
          <c:extLst>
            <c:ext xmlns:c16="http://schemas.microsoft.com/office/drawing/2014/chart" uri="{C3380CC4-5D6E-409C-BE32-E72D297353CC}">
              <c16:uniqueId val="{00000004-B620-4591-8AF5-628D9810F76C}"/>
            </c:ext>
          </c:extLst>
        </c:ser>
        <c:ser>
          <c:idx val="5"/>
          <c:order val="5"/>
          <c:tx>
            <c:strRef>
              <c:f>T_Stat!$T$1</c:f>
              <c:strCache>
                <c:ptCount val="1"/>
                <c:pt idx="0">
                  <c:v>ADME</c:v>
                </c:pt>
              </c:strCache>
            </c:strRef>
          </c:tx>
          <c:spPr>
            <a:ln w="25400" cap="rnd">
              <a:noFill/>
              <a:round/>
            </a:ln>
            <a:effectLst/>
          </c:spPr>
          <c:marker>
            <c:symbol val="circle"/>
            <c:size val="5"/>
            <c:spPr>
              <a:noFill/>
              <a:ln w="9525">
                <a:solidFill>
                  <a:schemeClr val="tx1"/>
                </a:solidFill>
              </a:ln>
              <a:effectLst/>
            </c:spPr>
          </c:marker>
          <c:xVal>
            <c:numRef>
              <c:f>T_Stat!$AJ$3:$AJ$34</c:f>
              <c:numCache>
                <c:formatCode>0</c:formatCode>
                <c:ptCount val="32"/>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numCache>
            </c:numRef>
          </c:xVal>
          <c:yVal>
            <c:numRef>
              <c:f>T_Stat!$T$3:$T$34</c:f>
              <c:numCache>
                <c:formatCode>0.00</c:formatCode>
                <c:ptCount val="32"/>
                <c:pt idx="0">
                  <c:v>0.26198083067092653</c:v>
                </c:pt>
                <c:pt idx="1">
                  <c:v>0.4219409282700422</c:v>
                </c:pt>
                <c:pt idx="2">
                  <c:v>0.5</c:v>
                </c:pt>
                <c:pt idx="3">
                  <c:v>0.41666666666666669</c:v>
                </c:pt>
                <c:pt idx="4">
                  <c:v>0.29239766081871343</c:v>
                </c:pt>
                <c:pt idx="5">
                  <c:v>0.21126760563380281</c:v>
                </c:pt>
                <c:pt idx="6">
                  <c:v>0.45248868778280543</c:v>
                </c:pt>
                <c:pt idx="7">
                  <c:v>0.78125</c:v>
                </c:pt>
                <c:pt idx="8">
                  <c:v>#N/A</c:v>
                </c:pt>
                <c:pt idx="9">
                  <c:v>0.35714285714285715</c:v>
                </c:pt>
                <c:pt idx="10">
                  <c:v>0.39215686274509803</c:v>
                </c:pt>
                <c:pt idx="11">
                  <c:v>0.27281746031746029</c:v>
                </c:pt>
                <c:pt idx="12">
                  <c:v>0.36764705882352944</c:v>
                </c:pt>
                <c:pt idx="13">
                  <c:v>0.22796352583586627</c:v>
                </c:pt>
                <c:pt idx="14">
                  <c:v>0.31746031746031744</c:v>
                </c:pt>
                <c:pt idx="15">
                  <c:v>0.18181818181818182</c:v>
                </c:pt>
                <c:pt idx="16">
                  <c:v>8.3333333333333329E-2</c:v>
                </c:pt>
                <c:pt idx="17">
                  <c:v>1</c:v>
                </c:pt>
                <c:pt idx="18">
                  <c:v>0.06</c:v>
                </c:pt>
                <c:pt idx="19">
                  <c:v>0.17910447761194029</c:v>
                </c:pt>
                <c:pt idx="20">
                  <c:v>0.21710526315789475</c:v>
                </c:pt>
                <c:pt idx="21">
                  <c:v>0.05</c:v>
                </c:pt>
                <c:pt idx="22">
                  <c:v>1</c:v>
                </c:pt>
                <c:pt idx="23">
                  <c:v>0.17241379310344829</c:v>
                </c:pt>
                <c:pt idx="24">
                  <c:v>0.2</c:v>
                </c:pt>
                <c:pt idx="25">
                  <c:v>0.19137466307277629</c:v>
                </c:pt>
                <c:pt idx="26">
                  <c:v>#N/A</c:v>
                </c:pt>
                <c:pt idx="27">
                  <c:v>0.3125</c:v>
                </c:pt>
                <c:pt idx="28">
                  <c:v>0.26578073089700999</c:v>
                </c:pt>
                <c:pt idx="29">
                  <c:v>0.19230769230769232</c:v>
                </c:pt>
                <c:pt idx="30">
                  <c:v>0.24309912170639902</c:v>
                </c:pt>
                <c:pt idx="31">
                  <c:v>0.31288343558282206</c:v>
                </c:pt>
              </c:numCache>
            </c:numRef>
          </c:yVal>
          <c:smooth val="0"/>
          <c:extLst>
            <c:ext xmlns:c16="http://schemas.microsoft.com/office/drawing/2014/chart" uri="{C3380CC4-5D6E-409C-BE32-E72D297353CC}">
              <c16:uniqueId val="{00000005-B620-4591-8AF5-628D9810F76C}"/>
            </c:ext>
          </c:extLst>
        </c:ser>
        <c:dLbls>
          <c:showLegendKey val="0"/>
          <c:showVal val="0"/>
          <c:showCatName val="0"/>
          <c:showSerName val="0"/>
          <c:showPercent val="0"/>
          <c:showBubbleSize val="0"/>
        </c:dLbls>
        <c:axId val="369983872"/>
        <c:axId val="369988184"/>
      </c:scatterChart>
      <c:catAx>
        <c:axId val="3699838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988184"/>
        <c:crosses val="autoZero"/>
        <c:auto val="1"/>
        <c:lblAlgn val="ctr"/>
        <c:lblOffset val="100"/>
        <c:noMultiLvlLbl val="0"/>
      </c:catAx>
      <c:valAx>
        <c:axId val="369988184"/>
        <c:scaling>
          <c:orientation val="minMax"/>
          <c:max val="1"/>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Weight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983872"/>
        <c:crossesAt val="1"/>
        <c:crossBetween val="between"/>
        <c:majorUnit val="0.2"/>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Mean</c:v>
          </c:tx>
          <c:spPr>
            <a:noFill/>
            <a:ln w="12700">
              <a:solidFill>
                <a:schemeClr val="tx1"/>
              </a:solidFill>
            </a:ln>
            <a:effectLst/>
          </c:spPr>
          <c:invertIfNegative val="0"/>
          <c:cat>
            <c:strRef>
              <c:f>T_Stat!$U$1:$X$1</c:f>
              <c:strCache>
                <c:ptCount val="4"/>
                <c:pt idx="0">
                  <c:v>Ubiquity - Production</c:v>
                </c:pt>
                <c:pt idx="1">
                  <c:v>Activity - Production</c:v>
                </c:pt>
                <c:pt idx="2">
                  <c:v>Subject - Production</c:v>
                </c:pt>
                <c:pt idx="3">
                  <c:v>Environment - Production</c:v>
                </c:pt>
              </c:strCache>
            </c:strRef>
          </c:cat>
          <c:val>
            <c:numRef>
              <c:f>T_Stat!$U$36:$X$36</c:f>
              <c:numCache>
                <c:formatCode>0.00</c:formatCode>
                <c:ptCount val="4"/>
                <c:pt idx="0">
                  <c:v>0.2935976455626137</c:v>
                </c:pt>
                <c:pt idx="1">
                  <c:v>0.32679498547655506</c:v>
                </c:pt>
                <c:pt idx="2">
                  <c:v>0.18636015657742466</c:v>
                </c:pt>
                <c:pt idx="3">
                  <c:v>0.1932472123834065</c:v>
                </c:pt>
              </c:numCache>
            </c:numRef>
          </c:val>
          <c:extLst>
            <c:ext xmlns:c16="http://schemas.microsoft.com/office/drawing/2014/chart" uri="{C3380CC4-5D6E-409C-BE32-E72D297353CC}">
              <c16:uniqueId val="{00000000-CD6E-46C0-A4A3-816331EEA990}"/>
            </c:ext>
          </c:extLst>
        </c:ser>
        <c:dLbls>
          <c:showLegendKey val="0"/>
          <c:showVal val="0"/>
          <c:showCatName val="0"/>
          <c:showSerName val="0"/>
          <c:showPercent val="0"/>
          <c:showBubbleSize val="0"/>
        </c:dLbls>
        <c:gapWidth val="219"/>
        <c:axId val="369987008"/>
        <c:axId val="369987400"/>
      </c:barChart>
      <c:scatterChart>
        <c:scatterStyle val="lineMarker"/>
        <c:varyColors val="0"/>
        <c:ser>
          <c:idx val="3"/>
          <c:order val="1"/>
          <c:tx>
            <c:v>ExpMean</c:v>
          </c:tx>
          <c:spPr>
            <a:ln w="6350" cap="rnd">
              <a:solidFill>
                <a:schemeClr val="tx1"/>
              </a:solidFill>
              <a:prstDash val="dash"/>
              <a:round/>
            </a:ln>
            <a:effectLst/>
          </c:spPr>
          <c:marker>
            <c:symbol val="circle"/>
            <c:size val="5"/>
            <c:spPr>
              <a:noFill/>
              <a:ln w="9525">
                <a:noFill/>
              </a:ln>
              <a:effectLst/>
            </c:spPr>
          </c:marker>
          <c:xVal>
            <c:numRef>
              <c:f>T_Stat!$U$37:$X$37</c:f>
              <c:numCache>
                <c:formatCode>General</c:formatCode>
                <c:ptCount val="4"/>
                <c:pt idx="0">
                  <c:v>0.5</c:v>
                </c:pt>
                <c:pt idx="1">
                  <c:v>2.5</c:v>
                </c:pt>
                <c:pt idx="2">
                  <c:v>3.5</c:v>
                </c:pt>
                <c:pt idx="3">
                  <c:v>4.5</c:v>
                </c:pt>
              </c:numCache>
            </c:numRef>
          </c:xVal>
          <c:yVal>
            <c:numRef>
              <c:f>T_Stat!$U$38:$X$38</c:f>
              <c:numCache>
                <c:formatCode>General</c:formatCode>
                <c:ptCount val="4"/>
                <c:pt idx="0">
                  <c:v>0.25</c:v>
                </c:pt>
                <c:pt idx="1">
                  <c:v>0.25</c:v>
                </c:pt>
                <c:pt idx="2">
                  <c:v>0.25</c:v>
                </c:pt>
                <c:pt idx="3">
                  <c:v>0.25</c:v>
                </c:pt>
              </c:numCache>
            </c:numRef>
          </c:yVal>
          <c:smooth val="0"/>
          <c:extLst>
            <c:ext xmlns:c16="http://schemas.microsoft.com/office/drawing/2014/chart" uri="{C3380CC4-5D6E-409C-BE32-E72D297353CC}">
              <c16:uniqueId val="{00000001-CD6E-46C0-A4A3-816331EEA990}"/>
            </c:ext>
          </c:extLst>
        </c:ser>
        <c:ser>
          <c:idx val="2"/>
          <c:order val="2"/>
          <c:tx>
            <c:strRef>
              <c:f>T_Stat!$U$1</c:f>
              <c:strCache>
                <c:ptCount val="1"/>
                <c:pt idx="0">
                  <c:v>Ubiquity - Production</c:v>
                </c:pt>
              </c:strCache>
            </c:strRef>
          </c:tx>
          <c:spPr>
            <a:ln w="25400" cap="rnd">
              <a:noFill/>
              <a:round/>
            </a:ln>
            <a:effectLst/>
          </c:spPr>
          <c:marker>
            <c:symbol val="circle"/>
            <c:size val="5"/>
            <c:spPr>
              <a:noFill/>
              <a:ln w="9525">
                <a:solidFill>
                  <a:schemeClr val="tx1"/>
                </a:solidFill>
              </a:ln>
              <a:effectLst/>
            </c:spPr>
          </c:marker>
          <c:xVal>
            <c:numRef>
              <c:f>T_Stat!$AG$3:$AG$34</c:f>
              <c:numCache>
                <c:formatCode>0</c:formatCode>
                <c:ptCount val="3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numCache>
            </c:numRef>
          </c:xVal>
          <c:yVal>
            <c:numRef>
              <c:f>T_Stat!$U$3:$U$34</c:f>
              <c:numCache>
                <c:formatCode>0.00</c:formatCode>
                <c:ptCount val="32"/>
                <c:pt idx="0">
                  <c:v>0.29761904761904762</c:v>
                </c:pt>
                <c:pt idx="1">
                  <c:v>0.44247787610619471</c:v>
                </c:pt>
                <c:pt idx="2">
                  <c:v>0.62</c:v>
                </c:pt>
                <c:pt idx="3">
                  <c:v>0.20527859237536658</c:v>
                </c:pt>
                <c:pt idx="4">
                  <c:v>0.26666666666666666</c:v>
                </c:pt>
                <c:pt idx="5">
                  <c:v>0.69444444444444442</c:v>
                </c:pt>
                <c:pt idx="6">
                  <c:v>0.55555555555555558</c:v>
                </c:pt>
                <c:pt idx="7">
                  <c:v>0.16806722689075629</c:v>
                </c:pt>
                <c:pt idx="8">
                  <c:v>#N/A</c:v>
                </c:pt>
                <c:pt idx="9">
                  <c:v>0.12</c:v>
                </c:pt>
                <c:pt idx="10">
                  <c:v>0.34482758620689657</c:v>
                </c:pt>
                <c:pt idx="11">
                  <c:v>0.28409090909090912</c:v>
                </c:pt>
                <c:pt idx="12">
                  <c:v>0.33333333333333331</c:v>
                </c:pt>
                <c:pt idx="13">
                  <c:v>0.15432098765432098</c:v>
                </c:pt>
                <c:pt idx="14">
                  <c:v>0.26470588235294118</c:v>
                </c:pt>
                <c:pt idx="15">
                  <c:v>0.27272727272727271</c:v>
                </c:pt>
                <c:pt idx="16">
                  <c:v>0.05</c:v>
                </c:pt>
                <c:pt idx="17">
                  <c:v>0</c:v>
                </c:pt>
                <c:pt idx="18">
                  <c:v>0.4</c:v>
                </c:pt>
                <c:pt idx="19">
                  <c:v>0.30303030303030304</c:v>
                </c:pt>
                <c:pt idx="20">
                  <c:v>#N/A</c:v>
                </c:pt>
                <c:pt idx="21">
                  <c:v>0.38461538461538464</c:v>
                </c:pt>
                <c:pt idx="22">
                  <c:v>0</c:v>
                </c:pt>
                <c:pt idx="23">
                  <c:v>#N/A</c:v>
                </c:pt>
                <c:pt idx="24">
                  <c:v>0.31779661016949151</c:v>
                </c:pt>
                <c:pt idx="25">
                  <c:v>0.31347962382445144</c:v>
                </c:pt>
                <c:pt idx="26">
                  <c:v>#N/A</c:v>
                </c:pt>
                <c:pt idx="27">
                  <c:v>0.3125</c:v>
                </c:pt>
                <c:pt idx="28">
                  <c:v>0.21875</c:v>
                </c:pt>
                <c:pt idx="29">
                  <c:v>0.30303030303030304</c:v>
                </c:pt>
                <c:pt idx="30">
                  <c:v>0.19806763285024154</c:v>
                </c:pt>
                <c:pt idx="31">
                  <c:v>0.39534883720930231</c:v>
                </c:pt>
              </c:numCache>
            </c:numRef>
          </c:yVal>
          <c:smooth val="0"/>
          <c:extLst>
            <c:ext xmlns:c16="http://schemas.microsoft.com/office/drawing/2014/chart" uri="{C3380CC4-5D6E-409C-BE32-E72D297353CC}">
              <c16:uniqueId val="{00000002-CD6E-46C0-A4A3-816331EEA990}"/>
            </c:ext>
          </c:extLst>
        </c:ser>
        <c:ser>
          <c:idx val="1"/>
          <c:order val="3"/>
          <c:tx>
            <c:strRef>
              <c:f>T_Stat!$V$1</c:f>
              <c:strCache>
                <c:ptCount val="1"/>
                <c:pt idx="0">
                  <c:v>Activity - Production</c:v>
                </c:pt>
              </c:strCache>
            </c:strRef>
          </c:tx>
          <c:spPr>
            <a:ln w="25400" cap="rnd">
              <a:noFill/>
              <a:round/>
            </a:ln>
            <a:effectLst/>
          </c:spPr>
          <c:marker>
            <c:symbol val="circle"/>
            <c:size val="5"/>
            <c:spPr>
              <a:noFill/>
              <a:ln w="9525">
                <a:solidFill>
                  <a:schemeClr val="tx1"/>
                </a:solidFill>
              </a:ln>
              <a:effectLst/>
            </c:spPr>
          </c:marker>
          <c:xVal>
            <c:numRef>
              <c:f>T_Stat!$AH$3:$AH$34</c:f>
              <c:numCache>
                <c:formatCode>0</c:formatCode>
                <c:ptCount val="3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numCache>
            </c:numRef>
          </c:xVal>
          <c:yVal>
            <c:numRef>
              <c:f>T_Stat!$V$3:$V$34</c:f>
              <c:numCache>
                <c:formatCode>0.00</c:formatCode>
                <c:ptCount val="32"/>
                <c:pt idx="0">
                  <c:v>0.25892857142857145</c:v>
                </c:pt>
                <c:pt idx="1">
                  <c:v>0.30530973451327431</c:v>
                </c:pt>
                <c:pt idx="2">
                  <c:v>0.12000000000000001</c:v>
                </c:pt>
                <c:pt idx="3">
                  <c:v>0.2932551319648094</c:v>
                </c:pt>
                <c:pt idx="4">
                  <c:v>0.33333333333333331</c:v>
                </c:pt>
                <c:pt idx="5">
                  <c:v>0.22916666666666666</c:v>
                </c:pt>
                <c:pt idx="6">
                  <c:v>0.1111111111111111</c:v>
                </c:pt>
                <c:pt idx="7">
                  <c:v>0.28991596638655459</c:v>
                </c:pt>
                <c:pt idx="8">
                  <c:v>#N/A</c:v>
                </c:pt>
                <c:pt idx="9">
                  <c:v>0.4</c:v>
                </c:pt>
                <c:pt idx="10">
                  <c:v>0.2413793103448276</c:v>
                </c:pt>
                <c:pt idx="11">
                  <c:v>0.28409090909090912</c:v>
                </c:pt>
                <c:pt idx="12">
                  <c:v>0.16666666666666666</c:v>
                </c:pt>
                <c:pt idx="13">
                  <c:v>0.30864197530864196</c:v>
                </c:pt>
                <c:pt idx="14">
                  <c:v>0.29411764705882354</c:v>
                </c:pt>
                <c:pt idx="15">
                  <c:v>0.30303030303030304</c:v>
                </c:pt>
                <c:pt idx="16">
                  <c:v>0.5</c:v>
                </c:pt>
                <c:pt idx="17">
                  <c:v>1</c:v>
                </c:pt>
                <c:pt idx="18">
                  <c:v>0.2</c:v>
                </c:pt>
                <c:pt idx="19">
                  <c:v>0.25757575757575757</c:v>
                </c:pt>
                <c:pt idx="20">
                  <c:v>#N/A</c:v>
                </c:pt>
                <c:pt idx="21">
                  <c:v>0.34615384615384615</c:v>
                </c:pt>
                <c:pt idx="22">
                  <c:v>1</c:v>
                </c:pt>
                <c:pt idx="23">
                  <c:v>#N/A</c:v>
                </c:pt>
                <c:pt idx="24">
                  <c:v>0.42372881355932202</c:v>
                </c:pt>
                <c:pt idx="25">
                  <c:v>0.2476489028213166</c:v>
                </c:pt>
                <c:pt idx="26">
                  <c:v>#N/A</c:v>
                </c:pt>
                <c:pt idx="27">
                  <c:v>0.3125</c:v>
                </c:pt>
                <c:pt idx="28">
                  <c:v>0.34722222222222221</c:v>
                </c:pt>
                <c:pt idx="29">
                  <c:v>0.30303030303030304</c:v>
                </c:pt>
                <c:pt idx="30">
                  <c:v>0.26570048309178745</c:v>
                </c:pt>
                <c:pt idx="31">
                  <c:v>7.7519379844961239E-3</c:v>
                </c:pt>
              </c:numCache>
            </c:numRef>
          </c:yVal>
          <c:smooth val="0"/>
          <c:extLst>
            <c:ext xmlns:c16="http://schemas.microsoft.com/office/drawing/2014/chart" uri="{C3380CC4-5D6E-409C-BE32-E72D297353CC}">
              <c16:uniqueId val="{00000003-CD6E-46C0-A4A3-816331EEA990}"/>
            </c:ext>
          </c:extLst>
        </c:ser>
        <c:ser>
          <c:idx val="4"/>
          <c:order val="4"/>
          <c:tx>
            <c:strRef>
              <c:f>T_Stat!$W$1</c:f>
              <c:strCache>
                <c:ptCount val="1"/>
                <c:pt idx="0">
                  <c:v>Subject - Production</c:v>
                </c:pt>
              </c:strCache>
            </c:strRef>
          </c:tx>
          <c:spPr>
            <a:ln w="25400" cap="rnd">
              <a:noFill/>
              <a:round/>
            </a:ln>
            <a:effectLst/>
          </c:spPr>
          <c:marker>
            <c:symbol val="circle"/>
            <c:size val="5"/>
            <c:spPr>
              <a:noFill/>
              <a:ln w="9525">
                <a:solidFill>
                  <a:schemeClr val="tx1"/>
                </a:solidFill>
              </a:ln>
              <a:effectLst/>
            </c:spPr>
          </c:marker>
          <c:xVal>
            <c:numRef>
              <c:f>T_Stat!$AI$3:$AI$34</c:f>
              <c:numCache>
                <c:formatCode>0</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xVal>
          <c:yVal>
            <c:numRef>
              <c:f>T_Stat!$W$3:$W$34</c:f>
              <c:numCache>
                <c:formatCode>0.00</c:formatCode>
                <c:ptCount val="32"/>
                <c:pt idx="0">
                  <c:v>0.22023809523809523</c:v>
                </c:pt>
                <c:pt idx="1">
                  <c:v>0.12831858407079647</c:v>
                </c:pt>
                <c:pt idx="2">
                  <c:v>0.13</c:v>
                </c:pt>
                <c:pt idx="3">
                  <c:v>0.23753665689149561</c:v>
                </c:pt>
                <c:pt idx="4">
                  <c:v>0.1</c:v>
                </c:pt>
                <c:pt idx="5">
                  <c:v>6.9444444444444441E-3</c:v>
                </c:pt>
                <c:pt idx="6">
                  <c:v>5.5555555555555552E-2</c:v>
                </c:pt>
                <c:pt idx="7">
                  <c:v>0.38655462184873945</c:v>
                </c:pt>
                <c:pt idx="8">
                  <c:v>#N/A</c:v>
                </c:pt>
                <c:pt idx="9">
                  <c:v>0.28000000000000003</c:v>
                </c:pt>
                <c:pt idx="10">
                  <c:v>0.2413793103448276</c:v>
                </c:pt>
                <c:pt idx="11">
                  <c:v>0.28409090909090912</c:v>
                </c:pt>
                <c:pt idx="12">
                  <c:v>0.16666666666666666</c:v>
                </c:pt>
                <c:pt idx="13">
                  <c:v>0.30555555555555558</c:v>
                </c:pt>
                <c:pt idx="14">
                  <c:v>0.23529411764705882</c:v>
                </c:pt>
                <c:pt idx="15">
                  <c:v>0.18181818181818182</c:v>
                </c:pt>
                <c:pt idx="16">
                  <c:v>0.4</c:v>
                </c:pt>
                <c:pt idx="17">
                  <c:v>0</c:v>
                </c:pt>
                <c:pt idx="18">
                  <c:v>0.1</c:v>
                </c:pt>
                <c:pt idx="19">
                  <c:v>0.21212121212121213</c:v>
                </c:pt>
                <c:pt idx="20">
                  <c:v>#N/A</c:v>
                </c:pt>
                <c:pt idx="21">
                  <c:v>7.6923076923076927E-2</c:v>
                </c:pt>
                <c:pt idx="22">
                  <c:v>0</c:v>
                </c:pt>
                <c:pt idx="23">
                  <c:v>#N/A</c:v>
                </c:pt>
                <c:pt idx="24">
                  <c:v>0.21610169491525424</c:v>
                </c:pt>
                <c:pt idx="25">
                  <c:v>0.15673981191222572</c:v>
                </c:pt>
                <c:pt idx="26">
                  <c:v>#N/A</c:v>
                </c:pt>
                <c:pt idx="27">
                  <c:v>0.125</c:v>
                </c:pt>
                <c:pt idx="28">
                  <c:v>0.14930555555555555</c:v>
                </c:pt>
                <c:pt idx="29">
                  <c:v>0.21212121212121213</c:v>
                </c:pt>
                <c:pt idx="30">
                  <c:v>0.22222222222222224</c:v>
                </c:pt>
                <c:pt idx="31">
                  <c:v>0.38759689922480617</c:v>
                </c:pt>
              </c:numCache>
            </c:numRef>
          </c:yVal>
          <c:smooth val="0"/>
          <c:extLst>
            <c:ext xmlns:c16="http://schemas.microsoft.com/office/drawing/2014/chart" uri="{C3380CC4-5D6E-409C-BE32-E72D297353CC}">
              <c16:uniqueId val="{00000004-CD6E-46C0-A4A3-816331EEA990}"/>
            </c:ext>
          </c:extLst>
        </c:ser>
        <c:ser>
          <c:idx val="5"/>
          <c:order val="5"/>
          <c:tx>
            <c:strRef>
              <c:f>T_Stat!$X$1</c:f>
              <c:strCache>
                <c:ptCount val="1"/>
                <c:pt idx="0">
                  <c:v>Environment - Production</c:v>
                </c:pt>
              </c:strCache>
            </c:strRef>
          </c:tx>
          <c:spPr>
            <a:ln w="25400" cap="rnd">
              <a:noFill/>
              <a:round/>
            </a:ln>
            <a:effectLst/>
          </c:spPr>
          <c:marker>
            <c:symbol val="circle"/>
            <c:size val="5"/>
            <c:spPr>
              <a:noFill/>
              <a:ln w="9525">
                <a:solidFill>
                  <a:schemeClr val="tx1"/>
                </a:solidFill>
              </a:ln>
              <a:effectLst/>
            </c:spPr>
          </c:marker>
          <c:xVal>
            <c:numRef>
              <c:f>T_Stat!$AJ$3:$AJ$34</c:f>
              <c:numCache>
                <c:formatCode>0</c:formatCode>
                <c:ptCount val="32"/>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numCache>
            </c:numRef>
          </c:xVal>
          <c:yVal>
            <c:numRef>
              <c:f>T_Stat!$X$3:$X$34</c:f>
              <c:numCache>
                <c:formatCode>0.00</c:formatCode>
                <c:ptCount val="32"/>
                <c:pt idx="0">
                  <c:v>0.22321428571428573</c:v>
                </c:pt>
                <c:pt idx="1">
                  <c:v>0.12389380530973451</c:v>
                </c:pt>
                <c:pt idx="2">
                  <c:v>0.13</c:v>
                </c:pt>
                <c:pt idx="3">
                  <c:v>0.26392961876832843</c:v>
                </c:pt>
                <c:pt idx="4">
                  <c:v>0.3</c:v>
                </c:pt>
                <c:pt idx="5">
                  <c:v>6.9444444444444448E-2</c:v>
                </c:pt>
                <c:pt idx="6">
                  <c:v>0.27777777777777779</c:v>
                </c:pt>
                <c:pt idx="7">
                  <c:v>0.15546218487394958</c:v>
                </c:pt>
                <c:pt idx="8">
                  <c:v>#N/A</c:v>
                </c:pt>
                <c:pt idx="9">
                  <c:v>0.2</c:v>
                </c:pt>
                <c:pt idx="10">
                  <c:v>0.17241379310344829</c:v>
                </c:pt>
                <c:pt idx="11">
                  <c:v>0.14772727272727273</c:v>
                </c:pt>
                <c:pt idx="12">
                  <c:v>0.33333333333333331</c:v>
                </c:pt>
                <c:pt idx="13">
                  <c:v>0.23148148148148148</c:v>
                </c:pt>
                <c:pt idx="14">
                  <c:v>0.20588235294117646</c:v>
                </c:pt>
                <c:pt idx="15">
                  <c:v>0.24242424242424243</c:v>
                </c:pt>
                <c:pt idx="16">
                  <c:v>0.05</c:v>
                </c:pt>
                <c:pt idx="17">
                  <c:v>0</c:v>
                </c:pt>
                <c:pt idx="18">
                  <c:v>0.3</c:v>
                </c:pt>
                <c:pt idx="19">
                  <c:v>0.22727272727272727</c:v>
                </c:pt>
                <c:pt idx="20">
                  <c:v>#N/A</c:v>
                </c:pt>
                <c:pt idx="21">
                  <c:v>0.19230769230769232</c:v>
                </c:pt>
                <c:pt idx="22">
                  <c:v>0</c:v>
                </c:pt>
                <c:pt idx="23">
                  <c:v>#N/A</c:v>
                </c:pt>
                <c:pt idx="24">
                  <c:v>4.2372881355932202E-2</c:v>
                </c:pt>
                <c:pt idx="25">
                  <c:v>0.28213166144200624</c:v>
                </c:pt>
                <c:pt idx="26">
                  <c:v>#N/A</c:v>
                </c:pt>
                <c:pt idx="27">
                  <c:v>0.25</c:v>
                </c:pt>
                <c:pt idx="28">
                  <c:v>0.28472222222222221</c:v>
                </c:pt>
                <c:pt idx="29">
                  <c:v>0.18181818181818182</c:v>
                </c:pt>
                <c:pt idx="30">
                  <c:v>0.3140096618357488</c:v>
                </c:pt>
                <c:pt idx="31">
                  <c:v>0.20930232558139536</c:v>
                </c:pt>
              </c:numCache>
            </c:numRef>
          </c:yVal>
          <c:smooth val="0"/>
          <c:extLst>
            <c:ext xmlns:c16="http://schemas.microsoft.com/office/drawing/2014/chart" uri="{C3380CC4-5D6E-409C-BE32-E72D297353CC}">
              <c16:uniqueId val="{00000005-CD6E-46C0-A4A3-816331EEA990}"/>
            </c:ext>
          </c:extLst>
        </c:ser>
        <c:dLbls>
          <c:showLegendKey val="0"/>
          <c:showVal val="0"/>
          <c:showCatName val="0"/>
          <c:showSerName val="0"/>
          <c:showPercent val="0"/>
          <c:showBubbleSize val="0"/>
        </c:dLbls>
        <c:axId val="369987008"/>
        <c:axId val="369987400"/>
      </c:scatterChart>
      <c:catAx>
        <c:axId val="3699870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987400"/>
        <c:crosses val="autoZero"/>
        <c:auto val="1"/>
        <c:lblAlgn val="ctr"/>
        <c:lblOffset val="100"/>
        <c:noMultiLvlLbl val="0"/>
      </c:catAx>
      <c:valAx>
        <c:axId val="369987400"/>
        <c:scaling>
          <c:orientation val="minMax"/>
          <c:max val="1"/>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Weight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987008"/>
        <c:crossesAt val="1"/>
        <c:crossBetween val="between"/>
        <c:majorUnit val="0.2"/>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Mean</c:v>
          </c:tx>
          <c:spPr>
            <a:noFill/>
            <a:ln w="12700">
              <a:solidFill>
                <a:schemeClr val="tx1"/>
              </a:solidFill>
            </a:ln>
            <a:effectLst/>
          </c:spPr>
          <c:invertIfNegative val="0"/>
          <c:cat>
            <c:strRef>
              <c:f>T_Stat!$Y$1:$AB$1</c:f>
              <c:strCache>
                <c:ptCount val="4"/>
                <c:pt idx="0">
                  <c:v>Ubiquity - Consumer Use</c:v>
                </c:pt>
                <c:pt idx="1">
                  <c:v>Activity - Consumer Use</c:v>
                </c:pt>
                <c:pt idx="2">
                  <c:v>Subject - Consumer Use</c:v>
                </c:pt>
                <c:pt idx="3">
                  <c:v>Environment - Consumer Use</c:v>
                </c:pt>
              </c:strCache>
            </c:strRef>
          </c:cat>
          <c:val>
            <c:numRef>
              <c:f>T_Stat!$Y$36:$AB$36</c:f>
              <c:numCache>
                <c:formatCode>0.00</c:formatCode>
                <c:ptCount val="4"/>
                <c:pt idx="0">
                  <c:v>0.29748296390023521</c:v>
                </c:pt>
                <c:pt idx="1">
                  <c:v>0.30564158279059456</c:v>
                </c:pt>
                <c:pt idx="2">
                  <c:v>0.23244760499148415</c:v>
                </c:pt>
                <c:pt idx="3">
                  <c:v>0.16442784831768598</c:v>
                </c:pt>
              </c:numCache>
            </c:numRef>
          </c:val>
          <c:extLst>
            <c:ext xmlns:c16="http://schemas.microsoft.com/office/drawing/2014/chart" uri="{C3380CC4-5D6E-409C-BE32-E72D297353CC}">
              <c16:uniqueId val="{00000000-1BC3-4C71-A8DA-0758106C17B9}"/>
            </c:ext>
          </c:extLst>
        </c:ser>
        <c:dLbls>
          <c:showLegendKey val="0"/>
          <c:showVal val="0"/>
          <c:showCatName val="0"/>
          <c:showSerName val="0"/>
          <c:showPercent val="0"/>
          <c:showBubbleSize val="0"/>
        </c:dLbls>
        <c:gapWidth val="219"/>
        <c:axId val="369986616"/>
        <c:axId val="369990536"/>
      </c:barChart>
      <c:scatterChart>
        <c:scatterStyle val="lineMarker"/>
        <c:varyColors val="0"/>
        <c:ser>
          <c:idx val="3"/>
          <c:order val="1"/>
          <c:tx>
            <c:v>ExpMean</c:v>
          </c:tx>
          <c:spPr>
            <a:ln w="6350" cap="rnd">
              <a:solidFill>
                <a:schemeClr val="tx1"/>
              </a:solidFill>
              <a:prstDash val="dash"/>
              <a:round/>
            </a:ln>
            <a:effectLst/>
          </c:spPr>
          <c:marker>
            <c:symbol val="circle"/>
            <c:size val="5"/>
            <c:spPr>
              <a:noFill/>
              <a:ln w="9525">
                <a:noFill/>
              </a:ln>
              <a:effectLst/>
            </c:spPr>
          </c:marker>
          <c:xVal>
            <c:numRef>
              <c:f>T_Stat!$Y$37:$AB$37</c:f>
              <c:numCache>
                <c:formatCode>General</c:formatCode>
                <c:ptCount val="4"/>
                <c:pt idx="0">
                  <c:v>0.5</c:v>
                </c:pt>
                <c:pt idx="1">
                  <c:v>2.5</c:v>
                </c:pt>
                <c:pt idx="2">
                  <c:v>3.5</c:v>
                </c:pt>
                <c:pt idx="3">
                  <c:v>4.5</c:v>
                </c:pt>
              </c:numCache>
            </c:numRef>
          </c:xVal>
          <c:yVal>
            <c:numRef>
              <c:f>T_Stat!$Y$38:$AB$38</c:f>
              <c:numCache>
                <c:formatCode>General</c:formatCode>
                <c:ptCount val="4"/>
                <c:pt idx="0">
                  <c:v>0.25</c:v>
                </c:pt>
                <c:pt idx="1">
                  <c:v>0.25</c:v>
                </c:pt>
                <c:pt idx="2">
                  <c:v>0.25</c:v>
                </c:pt>
                <c:pt idx="3">
                  <c:v>0.25</c:v>
                </c:pt>
              </c:numCache>
            </c:numRef>
          </c:yVal>
          <c:smooth val="0"/>
          <c:extLst>
            <c:ext xmlns:c16="http://schemas.microsoft.com/office/drawing/2014/chart" uri="{C3380CC4-5D6E-409C-BE32-E72D297353CC}">
              <c16:uniqueId val="{00000001-1BC3-4C71-A8DA-0758106C17B9}"/>
            </c:ext>
          </c:extLst>
        </c:ser>
        <c:ser>
          <c:idx val="2"/>
          <c:order val="2"/>
          <c:tx>
            <c:strRef>
              <c:f>T_Stat!$Y$1</c:f>
              <c:strCache>
                <c:ptCount val="1"/>
                <c:pt idx="0">
                  <c:v>Ubiquity - Consumer Use</c:v>
                </c:pt>
              </c:strCache>
            </c:strRef>
          </c:tx>
          <c:spPr>
            <a:ln w="25400" cap="rnd">
              <a:noFill/>
              <a:round/>
            </a:ln>
            <a:effectLst/>
          </c:spPr>
          <c:marker>
            <c:symbol val="circle"/>
            <c:size val="5"/>
            <c:spPr>
              <a:noFill/>
              <a:ln w="9525">
                <a:solidFill>
                  <a:schemeClr val="tx1"/>
                </a:solidFill>
              </a:ln>
              <a:effectLst/>
            </c:spPr>
          </c:marker>
          <c:xVal>
            <c:numRef>
              <c:f>T_Stat!$AG$3:$AG$34</c:f>
              <c:numCache>
                <c:formatCode>0</c:formatCode>
                <c:ptCount val="3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numCache>
            </c:numRef>
          </c:xVal>
          <c:yVal>
            <c:numRef>
              <c:f>T_Stat!$Y$3:$Y$34</c:f>
              <c:numCache>
                <c:formatCode>0.00</c:formatCode>
                <c:ptCount val="32"/>
                <c:pt idx="0">
                  <c:v>0.33783783783783783</c:v>
                </c:pt>
                <c:pt idx="1">
                  <c:v>0.39215686274509803</c:v>
                </c:pt>
                <c:pt idx="2">
                  <c:v>0.60396039603960405</c:v>
                </c:pt>
                <c:pt idx="3">
                  <c:v>0.23076923076923078</c:v>
                </c:pt>
                <c:pt idx="4">
                  <c:v>0.2857142857142857</c:v>
                </c:pt>
                <c:pt idx="5">
                  <c:v>0.65359477124183007</c:v>
                </c:pt>
                <c:pt idx="6">
                  <c:v>0.30303030303030304</c:v>
                </c:pt>
                <c:pt idx="7">
                  <c:v>0.13488372093023257</c:v>
                </c:pt>
                <c:pt idx="8">
                  <c:v>#N/A</c:v>
                </c:pt>
                <c:pt idx="9">
                  <c:v>0.12</c:v>
                </c:pt>
                <c:pt idx="10">
                  <c:v>0.28469750889679718</c:v>
                </c:pt>
                <c:pt idx="11">
                  <c:v>0.24315068493150685</c:v>
                </c:pt>
                <c:pt idx="12">
                  <c:v>0.49019607843137253</c:v>
                </c:pt>
                <c:pt idx="13">
                  <c:v>0.3125</c:v>
                </c:pt>
                <c:pt idx="14">
                  <c:v>0.21428571428571427</c:v>
                </c:pt>
                <c:pt idx="15">
                  <c:v>0.25352112676056338</c:v>
                </c:pt>
                <c:pt idx="16">
                  <c:v>9.0909090909090912E-2</c:v>
                </c:pt>
                <c:pt idx="17">
                  <c:v>0</c:v>
                </c:pt>
                <c:pt idx="18">
                  <c:v>0.1368421052631579</c:v>
                </c:pt>
                <c:pt idx="19">
                  <c:v>0.28169014084507044</c:v>
                </c:pt>
                <c:pt idx="20">
                  <c:v>#N/A</c:v>
                </c:pt>
                <c:pt idx="21">
                  <c:v>0.32142857142857145</c:v>
                </c:pt>
                <c:pt idx="22">
                  <c:v>0.5</c:v>
                </c:pt>
                <c:pt idx="23">
                  <c:v>#N/A</c:v>
                </c:pt>
                <c:pt idx="24">
                  <c:v>0.31914893617021278</c:v>
                </c:pt>
                <c:pt idx="25">
                  <c:v>0.3125</c:v>
                </c:pt>
                <c:pt idx="26">
                  <c:v>#N/A</c:v>
                </c:pt>
                <c:pt idx="27">
                  <c:v>0.35714285714285715</c:v>
                </c:pt>
                <c:pt idx="28">
                  <c:v>0.26797385620915032</c:v>
                </c:pt>
                <c:pt idx="29">
                  <c:v>0.32258064516129031</c:v>
                </c:pt>
                <c:pt idx="30">
                  <c:v>0.21900826446280994</c:v>
                </c:pt>
                <c:pt idx="31">
                  <c:v>0.34</c:v>
                </c:pt>
              </c:numCache>
            </c:numRef>
          </c:yVal>
          <c:smooth val="0"/>
          <c:extLst>
            <c:ext xmlns:c16="http://schemas.microsoft.com/office/drawing/2014/chart" uri="{C3380CC4-5D6E-409C-BE32-E72D297353CC}">
              <c16:uniqueId val="{00000002-1BC3-4C71-A8DA-0758106C17B9}"/>
            </c:ext>
          </c:extLst>
        </c:ser>
        <c:ser>
          <c:idx val="1"/>
          <c:order val="3"/>
          <c:tx>
            <c:strRef>
              <c:f>T_Stat!$Z$1</c:f>
              <c:strCache>
                <c:ptCount val="1"/>
                <c:pt idx="0">
                  <c:v>Activity - Consumer Use</c:v>
                </c:pt>
              </c:strCache>
            </c:strRef>
          </c:tx>
          <c:spPr>
            <a:ln w="25400" cap="rnd">
              <a:noFill/>
              <a:round/>
            </a:ln>
            <a:effectLst/>
          </c:spPr>
          <c:marker>
            <c:symbol val="circle"/>
            <c:size val="5"/>
            <c:spPr>
              <a:noFill/>
              <a:ln w="9525">
                <a:solidFill>
                  <a:schemeClr val="tx1"/>
                </a:solidFill>
              </a:ln>
              <a:effectLst/>
            </c:spPr>
          </c:marker>
          <c:xVal>
            <c:numRef>
              <c:f>T_Stat!$AH$3:$AH$34</c:f>
              <c:numCache>
                <c:formatCode>0</c:formatCode>
                <c:ptCount val="3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numCache>
            </c:numRef>
          </c:xVal>
          <c:yVal>
            <c:numRef>
              <c:f>T_Stat!$Z$3:$Z$34</c:f>
              <c:numCache>
                <c:formatCode>0.00</c:formatCode>
                <c:ptCount val="32"/>
                <c:pt idx="0">
                  <c:v>0.30067567567567566</c:v>
                </c:pt>
                <c:pt idx="1">
                  <c:v>0.30980392156862746</c:v>
                </c:pt>
                <c:pt idx="2">
                  <c:v>0.12871287128712872</c:v>
                </c:pt>
                <c:pt idx="3">
                  <c:v>0.30769230769230771</c:v>
                </c:pt>
                <c:pt idx="4">
                  <c:v>0.2857142857142857</c:v>
                </c:pt>
                <c:pt idx="5">
                  <c:v>0.21568627450980393</c:v>
                </c:pt>
                <c:pt idx="6">
                  <c:v>0.27272727272727271</c:v>
                </c:pt>
                <c:pt idx="7">
                  <c:v>0.4093023255813954</c:v>
                </c:pt>
                <c:pt idx="8">
                  <c:v>#N/A</c:v>
                </c:pt>
                <c:pt idx="9">
                  <c:v>0.4</c:v>
                </c:pt>
                <c:pt idx="10">
                  <c:v>0.18149466192170818</c:v>
                </c:pt>
                <c:pt idx="11">
                  <c:v>0.31164383561643838</c:v>
                </c:pt>
                <c:pt idx="12">
                  <c:v>0.20098039215686275</c:v>
                </c:pt>
                <c:pt idx="13">
                  <c:v>0.25</c:v>
                </c:pt>
                <c:pt idx="14">
                  <c:v>0.27142857142857141</c:v>
                </c:pt>
                <c:pt idx="15">
                  <c:v>0.28169014084507044</c:v>
                </c:pt>
                <c:pt idx="16">
                  <c:v>0.45454545454545453</c:v>
                </c:pt>
                <c:pt idx="17">
                  <c:v>0.85470085470085466</c:v>
                </c:pt>
                <c:pt idx="18">
                  <c:v>0.25263157894736843</c:v>
                </c:pt>
                <c:pt idx="19">
                  <c:v>0.23943661971830985</c:v>
                </c:pt>
                <c:pt idx="20">
                  <c:v>#N/A</c:v>
                </c:pt>
                <c:pt idx="21">
                  <c:v>0.25</c:v>
                </c:pt>
                <c:pt idx="22">
                  <c:v>0.5</c:v>
                </c:pt>
                <c:pt idx="23">
                  <c:v>#N/A</c:v>
                </c:pt>
                <c:pt idx="24">
                  <c:v>0.42553191489361702</c:v>
                </c:pt>
                <c:pt idx="25">
                  <c:v>0.25</c:v>
                </c:pt>
                <c:pt idx="26">
                  <c:v>#N/A</c:v>
                </c:pt>
                <c:pt idx="27">
                  <c:v>0.25</c:v>
                </c:pt>
                <c:pt idx="28">
                  <c:v>0.32679738562091504</c:v>
                </c:pt>
                <c:pt idx="29">
                  <c:v>0.32258064516129031</c:v>
                </c:pt>
                <c:pt idx="30">
                  <c:v>0.2975206611570248</c:v>
                </c:pt>
                <c:pt idx="31">
                  <c:v>6.6666666666666671E-3</c:v>
                </c:pt>
              </c:numCache>
            </c:numRef>
          </c:yVal>
          <c:smooth val="0"/>
          <c:extLst>
            <c:ext xmlns:c16="http://schemas.microsoft.com/office/drawing/2014/chart" uri="{C3380CC4-5D6E-409C-BE32-E72D297353CC}">
              <c16:uniqueId val="{00000003-1BC3-4C71-A8DA-0758106C17B9}"/>
            </c:ext>
          </c:extLst>
        </c:ser>
        <c:ser>
          <c:idx val="4"/>
          <c:order val="4"/>
          <c:tx>
            <c:strRef>
              <c:f>T_Stat!$AA$1</c:f>
              <c:strCache>
                <c:ptCount val="1"/>
                <c:pt idx="0">
                  <c:v>Subject - Consumer Use</c:v>
                </c:pt>
              </c:strCache>
            </c:strRef>
          </c:tx>
          <c:spPr>
            <a:ln w="25400" cap="rnd">
              <a:noFill/>
              <a:round/>
            </a:ln>
            <a:effectLst/>
          </c:spPr>
          <c:marker>
            <c:symbol val="circle"/>
            <c:size val="5"/>
            <c:spPr>
              <a:noFill/>
              <a:ln w="9525">
                <a:solidFill>
                  <a:schemeClr val="tx1"/>
                </a:solidFill>
              </a:ln>
              <a:effectLst/>
            </c:spPr>
          </c:marker>
          <c:xVal>
            <c:numRef>
              <c:f>T_Stat!$AI$3:$AI$34</c:f>
              <c:numCache>
                <c:formatCode>0</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xVal>
          <c:yVal>
            <c:numRef>
              <c:f>T_Stat!$AA$3:$AA$34</c:f>
              <c:numCache>
                <c:formatCode>0.00</c:formatCode>
                <c:ptCount val="32"/>
                <c:pt idx="0">
                  <c:v>0.17567567567567569</c:v>
                </c:pt>
                <c:pt idx="1">
                  <c:v>0.19607843137254902</c:v>
                </c:pt>
                <c:pt idx="2">
                  <c:v>0.13861386138613863</c:v>
                </c:pt>
                <c:pt idx="3">
                  <c:v>0.23076923076923078</c:v>
                </c:pt>
                <c:pt idx="4">
                  <c:v>0.2857142857142857</c:v>
                </c:pt>
                <c:pt idx="5">
                  <c:v>6.535947712418301E-2</c:v>
                </c:pt>
                <c:pt idx="6">
                  <c:v>0.24242424242424243</c:v>
                </c:pt>
                <c:pt idx="7">
                  <c:v>0.36744186046511629</c:v>
                </c:pt>
                <c:pt idx="8">
                  <c:v>#N/A</c:v>
                </c:pt>
                <c:pt idx="9">
                  <c:v>0.28000000000000003</c:v>
                </c:pt>
                <c:pt idx="10">
                  <c:v>0.35587188612099646</c:v>
                </c:pt>
                <c:pt idx="11">
                  <c:v>0.34246575342465752</c:v>
                </c:pt>
                <c:pt idx="12">
                  <c:v>0.10784313725490197</c:v>
                </c:pt>
                <c:pt idx="13">
                  <c:v>0.21875</c:v>
                </c:pt>
                <c:pt idx="14">
                  <c:v>0.2857142857142857</c:v>
                </c:pt>
                <c:pt idx="15">
                  <c:v>0.25352112676056338</c:v>
                </c:pt>
                <c:pt idx="16">
                  <c:v>0.36363636363636365</c:v>
                </c:pt>
                <c:pt idx="17">
                  <c:v>0</c:v>
                </c:pt>
                <c:pt idx="18">
                  <c:v>0.42105263157894735</c:v>
                </c:pt>
                <c:pt idx="19">
                  <c:v>0.25352112676056338</c:v>
                </c:pt>
                <c:pt idx="20">
                  <c:v>#N/A</c:v>
                </c:pt>
                <c:pt idx="21">
                  <c:v>0.35714285714285715</c:v>
                </c:pt>
                <c:pt idx="22">
                  <c:v>0</c:v>
                </c:pt>
                <c:pt idx="23">
                  <c:v>#N/A</c:v>
                </c:pt>
                <c:pt idx="24">
                  <c:v>0.21276595744680851</c:v>
                </c:pt>
                <c:pt idx="25">
                  <c:v>0.1875</c:v>
                </c:pt>
                <c:pt idx="26">
                  <c:v>#N/A</c:v>
                </c:pt>
                <c:pt idx="27">
                  <c:v>0.14285714285714285</c:v>
                </c:pt>
                <c:pt idx="28">
                  <c:v>0.16993464052287582</c:v>
                </c:pt>
                <c:pt idx="29">
                  <c:v>0.19354838709677419</c:v>
                </c:pt>
                <c:pt idx="30">
                  <c:v>0.26033057851239672</c:v>
                </c:pt>
                <c:pt idx="31">
                  <c:v>0.4</c:v>
                </c:pt>
              </c:numCache>
            </c:numRef>
          </c:yVal>
          <c:smooth val="0"/>
          <c:extLst>
            <c:ext xmlns:c16="http://schemas.microsoft.com/office/drawing/2014/chart" uri="{C3380CC4-5D6E-409C-BE32-E72D297353CC}">
              <c16:uniqueId val="{00000004-1BC3-4C71-A8DA-0758106C17B9}"/>
            </c:ext>
          </c:extLst>
        </c:ser>
        <c:ser>
          <c:idx val="5"/>
          <c:order val="5"/>
          <c:tx>
            <c:strRef>
              <c:f>T_Stat!$X$1</c:f>
              <c:strCache>
                <c:ptCount val="1"/>
                <c:pt idx="0">
                  <c:v>Environment - Production</c:v>
                </c:pt>
              </c:strCache>
            </c:strRef>
          </c:tx>
          <c:spPr>
            <a:ln w="25400" cap="rnd">
              <a:noFill/>
              <a:round/>
            </a:ln>
            <a:effectLst/>
          </c:spPr>
          <c:marker>
            <c:symbol val="circle"/>
            <c:size val="5"/>
            <c:spPr>
              <a:noFill/>
              <a:ln w="9525">
                <a:solidFill>
                  <a:schemeClr val="tx1"/>
                </a:solidFill>
              </a:ln>
              <a:effectLst/>
            </c:spPr>
          </c:marker>
          <c:xVal>
            <c:numRef>
              <c:f>T_Stat!$AJ$3:$AJ$34</c:f>
              <c:numCache>
                <c:formatCode>0</c:formatCode>
                <c:ptCount val="32"/>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numCache>
            </c:numRef>
          </c:xVal>
          <c:yVal>
            <c:numRef>
              <c:f>T_Stat!$AB$3:$AB$34</c:f>
              <c:numCache>
                <c:formatCode>0.00</c:formatCode>
                <c:ptCount val="32"/>
                <c:pt idx="0">
                  <c:v>0.1858108108108108</c:v>
                </c:pt>
                <c:pt idx="1">
                  <c:v>0.10196078431372549</c:v>
                </c:pt>
                <c:pt idx="2">
                  <c:v>0.12871287128712872</c:v>
                </c:pt>
                <c:pt idx="3">
                  <c:v>0.23076923076923078</c:v>
                </c:pt>
                <c:pt idx="4">
                  <c:v>0.14285714285714285</c:v>
                </c:pt>
                <c:pt idx="5">
                  <c:v>6.535947712418301E-2</c:v>
                </c:pt>
                <c:pt idx="6">
                  <c:v>0.18181818181818182</c:v>
                </c:pt>
                <c:pt idx="7">
                  <c:v>8.8372093023255827E-2</c:v>
                </c:pt>
                <c:pt idx="8">
                  <c:v>#N/A</c:v>
                </c:pt>
                <c:pt idx="9">
                  <c:v>0.2</c:v>
                </c:pt>
                <c:pt idx="10">
                  <c:v>0.17793594306049823</c:v>
                </c:pt>
                <c:pt idx="11">
                  <c:v>0.10273972602739725</c:v>
                </c:pt>
                <c:pt idx="12">
                  <c:v>0.20098039215686275</c:v>
                </c:pt>
                <c:pt idx="13">
                  <c:v>0.21875</c:v>
                </c:pt>
                <c:pt idx="14">
                  <c:v>0.22857142857142856</c:v>
                </c:pt>
                <c:pt idx="15">
                  <c:v>0.21126760563380281</c:v>
                </c:pt>
                <c:pt idx="16">
                  <c:v>9.0909090909090912E-2</c:v>
                </c:pt>
                <c:pt idx="17">
                  <c:v>0.14529914529914531</c:v>
                </c:pt>
                <c:pt idx="18">
                  <c:v>0.18947368421052632</c:v>
                </c:pt>
                <c:pt idx="19">
                  <c:v>0.22535211267605634</c:v>
                </c:pt>
                <c:pt idx="20">
                  <c:v>#N/A</c:v>
                </c:pt>
                <c:pt idx="21">
                  <c:v>7.1428571428571425E-2</c:v>
                </c:pt>
                <c:pt idx="22">
                  <c:v>0</c:v>
                </c:pt>
                <c:pt idx="23">
                  <c:v>#N/A</c:v>
                </c:pt>
                <c:pt idx="24">
                  <c:v>4.2553191489361701E-2</c:v>
                </c:pt>
                <c:pt idx="25">
                  <c:v>0.25</c:v>
                </c:pt>
                <c:pt idx="26">
                  <c:v>#N/A</c:v>
                </c:pt>
                <c:pt idx="27">
                  <c:v>0.25</c:v>
                </c:pt>
                <c:pt idx="28">
                  <c:v>0.23529411764705882</c:v>
                </c:pt>
                <c:pt idx="29">
                  <c:v>0.16129032258064516</c:v>
                </c:pt>
                <c:pt idx="30">
                  <c:v>0.2231404958677686</c:v>
                </c:pt>
                <c:pt idx="31">
                  <c:v>0.2533333333333333</c:v>
                </c:pt>
              </c:numCache>
            </c:numRef>
          </c:yVal>
          <c:smooth val="0"/>
          <c:extLst>
            <c:ext xmlns:c16="http://schemas.microsoft.com/office/drawing/2014/chart" uri="{C3380CC4-5D6E-409C-BE32-E72D297353CC}">
              <c16:uniqueId val="{00000005-1BC3-4C71-A8DA-0758106C17B9}"/>
            </c:ext>
          </c:extLst>
        </c:ser>
        <c:dLbls>
          <c:showLegendKey val="0"/>
          <c:showVal val="0"/>
          <c:showCatName val="0"/>
          <c:showSerName val="0"/>
          <c:showPercent val="0"/>
          <c:showBubbleSize val="0"/>
        </c:dLbls>
        <c:axId val="369986616"/>
        <c:axId val="369990536"/>
      </c:scatterChart>
      <c:catAx>
        <c:axId val="3699866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990536"/>
        <c:crosses val="autoZero"/>
        <c:auto val="1"/>
        <c:lblAlgn val="ctr"/>
        <c:lblOffset val="100"/>
        <c:noMultiLvlLbl val="0"/>
      </c:catAx>
      <c:valAx>
        <c:axId val="369990536"/>
        <c:scaling>
          <c:orientation val="minMax"/>
          <c:max val="1"/>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Weight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986616"/>
        <c:crossesAt val="1"/>
        <c:crossBetween val="between"/>
        <c:majorUnit val="0.2"/>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Mean</c:v>
          </c:tx>
          <c:spPr>
            <a:noFill/>
            <a:ln w="12700">
              <a:solidFill>
                <a:schemeClr val="tx1"/>
              </a:solidFill>
            </a:ln>
            <a:effectLst/>
          </c:spPr>
          <c:invertIfNegative val="0"/>
          <c:cat>
            <c:strRef>
              <c:f>T_Stat!$AC$1:$AF$1</c:f>
              <c:strCache>
                <c:ptCount val="4"/>
                <c:pt idx="0">
                  <c:v>Ubiquity - Disposal</c:v>
                </c:pt>
                <c:pt idx="1">
                  <c:v>Activity - Disposal</c:v>
                </c:pt>
                <c:pt idx="2">
                  <c:v>Subject - Disposal</c:v>
                </c:pt>
                <c:pt idx="3">
                  <c:v>Environment - Disposal</c:v>
                </c:pt>
              </c:strCache>
            </c:strRef>
          </c:cat>
          <c:val>
            <c:numRef>
              <c:f>T_Stat!$AC$36:$AF$36</c:f>
              <c:numCache>
                <c:formatCode>0.00</c:formatCode>
                <c:ptCount val="4"/>
                <c:pt idx="0">
                  <c:v>0.38728072862687124</c:v>
                </c:pt>
                <c:pt idx="1">
                  <c:v>0.20973895569369111</c:v>
                </c:pt>
                <c:pt idx="2">
                  <c:v>0.16980159930903377</c:v>
                </c:pt>
                <c:pt idx="3">
                  <c:v>0.23317871637040397</c:v>
                </c:pt>
              </c:numCache>
            </c:numRef>
          </c:val>
          <c:extLst>
            <c:ext xmlns:c16="http://schemas.microsoft.com/office/drawing/2014/chart" uri="{C3380CC4-5D6E-409C-BE32-E72D297353CC}">
              <c16:uniqueId val="{00000000-2EA2-4EF4-B7E3-29DA49546F85}"/>
            </c:ext>
          </c:extLst>
        </c:ser>
        <c:dLbls>
          <c:showLegendKey val="0"/>
          <c:showVal val="0"/>
          <c:showCatName val="0"/>
          <c:showSerName val="0"/>
          <c:showPercent val="0"/>
          <c:showBubbleSize val="0"/>
        </c:dLbls>
        <c:gapWidth val="219"/>
        <c:axId val="369985832"/>
        <c:axId val="369986224"/>
      </c:barChart>
      <c:scatterChart>
        <c:scatterStyle val="lineMarker"/>
        <c:varyColors val="0"/>
        <c:ser>
          <c:idx val="3"/>
          <c:order val="1"/>
          <c:tx>
            <c:v>ExpMean</c:v>
          </c:tx>
          <c:spPr>
            <a:ln w="6350" cap="rnd">
              <a:solidFill>
                <a:schemeClr val="tx1"/>
              </a:solidFill>
              <a:prstDash val="dash"/>
              <a:round/>
            </a:ln>
            <a:effectLst/>
          </c:spPr>
          <c:marker>
            <c:symbol val="circle"/>
            <c:size val="5"/>
            <c:spPr>
              <a:noFill/>
              <a:ln w="9525">
                <a:noFill/>
              </a:ln>
              <a:effectLst/>
            </c:spPr>
          </c:marker>
          <c:xVal>
            <c:numRef>
              <c:f>T_Stat!$AC$37:$AF$37</c:f>
              <c:numCache>
                <c:formatCode>General</c:formatCode>
                <c:ptCount val="4"/>
                <c:pt idx="0">
                  <c:v>0.5</c:v>
                </c:pt>
                <c:pt idx="1">
                  <c:v>2.5</c:v>
                </c:pt>
                <c:pt idx="2">
                  <c:v>3.5</c:v>
                </c:pt>
                <c:pt idx="3">
                  <c:v>4.5</c:v>
                </c:pt>
              </c:numCache>
            </c:numRef>
          </c:xVal>
          <c:yVal>
            <c:numRef>
              <c:f>T_Stat!$AC$38:$AF$38</c:f>
              <c:numCache>
                <c:formatCode>General</c:formatCode>
                <c:ptCount val="4"/>
                <c:pt idx="0">
                  <c:v>0.25</c:v>
                </c:pt>
                <c:pt idx="1">
                  <c:v>0.25</c:v>
                </c:pt>
                <c:pt idx="2">
                  <c:v>0.25</c:v>
                </c:pt>
                <c:pt idx="3">
                  <c:v>0.25</c:v>
                </c:pt>
              </c:numCache>
            </c:numRef>
          </c:yVal>
          <c:smooth val="0"/>
          <c:extLst>
            <c:ext xmlns:c16="http://schemas.microsoft.com/office/drawing/2014/chart" uri="{C3380CC4-5D6E-409C-BE32-E72D297353CC}">
              <c16:uniqueId val="{00000001-2EA2-4EF4-B7E3-29DA49546F85}"/>
            </c:ext>
          </c:extLst>
        </c:ser>
        <c:ser>
          <c:idx val="2"/>
          <c:order val="2"/>
          <c:tx>
            <c:strRef>
              <c:f>T_Stat!$AC$1</c:f>
              <c:strCache>
                <c:ptCount val="1"/>
                <c:pt idx="0">
                  <c:v>Ubiquity - Disposal</c:v>
                </c:pt>
              </c:strCache>
            </c:strRef>
          </c:tx>
          <c:spPr>
            <a:ln w="25400" cap="rnd">
              <a:noFill/>
              <a:round/>
            </a:ln>
            <a:effectLst/>
          </c:spPr>
          <c:marker>
            <c:symbol val="circle"/>
            <c:size val="5"/>
            <c:spPr>
              <a:noFill/>
              <a:ln w="9525">
                <a:solidFill>
                  <a:schemeClr val="tx1"/>
                </a:solidFill>
              </a:ln>
              <a:effectLst/>
            </c:spPr>
          </c:marker>
          <c:xVal>
            <c:numRef>
              <c:f>T_Stat!$AG$3:$AG$34</c:f>
              <c:numCache>
                <c:formatCode>0</c:formatCode>
                <c:ptCount val="3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numCache>
            </c:numRef>
          </c:xVal>
          <c:yVal>
            <c:numRef>
              <c:f>T_Stat!$AC$3:$AC$34</c:f>
              <c:numCache>
                <c:formatCode>0.00</c:formatCode>
                <c:ptCount val="32"/>
                <c:pt idx="0">
                  <c:v>0.29673590504451036</c:v>
                </c:pt>
                <c:pt idx="1">
                  <c:v>0.42735042735042733</c:v>
                </c:pt>
                <c:pt idx="2">
                  <c:v>1</c:v>
                </c:pt>
                <c:pt idx="3">
                  <c:v>0.24358974358974358</c:v>
                </c:pt>
                <c:pt idx="4">
                  <c:v>0.32051282051282054</c:v>
                </c:pt>
                <c:pt idx="5">
                  <c:v>0.86206896551724133</c:v>
                </c:pt>
                <c:pt idx="6">
                  <c:v>0.43478260869565216</c:v>
                </c:pt>
                <c:pt idx="7">
                  <c:v>0.3135313531353135</c:v>
                </c:pt>
                <c:pt idx="8">
                  <c:v>#N/A</c:v>
                </c:pt>
                <c:pt idx="9">
                  <c:v>0.12</c:v>
                </c:pt>
                <c:pt idx="10">
                  <c:v>0.24315068493150685</c:v>
                </c:pt>
                <c:pt idx="11">
                  <c:v>0.26109660574412535</c:v>
                </c:pt>
                <c:pt idx="12">
                  <c:v>0.62893081761006286</c:v>
                </c:pt>
                <c:pt idx="13">
                  <c:v>0.25806451612903225</c:v>
                </c:pt>
                <c:pt idx="14">
                  <c:v>0.25787965616045844</c:v>
                </c:pt>
                <c:pt idx="15">
                  <c:v>0.2608695652173913</c:v>
                </c:pt>
                <c:pt idx="16">
                  <c:v>0.2</c:v>
                </c:pt>
                <c:pt idx="17">
                  <c:v>0.5</c:v>
                </c:pt>
                <c:pt idx="18">
                  <c:v>0.3</c:v>
                </c:pt>
                <c:pt idx="19">
                  <c:v>0.28985507246376813</c:v>
                </c:pt>
                <c:pt idx="20">
                  <c:v>#N/A</c:v>
                </c:pt>
                <c:pt idx="21">
                  <c:v>0.31034482758620691</c:v>
                </c:pt>
                <c:pt idx="22">
                  <c:v>1</c:v>
                </c:pt>
                <c:pt idx="23">
                  <c:v>#N/A</c:v>
                </c:pt>
                <c:pt idx="24">
                  <c:v>0.31914893617021278</c:v>
                </c:pt>
                <c:pt idx="25">
                  <c:v>0.24242424242424243</c:v>
                </c:pt>
                <c:pt idx="26">
                  <c:v>#N/A</c:v>
                </c:pt>
                <c:pt idx="27">
                  <c:v>0.41666666666666669</c:v>
                </c:pt>
                <c:pt idx="28">
                  <c:v>0.31948881789137379</c:v>
                </c:pt>
                <c:pt idx="29">
                  <c:v>0.32258064516129031</c:v>
                </c:pt>
                <c:pt idx="30">
                  <c:v>0.22419928825622773</c:v>
                </c:pt>
                <c:pt idx="31">
                  <c:v>0.47058823529411764</c:v>
                </c:pt>
              </c:numCache>
            </c:numRef>
          </c:yVal>
          <c:smooth val="0"/>
          <c:extLst>
            <c:ext xmlns:c16="http://schemas.microsoft.com/office/drawing/2014/chart" uri="{C3380CC4-5D6E-409C-BE32-E72D297353CC}">
              <c16:uniqueId val="{00000002-2EA2-4EF4-B7E3-29DA49546F85}"/>
            </c:ext>
          </c:extLst>
        </c:ser>
        <c:ser>
          <c:idx val="1"/>
          <c:order val="3"/>
          <c:tx>
            <c:strRef>
              <c:f>T_Stat!$AD$1</c:f>
              <c:strCache>
                <c:ptCount val="1"/>
                <c:pt idx="0">
                  <c:v>Activity - Disposal</c:v>
                </c:pt>
              </c:strCache>
            </c:strRef>
          </c:tx>
          <c:spPr>
            <a:ln w="25400" cap="rnd">
              <a:noFill/>
              <a:round/>
            </a:ln>
            <a:effectLst/>
          </c:spPr>
          <c:marker>
            <c:symbol val="circle"/>
            <c:size val="5"/>
            <c:spPr>
              <a:noFill/>
              <a:ln w="9525">
                <a:solidFill>
                  <a:schemeClr val="tx1"/>
                </a:solidFill>
              </a:ln>
              <a:effectLst/>
            </c:spPr>
          </c:marker>
          <c:xVal>
            <c:numRef>
              <c:f>T_Stat!$AH$3:$AH$34</c:f>
              <c:numCache>
                <c:formatCode>0</c:formatCode>
                <c:ptCount val="3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numCache>
            </c:numRef>
          </c:xVal>
          <c:yVal>
            <c:numRef>
              <c:f>T_Stat!$AD$3:$AD$34</c:f>
              <c:numCache>
                <c:formatCode>0.00</c:formatCode>
                <c:ptCount val="32"/>
                <c:pt idx="0">
                  <c:v>0.26706231454005935</c:v>
                </c:pt>
                <c:pt idx="1">
                  <c:v>0.13675213675213677</c:v>
                </c:pt>
                <c:pt idx="2">
                  <c:v>0</c:v>
                </c:pt>
                <c:pt idx="3">
                  <c:v>0.24358974358974358</c:v>
                </c:pt>
                <c:pt idx="4">
                  <c:v>0.25641025641025639</c:v>
                </c:pt>
                <c:pt idx="5">
                  <c:v>8.6206896551724144E-2</c:v>
                </c:pt>
                <c:pt idx="6">
                  <c:v>0.17391304347826086</c:v>
                </c:pt>
                <c:pt idx="7">
                  <c:v>0.18811881188118809</c:v>
                </c:pt>
                <c:pt idx="8">
                  <c:v>#N/A</c:v>
                </c:pt>
                <c:pt idx="9">
                  <c:v>0.4</c:v>
                </c:pt>
                <c:pt idx="10">
                  <c:v>0.24315068493150685</c:v>
                </c:pt>
                <c:pt idx="11">
                  <c:v>0.23759791122715404</c:v>
                </c:pt>
                <c:pt idx="12">
                  <c:v>0.14465408805031446</c:v>
                </c:pt>
                <c:pt idx="13">
                  <c:v>0.22580645161290322</c:v>
                </c:pt>
                <c:pt idx="14">
                  <c:v>0.22636103151862463</c:v>
                </c:pt>
                <c:pt idx="15">
                  <c:v>0.28985507246376813</c:v>
                </c:pt>
                <c:pt idx="16">
                  <c:v>0.5</c:v>
                </c:pt>
                <c:pt idx="17">
                  <c:v>0</c:v>
                </c:pt>
                <c:pt idx="18">
                  <c:v>0.2</c:v>
                </c:pt>
                <c:pt idx="19">
                  <c:v>0.21739130434782608</c:v>
                </c:pt>
                <c:pt idx="20">
                  <c:v>#N/A</c:v>
                </c:pt>
                <c:pt idx="21">
                  <c:v>0.17241379310344829</c:v>
                </c:pt>
                <c:pt idx="22">
                  <c:v>0</c:v>
                </c:pt>
                <c:pt idx="23">
                  <c:v>#N/A</c:v>
                </c:pt>
                <c:pt idx="24">
                  <c:v>0.42553191489361702</c:v>
                </c:pt>
                <c:pt idx="25">
                  <c:v>0.27272727272727271</c:v>
                </c:pt>
                <c:pt idx="26">
                  <c:v>#N/A</c:v>
                </c:pt>
                <c:pt idx="27">
                  <c:v>0.25</c:v>
                </c:pt>
                <c:pt idx="28">
                  <c:v>0.28753993610223644</c:v>
                </c:pt>
                <c:pt idx="29">
                  <c:v>0.16129032258064516</c:v>
                </c:pt>
                <c:pt idx="30">
                  <c:v>0.19572953736654805</c:v>
                </c:pt>
                <c:pt idx="31">
                  <c:v>7.0588235294117646E-2</c:v>
                </c:pt>
              </c:numCache>
            </c:numRef>
          </c:yVal>
          <c:smooth val="0"/>
          <c:extLst>
            <c:ext xmlns:c16="http://schemas.microsoft.com/office/drawing/2014/chart" uri="{C3380CC4-5D6E-409C-BE32-E72D297353CC}">
              <c16:uniqueId val="{00000003-2EA2-4EF4-B7E3-29DA49546F85}"/>
            </c:ext>
          </c:extLst>
        </c:ser>
        <c:ser>
          <c:idx val="4"/>
          <c:order val="4"/>
          <c:tx>
            <c:strRef>
              <c:f>T_Stat!$AE$1</c:f>
              <c:strCache>
                <c:ptCount val="1"/>
                <c:pt idx="0">
                  <c:v>Subject - Disposal</c:v>
                </c:pt>
              </c:strCache>
            </c:strRef>
          </c:tx>
          <c:spPr>
            <a:ln w="25400" cap="rnd">
              <a:noFill/>
              <a:round/>
            </a:ln>
            <a:effectLst/>
          </c:spPr>
          <c:marker>
            <c:symbol val="circle"/>
            <c:size val="5"/>
            <c:spPr>
              <a:noFill/>
              <a:ln w="9525">
                <a:solidFill>
                  <a:schemeClr val="tx1"/>
                </a:solidFill>
              </a:ln>
              <a:effectLst/>
            </c:spPr>
          </c:marker>
          <c:xVal>
            <c:numRef>
              <c:f>T_Stat!$AI$3:$AI$34</c:f>
              <c:numCache>
                <c:formatCode>0</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xVal>
          <c:yVal>
            <c:numRef>
              <c:f>T_Stat!$AE$3:$AE$34</c:f>
              <c:numCache>
                <c:formatCode>0.00</c:formatCode>
                <c:ptCount val="32"/>
                <c:pt idx="0">
                  <c:v>0.17804154302670624</c:v>
                </c:pt>
                <c:pt idx="1">
                  <c:v>0.12820512820512819</c:v>
                </c:pt>
                <c:pt idx="2">
                  <c:v>0</c:v>
                </c:pt>
                <c:pt idx="3">
                  <c:v>0.19230769230769232</c:v>
                </c:pt>
                <c:pt idx="4">
                  <c:v>0.16666666666666666</c:v>
                </c:pt>
                <c:pt idx="5">
                  <c:v>8.6206896551724137E-3</c:v>
                </c:pt>
                <c:pt idx="6">
                  <c:v>8.6956521739130432E-2</c:v>
                </c:pt>
                <c:pt idx="7">
                  <c:v>0.2277227722772277</c:v>
                </c:pt>
                <c:pt idx="8">
                  <c:v>#N/A</c:v>
                </c:pt>
                <c:pt idx="9">
                  <c:v>0.28000000000000003</c:v>
                </c:pt>
                <c:pt idx="10">
                  <c:v>0.17123287671232876</c:v>
                </c:pt>
                <c:pt idx="11">
                  <c:v>0.24020887728459531</c:v>
                </c:pt>
                <c:pt idx="12">
                  <c:v>8.1761006289308172E-2</c:v>
                </c:pt>
                <c:pt idx="13">
                  <c:v>0.19354838709677419</c:v>
                </c:pt>
                <c:pt idx="14">
                  <c:v>0.22922636103151864</c:v>
                </c:pt>
                <c:pt idx="15">
                  <c:v>0.2318840579710145</c:v>
                </c:pt>
                <c:pt idx="16">
                  <c:v>0.2</c:v>
                </c:pt>
                <c:pt idx="17">
                  <c:v>0</c:v>
                </c:pt>
                <c:pt idx="18">
                  <c:v>0.1</c:v>
                </c:pt>
                <c:pt idx="19">
                  <c:v>0.2318840579710145</c:v>
                </c:pt>
                <c:pt idx="20">
                  <c:v>#N/A</c:v>
                </c:pt>
                <c:pt idx="21">
                  <c:v>0.17241379310344829</c:v>
                </c:pt>
                <c:pt idx="22">
                  <c:v>0</c:v>
                </c:pt>
                <c:pt idx="23">
                  <c:v>#N/A</c:v>
                </c:pt>
                <c:pt idx="24">
                  <c:v>0.21276595744680851</c:v>
                </c:pt>
                <c:pt idx="25">
                  <c:v>0.18181818181818182</c:v>
                </c:pt>
                <c:pt idx="26">
                  <c:v>#N/A</c:v>
                </c:pt>
                <c:pt idx="27">
                  <c:v>0.16666666666666666</c:v>
                </c:pt>
                <c:pt idx="28">
                  <c:v>0.16613418530351437</c:v>
                </c:pt>
                <c:pt idx="29">
                  <c:v>0.25806451612903225</c:v>
                </c:pt>
                <c:pt idx="30">
                  <c:v>0.29537366548042704</c:v>
                </c:pt>
                <c:pt idx="31">
                  <c:v>0.35294117647058826</c:v>
                </c:pt>
              </c:numCache>
            </c:numRef>
          </c:yVal>
          <c:smooth val="0"/>
          <c:extLst>
            <c:ext xmlns:c16="http://schemas.microsoft.com/office/drawing/2014/chart" uri="{C3380CC4-5D6E-409C-BE32-E72D297353CC}">
              <c16:uniqueId val="{00000004-2EA2-4EF4-B7E3-29DA49546F85}"/>
            </c:ext>
          </c:extLst>
        </c:ser>
        <c:ser>
          <c:idx val="5"/>
          <c:order val="5"/>
          <c:tx>
            <c:strRef>
              <c:f>T_Stat!$AF$1</c:f>
              <c:strCache>
                <c:ptCount val="1"/>
                <c:pt idx="0">
                  <c:v>Environment - Disposal</c:v>
                </c:pt>
              </c:strCache>
            </c:strRef>
          </c:tx>
          <c:spPr>
            <a:ln w="25400" cap="rnd">
              <a:noFill/>
              <a:round/>
            </a:ln>
            <a:effectLst/>
          </c:spPr>
          <c:marker>
            <c:symbol val="circle"/>
            <c:size val="5"/>
            <c:spPr>
              <a:noFill/>
              <a:ln w="9525">
                <a:solidFill>
                  <a:schemeClr val="tx1"/>
                </a:solidFill>
              </a:ln>
              <a:effectLst/>
            </c:spPr>
          </c:marker>
          <c:xVal>
            <c:numRef>
              <c:f>T_Stat!$AJ$3:$AJ$34</c:f>
              <c:numCache>
                <c:formatCode>0</c:formatCode>
                <c:ptCount val="32"/>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numCache>
            </c:numRef>
          </c:xVal>
          <c:yVal>
            <c:numRef>
              <c:f>T_Stat!$AF$3:$AF$34</c:f>
              <c:numCache>
                <c:formatCode>0.00</c:formatCode>
                <c:ptCount val="32"/>
                <c:pt idx="0">
                  <c:v>0.25816023738872401</c:v>
                </c:pt>
                <c:pt idx="1">
                  <c:v>0.30769230769230771</c:v>
                </c:pt>
                <c:pt idx="2">
                  <c:v>0</c:v>
                </c:pt>
                <c:pt idx="3">
                  <c:v>0.32051282051282054</c:v>
                </c:pt>
                <c:pt idx="4">
                  <c:v>0.25641025641025639</c:v>
                </c:pt>
                <c:pt idx="5">
                  <c:v>4.3103448275862072E-2</c:v>
                </c:pt>
                <c:pt idx="6">
                  <c:v>0.30434782608695654</c:v>
                </c:pt>
                <c:pt idx="7">
                  <c:v>0.27062706270627063</c:v>
                </c:pt>
                <c:pt idx="8">
                  <c:v>#N/A</c:v>
                </c:pt>
                <c:pt idx="9">
                  <c:v>0.2</c:v>
                </c:pt>
                <c:pt idx="10">
                  <c:v>0.34246575342465752</c:v>
                </c:pt>
                <c:pt idx="11">
                  <c:v>0.26109660574412535</c:v>
                </c:pt>
                <c:pt idx="12">
                  <c:v>0.14465408805031446</c:v>
                </c:pt>
                <c:pt idx="13">
                  <c:v>0.32258064516129031</c:v>
                </c:pt>
                <c:pt idx="14">
                  <c:v>0.28653295128939826</c:v>
                </c:pt>
                <c:pt idx="15">
                  <c:v>0.21739130434782608</c:v>
                </c:pt>
                <c:pt idx="16">
                  <c:v>0.1</c:v>
                </c:pt>
                <c:pt idx="17">
                  <c:v>0.5</c:v>
                </c:pt>
                <c:pt idx="18">
                  <c:v>0.4</c:v>
                </c:pt>
                <c:pt idx="19">
                  <c:v>0.2608695652173913</c:v>
                </c:pt>
                <c:pt idx="20">
                  <c:v>#N/A</c:v>
                </c:pt>
                <c:pt idx="21">
                  <c:v>0.34482758620689657</c:v>
                </c:pt>
                <c:pt idx="22">
                  <c:v>0</c:v>
                </c:pt>
                <c:pt idx="23">
                  <c:v>#N/A</c:v>
                </c:pt>
                <c:pt idx="24">
                  <c:v>4.2553191489361701E-2</c:v>
                </c:pt>
                <c:pt idx="25">
                  <c:v>0.30303030303030304</c:v>
                </c:pt>
                <c:pt idx="26">
                  <c:v>#N/A</c:v>
                </c:pt>
                <c:pt idx="27">
                  <c:v>0.16666666666666666</c:v>
                </c:pt>
                <c:pt idx="28">
                  <c:v>0.2268370607028754</c:v>
                </c:pt>
                <c:pt idx="29">
                  <c:v>0.25806451612903225</c:v>
                </c:pt>
                <c:pt idx="30">
                  <c:v>0.28469750889679712</c:v>
                </c:pt>
                <c:pt idx="31">
                  <c:v>0.10588235294117647</c:v>
                </c:pt>
              </c:numCache>
            </c:numRef>
          </c:yVal>
          <c:smooth val="0"/>
          <c:extLst>
            <c:ext xmlns:c16="http://schemas.microsoft.com/office/drawing/2014/chart" uri="{C3380CC4-5D6E-409C-BE32-E72D297353CC}">
              <c16:uniqueId val="{00000005-2EA2-4EF4-B7E3-29DA49546F85}"/>
            </c:ext>
          </c:extLst>
        </c:ser>
        <c:dLbls>
          <c:showLegendKey val="0"/>
          <c:showVal val="0"/>
          <c:showCatName val="0"/>
          <c:showSerName val="0"/>
          <c:showPercent val="0"/>
          <c:showBubbleSize val="0"/>
        </c:dLbls>
        <c:axId val="369985832"/>
        <c:axId val="369986224"/>
      </c:scatterChart>
      <c:catAx>
        <c:axId val="3699858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986224"/>
        <c:crosses val="autoZero"/>
        <c:auto val="1"/>
        <c:lblAlgn val="ctr"/>
        <c:lblOffset val="100"/>
        <c:noMultiLvlLbl val="0"/>
      </c:catAx>
      <c:valAx>
        <c:axId val="369986224"/>
        <c:scaling>
          <c:orientation val="minMax"/>
          <c:max val="1"/>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Weight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985832"/>
        <c:crossesAt val="1"/>
        <c:crossBetween val="between"/>
        <c:majorUnit val="0.2"/>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Expertise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'Expert Background'!$A$1:$A$3</c:f>
              <c:strCache>
                <c:ptCount val="3"/>
                <c:pt idx="0">
                  <c:v>Human Factors</c:v>
                </c:pt>
                <c:pt idx="1">
                  <c:v>Other</c:v>
                </c:pt>
                <c:pt idx="2">
                  <c:v>Chemical</c:v>
                </c:pt>
              </c:strCache>
            </c:strRef>
          </c:cat>
          <c:val>
            <c:numRef>
              <c:f>'Expert Background'!$B$1:$B$3</c:f>
              <c:numCache>
                <c:formatCode>General</c:formatCode>
                <c:ptCount val="3"/>
                <c:pt idx="0">
                  <c:v>5</c:v>
                </c:pt>
                <c:pt idx="1">
                  <c:v>7</c:v>
                </c:pt>
                <c:pt idx="2">
                  <c:v>20</c:v>
                </c:pt>
              </c:numCache>
            </c:numRef>
          </c:val>
          <c:extLst>
            <c:ext xmlns:c16="http://schemas.microsoft.com/office/drawing/2014/chart" uri="{C3380CC4-5D6E-409C-BE32-E72D297353CC}">
              <c16:uniqueId val="{00000000-EACA-4187-B5EA-1947BD8E00F2}"/>
            </c:ext>
          </c:extLst>
        </c:ser>
        <c:dLbls>
          <c:showLegendKey val="0"/>
          <c:showVal val="0"/>
          <c:showCatName val="0"/>
          <c:showSerName val="0"/>
          <c:showPercent val="0"/>
          <c:showBubbleSize val="0"/>
        </c:dLbls>
        <c:gapWidth val="100"/>
        <c:overlap val="-27"/>
        <c:axId val="369984656"/>
        <c:axId val="369989360"/>
      </c:barChart>
      <c:catAx>
        <c:axId val="36998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989360"/>
        <c:crosses val="autoZero"/>
        <c:auto val="1"/>
        <c:lblAlgn val="ctr"/>
        <c:lblOffset val="100"/>
        <c:noMultiLvlLbl val="0"/>
      </c:catAx>
      <c:valAx>
        <c:axId val="369989360"/>
        <c:scaling>
          <c:orientation val="minMax"/>
        </c:scaling>
        <c:delete val="1"/>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crossAx val="369984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EPA Affiliation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'Expert Background'!$D$1:$D$3</c:f>
              <c:strCache>
                <c:ptCount val="3"/>
                <c:pt idx="0">
                  <c:v>EPA</c:v>
                </c:pt>
                <c:pt idx="1">
                  <c:v>Unknown</c:v>
                </c:pt>
                <c:pt idx="2">
                  <c:v>Non-EPA</c:v>
                </c:pt>
              </c:strCache>
            </c:strRef>
          </c:cat>
          <c:val>
            <c:numRef>
              <c:f>'Expert Background'!$E$1:$E$3</c:f>
              <c:numCache>
                <c:formatCode>General</c:formatCode>
                <c:ptCount val="3"/>
                <c:pt idx="0">
                  <c:v>6</c:v>
                </c:pt>
                <c:pt idx="1">
                  <c:v>12</c:v>
                </c:pt>
                <c:pt idx="2">
                  <c:v>14</c:v>
                </c:pt>
              </c:numCache>
            </c:numRef>
          </c:val>
          <c:extLst>
            <c:ext xmlns:c16="http://schemas.microsoft.com/office/drawing/2014/chart" uri="{C3380CC4-5D6E-409C-BE32-E72D297353CC}">
              <c16:uniqueId val="{00000000-2FA8-4BAA-A5E7-167293BB6C50}"/>
            </c:ext>
          </c:extLst>
        </c:ser>
        <c:dLbls>
          <c:showLegendKey val="0"/>
          <c:showVal val="0"/>
          <c:showCatName val="0"/>
          <c:showSerName val="0"/>
          <c:showPercent val="0"/>
          <c:showBubbleSize val="0"/>
        </c:dLbls>
        <c:gapWidth val="100"/>
        <c:overlap val="-16"/>
        <c:axId val="369987792"/>
        <c:axId val="370477064"/>
      </c:barChart>
      <c:catAx>
        <c:axId val="36998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477064"/>
        <c:crosses val="autoZero"/>
        <c:auto val="1"/>
        <c:lblAlgn val="ctr"/>
        <c:lblOffset val="100"/>
        <c:noMultiLvlLbl val="0"/>
      </c:catAx>
      <c:valAx>
        <c:axId val="370477064"/>
        <c:scaling>
          <c:orientation val="minMax"/>
        </c:scaling>
        <c:delete val="1"/>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crossAx val="369987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13</xdr:col>
      <xdr:colOff>438150</xdr:colOff>
      <xdr:row>168</xdr:row>
      <xdr:rowOff>66675</xdr:rowOff>
    </xdr:from>
    <xdr:to>
      <xdr:col>24</xdr:col>
      <xdr:colOff>247650</xdr:colOff>
      <xdr:row>194</xdr:row>
      <xdr:rowOff>161925</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438150" y="30622875"/>
          <a:ext cx="4438650" cy="5048250"/>
          <a:chOff x="3743325" y="2962274"/>
          <a:chExt cx="7486650" cy="6115051"/>
        </a:xfrm>
      </xdr:grpSpPr>
      <xdr:graphicFrame macro="">
        <xdr:nvGraphicFramePr>
          <xdr:cNvPr id="11" name="Chart 10">
            <a:extLst>
              <a:ext uri="{FF2B5EF4-FFF2-40B4-BE49-F238E27FC236}">
                <a16:creationId xmlns:a16="http://schemas.microsoft.com/office/drawing/2014/main" id="{00000000-0008-0000-0200-00000B000000}"/>
              </a:ext>
            </a:extLst>
          </xdr:cNvPr>
          <xdr:cNvGraphicFramePr/>
        </xdr:nvGraphicFramePr>
        <xdr:xfrm>
          <a:off x="3743325" y="2962274"/>
          <a:ext cx="7486650" cy="611505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333874" y="8753475"/>
            <a:ext cx="14954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a:t>Disposal Phase</a:t>
            </a:r>
          </a:p>
        </xdr:txBody>
      </xdr:sp>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591300" y="8724900"/>
            <a:ext cx="14954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a:t>Production</a:t>
            </a:r>
            <a:r>
              <a:rPr lang="en-US" sz="1100" baseline="0"/>
              <a:t> Phase</a:t>
            </a:r>
            <a:endParaRPr lang="en-US" sz="1100"/>
          </a:p>
        </xdr:txBody>
      </xdr:sp>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8810625" y="8743950"/>
            <a:ext cx="14954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a:t>Consumer Use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19</xdr:row>
      <xdr:rowOff>124240</xdr:rowOff>
    </xdr:from>
    <xdr:to>
      <xdr:col>10</xdr:col>
      <xdr:colOff>271671</xdr:colOff>
      <xdr:row>39</xdr:row>
      <xdr:rowOff>48040</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1" y="3743740"/>
          <a:ext cx="6322846" cy="3733800"/>
          <a:chOff x="1628775" y="428625"/>
          <a:chExt cx="6400800" cy="3733800"/>
        </a:xfrm>
      </xdr:grpSpPr>
      <xdr:grpSp>
        <xdr:nvGrpSpPr>
          <xdr:cNvPr id="10" name="Group 9">
            <a:extLst>
              <a:ext uri="{FF2B5EF4-FFF2-40B4-BE49-F238E27FC236}">
                <a16:creationId xmlns:a16="http://schemas.microsoft.com/office/drawing/2014/main" id="{00000000-0008-0000-0300-00000A000000}"/>
              </a:ext>
            </a:extLst>
          </xdr:cNvPr>
          <xdr:cNvGrpSpPr/>
        </xdr:nvGrpSpPr>
        <xdr:grpSpPr>
          <a:xfrm>
            <a:off x="1628775" y="428625"/>
            <a:ext cx="6400800" cy="3733800"/>
            <a:chOff x="7620000" y="1104900"/>
            <a:chExt cx="6400800" cy="3733800"/>
          </a:xfrm>
        </xdr:grpSpPr>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7620000" y="1104900"/>
            <a:ext cx="6400800" cy="3733800"/>
          </xdr:xfrm>
          <a:graphic>
            <a:graphicData uri="http://schemas.openxmlformats.org/drawingml/2006/chart">
              <c:chart xmlns:c="http://schemas.openxmlformats.org/drawingml/2006/chart" xmlns:r="http://schemas.openxmlformats.org/officeDocument/2006/relationships" r:id="rId1"/>
            </a:graphicData>
          </a:graphic>
        </xdr:graphicFrame>
        <xdr:sp macro="" textlink="$N$6">
          <xdr:nvSpPr>
            <xdr:cNvPr id="14" name="TextBox 13">
              <a:extLst>
                <a:ext uri="{FF2B5EF4-FFF2-40B4-BE49-F238E27FC236}">
                  <a16:creationId xmlns:a16="http://schemas.microsoft.com/office/drawing/2014/main" id="{00000000-0008-0000-0300-00000E000000}"/>
                </a:ext>
              </a:extLst>
            </xdr:cNvPr>
            <xdr:cNvSpPr txBox="1"/>
          </xdr:nvSpPr>
          <xdr:spPr>
            <a:xfrm>
              <a:off x="7743825" y="46101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86162DF-4485-43F3-8DF6-336DABC2F785}" type="TxLink">
                <a:rPr lang="en-US" sz="1100" b="0" i="0" u="none" strike="noStrike">
                  <a:solidFill>
                    <a:srgbClr val="000000"/>
                  </a:solidFill>
                  <a:latin typeface="Calibri"/>
                </a:rPr>
                <a:pPr algn="ctr"/>
                <a:t>Consumer Use Phase</a:t>
              </a:fld>
              <a:endParaRPr lang="en-US" sz="1100"/>
            </a:p>
          </xdr:txBody>
        </xdr:sp>
      </xdr:grpSp>
      <xdr:sp macro="" textlink="$N$7">
        <xdr:nvSpPr>
          <xdr:cNvPr id="11" name="TextBox 10">
            <a:extLst>
              <a:ext uri="{FF2B5EF4-FFF2-40B4-BE49-F238E27FC236}">
                <a16:creationId xmlns:a16="http://schemas.microsoft.com/office/drawing/2014/main" id="{00000000-0008-0000-0300-00000B000000}"/>
              </a:ext>
            </a:extLst>
          </xdr:cNvPr>
          <xdr:cNvSpPr txBox="1"/>
        </xdr:nvSpPr>
        <xdr:spPr>
          <a:xfrm>
            <a:off x="3590925" y="39338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2618A62-0B54-4E4F-BABE-4C85E6673103}" type="TxLink">
              <a:rPr lang="en-US" sz="1100" b="0" i="0" u="none" strike="noStrike">
                <a:solidFill>
                  <a:srgbClr val="000000"/>
                </a:solidFill>
                <a:latin typeface="Calibri"/>
              </a:rPr>
              <a:pPr algn="ctr"/>
              <a:t>Production Phase</a:t>
            </a:fld>
            <a:endParaRPr lang="en-US" sz="1100"/>
          </a:p>
        </xdr:txBody>
      </xdr:sp>
      <xdr:sp macro="" textlink="$N$8">
        <xdr:nvSpPr>
          <xdr:cNvPr id="12" name="TextBox 11">
            <a:extLst>
              <a:ext uri="{FF2B5EF4-FFF2-40B4-BE49-F238E27FC236}">
                <a16:creationId xmlns:a16="http://schemas.microsoft.com/office/drawing/2014/main" id="{00000000-0008-0000-0300-00000C000000}"/>
              </a:ext>
            </a:extLst>
          </xdr:cNvPr>
          <xdr:cNvSpPr txBox="1"/>
        </xdr:nvSpPr>
        <xdr:spPr>
          <a:xfrm>
            <a:off x="5600700" y="39243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8ED41A9-A384-4B1D-886E-19B7A7E43BE2}" type="TxLink">
              <a:rPr lang="en-US" sz="1100" b="0" i="0" u="none" strike="noStrike">
                <a:solidFill>
                  <a:srgbClr val="000000"/>
                </a:solidFill>
                <a:latin typeface="Calibri"/>
              </a:rPr>
              <a:pPr algn="ctr"/>
              <a:t>Disposal Phase</a:t>
            </a:fld>
            <a:endParaRPr lang="en-US" sz="1100"/>
          </a:p>
        </xdr:txBody>
      </xdr:sp>
    </xdr:grpSp>
    <xdr:clientData/>
  </xdr:twoCellAnchor>
  <xdr:twoCellAnchor>
    <xdr:from>
      <xdr:col>0</xdr:col>
      <xdr:colOff>33128</xdr:colOff>
      <xdr:row>0</xdr:row>
      <xdr:rowOff>8281</xdr:rowOff>
    </xdr:from>
    <xdr:to>
      <xdr:col>8</xdr:col>
      <xdr:colOff>395078</xdr:colOff>
      <xdr:row>19</xdr:row>
      <xdr:rowOff>122581</xdr:rowOff>
    </xdr:to>
    <xdr:grpSp>
      <xdr:nvGrpSpPr>
        <xdr:cNvPr id="16" name="Group 15">
          <a:extLst>
            <a:ext uri="{FF2B5EF4-FFF2-40B4-BE49-F238E27FC236}">
              <a16:creationId xmlns:a16="http://schemas.microsoft.com/office/drawing/2014/main" id="{00000000-0008-0000-0300-000010000000}"/>
            </a:ext>
          </a:extLst>
        </xdr:cNvPr>
        <xdr:cNvGrpSpPr/>
      </xdr:nvGrpSpPr>
      <xdr:grpSpPr>
        <a:xfrm>
          <a:off x="33128" y="8281"/>
          <a:ext cx="5202891" cy="3733800"/>
          <a:chOff x="0" y="0"/>
          <a:chExt cx="5265254" cy="3733800"/>
        </a:xfrm>
      </xdr:grpSpPr>
      <xdr:graphicFrame macro="">
        <xdr:nvGraphicFramePr>
          <xdr:cNvPr id="17" name="Chart 16">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5265254" cy="3733800"/>
        </xdr:xfrm>
        <a:graphic>
          <a:graphicData uri="http://schemas.openxmlformats.org/drawingml/2006/chart">
            <c:chart xmlns:c="http://schemas.openxmlformats.org/drawingml/2006/chart" xmlns:r="http://schemas.openxmlformats.org/officeDocument/2006/relationships" r:id="rId2"/>
          </a:graphicData>
        </a:graphic>
      </xdr:graphicFrame>
      <xdr:sp macro="" textlink="$N$3">
        <xdr:nvSpPr>
          <xdr:cNvPr id="18" name="TextBox 17">
            <a:extLst>
              <a:ext uri="{FF2B5EF4-FFF2-40B4-BE49-F238E27FC236}">
                <a16:creationId xmlns:a16="http://schemas.microsoft.com/office/drawing/2014/main" id="{00000000-0008-0000-0300-000012000000}"/>
              </a:ext>
            </a:extLst>
          </xdr:cNvPr>
          <xdr:cNvSpPr txBox="1"/>
        </xdr:nvSpPr>
        <xdr:spPr>
          <a:xfrm>
            <a:off x="240196" y="3503544"/>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C5D4B79-CF42-4775-A0DB-49E8D1BB8758}" type="TxLink">
              <a:rPr lang="en-US" sz="1100" b="0" i="0" u="none" strike="noStrike">
                <a:solidFill>
                  <a:srgbClr val="000000"/>
                </a:solidFill>
                <a:latin typeface="Calibri"/>
              </a:rPr>
              <a:pPr algn="ctr"/>
              <a:t>Life Cycle Properties</a:t>
            </a:fld>
            <a:endParaRPr lang="en-US" sz="1100"/>
          </a:p>
        </xdr:txBody>
      </xdr:sp>
      <xdr:sp macro="" textlink="$N$4">
        <xdr:nvSpPr>
          <xdr:cNvPr id="19" name="TextBox 18">
            <a:extLst>
              <a:ext uri="{FF2B5EF4-FFF2-40B4-BE49-F238E27FC236}">
                <a16:creationId xmlns:a16="http://schemas.microsoft.com/office/drawing/2014/main" id="{00000000-0008-0000-0300-000013000000}"/>
              </a:ext>
            </a:extLst>
          </xdr:cNvPr>
          <xdr:cNvSpPr txBox="1"/>
        </xdr:nvSpPr>
        <xdr:spPr>
          <a:xfrm>
            <a:off x="2686879" y="3498574"/>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0B8A2B-AC05-4A60-AB9B-8F7C5660DD44}" type="TxLink">
              <a:rPr lang="en-US" sz="1100" b="0" i="0" u="none" strike="noStrike">
                <a:solidFill>
                  <a:srgbClr val="000000"/>
                </a:solidFill>
                <a:latin typeface="Calibri"/>
              </a:rPr>
              <a:pPr algn="ctr"/>
              <a:t>Chemical Properties</a:t>
            </a:fld>
            <a:endParaRPr lang="en-US" sz="1100"/>
          </a:p>
        </xdr:txBody>
      </xdr:sp>
    </xdr:grpSp>
    <xdr:clientData/>
  </xdr:twoCellAnchor>
  <xdr:twoCellAnchor>
    <xdr:from>
      <xdr:col>0</xdr:col>
      <xdr:colOff>0</xdr:colOff>
      <xdr:row>39</xdr:row>
      <xdr:rowOff>57978</xdr:rowOff>
    </xdr:from>
    <xdr:to>
      <xdr:col>12</xdr:col>
      <xdr:colOff>417443</xdr:colOff>
      <xdr:row>58</xdr:row>
      <xdr:rowOff>172278</xdr:rowOff>
    </xdr:to>
    <xdr:grpSp>
      <xdr:nvGrpSpPr>
        <xdr:cNvPr id="20" name="Group 19">
          <a:extLst>
            <a:ext uri="{FF2B5EF4-FFF2-40B4-BE49-F238E27FC236}">
              <a16:creationId xmlns:a16="http://schemas.microsoft.com/office/drawing/2014/main" id="{00000000-0008-0000-0300-000014000000}"/>
            </a:ext>
          </a:extLst>
        </xdr:cNvPr>
        <xdr:cNvGrpSpPr/>
      </xdr:nvGrpSpPr>
      <xdr:grpSpPr>
        <a:xfrm>
          <a:off x="0" y="7487478"/>
          <a:ext cx="7678855" cy="3733800"/>
          <a:chOff x="295273" y="1628775"/>
          <a:chExt cx="7772400" cy="3733800"/>
        </a:xfrm>
      </xdr:grpSpPr>
      <xdr:graphicFrame macro="">
        <xdr:nvGraphicFramePr>
          <xdr:cNvPr id="21" name="Chart 20">
            <a:extLst>
              <a:ext uri="{FF2B5EF4-FFF2-40B4-BE49-F238E27FC236}">
                <a16:creationId xmlns:a16="http://schemas.microsoft.com/office/drawing/2014/main" id="{00000000-0008-0000-0300-000015000000}"/>
              </a:ext>
            </a:extLst>
          </xdr:cNvPr>
          <xdr:cNvGraphicFramePr>
            <a:graphicFrameLocks/>
          </xdr:cNvGraphicFramePr>
        </xdr:nvGraphicFramePr>
        <xdr:xfrm>
          <a:off x="295273" y="1628775"/>
          <a:ext cx="7772400" cy="373380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22" name="Group 21">
            <a:extLst>
              <a:ext uri="{FF2B5EF4-FFF2-40B4-BE49-F238E27FC236}">
                <a16:creationId xmlns:a16="http://schemas.microsoft.com/office/drawing/2014/main" id="{00000000-0008-0000-0300-000016000000}"/>
              </a:ext>
            </a:extLst>
          </xdr:cNvPr>
          <xdr:cNvGrpSpPr/>
        </xdr:nvGrpSpPr>
        <xdr:grpSpPr>
          <a:xfrm>
            <a:off x="419100" y="5114925"/>
            <a:ext cx="6678680" cy="207066"/>
            <a:chOff x="419100" y="5114925"/>
            <a:chExt cx="6678680" cy="207066"/>
          </a:xfrm>
        </xdr:grpSpPr>
        <xdr:sp macro="" textlink="$N$10">
          <xdr:nvSpPr>
            <xdr:cNvPr id="23" name="TextBox 22">
              <a:extLst>
                <a:ext uri="{FF2B5EF4-FFF2-40B4-BE49-F238E27FC236}">
                  <a16:creationId xmlns:a16="http://schemas.microsoft.com/office/drawing/2014/main" id="{00000000-0008-0000-0300-000017000000}"/>
                </a:ext>
              </a:extLst>
            </xdr:cNvPr>
            <xdr:cNvSpPr txBox="1"/>
          </xdr:nvSpPr>
          <xdr:spPr>
            <a:xfrm>
              <a:off x="419100"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8A69A87-98B7-462A-9432-F6309A6A2C8D}" type="TxLink">
                <a:rPr lang="en-US" sz="1100" b="0" i="0" u="none" strike="noStrike">
                  <a:solidFill>
                    <a:srgbClr val="000000"/>
                  </a:solidFill>
                  <a:latin typeface="Calibri"/>
                </a:rPr>
                <a:pPr algn="ctr"/>
                <a:t>ADME</a:t>
              </a:fld>
              <a:endParaRPr lang="en-US" sz="1100"/>
            </a:p>
          </xdr:txBody>
        </xdr:sp>
        <xdr:sp macro="" textlink="$N$11">
          <xdr:nvSpPr>
            <xdr:cNvPr id="24" name="TextBox 23">
              <a:extLst>
                <a:ext uri="{FF2B5EF4-FFF2-40B4-BE49-F238E27FC236}">
                  <a16:creationId xmlns:a16="http://schemas.microsoft.com/office/drawing/2014/main" id="{00000000-0008-0000-0300-000018000000}"/>
                </a:ext>
              </a:extLst>
            </xdr:cNvPr>
            <xdr:cNvSpPr txBox="1"/>
          </xdr:nvSpPr>
          <xdr:spPr>
            <a:xfrm>
              <a:off x="2098674"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C808CBB-A413-4421-A58A-C3CC0C1DC9EE}" type="TxLink">
                <a:rPr lang="en-US" sz="1100" b="0" i="0" u="none" strike="noStrike">
                  <a:solidFill>
                    <a:srgbClr val="000000"/>
                  </a:solidFill>
                  <a:latin typeface="Calibri"/>
                </a:rPr>
                <a:pPr algn="ctr"/>
                <a:t>Bioaccumulation</a:t>
              </a:fld>
              <a:endParaRPr lang="en-US" sz="1100"/>
            </a:p>
          </xdr:txBody>
        </xdr:sp>
        <xdr:sp macro="" textlink="$N$12">
          <xdr:nvSpPr>
            <xdr:cNvPr id="25" name="TextBox 24">
              <a:extLst>
                <a:ext uri="{FF2B5EF4-FFF2-40B4-BE49-F238E27FC236}">
                  <a16:creationId xmlns:a16="http://schemas.microsoft.com/office/drawing/2014/main" id="{00000000-0008-0000-0300-000019000000}"/>
                </a:ext>
              </a:extLst>
            </xdr:cNvPr>
            <xdr:cNvSpPr txBox="1"/>
          </xdr:nvSpPr>
          <xdr:spPr>
            <a:xfrm>
              <a:off x="3778248"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7FE4E18-B6DC-4A75-9E9D-7849BAAFFD48}" type="TxLink">
                <a:rPr lang="en-US" sz="1100" b="0" i="0" u="none" strike="noStrike">
                  <a:solidFill>
                    <a:srgbClr val="000000"/>
                  </a:solidFill>
                  <a:latin typeface="Calibri"/>
                </a:rPr>
                <a:pPr algn="ctr"/>
                <a:t>Persistence</a:t>
              </a:fld>
              <a:endParaRPr lang="en-US" sz="1100"/>
            </a:p>
          </xdr:txBody>
        </xdr:sp>
        <xdr:sp macro="" textlink="$N$13">
          <xdr:nvSpPr>
            <xdr:cNvPr id="26" name="TextBox 25">
              <a:extLst>
                <a:ext uri="{FF2B5EF4-FFF2-40B4-BE49-F238E27FC236}">
                  <a16:creationId xmlns:a16="http://schemas.microsoft.com/office/drawing/2014/main" id="{00000000-0008-0000-0300-00001A000000}"/>
                </a:ext>
              </a:extLst>
            </xdr:cNvPr>
            <xdr:cNvSpPr txBox="1"/>
          </xdr:nvSpPr>
          <xdr:spPr>
            <a:xfrm>
              <a:off x="5457823"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F851E33-22E2-4CE7-B090-1CF0070F0E1A}" type="TxLink">
                <a:rPr lang="en-US" sz="1100" b="0" i="0" u="none" strike="noStrike">
                  <a:solidFill>
                    <a:srgbClr val="000000"/>
                  </a:solidFill>
                  <a:latin typeface="Calibri"/>
                </a:rPr>
                <a:pPr algn="ctr"/>
                <a:t>Physical Hazard</a:t>
              </a:fld>
              <a:endParaRPr lang="en-US" sz="1100"/>
            </a:p>
          </xdr:txBody>
        </xdr:sp>
      </xdr:grpSp>
    </xdr:grpSp>
    <xdr:clientData/>
  </xdr:twoCellAnchor>
  <xdr:twoCellAnchor>
    <xdr:from>
      <xdr:col>0</xdr:col>
      <xdr:colOff>0</xdr:colOff>
      <xdr:row>59</xdr:row>
      <xdr:rowOff>0</xdr:rowOff>
    </xdr:from>
    <xdr:to>
      <xdr:col>12</xdr:col>
      <xdr:colOff>417443</xdr:colOff>
      <xdr:row>78</xdr:row>
      <xdr:rowOff>114300</xdr:rowOff>
    </xdr:to>
    <xdr:grpSp>
      <xdr:nvGrpSpPr>
        <xdr:cNvPr id="34" name="Group 33">
          <a:extLst>
            <a:ext uri="{FF2B5EF4-FFF2-40B4-BE49-F238E27FC236}">
              <a16:creationId xmlns:a16="http://schemas.microsoft.com/office/drawing/2014/main" id="{00000000-0008-0000-0300-000022000000}"/>
            </a:ext>
          </a:extLst>
        </xdr:cNvPr>
        <xdr:cNvGrpSpPr/>
      </xdr:nvGrpSpPr>
      <xdr:grpSpPr>
        <a:xfrm>
          <a:off x="0" y="11239500"/>
          <a:ext cx="7678855" cy="3733800"/>
          <a:chOff x="-1552577" y="304800"/>
          <a:chExt cx="7772400" cy="3733800"/>
        </a:xfrm>
      </xdr:grpSpPr>
      <xdr:graphicFrame macro="">
        <xdr:nvGraphicFramePr>
          <xdr:cNvPr id="35" name="Chart 34">
            <a:extLst>
              <a:ext uri="{FF2B5EF4-FFF2-40B4-BE49-F238E27FC236}">
                <a16:creationId xmlns:a16="http://schemas.microsoft.com/office/drawing/2014/main" id="{00000000-0008-0000-0300-000023000000}"/>
              </a:ext>
            </a:extLst>
          </xdr:cNvPr>
          <xdr:cNvGraphicFramePr>
            <a:graphicFrameLocks/>
          </xdr:cNvGraphicFramePr>
        </xdr:nvGraphicFramePr>
        <xdr:xfrm>
          <a:off x="-1552577" y="304800"/>
          <a:ext cx="7772400" cy="3733800"/>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36" name="Group 35">
            <a:extLst>
              <a:ext uri="{FF2B5EF4-FFF2-40B4-BE49-F238E27FC236}">
                <a16:creationId xmlns:a16="http://schemas.microsoft.com/office/drawing/2014/main" id="{00000000-0008-0000-0300-000024000000}"/>
              </a:ext>
            </a:extLst>
          </xdr:cNvPr>
          <xdr:cNvGrpSpPr/>
        </xdr:nvGrpSpPr>
        <xdr:grpSpPr>
          <a:xfrm>
            <a:off x="-1485900" y="3810000"/>
            <a:ext cx="6678680" cy="207066"/>
            <a:chOff x="-1485900" y="3810000"/>
            <a:chExt cx="6678680" cy="207066"/>
          </a:xfrm>
        </xdr:grpSpPr>
        <xdr:sp macro="" textlink="$N$15">
          <xdr:nvSpPr>
            <xdr:cNvPr id="37" name="TextBox 36">
              <a:extLst>
                <a:ext uri="{FF2B5EF4-FFF2-40B4-BE49-F238E27FC236}">
                  <a16:creationId xmlns:a16="http://schemas.microsoft.com/office/drawing/2014/main" id="{00000000-0008-0000-0300-000025000000}"/>
                </a:ext>
              </a:extLst>
            </xdr:cNvPr>
            <xdr:cNvSpPr txBox="1"/>
          </xdr:nvSpPr>
          <xdr:spPr>
            <a:xfrm>
              <a:off x="-1485900"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FFFBBA5-820F-4CBC-9370-40C2486431E2}" type="TxLink">
                <a:rPr lang="en-US" sz="1100" b="0" i="0" u="none" strike="noStrike">
                  <a:solidFill>
                    <a:srgbClr val="000000"/>
                  </a:solidFill>
                  <a:latin typeface="Calibri"/>
                </a:rPr>
                <a:pPr algn="ctr"/>
                <a:t>Activity</a:t>
              </a:fld>
              <a:endParaRPr lang="en-US" sz="1100"/>
            </a:p>
          </xdr:txBody>
        </xdr:sp>
        <xdr:sp macro="" textlink="$N$16">
          <xdr:nvSpPr>
            <xdr:cNvPr id="38" name="TextBox 37">
              <a:extLst>
                <a:ext uri="{FF2B5EF4-FFF2-40B4-BE49-F238E27FC236}">
                  <a16:creationId xmlns:a16="http://schemas.microsoft.com/office/drawing/2014/main" id="{00000000-0008-0000-0300-000026000000}"/>
                </a:ext>
              </a:extLst>
            </xdr:cNvPr>
            <xdr:cNvSpPr txBox="1"/>
          </xdr:nvSpPr>
          <xdr:spPr>
            <a:xfrm>
              <a:off x="193674"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2214C98-C0CF-4D7B-A01B-89F689297036}" type="TxLink">
                <a:rPr lang="en-US" sz="1100" b="0" i="0" u="none" strike="noStrike">
                  <a:solidFill>
                    <a:srgbClr val="000000"/>
                  </a:solidFill>
                  <a:latin typeface="Calibri"/>
                </a:rPr>
                <a:pPr algn="ctr"/>
                <a:t>Ubiquity</a:t>
              </a:fld>
              <a:endParaRPr lang="en-US" sz="1100"/>
            </a:p>
          </xdr:txBody>
        </xdr:sp>
        <xdr:sp macro="" textlink="$N$17">
          <xdr:nvSpPr>
            <xdr:cNvPr id="39" name="TextBox 38">
              <a:extLst>
                <a:ext uri="{FF2B5EF4-FFF2-40B4-BE49-F238E27FC236}">
                  <a16:creationId xmlns:a16="http://schemas.microsoft.com/office/drawing/2014/main" id="{00000000-0008-0000-0300-000027000000}"/>
                </a:ext>
              </a:extLst>
            </xdr:cNvPr>
            <xdr:cNvSpPr txBox="1"/>
          </xdr:nvSpPr>
          <xdr:spPr>
            <a:xfrm>
              <a:off x="1873248"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37CEAA4-91F4-4FAF-8AFA-094DD00B8E59}" type="TxLink">
                <a:rPr lang="en-US" sz="1100" b="0" i="0" u="none" strike="noStrike">
                  <a:solidFill>
                    <a:srgbClr val="000000"/>
                  </a:solidFill>
                  <a:latin typeface="Calibri"/>
                </a:rPr>
                <a:pPr algn="ctr"/>
                <a:t>Subject</a:t>
              </a:fld>
              <a:endParaRPr lang="en-US" sz="1100"/>
            </a:p>
          </xdr:txBody>
        </xdr:sp>
        <xdr:sp macro="" textlink="$N$18">
          <xdr:nvSpPr>
            <xdr:cNvPr id="40" name="TextBox 39">
              <a:extLst>
                <a:ext uri="{FF2B5EF4-FFF2-40B4-BE49-F238E27FC236}">
                  <a16:creationId xmlns:a16="http://schemas.microsoft.com/office/drawing/2014/main" id="{00000000-0008-0000-0300-000028000000}"/>
                </a:ext>
              </a:extLst>
            </xdr:cNvPr>
            <xdr:cNvSpPr txBox="1"/>
          </xdr:nvSpPr>
          <xdr:spPr>
            <a:xfrm>
              <a:off x="3552823"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40419BF-6220-4664-BC01-BF8A63E21771}" type="TxLink">
                <a:rPr lang="en-US" sz="1100" b="0" i="0" u="none" strike="noStrike">
                  <a:solidFill>
                    <a:srgbClr val="000000"/>
                  </a:solidFill>
                  <a:latin typeface="Calibri"/>
                </a:rPr>
                <a:pPr algn="ctr"/>
                <a:t>Environment</a:t>
              </a:fld>
              <a:endParaRPr lang="en-US" sz="1100"/>
            </a:p>
          </xdr:txBody>
        </xdr:sp>
      </xdr:grpSp>
    </xdr:grpSp>
    <xdr:clientData/>
  </xdr:twoCellAnchor>
  <xdr:twoCellAnchor>
    <xdr:from>
      <xdr:col>0</xdr:col>
      <xdr:colOff>0</xdr:colOff>
      <xdr:row>79</xdr:row>
      <xdr:rowOff>0</xdr:rowOff>
    </xdr:from>
    <xdr:to>
      <xdr:col>12</xdr:col>
      <xdr:colOff>417443</xdr:colOff>
      <xdr:row>98</xdr:row>
      <xdr:rowOff>114300</xdr:rowOff>
    </xdr:to>
    <xdr:grpSp>
      <xdr:nvGrpSpPr>
        <xdr:cNvPr id="41" name="Group 40">
          <a:extLst>
            <a:ext uri="{FF2B5EF4-FFF2-40B4-BE49-F238E27FC236}">
              <a16:creationId xmlns:a16="http://schemas.microsoft.com/office/drawing/2014/main" id="{00000000-0008-0000-0300-000029000000}"/>
            </a:ext>
          </a:extLst>
        </xdr:cNvPr>
        <xdr:cNvGrpSpPr/>
      </xdr:nvGrpSpPr>
      <xdr:grpSpPr>
        <a:xfrm>
          <a:off x="0" y="15049500"/>
          <a:ext cx="7678855" cy="3733800"/>
          <a:chOff x="-1552577" y="304800"/>
          <a:chExt cx="7772400" cy="3733800"/>
        </a:xfrm>
      </xdr:grpSpPr>
      <xdr:graphicFrame macro="">
        <xdr:nvGraphicFramePr>
          <xdr:cNvPr id="42" name="Chart 41">
            <a:extLst>
              <a:ext uri="{FF2B5EF4-FFF2-40B4-BE49-F238E27FC236}">
                <a16:creationId xmlns:a16="http://schemas.microsoft.com/office/drawing/2014/main" id="{00000000-0008-0000-0300-00002A000000}"/>
              </a:ext>
            </a:extLst>
          </xdr:cNvPr>
          <xdr:cNvGraphicFramePr>
            <a:graphicFrameLocks/>
          </xdr:cNvGraphicFramePr>
        </xdr:nvGraphicFramePr>
        <xdr:xfrm>
          <a:off x="-1552577" y="304800"/>
          <a:ext cx="7772400" cy="3733800"/>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43" name="Group 42">
            <a:extLst>
              <a:ext uri="{FF2B5EF4-FFF2-40B4-BE49-F238E27FC236}">
                <a16:creationId xmlns:a16="http://schemas.microsoft.com/office/drawing/2014/main" id="{00000000-0008-0000-0300-00002B000000}"/>
              </a:ext>
            </a:extLst>
          </xdr:cNvPr>
          <xdr:cNvGrpSpPr/>
        </xdr:nvGrpSpPr>
        <xdr:grpSpPr>
          <a:xfrm>
            <a:off x="-1485900" y="3810000"/>
            <a:ext cx="6678680" cy="207066"/>
            <a:chOff x="-1485900" y="3810000"/>
            <a:chExt cx="6678680" cy="207066"/>
          </a:xfrm>
        </xdr:grpSpPr>
        <xdr:sp macro="" textlink="$N$20">
          <xdr:nvSpPr>
            <xdr:cNvPr id="44" name="TextBox 43">
              <a:extLst>
                <a:ext uri="{FF2B5EF4-FFF2-40B4-BE49-F238E27FC236}">
                  <a16:creationId xmlns:a16="http://schemas.microsoft.com/office/drawing/2014/main" id="{00000000-0008-0000-0300-00002C000000}"/>
                </a:ext>
              </a:extLst>
            </xdr:cNvPr>
            <xdr:cNvSpPr txBox="1"/>
          </xdr:nvSpPr>
          <xdr:spPr>
            <a:xfrm>
              <a:off x="-1485900"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30B0616-0E83-4D8B-A7F7-C86F71AFF3AF}" type="TxLink">
                <a:rPr lang="en-US" sz="1100" b="0" i="0" u="none" strike="noStrike">
                  <a:solidFill>
                    <a:srgbClr val="000000"/>
                  </a:solidFill>
                  <a:latin typeface="Calibri"/>
                </a:rPr>
                <a:pPr algn="ctr"/>
                <a:t>Activity</a:t>
              </a:fld>
              <a:endParaRPr lang="en-US" sz="1100"/>
            </a:p>
          </xdr:txBody>
        </xdr:sp>
        <xdr:sp macro="" textlink="$N$21">
          <xdr:nvSpPr>
            <xdr:cNvPr id="45" name="TextBox 44">
              <a:extLst>
                <a:ext uri="{FF2B5EF4-FFF2-40B4-BE49-F238E27FC236}">
                  <a16:creationId xmlns:a16="http://schemas.microsoft.com/office/drawing/2014/main" id="{00000000-0008-0000-0300-00002D000000}"/>
                </a:ext>
              </a:extLst>
            </xdr:cNvPr>
            <xdr:cNvSpPr txBox="1"/>
          </xdr:nvSpPr>
          <xdr:spPr>
            <a:xfrm>
              <a:off x="193674"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255AAFD-332C-40C6-9912-A0A6D81B896E}" type="TxLink">
                <a:rPr lang="en-US" sz="1100" b="0" i="0" u="none" strike="noStrike">
                  <a:solidFill>
                    <a:srgbClr val="000000"/>
                  </a:solidFill>
                  <a:latin typeface="Calibri"/>
                </a:rPr>
                <a:pPr algn="ctr"/>
                <a:t>Ubiquity</a:t>
              </a:fld>
              <a:endParaRPr lang="en-US" sz="1100"/>
            </a:p>
          </xdr:txBody>
        </xdr:sp>
        <xdr:sp macro="" textlink="$N$22">
          <xdr:nvSpPr>
            <xdr:cNvPr id="46" name="TextBox 45">
              <a:extLst>
                <a:ext uri="{FF2B5EF4-FFF2-40B4-BE49-F238E27FC236}">
                  <a16:creationId xmlns:a16="http://schemas.microsoft.com/office/drawing/2014/main" id="{00000000-0008-0000-0300-00002E000000}"/>
                </a:ext>
              </a:extLst>
            </xdr:cNvPr>
            <xdr:cNvSpPr txBox="1"/>
          </xdr:nvSpPr>
          <xdr:spPr>
            <a:xfrm>
              <a:off x="1873248"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916B162-B47D-4D33-8FB7-903142101D8A}" type="TxLink">
                <a:rPr lang="en-US" sz="1100" b="0" i="0" u="none" strike="noStrike">
                  <a:solidFill>
                    <a:srgbClr val="000000"/>
                  </a:solidFill>
                  <a:latin typeface="Calibri"/>
                </a:rPr>
                <a:pPr algn="ctr"/>
                <a:t>Subject</a:t>
              </a:fld>
              <a:endParaRPr lang="en-US" sz="1100"/>
            </a:p>
          </xdr:txBody>
        </xdr:sp>
        <xdr:sp macro="" textlink="$N$23">
          <xdr:nvSpPr>
            <xdr:cNvPr id="47" name="TextBox 46">
              <a:extLst>
                <a:ext uri="{FF2B5EF4-FFF2-40B4-BE49-F238E27FC236}">
                  <a16:creationId xmlns:a16="http://schemas.microsoft.com/office/drawing/2014/main" id="{00000000-0008-0000-0300-00002F000000}"/>
                </a:ext>
              </a:extLst>
            </xdr:cNvPr>
            <xdr:cNvSpPr txBox="1"/>
          </xdr:nvSpPr>
          <xdr:spPr>
            <a:xfrm>
              <a:off x="3552823"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2D6C730-ACD6-44EE-98CB-D1D755EFCE93}" type="TxLink">
                <a:rPr lang="en-US" sz="1100" b="0" i="0" u="none" strike="noStrike">
                  <a:solidFill>
                    <a:srgbClr val="000000"/>
                  </a:solidFill>
                  <a:latin typeface="Calibri"/>
                </a:rPr>
                <a:pPr algn="ctr"/>
                <a:t>Environment</a:t>
              </a:fld>
              <a:endParaRPr lang="en-US" sz="1100"/>
            </a:p>
          </xdr:txBody>
        </xdr:sp>
      </xdr:grpSp>
    </xdr:grpSp>
    <xdr:clientData/>
  </xdr:twoCellAnchor>
  <xdr:twoCellAnchor>
    <xdr:from>
      <xdr:col>0</xdr:col>
      <xdr:colOff>0</xdr:colOff>
      <xdr:row>99</xdr:row>
      <xdr:rowOff>0</xdr:rowOff>
    </xdr:from>
    <xdr:to>
      <xdr:col>12</xdr:col>
      <xdr:colOff>417443</xdr:colOff>
      <xdr:row>118</xdr:row>
      <xdr:rowOff>114300</xdr:rowOff>
    </xdr:to>
    <xdr:grpSp>
      <xdr:nvGrpSpPr>
        <xdr:cNvPr id="48" name="Group 47">
          <a:extLst>
            <a:ext uri="{FF2B5EF4-FFF2-40B4-BE49-F238E27FC236}">
              <a16:creationId xmlns:a16="http://schemas.microsoft.com/office/drawing/2014/main" id="{00000000-0008-0000-0300-000030000000}"/>
            </a:ext>
          </a:extLst>
        </xdr:cNvPr>
        <xdr:cNvGrpSpPr/>
      </xdr:nvGrpSpPr>
      <xdr:grpSpPr>
        <a:xfrm>
          <a:off x="0" y="18859500"/>
          <a:ext cx="7678855" cy="3733800"/>
          <a:chOff x="-1552577" y="304800"/>
          <a:chExt cx="7772400" cy="3733800"/>
        </a:xfrm>
      </xdr:grpSpPr>
      <xdr:graphicFrame macro="">
        <xdr:nvGraphicFramePr>
          <xdr:cNvPr id="49" name="Chart 48">
            <a:extLst>
              <a:ext uri="{FF2B5EF4-FFF2-40B4-BE49-F238E27FC236}">
                <a16:creationId xmlns:a16="http://schemas.microsoft.com/office/drawing/2014/main" id="{00000000-0008-0000-0300-000031000000}"/>
              </a:ext>
            </a:extLst>
          </xdr:cNvPr>
          <xdr:cNvGraphicFramePr>
            <a:graphicFrameLocks/>
          </xdr:cNvGraphicFramePr>
        </xdr:nvGraphicFramePr>
        <xdr:xfrm>
          <a:off x="-1552577" y="304800"/>
          <a:ext cx="7772400" cy="3733800"/>
        </xdr:xfrm>
        <a:graphic>
          <a:graphicData uri="http://schemas.openxmlformats.org/drawingml/2006/chart">
            <c:chart xmlns:c="http://schemas.openxmlformats.org/drawingml/2006/chart" xmlns:r="http://schemas.openxmlformats.org/officeDocument/2006/relationships" r:id="rId6"/>
          </a:graphicData>
        </a:graphic>
      </xdr:graphicFrame>
      <xdr:grpSp>
        <xdr:nvGrpSpPr>
          <xdr:cNvPr id="50" name="Group 49">
            <a:extLst>
              <a:ext uri="{FF2B5EF4-FFF2-40B4-BE49-F238E27FC236}">
                <a16:creationId xmlns:a16="http://schemas.microsoft.com/office/drawing/2014/main" id="{00000000-0008-0000-0300-000032000000}"/>
              </a:ext>
            </a:extLst>
          </xdr:cNvPr>
          <xdr:cNvGrpSpPr/>
        </xdr:nvGrpSpPr>
        <xdr:grpSpPr>
          <a:xfrm>
            <a:off x="-1485900" y="3810000"/>
            <a:ext cx="6678680" cy="207066"/>
            <a:chOff x="-1485900" y="3810000"/>
            <a:chExt cx="6678680" cy="207066"/>
          </a:xfrm>
        </xdr:grpSpPr>
        <xdr:sp macro="" textlink="$N$25">
          <xdr:nvSpPr>
            <xdr:cNvPr id="51" name="TextBox 50">
              <a:extLst>
                <a:ext uri="{FF2B5EF4-FFF2-40B4-BE49-F238E27FC236}">
                  <a16:creationId xmlns:a16="http://schemas.microsoft.com/office/drawing/2014/main" id="{00000000-0008-0000-0300-000033000000}"/>
                </a:ext>
              </a:extLst>
            </xdr:cNvPr>
            <xdr:cNvSpPr txBox="1"/>
          </xdr:nvSpPr>
          <xdr:spPr>
            <a:xfrm>
              <a:off x="-1485900"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23D5D9F-833F-4ED4-9A4B-3681396EFCAA}" type="TxLink">
                <a:rPr lang="en-US" sz="1100" b="0" i="0" u="none" strike="noStrike">
                  <a:solidFill>
                    <a:srgbClr val="000000"/>
                  </a:solidFill>
                  <a:latin typeface="Calibri"/>
                </a:rPr>
                <a:pPr algn="ctr"/>
                <a:t>Ubiquity</a:t>
              </a:fld>
              <a:endParaRPr lang="en-US" sz="1100"/>
            </a:p>
          </xdr:txBody>
        </xdr:sp>
        <xdr:sp macro="" textlink="$N$26">
          <xdr:nvSpPr>
            <xdr:cNvPr id="52" name="TextBox 51">
              <a:extLst>
                <a:ext uri="{FF2B5EF4-FFF2-40B4-BE49-F238E27FC236}">
                  <a16:creationId xmlns:a16="http://schemas.microsoft.com/office/drawing/2014/main" id="{00000000-0008-0000-0300-000034000000}"/>
                </a:ext>
              </a:extLst>
            </xdr:cNvPr>
            <xdr:cNvSpPr txBox="1"/>
          </xdr:nvSpPr>
          <xdr:spPr>
            <a:xfrm>
              <a:off x="193674"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582689F-7FE1-4149-9FBE-6B9863A4F756}" type="TxLink">
                <a:rPr lang="en-US" sz="1100" b="0" i="0" u="none" strike="noStrike">
                  <a:solidFill>
                    <a:srgbClr val="000000"/>
                  </a:solidFill>
                  <a:latin typeface="Calibri"/>
                </a:rPr>
                <a:pPr algn="ctr"/>
                <a:t>Environment</a:t>
              </a:fld>
              <a:endParaRPr lang="en-US" sz="1100"/>
            </a:p>
          </xdr:txBody>
        </xdr:sp>
        <xdr:sp macro="" textlink="$N$27">
          <xdr:nvSpPr>
            <xdr:cNvPr id="53" name="TextBox 52">
              <a:extLst>
                <a:ext uri="{FF2B5EF4-FFF2-40B4-BE49-F238E27FC236}">
                  <a16:creationId xmlns:a16="http://schemas.microsoft.com/office/drawing/2014/main" id="{00000000-0008-0000-0300-000035000000}"/>
                </a:ext>
              </a:extLst>
            </xdr:cNvPr>
            <xdr:cNvSpPr txBox="1"/>
          </xdr:nvSpPr>
          <xdr:spPr>
            <a:xfrm>
              <a:off x="1873248"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A4E8735-00C9-43BF-A8E2-0446A938BC95}" type="TxLink">
                <a:rPr lang="en-US" sz="1100" b="0" i="0" u="none" strike="noStrike">
                  <a:solidFill>
                    <a:srgbClr val="000000"/>
                  </a:solidFill>
                  <a:latin typeface="Calibri"/>
                </a:rPr>
                <a:pPr algn="ctr"/>
                <a:t>Activity</a:t>
              </a:fld>
              <a:endParaRPr lang="en-US" sz="1100"/>
            </a:p>
          </xdr:txBody>
        </xdr:sp>
        <xdr:sp macro="" textlink="$N$28">
          <xdr:nvSpPr>
            <xdr:cNvPr id="54" name="TextBox 53">
              <a:extLst>
                <a:ext uri="{FF2B5EF4-FFF2-40B4-BE49-F238E27FC236}">
                  <a16:creationId xmlns:a16="http://schemas.microsoft.com/office/drawing/2014/main" id="{00000000-0008-0000-0300-000036000000}"/>
                </a:ext>
              </a:extLst>
            </xdr:cNvPr>
            <xdr:cNvSpPr txBox="1"/>
          </xdr:nvSpPr>
          <xdr:spPr>
            <a:xfrm>
              <a:off x="3552823" y="38100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CAD79A8-2975-4EF2-8BD6-9EAE1FF00F24}" type="TxLink">
                <a:rPr lang="en-US" sz="1100" b="0" i="0" u="none" strike="noStrike">
                  <a:solidFill>
                    <a:srgbClr val="000000"/>
                  </a:solidFill>
                  <a:latin typeface="Calibri"/>
                </a:rPr>
                <a:pPr algn="ctr"/>
                <a:t>Subject</a:t>
              </a:fld>
              <a:endParaRPr lang="en-US" sz="1100"/>
            </a:p>
          </xdr:txBody>
        </xdr:sp>
      </xdr:grpSp>
    </xdr:grpSp>
    <xdr:clientData/>
  </xdr:twoCellAnchor>
  <xdr:twoCellAnchor>
    <xdr:from>
      <xdr:col>17</xdr:col>
      <xdr:colOff>41410</xdr:colOff>
      <xdr:row>0</xdr:row>
      <xdr:rowOff>33132</xdr:rowOff>
    </xdr:from>
    <xdr:to>
      <xdr:col>25</xdr:col>
      <xdr:colOff>403360</xdr:colOff>
      <xdr:row>19</xdr:row>
      <xdr:rowOff>147432</xdr:rowOff>
    </xdr:to>
    <xdr:grpSp>
      <xdr:nvGrpSpPr>
        <xdr:cNvPr id="60" name="Group 59">
          <a:extLst>
            <a:ext uri="{FF2B5EF4-FFF2-40B4-BE49-F238E27FC236}">
              <a16:creationId xmlns:a16="http://schemas.microsoft.com/office/drawing/2014/main" id="{00000000-0008-0000-0300-00003C000000}"/>
            </a:ext>
          </a:extLst>
        </xdr:cNvPr>
        <xdr:cNvGrpSpPr/>
      </xdr:nvGrpSpPr>
      <xdr:grpSpPr>
        <a:xfrm>
          <a:off x="9118175" y="33132"/>
          <a:ext cx="5202891" cy="3733800"/>
          <a:chOff x="0" y="0"/>
          <a:chExt cx="5265254" cy="3733800"/>
        </a:xfrm>
      </xdr:grpSpPr>
      <xdr:graphicFrame macro="">
        <xdr:nvGraphicFramePr>
          <xdr:cNvPr id="61" name="Chart 60">
            <a:extLst>
              <a:ext uri="{FF2B5EF4-FFF2-40B4-BE49-F238E27FC236}">
                <a16:creationId xmlns:a16="http://schemas.microsoft.com/office/drawing/2014/main" id="{00000000-0008-0000-0300-00003D000000}"/>
              </a:ext>
            </a:extLst>
          </xdr:cNvPr>
          <xdr:cNvGraphicFramePr>
            <a:graphicFrameLocks/>
          </xdr:cNvGraphicFramePr>
        </xdr:nvGraphicFramePr>
        <xdr:xfrm>
          <a:off x="0" y="0"/>
          <a:ext cx="5265254" cy="3733800"/>
        </xdr:xfrm>
        <a:graphic>
          <a:graphicData uri="http://schemas.openxmlformats.org/drawingml/2006/chart">
            <c:chart xmlns:c="http://schemas.openxmlformats.org/drawingml/2006/chart" xmlns:r="http://schemas.openxmlformats.org/officeDocument/2006/relationships" r:id="rId7"/>
          </a:graphicData>
        </a:graphic>
      </xdr:graphicFrame>
      <xdr:sp macro="" textlink="$O$3">
        <xdr:nvSpPr>
          <xdr:cNvPr id="62" name="TextBox 61">
            <a:extLst>
              <a:ext uri="{FF2B5EF4-FFF2-40B4-BE49-F238E27FC236}">
                <a16:creationId xmlns:a16="http://schemas.microsoft.com/office/drawing/2014/main" id="{00000000-0008-0000-0300-00003E000000}"/>
              </a:ext>
            </a:extLst>
          </xdr:cNvPr>
          <xdr:cNvSpPr txBox="1"/>
        </xdr:nvSpPr>
        <xdr:spPr>
          <a:xfrm>
            <a:off x="240196" y="3503544"/>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943C95A-36BE-4C97-9891-8A72FD2546D7}" type="TxLink">
              <a:rPr lang="en-US" sz="1100" b="0" i="0" u="none" strike="noStrike">
                <a:solidFill>
                  <a:srgbClr val="000000"/>
                </a:solidFill>
                <a:latin typeface="Calibri"/>
              </a:rPr>
              <a:pPr algn="ctr"/>
              <a:t>Life Cycle Properties</a:t>
            </a:fld>
            <a:endParaRPr lang="en-US" sz="1100"/>
          </a:p>
        </xdr:txBody>
      </xdr:sp>
      <xdr:sp macro="" textlink="$O$4">
        <xdr:nvSpPr>
          <xdr:cNvPr id="63" name="TextBox 62">
            <a:extLst>
              <a:ext uri="{FF2B5EF4-FFF2-40B4-BE49-F238E27FC236}">
                <a16:creationId xmlns:a16="http://schemas.microsoft.com/office/drawing/2014/main" id="{00000000-0008-0000-0300-00003F000000}"/>
              </a:ext>
            </a:extLst>
          </xdr:cNvPr>
          <xdr:cNvSpPr txBox="1"/>
        </xdr:nvSpPr>
        <xdr:spPr>
          <a:xfrm>
            <a:off x="2686879" y="3498574"/>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C57E368-6EC5-43EB-8138-CB77E1D0E56D}" type="TxLink">
              <a:rPr lang="en-US" sz="1100" b="0" i="0" u="none" strike="noStrike">
                <a:solidFill>
                  <a:srgbClr val="000000"/>
                </a:solidFill>
                <a:latin typeface="Calibri"/>
              </a:rPr>
              <a:pPr algn="ctr"/>
              <a:t>Chemical Properties</a:t>
            </a:fld>
            <a:endParaRPr lang="en-US" sz="1100"/>
          </a:p>
        </xdr:txBody>
      </xdr:sp>
    </xdr:grpSp>
    <xdr:clientData/>
  </xdr:twoCellAnchor>
  <xdr:twoCellAnchor>
    <xdr:from>
      <xdr:col>17</xdr:col>
      <xdr:colOff>0</xdr:colOff>
      <xdr:row>20</xdr:row>
      <xdr:rowOff>0</xdr:rowOff>
    </xdr:from>
    <xdr:to>
      <xdr:col>27</xdr:col>
      <xdr:colOff>271670</xdr:colOff>
      <xdr:row>39</xdr:row>
      <xdr:rowOff>114300</xdr:rowOff>
    </xdr:to>
    <xdr:grpSp>
      <xdr:nvGrpSpPr>
        <xdr:cNvPr id="64" name="Group 63">
          <a:extLst>
            <a:ext uri="{FF2B5EF4-FFF2-40B4-BE49-F238E27FC236}">
              <a16:creationId xmlns:a16="http://schemas.microsoft.com/office/drawing/2014/main" id="{00000000-0008-0000-0300-000040000000}"/>
            </a:ext>
          </a:extLst>
        </xdr:cNvPr>
        <xdr:cNvGrpSpPr/>
      </xdr:nvGrpSpPr>
      <xdr:grpSpPr>
        <a:xfrm>
          <a:off x="9076765" y="3810000"/>
          <a:ext cx="6322846" cy="3733800"/>
          <a:chOff x="1628775" y="428625"/>
          <a:chExt cx="6400800" cy="3733800"/>
        </a:xfrm>
      </xdr:grpSpPr>
      <xdr:grpSp>
        <xdr:nvGrpSpPr>
          <xdr:cNvPr id="65" name="Group 64">
            <a:extLst>
              <a:ext uri="{FF2B5EF4-FFF2-40B4-BE49-F238E27FC236}">
                <a16:creationId xmlns:a16="http://schemas.microsoft.com/office/drawing/2014/main" id="{00000000-0008-0000-0300-000041000000}"/>
              </a:ext>
            </a:extLst>
          </xdr:cNvPr>
          <xdr:cNvGrpSpPr/>
        </xdr:nvGrpSpPr>
        <xdr:grpSpPr>
          <a:xfrm>
            <a:off x="1628775" y="428625"/>
            <a:ext cx="6400800" cy="3733800"/>
            <a:chOff x="7620000" y="1104900"/>
            <a:chExt cx="6400800" cy="3733800"/>
          </a:xfrm>
        </xdr:grpSpPr>
        <xdr:graphicFrame macro="">
          <xdr:nvGraphicFramePr>
            <xdr:cNvPr id="68" name="Chart 67">
              <a:extLst>
                <a:ext uri="{FF2B5EF4-FFF2-40B4-BE49-F238E27FC236}">
                  <a16:creationId xmlns:a16="http://schemas.microsoft.com/office/drawing/2014/main" id="{00000000-0008-0000-0300-000044000000}"/>
                </a:ext>
              </a:extLst>
            </xdr:cNvPr>
            <xdr:cNvGraphicFramePr>
              <a:graphicFrameLocks/>
            </xdr:cNvGraphicFramePr>
          </xdr:nvGraphicFramePr>
          <xdr:xfrm>
            <a:off x="7620000" y="1104900"/>
            <a:ext cx="6400800" cy="3733800"/>
          </xdr:xfrm>
          <a:graphic>
            <a:graphicData uri="http://schemas.openxmlformats.org/drawingml/2006/chart">
              <c:chart xmlns:c="http://schemas.openxmlformats.org/drawingml/2006/chart" xmlns:r="http://schemas.openxmlformats.org/officeDocument/2006/relationships" r:id="rId8"/>
            </a:graphicData>
          </a:graphic>
        </xdr:graphicFrame>
        <xdr:sp macro="" textlink="$O$6">
          <xdr:nvSpPr>
            <xdr:cNvPr id="69" name="TextBox 68">
              <a:extLst>
                <a:ext uri="{FF2B5EF4-FFF2-40B4-BE49-F238E27FC236}">
                  <a16:creationId xmlns:a16="http://schemas.microsoft.com/office/drawing/2014/main" id="{00000000-0008-0000-0300-000045000000}"/>
                </a:ext>
              </a:extLst>
            </xdr:cNvPr>
            <xdr:cNvSpPr txBox="1"/>
          </xdr:nvSpPr>
          <xdr:spPr>
            <a:xfrm>
              <a:off x="7743825" y="46101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6C4AB5C-EB55-4C73-9DE6-979B154C75F5}" type="TxLink">
                <a:rPr lang="en-US" sz="1100" b="0" i="0" u="none" strike="noStrike">
                  <a:solidFill>
                    <a:srgbClr val="000000"/>
                  </a:solidFill>
                  <a:latin typeface="Calibri"/>
                </a:rPr>
                <a:pPr algn="ctr"/>
                <a:t>Consumer Use Phase</a:t>
              </a:fld>
              <a:endParaRPr lang="en-US" sz="1100"/>
            </a:p>
          </xdr:txBody>
        </xdr:sp>
      </xdr:grpSp>
      <xdr:sp macro="" textlink="$O$7">
        <xdr:nvSpPr>
          <xdr:cNvPr id="66" name="TextBox 65">
            <a:extLst>
              <a:ext uri="{FF2B5EF4-FFF2-40B4-BE49-F238E27FC236}">
                <a16:creationId xmlns:a16="http://schemas.microsoft.com/office/drawing/2014/main" id="{00000000-0008-0000-0300-000042000000}"/>
              </a:ext>
            </a:extLst>
          </xdr:cNvPr>
          <xdr:cNvSpPr txBox="1"/>
        </xdr:nvSpPr>
        <xdr:spPr>
          <a:xfrm>
            <a:off x="3590925" y="39338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A0B4C1-10D0-47A3-8652-BC95AD246F23}" type="TxLink">
              <a:rPr lang="en-US" sz="1100" b="0" i="0" u="none" strike="noStrike">
                <a:solidFill>
                  <a:srgbClr val="000000"/>
                </a:solidFill>
                <a:latin typeface="Calibri"/>
              </a:rPr>
              <a:pPr algn="ctr"/>
              <a:t>Production Phase</a:t>
            </a:fld>
            <a:endParaRPr lang="en-US" sz="1100"/>
          </a:p>
        </xdr:txBody>
      </xdr:sp>
      <xdr:sp macro="" textlink="$O$8">
        <xdr:nvSpPr>
          <xdr:cNvPr id="67" name="TextBox 66">
            <a:extLst>
              <a:ext uri="{FF2B5EF4-FFF2-40B4-BE49-F238E27FC236}">
                <a16:creationId xmlns:a16="http://schemas.microsoft.com/office/drawing/2014/main" id="{00000000-0008-0000-0300-000043000000}"/>
              </a:ext>
            </a:extLst>
          </xdr:cNvPr>
          <xdr:cNvSpPr txBox="1"/>
        </xdr:nvSpPr>
        <xdr:spPr>
          <a:xfrm>
            <a:off x="5600700" y="39243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EFE4F59-54AA-4D9F-9CC7-EBD2C8DADF0B}" type="TxLink">
              <a:rPr lang="en-US" sz="1100" b="0" i="0" u="none" strike="noStrike">
                <a:solidFill>
                  <a:srgbClr val="000000"/>
                </a:solidFill>
                <a:latin typeface="Calibri"/>
              </a:rPr>
              <a:pPr algn="ctr"/>
              <a:t>Disposal Phase</a:t>
            </a:fld>
            <a:endParaRPr lang="en-US" sz="1100"/>
          </a:p>
        </xdr:txBody>
      </xdr:sp>
    </xdr:grpSp>
    <xdr:clientData/>
  </xdr:twoCellAnchor>
  <xdr:twoCellAnchor>
    <xdr:from>
      <xdr:col>17</xdr:col>
      <xdr:colOff>0</xdr:colOff>
      <xdr:row>40</xdr:row>
      <xdr:rowOff>0</xdr:rowOff>
    </xdr:from>
    <xdr:to>
      <xdr:col>30</xdr:col>
      <xdr:colOff>364435</xdr:colOff>
      <xdr:row>59</xdr:row>
      <xdr:rowOff>114300</xdr:rowOff>
    </xdr:to>
    <xdr:grpSp>
      <xdr:nvGrpSpPr>
        <xdr:cNvPr id="70" name="Group 69">
          <a:extLst>
            <a:ext uri="{FF2B5EF4-FFF2-40B4-BE49-F238E27FC236}">
              <a16:creationId xmlns:a16="http://schemas.microsoft.com/office/drawing/2014/main" id="{00000000-0008-0000-0300-000046000000}"/>
            </a:ext>
          </a:extLst>
        </xdr:cNvPr>
        <xdr:cNvGrpSpPr/>
      </xdr:nvGrpSpPr>
      <xdr:grpSpPr>
        <a:xfrm>
          <a:off x="9076765" y="7620000"/>
          <a:ext cx="8230964" cy="3733800"/>
          <a:chOff x="295273" y="1628775"/>
          <a:chExt cx="7772400" cy="3733800"/>
        </a:xfrm>
      </xdr:grpSpPr>
      <xdr:graphicFrame macro="">
        <xdr:nvGraphicFramePr>
          <xdr:cNvPr id="71" name="Chart 70">
            <a:extLst>
              <a:ext uri="{FF2B5EF4-FFF2-40B4-BE49-F238E27FC236}">
                <a16:creationId xmlns:a16="http://schemas.microsoft.com/office/drawing/2014/main" id="{00000000-0008-0000-0300-000047000000}"/>
              </a:ext>
            </a:extLst>
          </xdr:cNvPr>
          <xdr:cNvGraphicFramePr>
            <a:graphicFrameLocks/>
          </xdr:cNvGraphicFramePr>
        </xdr:nvGraphicFramePr>
        <xdr:xfrm>
          <a:off x="295273" y="1628775"/>
          <a:ext cx="7772400" cy="3733800"/>
        </xdr:xfrm>
        <a:graphic>
          <a:graphicData uri="http://schemas.openxmlformats.org/drawingml/2006/chart">
            <c:chart xmlns:c="http://schemas.openxmlformats.org/drawingml/2006/chart" xmlns:r="http://schemas.openxmlformats.org/officeDocument/2006/relationships" r:id="rId9"/>
          </a:graphicData>
        </a:graphic>
      </xdr:graphicFrame>
      <xdr:grpSp>
        <xdr:nvGrpSpPr>
          <xdr:cNvPr id="72" name="Group 71">
            <a:extLst>
              <a:ext uri="{FF2B5EF4-FFF2-40B4-BE49-F238E27FC236}">
                <a16:creationId xmlns:a16="http://schemas.microsoft.com/office/drawing/2014/main" id="{00000000-0008-0000-0300-000048000000}"/>
              </a:ext>
            </a:extLst>
          </xdr:cNvPr>
          <xdr:cNvGrpSpPr/>
        </xdr:nvGrpSpPr>
        <xdr:grpSpPr>
          <a:xfrm>
            <a:off x="326388" y="5114925"/>
            <a:ext cx="6678680" cy="207066"/>
            <a:chOff x="326388" y="5114925"/>
            <a:chExt cx="6678680" cy="207066"/>
          </a:xfrm>
        </xdr:grpSpPr>
        <xdr:sp macro="" textlink="$O$10">
          <xdr:nvSpPr>
            <xdr:cNvPr id="73" name="TextBox 72">
              <a:extLst>
                <a:ext uri="{FF2B5EF4-FFF2-40B4-BE49-F238E27FC236}">
                  <a16:creationId xmlns:a16="http://schemas.microsoft.com/office/drawing/2014/main" id="{00000000-0008-0000-0300-000049000000}"/>
                </a:ext>
              </a:extLst>
            </xdr:cNvPr>
            <xdr:cNvSpPr txBox="1"/>
          </xdr:nvSpPr>
          <xdr:spPr>
            <a:xfrm>
              <a:off x="326388"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CAB7779-2858-40D3-BD44-FAD10B744D43}" type="TxLink">
                <a:rPr lang="en-US" sz="1100" b="0" i="0" u="none" strike="noStrike">
                  <a:solidFill>
                    <a:srgbClr val="000000"/>
                  </a:solidFill>
                  <a:latin typeface="Calibri"/>
                </a:rPr>
                <a:pPr algn="ctr"/>
                <a:t>ADME</a:t>
              </a:fld>
              <a:endParaRPr lang="en-US" sz="1100"/>
            </a:p>
          </xdr:txBody>
        </xdr:sp>
        <xdr:sp macro="" textlink="$O$11">
          <xdr:nvSpPr>
            <xdr:cNvPr id="74" name="TextBox 73">
              <a:extLst>
                <a:ext uri="{FF2B5EF4-FFF2-40B4-BE49-F238E27FC236}">
                  <a16:creationId xmlns:a16="http://schemas.microsoft.com/office/drawing/2014/main" id="{00000000-0008-0000-0300-00004A000000}"/>
                </a:ext>
              </a:extLst>
            </xdr:cNvPr>
            <xdr:cNvSpPr txBox="1"/>
          </xdr:nvSpPr>
          <xdr:spPr>
            <a:xfrm>
              <a:off x="2005960"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735689C-847F-4E29-9117-394C70D58DE0}" type="TxLink">
                <a:rPr lang="en-US" sz="1100" b="0" i="0" u="none" strike="noStrike">
                  <a:solidFill>
                    <a:srgbClr val="000000"/>
                  </a:solidFill>
                  <a:latin typeface="Calibri"/>
                </a:rPr>
                <a:pPr algn="ctr"/>
                <a:t>Bioaccumulation</a:t>
              </a:fld>
              <a:endParaRPr lang="en-US" sz="1100"/>
            </a:p>
          </xdr:txBody>
        </xdr:sp>
        <xdr:sp macro="" textlink="$O$12">
          <xdr:nvSpPr>
            <xdr:cNvPr id="75" name="TextBox 74">
              <a:extLst>
                <a:ext uri="{FF2B5EF4-FFF2-40B4-BE49-F238E27FC236}">
                  <a16:creationId xmlns:a16="http://schemas.microsoft.com/office/drawing/2014/main" id="{00000000-0008-0000-0300-00004B000000}"/>
                </a:ext>
              </a:extLst>
            </xdr:cNvPr>
            <xdr:cNvSpPr txBox="1"/>
          </xdr:nvSpPr>
          <xdr:spPr>
            <a:xfrm>
              <a:off x="3685534"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5569D4D-F880-4434-A69A-E80402CE4626}" type="TxLink">
                <a:rPr lang="en-US" sz="1100" b="0" i="0" u="none" strike="noStrike">
                  <a:solidFill>
                    <a:srgbClr val="000000"/>
                  </a:solidFill>
                  <a:latin typeface="Calibri"/>
                </a:rPr>
                <a:pPr algn="ctr"/>
                <a:t>Persistence</a:t>
              </a:fld>
              <a:endParaRPr lang="en-US" sz="1100"/>
            </a:p>
          </xdr:txBody>
        </xdr:sp>
        <xdr:sp macro="" textlink="$O$13">
          <xdr:nvSpPr>
            <xdr:cNvPr id="76" name="TextBox 75">
              <a:extLst>
                <a:ext uri="{FF2B5EF4-FFF2-40B4-BE49-F238E27FC236}">
                  <a16:creationId xmlns:a16="http://schemas.microsoft.com/office/drawing/2014/main" id="{00000000-0008-0000-0300-00004C000000}"/>
                </a:ext>
              </a:extLst>
            </xdr:cNvPr>
            <xdr:cNvSpPr txBox="1"/>
          </xdr:nvSpPr>
          <xdr:spPr>
            <a:xfrm>
              <a:off x="5365111"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3865FA6-B6E4-418E-B4B6-0DB03F042CCC}" type="TxLink">
                <a:rPr lang="en-US" sz="1100" b="0" i="0" u="none" strike="noStrike">
                  <a:solidFill>
                    <a:srgbClr val="000000"/>
                  </a:solidFill>
                  <a:latin typeface="Calibri"/>
                </a:rPr>
                <a:pPr algn="ctr"/>
                <a:t>Physical Hazard</a:t>
              </a:fld>
              <a:endParaRPr lang="en-US" sz="1100"/>
            </a:p>
          </xdr:txBody>
        </xdr:sp>
      </xdr:grpSp>
    </xdr:grpSp>
    <xdr:clientData/>
  </xdr:twoCellAnchor>
  <xdr:twoCellAnchor>
    <xdr:from>
      <xdr:col>17</xdr:col>
      <xdr:colOff>0</xdr:colOff>
      <xdr:row>59</xdr:row>
      <xdr:rowOff>140802</xdr:rowOff>
    </xdr:from>
    <xdr:to>
      <xdr:col>30</xdr:col>
      <xdr:colOff>364435</xdr:colOff>
      <xdr:row>79</xdr:row>
      <xdr:rowOff>64602</xdr:rowOff>
    </xdr:to>
    <xdr:grpSp>
      <xdr:nvGrpSpPr>
        <xdr:cNvPr id="84" name="Group 83">
          <a:extLst>
            <a:ext uri="{FF2B5EF4-FFF2-40B4-BE49-F238E27FC236}">
              <a16:creationId xmlns:a16="http://schemas.microsoft.com/office/drawing/2014/main" id="{00000000-0008-0000-0300-000054000000}"/>
            </a:ext>
          </a:extLst>
        </xdr:cNvPr>
        <xdr:cNvGrpSpPr/>
      </xdr:nvGrpSpPr>
      <xdr:grpSpPr>
        <a:xfrm>
          <a:off x="9076765" y="11380302"/>
          <a:ext cx="8230964" cy="3733800"/>
          <a:chOff x="295273" y="1628775"/>
          <a:chExt cx="7772400" cy="3733800"/>
        </a:xfrm>
      </xdr:grpSpPr>
      <xdr:graphicFrame macro="">
        <xdr:nvGraphicFramePr>
          <xdr:cNvPr id="85" name="Chart 84">
            <a:extLst>
              <a:ext uri="{FF2B5EF4-FFF2-40B4-BE49-F238E27FC236}">
                <a16:creationId xmlns:a16="http://schemas.microsoft.com/office/drawing/2014/main" id="{00000000-0008-0000-0300-000055000000}"/>
              </a:ext>
            </a:extLst>
          </xdr:cNvPr>
          <xdr:cNvGraphicFramePr>
            <a:graphicFrameLocks/>
          </xdr:cNvGraphicFramePr>
        </xdr:nvGraphicFramePr>
        <xdr:xfrm>
          <a:off x="295273" y="1628775"/>
          <a:ext cx="7772400" cy="3733800"/>
        </xdr:xfrm>
        <a:graphic>
          <a:graphicData uri="http://schemas.openxmlformats.org/drawingml/2006/chart">
            <c:chart xmlns:c="http://schemas.openxmlformats.org/drawingml/2006/chart" xmlns:r="http://schemas.openxmlformats.org/officeDocument/2006/relationships" r:id="rId10"/>
          </a:graphicData>
        </a:graphic>
      </xdr:graphicFrame>
      <xdr:grpSp>
        <xdr:nvGrpSpPr>
          <xdr:cNvPr id="86" name="Group 85">
            <a:extLst>
              <a:ext uri="{FF2B5EF4-FFF2-40B4-BE49-F238E27FC236}">
                <a16:creationId xmlns:a16="http://schemas.microsoft.com/office/drawing/2014/main" id="{00000000-0008-0000-0300-000056000000}"/>
              </a:ext>
            </a:extLst>
          </xdr:cNvPr>
          <xdr:cNvGrpSpPr/>
        </xdr:nvGrpSpPr>
        <xdr:grpSpPr>
          <a:xfrm>
            <a:off x="326388" y="5114925"/>
            <a:ext cx="6678680" cy="207066"/>
            <a:chOff x="326388" y="5114925"/>
            <a:chExt cx="6678680" cy="207066"/>
          </a:xfrm>
        </xdr:grpSpPr>
        <xdr:sp macro="" textlink="$O$15">
          <xdr:nvSpPr>
            <xdr:cNvPr id="87" name="TextBox 86">
              <a:extLst>
                <a:ext uri="{FF2B5EF4-FFF2-40B4-BE49-F238E27FC236}">
                  <a16:creationId xmlns:a16="http://schemas.microsoft.com/office/drawing/2014/main" id="{00000000-0008-0000-0300-000057000000}"/>
                </a:ext>
              </a:extLst>
            </xdr:cNvPr>
            <xdr:cNvSpPr txBox="1"/>
          </xdr:nvSpPr>
          <xdr:spPr>
            <a:xfrm>
              <a:off x="326388"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0073825-F781-48CD-BFA5-D0ED147239C7}" type="TxLink">
                <a:rPr lang="en-US" sz="1100" b="0" i="0" u="none" strike="noStrike">
                  <a:solidFill>
                    <a:srgbClr val="000000"/>
                  </a:solidFill>
                  <a:latin typeface="Calibri"/>
                </a:rPr>
                <a:pPr algn="ctr"/>
                <a:t>Activity</a:t>
              </a:fld>
              <a:endParaRPr lang="en-US" sz="1100"/>
            </a:p>
          </xdr:txBody>
        </xdr:sp>
        <xdr:sp macro="" textlink="$O$16">
          <xdr:nvSpPr>
            <xdr:cNvPr id="88" name="TextBox 87">
              <a:extLst>
                <a:ext uri="{FF2B5EF4-FFF2-40B4-BE49-F238E27FC236}">
                  <a16:creationId xmlns:a16="http://schemas.microsoft.com/office/drawing/2014/main" id="{00000000-0008-0000-0300-000058000000}"/>
                </a:ext>
              </a:extLst>
            </xdr:cNvPr>
            <xdr:cNvSpPr txBox="1"/>
          </xdr:nvSpPr>
          <xdr:spPr>
            <a:xfrm>
              <a:off x="2005960"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C1AC664-9A66-455D-BC7E-A31254F26B00}" type="TxLink">
                <a:rPr lang="en-US" sz="1100" b="0" i="0" u="none" strike="noStrike">
                  <a:solidFill>
                    <a:srgbClr val="000000"/>
                  </a:solidFill>
                  <a:latin typeface="Calibri"/>
                </a:rPr>
                <a:pPr algn="ctr"/>
                <a:t>Ubiquity</a:t>
              </a:fld>
              <a:endParaRPr lang="en-US" sz="1100"/>
            </a:p>
          </xdr:txBody>
        </xdr:sp>
        <xdr:sp macro="" textlink="$O$17">
          <xdr:nvSpPr>
            <xdr:cNvPr id="89" name="TextBox 88">
              <a:extLst>
                <a:ext uri="{FF2B5EF4-FFF2-40B4-BE49-F238E27FC236}">
                  <a16:creationId xmlns:a16="http://schemas.microsoft.com/office/drawing/2014/main" id="{00000000-0008-0000-0300-000059000000}"/>
                </a:ext>
              </a:extLst>
            </xdr:cNvPr>
            <xdr:cNvSpPr txBox="1"/>
          </xdr:nvSpPr>
          <xdr:spPr>
            <a:xfrm>
              <a:off x="3685534"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5E00155-002B-49F6-BCDD-79C0DE1B7C31}" type="TxLink">
                <a:rPr lang="en-US" sz="1100" b="0" i="0" u="none" strike="noStrike">
                  <a:solidFill>
                    <a:srgbClr val="000000"/>
                  </a:solidFill>
                  <a:latin typeface="Calibri"/>
                </a:rPr>
                <a:pPr algn="ctr"/>
                <a:t>Environment</a:t>
              </a:fld>
              <a:endParaRPr lang="en-US" sz="1100"/>
            </a:p>
          </xdr:txBody>
        </xdr:sp>
        <xdr:sp macro="" textlink="$O$18">
          <xdr:nvSpPr>
            <xdr:cNvPr id="90" name="TextBox 89">
              <a:extLst>
                <a:ext uri="{FF2B5EF4-FFF2-40B4-BE49-F238E27FC236}">
                  <a16:creationId xmlns:a16="http://schemas.microsoft.com/office/drawing/2014/main" id="{00000000-0008-0000-0300-00005A000000}"/>
                </a:ext>
              </a:extLst>
            </xdr:cNvPr>
            <xdr:cNvSpPr txBox="1"/>
          </xdr:nvSpPr>
          <xdr:spPr>
            <a:xfrm>
              <a:off x="5365111" y="5114925"/>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286CF97-24CC-47A9-970F-0D3F33F7A58F}" type="TxLink">
                <a:rPr lang="en-US" sz="1100" b="0" i="0" u="none" strike="noStrike">
                  <a:solidFill>
                    <a:srgbClr val="000000"/>
                  </a:solidFill>
                  <a:latin typeface="Calibri"/>
                </a:rPr>
                <a:pPr algn="ctr"/>
                <a:t>Subject</a:t>
              </a:fld>
              <a:endParaRPr lang="en-US" sz="1100"/>
            </a:p>
          </xdr:txBody>
        </xdr:sp>
      </xdr:grpSp>
    </xdr:grpSp>
    <xdr:clientData/>
  </xdr:twoCellAnchor>
  <xdr:twoCellAnchor>
    <xdr:from>
      <xdr:col>17</xdr:col>
      <xdr:colOff>0</xdr:colOff>
      <xdr:row>80</xdr:row>
      <xdr:rowOff>0</xdr:rowOff>
    </xdr:from>
    <xdr:to>
      <xdr:col>30</xdr:col>
      <xdr:colOff>364435</xdr:colOff>
      <xdr:row>99</xdr:row>
      <xdr:rowOff>114300</xdr:rowOff>
    </xdr:to>
    <xdr:grpSp>
      <xdr:nvGrpSpPr>
        <xdr:cNvPr id="91" name="Group 90">
          <a:extLst>
            <a:ext uri="{FF2B5EF4-FFF2-40B4-BE49-F238E27FC236}">
              <a16:creationId xmlns:a16="http://schemas.microsoft.com/office/drawing/2014/main" id="{00000000-0008-0000-0300-00005B000000}"/>
            </a:ext>
          </a:extLst>
        </xdr:cNvPr>
        <xdr:cNvGrpSpPr/>
      </xdr:nvGrpSpPr>
      <xdr:grpSpPr>
        <a:xfrm>
          <a:off x="9076765" y="15240000"/>
          <a:ext cx="8230964" cy="3733800"/>
          <a:chOff x="-3063238" y="790575"/>
          <a:chExt cx="7772400" cy="3733800"/>
        </a:xfrm>
      </xdr:grpSpPr>
      <xdr:graphicFrame macro="">
        <xdr:nvGraphicFramePr>
          <xdr:cNvPr id="92" name="Chart 91">
            <a:extLst>
              <a:ext uri="{FF2B5EF4-FFF2-40B4-BE49-F238E27FC236}">
                <a16:creationId xmlns:a16="http://schemas.microsoft.com/office/drawing/2014/main" id="{00000000-0008-0000-0300-00005C000000}"/>
              </a:ext>
            </a:extLst>
          </xdr:cNvPr>
          <xdr:cNvGraphicFramePr>
            <a:graphicFrameLocks/>
          </xdr:cNvGraphicFramePr>
        </xdr:nvGraphicFramePr>
        <xdr:xfrm>
          <a:off x="-3063238" y="790575"/>
          <a:ext cx="7772400" cy="3733800"/>
        </xdr:xfrm>
        <a:graphic>
          <a:graphicData uri="http://schemas.openxmlformats.org/drawingml/2006/chart">
            <c:chart xmlns:c="http://schemas.openxmlformats.org/drawingml/2006/chart" xmlns:r="http://schemas.openxmlformats.org/officeDocument/2006/relationships" r:id="rId11"/>
          </a:graphicData>
        </a:graphic>
      </xdr:graphicFrame>
      <xdr:grpSp>
        <xdr:nvGrpSpPr>
          <xdr:cNvPr id="93" name="Group 92">
            <a:extLst>
              <a:ext uri="{FF2B5EF4-FFF2-40B4-BE49-F238E27FC236}">
                <a16:creationId xmlns:a16="http://schemas.microsoft.com/office/drawing/2014/main" id="{00000000-0008-0000-0300-00005D000000}"/>
              </a:ext>
            </a:extLst>
          </xdr:cNvPr>
          <xdr:cNvGrpSpPr/>
        </xdr:nvGrpSpPr>
        <xdr:grpSpPr>
          <a:xfrm>
            <a:off x="-3058778" y="4305300"/>
            <a:ext cx="6678680" cy="207066"/>
            <a:chOff x="-3058778" y="4305300"/>
            <a:chExt cx="6678680" cy="207066"/>
          </a:xfrm>
        </xdr:grpSpPr>
        <xdr:sp macro="" textlink="$O$20">
          <xdr:nvSpPr>
            <xdr:cNvPr id="94" name="TextBox 93">
              <a:extLst>
                <a:ext uri="{FF2B5EF4-FFF2-40B4-BE49-F238E27FC236}">
                  <a16:creationId xmlns:a16="http://schemas.microsoft.com/office/drawing/2014/main" id="{00000000-0008-0000-0300-00005E000000}"/>
                </a:ext>
              </a:extLst>
            </xdr:cNvPr>
            <xdr:cNvSpPr txBox="1"/>
          </xdr:nvSpPr>
          <xdr:spPr>
            <a:xfrm>
              <a:off x="-3058778" y="43053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4828C7E-DB3E-49C5-931F-C8586AEA3F4B}" type="TxLink">
                <a:rPr lang="en-US" sz="1100" b="0" i="0" u="none" strike="noStrike">
                  <a:solidFill>
                    <a:srgbClr val="000000"/>
                  </a:solidFill>
                  <a:latin typeface="Calibri"/>
                </a:rPr>
                <a:pPr algn="ctr"/>
                <a:t>Activity</a:t>
              </a:fld>
              <a:endParaRPr lang="en-US" sz="1100"/>
            </a:p>
          </xdr:txBody>
        </xdr:sp>
        <xdr:sp macro="" textlink="$O$21">
          <xdr:nvSpPr>
            <xdr:cNvPr id="95" name="TextBox 94">
              <a:extLst>
                <a:ext uri="{FF2B5EF4-FFF2-40B4-BE49-F238E27FC236}">
                  <a16:creationId xmlns:a16="http://schemas.microsoft.com/office/drawing/2014/main" id="{00000000-0008-0000-0300-00005F000000}"/>
                </a:ext>
              </a:extLst>
            </xdr:cNvPr>
            <xdr:cNvSpPr txBox="1"/>
          </xdr:nvSpPr>
          <xdr:spPr>
            <a:xfrm>
              <a:off x="-1379206" y="43053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64F6CEB-7BA0-46CF-92BB-6B6D23615DA5}" type="TxLink">
                <a:rPr lang="en-US" sz="1100" b="0" i="0" u="none" strike="noStrike">
                  <a:solidFill>
                    <a:srgbClr val="000000"/>
                  </a:solidFill>
                  <a:latin typeface="Calibri"/>
                </a:rPr>
                <a:pPr algn="ctr"/>
                <a:t>Ubiquity</a:t>
              </a:fld>
              <a:endParaRPr lang="en-US" sz="1100"/>
            </a:p>
          </xdr:txBody>
        </xdr:sp>
        <xdr:sp macro="" textlink="$O$22">
          <xdr:nvSpPr>
            <xdr:cNvPr id="96" name="TextBox 95">
              <a:extLst>
                <a:ext uri="{FF2B5EF4-FFF2-40B4-BE49-F238E27FC236}">
                  <a16:creationId xmlns:a16="http://schemas.microsoft.com/office/drawing/2014/main" id="{00000000-0008-0000-0300-000060000000}"/>
                </a:ext>
              </a:extLst>
            </xdr:cNvPr>
            <xdr:cNvSpPr txBox="1"/>
          </xdr:nvSpPr>
          <xdr:spPr>
            <a:xfrm>
              <a:off x="300367" y="43053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89B6087-EDE4-4B1B-B8DD-F94811455AD7}" type="TxLink">
                <a:rPr lang="en-US" sz="1100" b="0" i="0" u="none" strike="noStrike">
                  <a:solidFill>
                    <a:srgbClr val="000000"/>
                  </a:solidFill>
                  <a:latin typeface="Calibri"/>
                </a:rPr>
                <a:pPr algn="ctr"/>
                <a:t>Subject</a:t>
              </a:fld>
              <a:endParaRPr lang="en-US" sz="1100"/>
            </a:p>
          </xdr:txBody>
        </xdr:sp>
        <xdr:sp macro="" textlink="$O$23">
          <xdr:nvSpPr>
            <xdr:cNvPr id="97" name="TextBox 96">
              <a:extLst>
                <a:ext uri="{FF2B5EF4-FFF2-40B4-BE49-F238E27FC236}">
                  <a16:creationId xmlns:a16="http://schemas.microsoft.com/office/drawing/2014/main" id="{00000000-0008-0000-0300-000061000000}"/>
                </a:ext>
              </a:extLst>
            </xdr:cNvPr>
            <xdr:cNvSpPr txBox="1"/>
          </xdr:nvSpPr>
          <xdr:spPr>
            <a:xfrm>
              <a:off x="1979945" y="43053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C6425FF-7BD2-4CB2-A0DF-9FA612A5ADEA}" type="TxLink">
                <a:rPr lang="en-US" sz="1100" b="0" i="0" u="none" strike="noStrike">
                  <a:solidFill>
                    <a:srgbClr val="000000"/>
                  </a:solidFill>
                  <a:latin typeface="Calibri"/>
                </a:rPr>
                <a:pPr algn="ctr"/>
                <a:t>Environment</a:t>
              </a:fld>
              <a:endParaRPr lang="en-US" sz="1100"/>
            </a:p>
          </xdr:txBody>
        </xdr:sp>
      </xdr:grpSp>
    </xdr:grpSp>
    <xdr:clientData/>
  </xdr:twoCellAnchor>
  <xdr:twoCellAnchor>
    <xdr:from>
      <xdr:col>17</xdr:col>
      <xdr:colOff>0</xdr:colOff>
      <xdr:row>100</xdr:row>
      <xdr:rowOff>0</xdr:rowOff>
    </xdr:from>
    <xdr:to>
      <xdr:col>30</xdr:col>
      <xdr:colOff>364435</xdr:colOff>
      <xdr:row>119</xdr:row>
      <xdr:rowOff>114300</xdr:rowOff>
    </xdr:to>
    <xdr:grpSp>
      <xdr:nvGrpSpPr>
        <xdr:cNvPr id="98" name="Group 97">
          <a:extLst>
            <a:ext uri="{FF2B5EF4-FFF2-40B4-BE49-F238E27FC236}">
              <a16:creationId xmlns:a16="http://schemas.microsoft.com/office/drawing/2014/main" id="{00000000-0008-0000-0300-000062000000}"/>
            </a:ext>
          </a:extLst>
        </xdr:cNvPr>
        <xdr:cNvGrpSpPr/>
      </xdr:nvGrpSpPr>
      <xdr:grpSpPr>
        <a:xfrm>
          <a:off x="9076765" y="19050000"/>
          <a:ext cx="8230964" cy="3733800"/>
          <a:chOff x="-3063238" y="790575"/>
          <a:chExt cx="7772400" cy="3733800"/>
        </a:xfrm>
      </xdr:grpSpPr>
      <xdr:graphicFrame macro="">
        <xdr:nvGraphicFramePr>
          <xdr:cNvPr id="99" name="Chart 98">
            <a:extLst>
              <a:ext uri="{FF2B5EF4-FFF2-40B4-BE49-F238E27FC236}">
                <a16:creationId xmlns:a16="http://schemas.microsoft.com/office/drawing/2014/main" id="{00000000-0008-0000-0300-000063000000}"/>
              </a:ext>
            </a:extLst>
          </xdr:cNvPr>
          <xdr:cNvGraphicFramePr>
            <a:graphicFrameLocks/>
          </xdr:cNvGraphicFramePr>
        </xdr:nvGraphicFramePr>
        <xdr:xfrm>
          <a:off x="-3063238" y="790575"/>
          <a:ext cx="7772400" cy="3733800"/>
        </xdr:xfrm>
        <a:graphic>
          <a:graphicData uri="http://schemas.openxmlformats.org/drawingml/2006/chart">
            <c:chart xmlns:c="http://schemas.openxmlformats.org/drawingml/2006/chart" xmlns:r="http://schemas.openxmlformats.org/officeDocument/2006/relationships" r:id="rId12"/>
          </a:graphicData>
        </a:graphic>
      </xdr:graphicFrame>
      <xdr:grpSp>
        <xdr:nvGrpSpPr>
          <xdr:cNvPr id="100" name="Group 99">
            <a:extLst>
              <a:ext uri="{FF2B5EF4-FFF2-40B4-BE49-F238E27FC236}">
                <a16:creationId xmlns:a16="http://schemas.microsoft.com/office/drawing/2014/main" id="{00000000-0008-0000-0300-000064000000}"/>
              </a:ext>
            </a:extLst>
          </xdr:cNvPr>
          <xdr:cNvGrpSpPr/>
        </xdr:nvGrpSpPr>
        <xdr:grpSpPr>
          <a:xfrm>
            <a:off x="-3058778" y="4305300"/>
            <a:ext cx="6678680" cy="207066"/>
            <a:chOff x="-3058778" y="4305300"/>
            <a:chExt cx="6678680" cy="207066"/>
          </a:xfrm>
        </xdr:grpSpPr>
        <xdr:sp macro="" textlink="$O$25">
          <xdr:nvSpPr>
            <xdr:cNvPr id="101" name="TextBox 100">
              <a:extLst>
                <a:ext uri="{FF2B5EF4-FFF2-40B4-BE49-F238E27FC236}">
                  <a16:creationId xmlns:a16="http://schemas.microsoft.com/office/drawing/2014/main" id="{00000000-0008-0000-0300-000065000000}"/>
                </a:ext>
              </a:extLst>
            </xdr:cNvPr>
            <xdr:cNvSpPr txBox="1"/>
          </xdr:nvSpPr>
          <xdr:spPr>
            <a:xfrm>
              <a:off x="-3058778" y="43053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6CCCF84-3CCF-453A-87B9-BEAF16F36943}" type="TxLink">
                <a:rPr lang="en-US" sz="1100" b="0" i="0" u="none" strike="noStrike">
                  <a:solidFill>
                    <a:srgbClr val="000000"/>
                  </a:solidFill>
                  <a:latin typeface="Calibri"/>
                </a:rPr>
                <a:pPr algn="ctr"/>
                <a:t>Ubiquity</a:t>
              </a:fld>
              <a:endParaRPr lang="en-US" sz="1100"/>
            </a:p>
          </xdr:txBody>
        </xdr:sp>
        <xdr:sp macro="" textlink="$O$26">
          <xdr:nvSpPr>
            <xdr:cNvPr id="102" name="TextBox 101">
              <a:extLst>
                <a:ext uri="{FF2B5EF4-FFF2-40B4-BE49-F238E27FC236}">
                  <a16:creationId xmlns:a16="http://schemas.microsoft.com/office/drawing/2014/main" id="{00000000-0008-0000-0300-000066000000}"/>
                </a:ext>
              </a:extLst>
            </xdr:cNvPr>
            <xdr:cNvSpPr txBox="1"/>
          </xdr:nvSpPr>
          <xdr:spPr>
            <a:xfrm>
              <a:off x="-1379206" y="43053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2D5500D-55CB-4D0D-91C5-1240D20A48EC}" type="TxLink">
                <a:rPr lang="en-US" sz="1100" b="0" i="0" u="none" strike="noStrike">
                  <a:solidFill>
                    <a:srgbClr val="000000"/>
                  </a:solidFill>
                  <a:latin typeface="Calibri"/>
                </a:rPr>
                <a:pPr algn="ctr"/>
                <a:t>Environment</a:t>
              </a:fld>
              <a:endParaRPr lang="en-US" sz="1100"/>
            </a:p>
          </xdr:txBody>
        </xdr:sp>
        <xdr:sp macro="" textlink="$O$27">
          <xdr:nvSpPr>
            <xdr:cNvPr id="103" name="TextBox 102">
              <a:extLst>
                <a:ext uri="{FF2B5EF4-FFF2-40B4-BE49-F238E27FC236}">
                  <a16:creationId xmlns:a16="http://schemas.microsoft.com/office/drawing/2014/main" id="{00000000-0008-0000-0300-000067000000}"/>
                </a:ext>
              </a:extLst>
            </xdr:cNvPr>
            <xdr:cNvSpPr txBox="1"/>
          </xdr:nvSpPr>
          <xdr:spPr>
            <a:xfrm>
              <a:off x="300367" y="43053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55537AB-DCE9-44E9-9BB6-6043FFDD09DB}" type="TxLink">
                <a:rPr lang="en-US" sz="1100" b="0" i="0" u="none" strike="noStrike">
                  <a:solidFill>
                    <a:srgbClr val="000000"/>
                  </a:solidFill>
                  <a:latin typeface="Calibri"/>
                </a:rPr>
                <a:pPr algn="ctr"/>
                <a:t>Activity</a:t>
              </a:fld>
              <a:endParaRPr lang="en-US" sz="1100"/>
            </a:p>
          </xdr:txBody>
        </xdr:sp>
        <xdr:sp macro="" textlink="$O$28">
          <xdr:nvSpPr>
            <xdr:cNvPr id="104" name="TextBox 103">
              <a:extLst>
                <a:ext uri="{FF2B5EF4-FFF2-40B4-BE49-F238E27FC236}">
                  <a16:creationId xmlns:a16="http://schemas.microsoft.com/office/drawing/2014/main" id="{00000000-0008-0000-0300-000068000000}"/>
                </a:ext>
              </a:extLst>
            </xdr:cNvPr>
            <xdr:cNvSpPr txBox="1"/>
          </xdr:nvSpPr>
          <xdr:spPr>
            <a:xfrm>
              <a:off x="1979945" y="4305300"/>
              <a:ext cx="1639957" cy="207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2A220C8-8EDB-45F6-AB35-25C0F019962E}" type="TxLink">
                <a:rPr lang="en-US" sz="1100" b="0" i="0" u="none" strike="noStrike">
                  <a:solidFill>
                    <a:srgbClr val="000000"/>
                  </a:solidFill>
                  <a:latin typeface="Calibri"/>
                </a:rPr>
                <a:pPr algn="ctr"/>
                <a:t>Subject</a:t>
              </a:fld>
              <a:endParaRPr lang="en-US"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161924</xdr:colOff>
      <xdr:row>39</xdr:row>
      <xdr:rowOff>133350</xdr:rowOff>
    </xdr:from>
    <xdr:to>
      <xdr:col>17</xdr:col>
      <xdr:colOff>419099</xdr:colOff>
      <xdr:row>58</xdr:row>
      <xdr:rowOff>28575</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381000</xdr:colOff>
      <xdr:row>19</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0</xdr:row>
      <xdr:rowOff>9524</xdr:rowOff>
    </xdr:from>
    <xdr:to>
      <xdr:col>12</xdr:col>
      <xdr:colOff>304800</xdr:colOff>
      <xdr:row>19</xdr:row>
      <xdr:rowOff>47624</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561975</xdr:colOff>
      <xdr:row>0</xdr:row>
      <xdr:rowOff>76199</xdr:rowOff>
    </xdr:from>
    <xdr:to>
      <xdr:col>19</xdr:col>
      <xdr:colOff>180975</xdr:colOff>
      <xdr:row>19</xdr:row>
      <xdr:rowOff>114299</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447675</xdr:colOff>
      <xdr:row>0</xdr:row>
      <xdr:rowOff>28574</xdr:rowOff>
    </xdr:from>
    <xdr:to>
      <xdr:col>26</xdr:col>
      <xdr:colOff>66675</xdr:colOff>
      <xdr:row>19</xdr:row>
      <xdr:rowOff>66674</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xdr:row>
      <xdr:rowOff>57149</xdr:rowOff>
    </xdr:from>
    <xdr:to>
      <xdr:col>6</xdr:col>
      <xdr:colOff>228600</xdr:colOff>
      <xdr:row>39</xdr:row>
      <xdr:rowOff>95249</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66675</xdr:colOff>
      <xdr:row>20</xdr:row>
      <xdr:rowOff>38099</xdr:rowOff>
    </xdr:from>
    <xdr:to>
      <xdr:col>13</xdr:col>
      <xdr:colOff>295275</xdr:colOff>
      <xdr:row>39</xdr:row>
      <xdr:rowOff>76199</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176212</xdr:colOff>
      <xdr:row>13</xdr:row>
      <xdr:rowOff>142875</xdr:rowOff>
    </xdr:from>
    <xdr:to>
      <xdr:col>12</xdr:col>
      <xdr:colOff>600075</xdr:colOff>
      <xdr:row>28</xdr:row>
      <xdr:rowOff>28575</xdr:rowOff>
    </xdr:to>
    <xdr:graphicFrame macro="">
      <xdr:nvGraphicFramePr>
        <xdr:cNvPr id="6" name="Chart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119062</xdr:colOff>
      <xdr:row>13</xdr:row>
      <xdr:rowOff>133350</xdr:rowOff>
    </xdr:from>
    <xdr:to>
      <xdr:col>7</xdr:col>
      <xdr:colOff>123825</xdr:colOff>
      <xdr:row>28</xdr:row>
      <xdr:rowOff>19050</xdr:rowOff>
    </xdr:to>
    <xdr:graphicFrame macro="">
      <xdr:nvGraphicFramePr>
        <xdr:cNvPr id="7" name="Chart 6">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2"/>
  <sheetViews>
    <sheetView tabSelected="1" topLeftCell="A3" workbookViewId="0">
      <selection activeCell="C50" sqref="C50"/>
    </sheetView>
  </sheetViews>
  <sheetFormatPr defaultRowHeight="15" x14ac:dyDescent="0.25"/>
  <cols>
    <col min="1" max="1" width="17.5703125" style="87" bestFit="1" customWidth="1"/>
    <col min="2" max="2" width="11.42578125" customWidth="1"/>
    <col min="3" max="3" width="37.7109375" customWidth="1"/>
    <col min="4" max="4" width="5.7109375" customWidth="1"/>
    <col min="5" max="5" width="17.5703125" bestFit="1" customWidth="1"/>
    <col min="6" max="6" width="11.42578125" customWidth="1"/>
    <col min="7" max="7" width="30.28515625" customWidth="1"/>
  </cols>
  <sheetData>
    <row r="1" spans="1:4" s="17" customFormat="1" ht="24.95" hidden="1" customHeight="1" x14ac:dyDescent="0.25">
      <c r="A1" s="114" t="s">
        <v>13</v>
      </c>
      <c r="B1" s="114" t="s">
        <v>0</v>
      </c>
      <c r="C1" s="118" t="s">
        <v>105</v>
      </c>
      <c r="D1" s="115"/>
    </row>
    <row r="2" spans="1:4" s="17" customFormat="1" ht="24.95" hidden="1" customHeight="1" x14ac:dyDescent="0.25">
      <c r="A2" s="116" t="s">
        <v>14</v>
      </c>
      <c r="B2" s="116" t="s">
        <v>306</v>
      </c>
      <c r="C2" s="119" t="s">
        <v>104</v>
      </c>
      <c r="D2" s="117"/>
    </row>
    <row r="3" spans="1:4" s="17" customFormat="1" ht="24.95" customHeight="1" x14ac:dyDescent="0.25">
      <c r="A3" s="131" t="s">
        <v>13</v>
      </c>
      <c r="B3" s="132" t="s">
        <v>307</v>
      </c>
      <c r="C3" s="132" t="s">
        <v>104</v>
      </c>
      <c r="D3" s="133"/>
    </row>
    <row r="4" spans="1:4" s="17" customFormat="1" ht="24.95" customHeight="1" x14ac:dyDescent="0.25">
      <c r="A4" s="134" t="s">
        <v>14</v>
      </c>
      <c r="B4" s="135" t="s">
        <v>308</v>
      </c>
      <c r="C4" s="135" t="s">
        <v>105</v>
      </c>
      <c r="D4" s="136"/>
    </row>
    <row r="5" spans="1:4" s="17" customFormat="1" ht="24.95" hidden="1" customHeight="1" x14ac:dyDescent="0.25">
      <c r="A5" s="134" t="s">
        <v>16</v>
      </c>
      <c r="B5" s="135" t="s">
        <v>309</v>
      </c>
      <c r="C5" s="135" t="s">
        <v>111</v>
      </c>
      <c r="D5" s="136"/>
    </row>
    <row r="6" spans="1:4" s="17" customFormat="1" ht="24.95" hidden="1" customHeight="1" x14ac:dyDescent="0.25">
      <c r="A6" s="134" t="s">
        <v>17</v>
      </c>
      <c r="B6" s="135" t="s">
        <v>310</v>
      </c>
      <c r="C6" s="135" t="s">
        <v>112</v>
      </c>
      <c r="D6" s="136"/>
    </row>
    <row r="7" spans="1:4" s="17" customFormat="1" ht="24.95" hidden="1" customHeight="1" x14ac:dyDescent="0.25">
      <c r="A7" s="134" t="s">
        <v>18</v>
      </c>
      <c r="B7" s="135" t="s">
        <v>311</v>
      </c>
      <c r="C7" s="135" t="s">
        <v>113</v>
      </c>
      <c r="D7" s="136"/>
    </row>
    <row r="8" spans="1:4" s="17" customFormat="1" ht="24.95" customHeight="1" x14ac:dyDescent="0.25">
      <c r="A8" s="134" t="s">
        <v>16</v>
      </c>
      <c r="B8" s="135" t="s">
        <v>312</v>
      </c>
      <c r="C8" s="135" t="s">
        <v>111</v>
      </c>
      <c r="D8" s="136"/>
    </row>
    <row r="9" spans="1:4" s="17" customFormat="1" ht="24.95" customHeight="1" x14ac:dyDescent="0.25">
      <c r="A9" s="134" t="s">
        <v>17</v>
      </c>
      <c r="B9" s="135" t="s">
        <v>313</v>
      </c>
      <c r="C9" s="135" t="s">
        <v>112</v>
      </c>
      <c r="D9" s="136"/>
    </row>
    <row r="10" spans="1:4" s="17" customFormat="1" ht="24.95" customHeight="1" x14ac:dyDescent="0.25">
      <c r="A10" s="134" t="s">
        <v>18</v>
      </c>
      <c r="B10" s="135" t="s">
        <v>314</v>
      </c>
      <c r="C10" s="135" t="s">
        <v>113</v>
      </c>
      <c r="D10" s="136"/>
    </row>
    <row r="11" spans="1:4" s="17" customFormat="1" ht="24.95" hidden="1" customHeight="1" x14ac:dyDescent="0.25">
      <c r="A11" s="134" t="s">
        <v>20</v>
      </c>
      <c r="B11" s="135" t="s">
        <v>315</v>
      </c>
      <c r="C11" s="135" t="s">
        <v>383</v>
      </c>
      <c r="D11" s="136"/>
    </row>
    <row r="12" spans="1:4" s="17" customFormat="1" ht="24.95" hidden="1" customHeight="1" x14ac:dyDescent="0.25">
      <c r="A12" s="134" t="s">
        <v>21</v>
      </c>
      <c r="B12" s="135" t="s">
        <v>316</v>
      </c>
      <c r="C12" s="135" t="s">
        <v>135</v>
      </c>
      <c r="D12" s="136"/>
    </row>
    <row r="13" spans="1:4" s="17" customFormat="1" ht="24.95" hidden="1" customHeight="1" x14ac:dyDescent="0.25">
      <c r="A13" s="134" t="s">
        <v>22</v>
      </c>
      <c r="B13" s="135" t="s">
        <v>317</v>
      </c>
      <c r="C13" s="135" t="s">
        <v>384</v>
      </c>
      <c r="D13" s="136"/>
    </row>
    <row r="14" spans="1:4" s="17" customFormat="1" ht="24.95" hidden="1" customHeight="1" x14ac:dyDescent="0.25">
      <c r="A14" s="134" t="s">
        <v>23</v>
      </c>
      <c r="B14" s="135" t="s">
        <v>318</v>
      </c>
      <c r="C14" s="135" t="s">
        <v>137</v>
      </c>
      <c r="D14" s="136"/>
    </row>
    <row r="15" spans="1:4" s="17" customFormat="1" ht="24.95" customHeight="1" x14ac:dyDescent="0.25">
      <c r="A15" s="134" t="s">
        <v>20</v>
      </c>
      <c r="B15" s="135" t="s">
        <v>319</v>
      </c>
      <c r="C15" s="135" t="s">
        <v>383</v>
      </c>
      <c r="D15" s="136"/>
    </row>
    <row r="16" spans="1:4" s="17" customFormat="1" ht="24.95" customHeight="1" x14ac:dyDescent="0.25">
      <c r="A16" s="134" t="s">
        <v>21</v>
      </c>
      <c r="B16" s="135" t="s">
        <v>320</v>
      </c>
      <c r="C16" s="135" t="s">
        <v>135</v>
      </c>
      <c r="D16" s="136"/>
    </row>
    <row r="17" spans="1:4" s="17" customFormat="1" ht="24.95" customHeight="1" x14ac:dyDescent="0.25">
      <c r="A17" s="134" t="s">
        <v>22</v>
      </c>
      <c r="B17" s="135" t="s">
        <v>321</v>
      </c>
      <c r="C17" s="135" t="s">
        <v>384</v>
      </c>
      <c r="D17" s="136"/>
    </row>
    <row r="18" spans="1:4" s="17" customFormat="1" ht="24.95" customHeight="1" x14ac:dyDescent="0.25">
      <c r="A18" s="134" t="s">
        <v>23</v>
      </c>
      <c r="B18" s="135" t="s">
        <v>322</v>
      </c>
      <c r="C18" s="135" t="s">
        <v>137</v>
      </c>
      <c r="D18" s="136"/>
    </row>
    <row r="19" spans="1:4" s="17" customFormat="1" ht="24.95" hidden="1" customHeight="1" x14ac:dyDescent="0.25">
      <c r="A19" s="134" t="s">
        <v>25</v>
      </c>
      <c r="B19" s="135" t="s">
        <v>323</v>
      </c>
      <c r="C19" s="135" t="s">
        <v>141</v>
      </c>
      <c r="D19" s="136" t="s">
        <v>385</v>
      </c>
    </row>
    <row r="20" spans="1:4" s="17" customFormat="1" ht="24.95" hidden="1" customHeight="1" x14ac:dyDescent="0.25">
      <c r="A20" s="134" t="s">
        <v>26</v>
      </c>
      <c r="B20" s="135" t="s">
        <v>324</v>
      </c>
      <c r="C20" s="135" t="s">
        <v>142</v>
      </c>
      <c r="D20" s="136" t="s">
        <v>385</v>
      </c>
    </row>
    <row r="21" spans="1:4" s="17" customFormat="1" ht="24.95" hidden="1" customHeight="1" x14ac:dyDescent="0.25">
      <c r="A21" s="134" t="s">
        <v>27</v>
      </c>
      <c r="B21" s="135" t="s">
        <v>325</v>
      </c>
      <c r="C21" s="135" t="s">
        <v>143</v>
      </c>
      <c r="D21" s="136" t="s">
        <v>385</v>
      </c>
    </row>
    <row r="22" spans="1:4" s="17" customFormat="1" ht="24.95" hidden="1" customHeight="1" x14ac:dyDescent="0.25">
      <c r="A22" s="134" t="s">
        <v>28</v>
      </c>
      <c r="B22" s="135" t="s">
        <v>326</v>
      </c>
      <c r="C22" s="135" t="s">
        <v>144</v>
      </c>
      <c r="D22" s="136" t="s">
        <v>385</v>
      </c>
    </row>
    <row r="23" spans="1:4" s="17" customFormat="1" ht="24.95" customHeight="1" x14ac:dyDescent="0.25">
      <c r="A23" s="134" t="s">
        <v>25</v>
      </c>
      <c r="B23" s="135" t="s">
        <v>327</v>
      </c>
      <c r="C23" s="135" t="s">
        <v>141</v>
      </c>
      <c r="D23" s="136" t="s">
        <v>385</v>
      </c>
    </row>
    <row r="24" spans="1:4" s="17" customFormat="1" ht="24.95" customHeight="1" x14ac:dyDescent="0.25">
      <c r="A24" s="134" t="s">
        <v>26</v>
      </c>
      <c r="B24" s="135" t="s">
        <v>328</v>
      </c>
      <c r="C24" s="135" t="s">
        <v>142</v>
      </c>
      <c r="D24" s="136" t="s">
        <v>385</v>
      </c>
    </row>
    <row r="25" spans="1:4" s="17" customFormat="1" ht="24.95" customHeight="1" x14ac:dyDescent="0.25">
      <c r="A25" s="134" t="s">
        <v>27</v>
      </c>
      <c r="B25" s="135" t="s">
        <v>329</v>
      </c>
      <c r="C25" s="135" t="s">
        <v>143</v>
      </c>
      <c r="D25" s="136" t="s">
        <v>385</v>
      </c>
    </row>
    <row r="26" spans="1:4" s="17" customFormat="1" ht="24.95" customHeight="1" x14ac:dyDescent="0.25">
      <c r="A26" s="134" t="s">
        <v>28</v>
      </c>
      <c r="B26" s="135" t="s">
        <v>330</v>
      </c>
      <c r="C26" s="135" t="s">
        <v>144</v>
      </c>
      <c r="D26" s="136" t="s">
        <v>385</v>
      </c>
    </row>
    <row r="27" spans="1:4" s="17" customFormat="1" ht="24.95" hidden="1" customHeight="1" x14ac:dyDescent="0.25">
      <c r="A27" s="134" t="s">
        <v>30</v>
      </c>
      <c r="B27" s="135" t="s">
        <v>331</v>
      </c>
      <c r="C27" s="135" t="s">
        <v>141</v>
      </c>
      <c r="D27" s="136" t="s">
        <v>386</v>
      </c>
    </row>
    <row r="28" spans="1:4" s="17" customFormat="1" ht="24.95" hidden="1" customHeight="1" x14ac:dyDescent="0.25">
      <c r="A28" s="134" t="s">
        <v>31</v>
      </c>
      <c r="B28" s="135" t="s">
        <v>332</v>
      </c>
      <c r="C28" s="135" t="s">
        <v>142</v>
      </c>
      <c r="D28" s="136" t="s">
        <v>386</v>
      </c>
    </row>
    <row r="29" spans="1:4" s="17" customFormat="1" ht="24.95" hidden="1" customHeight="1" x14ac:dyDescent="0.25">
      <c r="A29" s="134" t="s">
        <v>32</v>
      </c>
      <c r="B29" s="135" t="s">
        <v>333</v>
      </c>
      <c r="C29" s="135" t="s">
        <v>143</v>
      </c>
      <c r="D29" s="136" t="s">
        <v>386</v>
      </c>
    </row>
    <row r="30" spans="1:4" s="17" customFormat="1" ht="24.95" hidden="1" customHeight="1" x14ac:dyDescent="0.25">
      <c r="A30" s="134" t="s">
        <v>33</v>
      </c>
      <c r="B30" s="135" t="s">
        <v>334</v>
      </c>
      <c r="C30" s="135" t="s">
        <v>144</v>
      </c>
      <c r="D30" s="136" t="s">
        <v>386</v>
      </c>
    </row>
    <row r="31" spans="1:4" s="17" customFormat="1" ht="24.95" customHeight="1" x14ac:dyDescent="0.25">
      <c r="A31" s="134" t="s">
        <v>30</v>
      </c>
      <c r="B31" s="135" t="s">
        <v>335</v>
      </c>
      <c r="C31" s="135" t="s">
        <v>141</v>
      </c>
      <c r="D31" s="136" t="s">
        <v>386</v>
      </c>
    </row>
    <row r="32" spans="1:4" s="17" customFormat="1" ht="24.95" customHeight="1" x14ac:dyDescent="0.25">
      <c r="A32" s="134" t="s">
        <v>31</v>
      </c>
      <c r="B32" s="135" t="s">
        <v>336</v>
      </c>
      <c r="C32" s="135" t="s">
        <v>142</v>
      </c>
      <c r="D32" s="136" t="s">
        <v>386</v>
      </c>
    </row>
    <row r="33" spans="1:4" s="17" customFormat="1" ht="24.95" customHeight="1" x14ac:dyDescent="0.25">
      <c r="A33" s="134" t="s">
        <v>32</v>
      </c>
      <c r="B33" s="135" t="s">
        <v>337</v>
      </c>
      <c r="C33" s="135" t="s">
        <v>143</v>
      </c>
      <c r="D33" s="136" t="s">
        <v>386</v>
      </c>
    </row>
    <row r="34" spans="1:4" s="17" customFormat="1" ht="24.95" customHeight="1" x14ac:dyDescent="0.25">
      <c r="A34" s="134" t="s">
        <v>33</v>
      </c>
      <c r="B34" s="135" t="s">
        <v>338</v>
      </c>
      <c r="C34" s="135" t="s">
        <v>144</v>
      </c>
      <c r="D34" s="136" t="s">
        <v>386</v>
      </c>
    </row>
    <row r="35" spans="1:4" s="17" customFormat="1" ht="24.95" hidden="1" customHeight="1" x14ac:dyDescent="0.25">
      <c r="A35" s="134" t="s">
        <v>35</v>
      </c>
      <c r="B35" s="135" t="s">
        <v>339</v>
      </c>
      <c r="C35" s="135" t="s">
        <v>141</v>
      </c>
      <c r="D35" s="136" t="s">
        <v>387</v>
      </c>
    </row>
    <row r="36" spans="1:4" s="17" customFormat="1" ht="24.95" hidden="1" customHeight="1" x14ac:dyDescent="0.25">
      <c r="A36" s="134" t="s">
        <v>36</v>
      </c>
      <c r="B36" s="135" t="s">
        <v>340</v>
      </c>
      <c r="C36" s="135" t="s">
        <v>142</v>
      </c>
      <c r="D36" s="136" t="s">
        <v>387</v>
      </c>
    </row>
    <row r="37" spans="1:4" s="17" customFormat="1" ht="24.95" hidden="1" customHeight="1" x14ac:dyDescent="0.25">
      <c r="A37" s="134" t="s">
        <v>37</v>
      </c>
      <c r="B37" s="135" t="s">
        <v>341</v>
      </c>
      <c r="C37" s="135" t="s">
        <v>143</v>
      </c>
      <c r="D37" s="136" t="s">
        <v>387</v>
      </c>
    </row>
    <row r="38" spans="1:4" s="17" customFormat="1" ht="24.95" hidden="1" customHeight="1" x14ac:dyDescent="0.25">
      <c r="A38" s="134" t="s">
        <v>38</v>
      </c>
      <c r="B38" s="135" t="s">
        <v>342</v>
      </c>
      <c r="C38" s="135" t="s">
        <v>144</v>
      </c>
      <c r="D38" s="136" t="s">
        <v>387</v>
      </c>
    </row>
    <row r="39" spans="1:4" s="17" customFormat="1" ht="24.95" customHeight="1" x14ac:dyDescent="0.25">
      <c r="A39" s="134" t="s">
        <v>35</v>
      </c>
      <c r="B39" s="135" t="s">
        <v>343</v>
      </c>
      <c r="C39" s="135" t="s">
        <v>141</v>
      </c>
      <c r="D39" s="136" t="s">
        <v>387</v>
      </c>
    </row>
    <row r="40" spans="1:4" s="17" customFormat="1" ht="24.95" customHeight="1" x14ac:dyDescent="0.25">
      <c r="A40" s="134" t="s">
        <v>36</v>
      </c>
      <c r="B40" s="135" t="s">
        <v>344</v>
      </c>
      <c r="C40" s="135" t="s">
        <v>142</v>
      </c>
      <c r="D40" s="136" t="s">
        <v>387</v>
      </c>
    </row>
    <row r="41" spans="1:4" s="17" customFormat="1" ht="24.95" customHeight="1" x14ac:dyDescent="0.25">
      <c r="A41" s="134" t="s">
        <v>37</v>
      </c>
      <c r="B41" s="135" t="s">
        <v>345</v>
      </c>
      <c r="C41" s="135" t="s">
        <v>143</v>
      </c>
      <c r="D41" s="136" t="s">
        <v>387</v>
      </c>
    </row>
    <row r="42" spans="1:4" s="17" customFormat="1" ht="24.95" customHeight="1" x14ac:dyDescent="0.25">
      <c r="A42" s="137" t="s">
        <v>38</v>
      </c>
      <c r="B42" s="138" t="s">
        <v>346</v>
      </c>
      <c r="C42" s="138" t="s">
        <v>144</v>
      </c>
      <c r="D42" s="139" t="s">
        <v>387</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P166"/>
  <sheetViews>
    <sheetView workbookViewId="0">
      <pane xSplit="7" topLeftCell="H1" activePane="topRight" state="frozen"/>
      <selection pane="topRight" activeCell="L18" sqref="L18"/>
    </sheetView>
  </sheetViews>
  <sheetFormatPr defaultRowHeight="15" x14ac:dyDescent="0.25"/>
  <cols>
    <col min="1" max="3" width="5.85546875" style="28" customWidth="1"/>
    <col min="4" max="6" width="6.28515625" style="28" customWidth="1"/>
    <col min="7" max="7" width="21.5703125" bestFit="1" customWidth="1"/>
    <col min="8" max="8" width="5" bestFit="1" customWidth="1"/>
    <col min="9" max="9" width="4.85546875" bestFit="1" customWidth="1"/>
    <col min="10" max="10" width="9.140625" customWidth="1"/>
    <col min="11" max="11" width="20.5703125" bestFit="1" customWidth="1"/>
    <col min="12" max="12" width="19.5703125" bestFit="1" customWidth="1"/>
    <col min="13" max="13" width="34.7109375" bestFit="1" customWidth="1"/>
    <col min="15" max="20" width="5.7109375" customWidth="1"/>
  </cols>
  <sheetData>
    <row r="1" spans="1:94" ht="15.75" thickBot="1" x14ac:dyDescent="0.3">
      <c r="A1" s="31" t="s">
        <v>15</v>
      </c>
      <c r="B1" s="31" t="s">
        <v>19</v>
      </c>
      <c r="C1" s="31" t="s">
        <v>24</v>
      </c>
      <c r="D1" s="31" t="s">
        <v>29</v>
      </c>
      <c r="E1" s="31" t="s">
        <v>34</v>
      </c>
      <c r="F1" s="31" t="s">
        <v>39</v>
      </c>
      <c r="G1" t="s">
        <v>0</v>
      </c>
      <c r="H1" s="31" t="s">
        <v>290</v>
      </c>
      <c r="I1" s="31" t="s">
        <v>303</v>
      </c>
      <c r="J1" t="s">
        <v>1</v>
      </c>
      <c r="K1" t="s">
        <v>2</v>
      </c>
      <c r="L1" t="s">
        <v>3</v>
      </c>
      <c r="M1" t="s">
        <v>4</v>
      </c>
      <c r="N1" t="s">
        <v>5</v>
      </c>
      <c r="O1" t="s">
        <v>6</v>
      </c>
      <c r="P1" t="s">
        <v>7</v>
      </c>
      <c r="Q1" t="s">
        <v>8</v>
      </c>
      <c r="R1" t="s">
        <v>9</v>
      </c>
      <c r="S1" s="5" t="s">
        <v>10</v>
      </c>
      <c r="T1" s="7" t="s">
        <v>11</v>
      </c>
      <c r="U1" s="15" t="s">
        <v>12</v>
      </c>
      <c r="V1" s="32" t="s">
        <v>13</v>
      </c>
      <c r="W1" s="6" t="s">
        <v>14</v>
      </c>
      <c r="X1" s="6" t="s">
        <v>13</v>
      </c>
      <c r="Y1" s="6" t="s">
        <v>14</v>
      </c>
      <c r="Z1" s="7" t="s">
        <v>15</v>
      </c>
      <c r="AA1" s="5" t="s">
        <v>16</v>
      </c>
      <c r="AB1" s="6" t="s">
        <v>17</v>
      </c>
      <c r="AC1" s="6" t="s">
        <v>18</v>
      </c>
      <c r="AD1" s="6" t="s">
        <v>16</v>
      </c>
      <c r="AE1" s="6" t="s">
        <v>17</v>
      </c>
      <c r="AF1" s="6" t="s">
        <v>18</v>
      </c>
      <c r="AG1" s="7" t="s">
        <v>19</v>
      </c>
      <c r="AH1" s="5" t="s">
        <v>20</v>
      </c>
      <c r="AI1" s="6" t="s">
        <v>21</v>
      </c>
      <c r="AJ1" s="6" t="s">
        <v>22</v>
      </c>
      <c r="AK1" s="6" t="s">
        <v>23</v>
      </c>
      <c r="AL1" s="6" t="s">
        <v>20</v>
      </c>
      <c r="AM1" s="6" t="s">
        <v>21</v>
      </c>
      <c r="AN1" s="6" t="s">
        <v>22</v>
      </c>
      <c r="AO1" s="6" t="s">
        <v>23</v>
      </c>
      <c r="AP1" s="7" t="s">
        <v>24</v>
      </c>
      <c r="AQ1" s="5" t="s">
        <v>25</v>
      </c>
      <c r="AR1" s="6" t="s">
        <v>26</v>
      </c>
      <c r="AS1" s="6" t="s">
        <v>27</v>
      </c>
      <c r="AT1" s="6" t="s">
        <v>28</v>
      </c>
      <c r="AU1" s="6" t="s">
        <v>25</v>
      </c>
      <c r="AV1" s="6" t="s">
        <v>26</v>
      </c>
      <c r="AW1" s="6" t="s">
        <v>27</v>
      </c>
      <c r="AX1" s="6" t="s">
        <v>28</v>
      </c>
      <c r="AY1" s="7" t="s">
        <v>29</v>
      </c>
      <c r="AZ1" s="5" t="s">
        <v>30</v>
      </c>
      <c r="BA1" s="6" t="s">
        <v>31</v>
      </c>
      <c r="BB1" s="6" t="s">
        <v>32</v>
      </c>
      <c r="BC1" s="6" t="s">
        <v>33</v>
      </c>
      <c r="BD1" s="6" t="s">
        <v>30</v>
      </c>
      <c r="BE1" s="6" t="s">
        <v>31</v>
      </c>
      <c r="BF1" s="6" t="s">
        <v>32</v>
      </c>
      <c r="BG1" s="6" t="s">
        <v>33</v>
      </c>
      <c r="BH1" s="7" t="s">
        <v>34</v>
      </c>
      <c r="BI1" s="5" t="s">
        <v>35</v>
      </c>
      <c r="BJ1" s="6" t="s">
        <v>36</v>
      </c>
      <c r="BK1" s="6" t="s">
        <v>37</v>
      </c>
      <c r="BL1" s="37" t="s">
        <v>38</v>
      </c>
      <c r="BM1" s="6" t="s">
        <v>35</v>
      </c>
      <c r="BN1" s="6" t="s">
        <v>36</v>
      </c>
      <c r="BO1" s="6" t="s">
        <v>37</v>
      </c>
      <c r="BP1" s="6" t="s">
        <v>38</v>
      </c>
      <c r="BQ1" s="7" t="s">
        <v>39</v>
      </c>
      <c r="BR1" s="44" t="s">
        <v>40</v>
      </c>
      <c r="BS1" s="45" t="s">
        <v>41</v>
      </c>
      <c r="BT1" s="45" t="s">
        <v>42</v>
      </c>
      <c r="BU1" s="46" t="s">
        <v>43</v>
      </c>
      <c r="BV1" s="30" t="s">
        <v>355</v>
      </c>
      <c r="BW1" s="126" t="s">
        <v>354</v>
      </c>
      <c r="BX1" s="126" t="s">
        <v>356</v>
      </c>
      <c r="BY1" s="126" t="s">
        <v>357</v>
      </c>
      <c r="BZ1" s="126" t="s">
        <v>358</v>
      </c>
      <c r="CA1" s="126" t="s">
        <v>359</v>
      </c>
      <c r="CB1" s="126" t="s">
        <v>360</v>
      </c>
      <c r="CC1" s="126" t="s">
        <v>361</v>
      </c>
      <c r="CD1" s="126" t="s">
        <v>362</v>
      </c>
      <c r="CE1" s="126" t="s">
        <v>363</v>
      </c>
      <c r="CF1" s="126" t="s">
        <v>364</v>
      </c>
      <c r="CG1" s="126" t="s">
        <v>365</v>
      </c>
      <c r="CH1" s="126" t="s">
        <v>366</v>
      </c>
      <c r="CI1" s="126" t="s">
        <v>367</v>
      </c>
      <c r="CJ1" s="126" t="s">
        <v>368</v>
      </c>
      <c r="CK1" s="126" t="s">
        <v>369</v>
      </c>
      <c r="CL1" s="126" t="s">
        <v>370</v>
      </c>
      <c r="CM1" s="126" t="s">
        <v>371</v>
      </c>
      <c r="CN1" s="126" t="s">
        <v>372</v>
      </c>
      <c r="CO1" s="126" t="s">
        <v>373</v>
      </c>
      <c r="CP1" s="126" t="s">
        <v>374</v>
      </c>
    </row>
    <row r="2" spans="1:94" x14ac:dyDescent="0.25">
      <c r="A2" s="67" t="str">
        <f t="shared" ref="A2:A8" si="0">"["&amp;IF(MAX($X2:$Y2)=100,"Y","N")&amp;", " &amp; IF(COUNT($X2:$Y2)-COUNTIF($X2:$Y2,0)&gt;1,"Y","N")&amp;"]"</f>
        <v>[Y, Y]</v>
      </c>
      <c r="B2" s="68" t="str">
        <f t="shared" ref="B2:B8" si="1">"["&amp;IF(MAX($AD2:$AF2)=100,"Y","N")&amp;", " &amp; IF(COUNT($AD2:$AF2)-COUNTIF($AD2:$AF2,0)&gt;1,"Y","N")&amp;"]"</f>
        <v>[Y, Y]</v>
      </c>
      <c r="C2" s="68" t="str">
        <f t="shared" ref="C2:C8" si="2">"["&amp;IF(MAX($AL2:$AO2)=100,"Y","N")&amp;", " &amp; IF(COUNT($AL2:$AO2)-COUNTIF($AL2:$AO2,0)&gt;1,"Y","N")&amp;"]"</f>
        <v>[Y, Y]</v>
      </c>
      <c r="D2" s="68" t="str">
        <f t="shared" ref="D2:D8" si="3">"["&amp;IF(MAX($AU2:$AX2)=100,"Y","N")&amp;", " &amp; IF(COUNT($AU2:$AX2)-COUNTIF($AU2:$AX2,0)&gt;1,"Y","N")&amp;"]"</f>
        <v>[Y, Y]</v>
      </c>
      <c r="E2" s="68" t="str">
        <f t="shared" ref="E2:E8" si="4">"["&amp;IF(MAX($BD2:$BG2)=100,"Y","N")&amp;", " &amp; IF(COUNT($BD2:$BG2)-COUNTIF($BD2:$BG2,0)&gt;1,"Y","N")&amp;"]"</f>
        <v>[Y, Y]</v>
      </c>
      <c r="F2" s="69" t="str">
        <f t="shared" ref="F2:F8" si="5">"["&amp;IF(MAX($BM2:$BP2)=100,"Y","N")&amp;", " &amp; IF(COUNT($BM2:$BP2)-COUNTIF($BM2:$BP2,0)&gt;1,"Y","N")&amp;"]"</f>
        <v>[Y, Y]</v>
      </c>
      <c r="G2" t="s">
        <v>45</v>
      </c>
      <c r="H2">
        <v>2</v>
      </c>
      <c r="I2" s="87">
        <v>1</v>
      </c>
      <c r="J2" t="s">
        <v>44</v>
      </c>
      <c r="N2" t="s">
        <v>46</v>
      </c>
      <c r="O2">
        <v>0</v>
      </c>
      <c r="P2" s="2">
        <v>42136.54210648148</v>
      </c>
      <c r="Q2" s="2">
        <v>42142.052453703705</v>
      </c>
      <c r="R2">
        <v>1</v>
      </c>
      <c r="S2" s="8">
        <v>1</v>
      </c>
      <c r="T2" s="10"/>
      <c r="U2">
        <v>1</v>
      </c>
      <c r="V2" s="8">
        <v>4</v>
      </c>
      <c r="W2" s="9">
        <v>100</v>
      </c>
      <c r="X2" s="9">
        <v>100</v>
      </c>
      <c r="Y2" s="9">
        <v>81</v>
      </c>
      <c r="Z2" s="10" t="s">
        <v>47</v>
      </c>
      <c r="AA2" s="8">
        <v>3</v>
      </c>
      <c r="AB2" s="9">
        <v>100</v>
      </c>
      <c r="AC2" s="9">
        <v>4</v>
      </c>
      <c r="AD2" s="9">
        <v>80</v>
      </c>
      <c r="AE2" s="9">
        <v>100</v>
      </c>
      <c r="AF2" s="9">
        <v>83</v>
      </c>
      <c r="AG2" s="10" t="s">
        <v>48</v>
      </c>
      <c r="AH2" s="8">
        <v>100</v>
      </c>
      <c r="AI2" s="9">
        <v>3</v>
      </c>
      <c r="AJ2" s="9">
        <v>2</v>
      </c>
      <c r="AK2" s="9">
        <v>4</v>
      </c>
      <c r="AL2" s="9">
        <v>100</v>
      </c>
      <c r="AM2" s="9">
        <v>66</v>
      </c>
      <c r="AN2" s="9">
        <v>65</v>
      </c>
      <c r="AO2" s="9">
        <v>82</v>
      </c>
      <c r="AP2" s="10" t="s">
        <v>49</v>
      </c>
      <c r="AQ2" s="8">
        <v>100</v>
      </c>
      <c r="AR2" s="9">
        <v>4</v>
      </c>
      <c r="AS2" s="9">
        <v>2</v>
      </c>
      <c r="AT2" s="9">
        <v>3</v>
      </c>
      <c r="AU2" s="9">
        <v>100</v>
      </c>
      <c r="AV2" s="9">
        <v>87</v>
      </c>
      <c r="AW2" s="9">
        <v>74</v>
      </c>
      <c r="AX2" s="9">
        <v>75</v>
      </c>
      <c r="AY2" s="10" t="s">
        <v>50</v>
      </c>
      <c r="AZ2" s="8">
        <v>100</v>
      </c>
      <c r="BA2" s="9">
        <v>4</v>
      </c>
      <c r="BB2" s="9">
        <v>2</v>
      </c>
      <c r="BC2" s="9">
        <v>3</v>
      </c>
      <c r="BD2" s="9">
        <v>100</v>
      </c>
      <c r="BE2" s="9">
        <v>89</v>
      </c>
      <c r="BF2" s="9">
        <v>52</v>
      </c>
      <c r="BG2" s="9">
        <v>55</v>
      </c>
      <c r="BH2" s="10"/>
      <c r="BI2" s="8">
        <v>100</v>
      </c>
      <c r="BJ2" s="9">
        <v>4</v>
      </c>
      <c r="BK2" s="9">
        <v>2</v>
      </c>
      <c r="BL2" s="9">
        <v>3</v>
      </c>
      <c r="BM2" s="9">
        <v>100</v>
      </c>
      <c r="BN2" s="9">
        <v>90</v>
      </c>
      <c r="BO2" s="9">
        <v>60</v>
      </c>
      <c r="BP2" s="9">
        <v>87</v>
      </c>
      <c r="BQ2" s="10"/>
      <c r="BR2" s="47" t="s">
        <v>51</v>
      </c>
      <c r="BS2" s="9">
        <v>58.581298828125</v>
      </c>
      <c r="BT2" s="9">
        <v>-134.7698059082</v>
      </c>
      <c r="BU2" s="10">
        <v>-1</v>
      </c>
      <c r="BV2" s="123">
        <f>IFERROR(X2/SUM($X2:$Y2),"")</f>
        <v>0.5524861878453039</v>
      </c>
      <c r="BW2" s="123">
        <f>IFERROR(Y2/SUM($X2:$Y2),"")</f>
        <v>0.44751381215469616</v>
      </c>
      <c r="BX2" s="123">
        <f>IFERROR(AD2/SUM($AD2:$AF2),"")</f>
        <v>0.30418250950570341</v>
      </c>
      <c r="BY2" s="123">
        <f t="shared" ref="BY2:BZ2" si="6">IFERROR(AE2/SUM($AD2:$AF2),"")</f>
        <v>0.38022813688212925</v>
      </c>
      <c r="BZ2" s="123">
        <f t="shared" si="6"/>
        <v>0.31558935361216728</v>
      </c>
      <c r="CA2" s="123">
        <f>IFERROR(AL2/SUM($AL2:$AO2),"")</f>
        <v>0.31948881789137379</v>
      </c>
      <c r="CB2" s="123">
        <f t="shared" ref="CB2:CD2" si="7">IFERROR(AM2/SUM($AL2:$AO2),"")</f>
        <v>0.2108626198083067</v>
      </c>
      <c r="CC2" s="123">
        <f t="shared" si="7"/>
        <v>0.20766773162939298</v>
      </c>
      <c r="CD2" s="123">
        <f t="shared" si="7"/>
        <v>0.26198083067092653</v>
      </c>
      <c r="CE2" s="123">
        <f>IFERROR(AU2/SUM($AU2:$AX2),"")</f>
        <v>0.29761904761904762</v>
      </c>
      <c r="CF2" s="123">
        <f t="shared" ref="CF2:CH2" si="8">IFERROR(AV2/SUM($AU2:$AX2),"")</f>
        <v>0.25892857142857145</v>
      </c>
      <c r="CG2" s="123">
        <f t="shared" si="8"/>
        <v>0.22023809523809523</v>
      </c>
      <c r="CH2" s="123">
        <f t="shared" si="8"/>
        <v>0.22321428571428573</v>
      </c>
      <c r="CI2" s="123">
        <f>IFERROR(BD2/SUM($BD2:$BG2),"")</f>
        <v>0.33783783783783783</v>
      </c>
      <c r="CJ2" s="123">
        <f t="shared" ref="CJ2:CL2" si="9">IFERROR(BE2/SUM($BD2:$BG2),"")</f>
        <v>0.30067567567567566</v>
      </c>
      <c r="CK2" s="123">
        <f t="shared" si="9"/>
        <v>0.17567567567567569</v>
      </c>
      <c r="CL2" s="123">
        <f t="shared" si="9"/>
        <v>0.1858108108108108</v>
      </c>
      <c r="CM2" s="123">
        <f>IFERROR(BM2/SUM($BM2:$BP2),"")</f>
        <v>0.29673590504451036</v>
      </c>
      <c r="CN2" s="123">
        <f t="shared" ref="CN2:CP2" si="10">IFERROR(BN2/SUM($BM2:$BP2),"")</f>
        <v>0.26706231454005935</v>
      </c>
      <c r="CO2" s="123">
        <f t="shared" si="10"/>
        <v>0.17804154302670624</v>
      </c>
      <c r="CP2" s="123">
        <f t="shared" si="10"/>
        <v>0.25816023738872401</v>
      </c>
    </row>
    <row r="3" spans="1:94" x14ac:dyDescent="0.25">
      <c r="A3" s="67" t="str">
        <f t="shared" si="0"/>
        <v>[Y, Y]</v>
      </c>
      <c r="B3" s="68" t="str">
        <f t="shared" si="1"/>
        <v>[Y, Y]</v>
      </c>
      <c r="C3" s="68" t="str">
        <f t="shared" si="2"/>
        <v>[Y, Y]</v>
      </c>
      <c r="D3" s="68" t="str">
        <f t="shared" si="3"/>
        <v>[Y, Y]</v>
      </c>
      <c r="E3" s="68" t="str">
        <f t="shared" si="4"/>
        <v>[Y, Y]</v>
      </c>
      <c r="F3" s="69" t="str">
        <f t="shared" si="5"/>
        <v>[Y, Y]</v>
      </c>
      <c r="G3" t="s">
        <v>52</v>
      </c>
      <c r="H3">
        <v>2</v>
      </c>
      <c r="I3" s="87">
        <v>1</v>
      </c>
      <c r="J3" t="s">
        <v>44</v>
      </c>
      <c r="N3" t="s">
        <v>53</v>
      </c>
      <c r="O3">
        <v>0</v>
      </c>
      <c r="P3" s="2">
        <v>42143.507511574076</v>
      </c>
      <c r="Q3" s="2">
        <v>42143.522546296299</v>
      </c>
      <c r="R3">
        <v>1</v>
      </c>
      <c r="S3" s="8">
        <v>1</v>
      </c>
      <c r="T3" s="10"/>
      <c r="U3">
        <v>1</v>
      </c>
      <c r="V3" s="8">
        <v>100</v>
      </c>
      <c r="W3" s="9">
        <v>4</v>
      </c>
      <c r="X3" s="9">
        <v>80</v>
      </c>
      <c r="Y3" s="9">
        <v>100</v>
      </c>
      <c r="Z3" s="10" t="s">
        <v>54</v>
      </c>
      <c r="AA3" s="8">
        <v>100</v>
      </c>
      <c r="AB3" s="9">
        <v>4</v>
      </c>
      <c r="AC3" s="9">
        <v>3</v>
      </c>
      <c r="AD3" s="9">
        <v>100</v>
      </c>
      <c r="AE3" s="9">
        <v>60</v>
      </c>
      <c r="AF3" s="9">
        <v>29</v>
      </c>
      <c r="AG3" s="10" t="s">
        <v>55</v>
      </c>
      <c r="AH3" s="8">
        <v>2</v>
      </c>
      <c r="AI3" s="9">
        <v>3</v>
      </c>
      <c r="AJ3" s="9">
        <v>4</v>
      </c>
      <c r="AK3" s="9">
        <v>100</v>
      </c>
      <c r="AL3" s="9">
        <v>19</v>
      </c>
      <c r="AM3" s="9">
        <v>44</v>
      </c>
      <c r="AN3" s="9">
        <v>74</v>
      </c>
      <c r="AO3" s="9">
        <v>100</v>
      </c>
      <c r="AP3" s="11" t="s">
        <v>56</v>
      </c>
      <c r="AQ3" s="8">
        <v>100</v>
      </c>
      <c r="AR3" s="9">
        <v>4</v>
      </c>
      <c r="AS3" s="9">
        <v>3</v>
      </c>
      <c r="AT3" s="9">
        <v>2</v>
      </c>
      <c r="AU3" s="9">
        <v>100</v>
      </c>
      <c r="AV3" s="9">
        <v>69</v>
      </c>
      <c r="AW3" s="9">
        <v>29</v>
      </c>
      <c r="AX3" s="9">
        <v>28</v>
      </c>
      <c r="AY3" s="11" t="s">
        <v>57</v>
      </c>
      <c r="AZ3" s="8">
        <v>100</v>
      </c>
      <c r="BA3" s="9">
        <v>4</v>
      </c>
      <c r="BB3" s="9">
        <v>3</v>
      </c>
      <c r="BC3" s="9">
        <v>2</v>
      </c>
      <c r="BD3" s="9">
        <v>100</v>
      </c>
      <c r="BE3" s="9">
        <v>79</v>
      </c>
      <c r="BF3" s="9">
        <v>50</v>
      </c>
      <c r="BG3" s="9">
        <v>26</v>
      </c>
      <c r="BH3" s="10" t="s">
        <v>58</v>
      </c>
      <c r="BI3" s="8">
        <v>100</v>
      </c>
      <c r="BJ3" s="9">
        <v>3</v>
      </c>
      <c r="BK3" s="9">
        <v>2</v>
      </c>
      <c r="BL3" s="9">
        <v>4</v>
      </c>
      <c r="BM3" s="9">
        <v>100</v>
      </c>
      <c r="BN3" s="9">
        <v>32</v>
      </c>
      <c r="BO3" s="9">
        <v>30</v>
      </c>
      <c r="BP3" s="9">
        <v>72</v>
      </c>
      <c r="BQ3" s="10" t="s">
        <v>59</v>
      </c>
      <c r="BR3" s="8"/>
      <c r="BS3" s="9">
        <v>39.746002197266002</v>
      </c>
      <c r="BT3" s="9">
        <v>-75.546600341797003</v>
      </c>
      <c r="BU3" s="10">
        <v>-1</v>
      </c>
      <c r="BV3" s="123">
        <f t="shared" ref="BV3:BV33" si="11">IFERROR(X3/SUM($X3:$Y3),"")</f>
        <v>0.44444444444444442</v>
      </c>
      <c r="BW3" s="123">
        <f t="shared" ref="BW3:BW33" si="12">IFERROR(Y3/SUM($X3:$Y3),"")</f>
        <v>0.55555555555555558</v>
      </c>
      <c r="BX3" s="123">
        <f t="shared" ref="BX3:BX33" si="13">IFERROR(AD3/SUM($AD3:$AF3),"")</f>
        <v>0.52910052910052907</v>
      </c>
      <c r="BY3" s="123">
        <f t="shared" ref="BY3:BY33" si="14">IFERROR(AE3/SUM($AD3:$AF3),"")</f>
        <v>0.31746031746031744</v>
      </c>
      <c r="BZ3" s="123">
        <f t="shared" ref="BZ3:BZ33" si="15">IFERROR(AF3/SUM($AD3:$AF3),"")</f>
        <v>0.15343915343915343</v>
      </c>
      <c r="CA3" s="123">
        <f t="shared" ref="CA3:CA33" si="16">IFERROR(AL3/SUM($AL3:$AO3),"")</f>
        <v>8.0168776371308023E-2</v>
      </c>
      <c r="CB3" s="123">
        <f t="shared" ref="CB3:CB33" si="17">IFERROR(AM3/SUM($AL3:$AO3),"")</f>
        <v>0.18565400843881857</v>
      </c>
      <c r="CC3" s="123">
        <f t="shared" ref="CC3:CC33" si="18">IFERROR(AN3/SUM($AL3:$AO3),"")</f>
        <v>0.31223628691983124</v>
      </c>
      <c r="CD3" s="123">
        <f t="shared" ref="CD3:CD33" si="19">IFERROR(AO3/SUM($AL3:$AO3),"")</f>
        <v>0.4219409282700422</v>
      </c>
      <c r="CE3" s="123">
        <f t="shared" ref="CE3:CE33" si="20">IFERROR(AU3/SUM($AU3:$AX3),"")</f>
        <v>0.44247787610619471</v>
      </c>
      <c r="CF3" s="123">
        <f t="shared" ref="CF3:CF33" si="21">IFERROR(AV3/SUM($AU3:$AX3),"")</f>
        <v>0.30530973451327431</v>
      </c>
      <c r="CG3" s="123">
        <f t="shared" ref="CG3:CG33" si="22">IFERROR(AW3/SUM($AU3:$AX3),"")</f>
        <v>0.12831858407079647</v>
      </c>
      <c r="CH3" s="123">
        <f t="shared" ref="CH3:CH33" si="23">IFERROR(AX3/SUM($AU3:$AX3),"")</f>
        <v>0.12389380530973451</v>
      </c>
      <c r="CI3" s="123">
        <f t="shared" ref="CI3:CI33" si="24">IFERROR(BD3/SUM($BD3:$BG3),"")</f>
        <v>0.39215686274509803</v>
      </c>
      <c r="CJ3" s="123">
        <f t="shared" ref="CJ3:CJ33" si="25">IFERROR(BE3/SUM($BD3:$BG3),"")</f>
        <v>0.30980392156862746</v>
      </c>
      <c r="CK3" s="123">
        <f t="shared" ref="CK3:CK33" si="26">IFERROR(BF3/SUM($BD3:$BG3),"")</f>
        <v>0.19607843137254902</v>
      </c>
      <c r="CL3" s="123">
        <f t="shared" ref="CL3:CL33" si="27">IFERROR(BG3/SUM($BD3:$BG3),"")</f>
        <v>0.10196078431372549</v>
      </c>
      <c r="CM3" s="123">
        <f t="shared" ref="CM3:CM33" si="28">IFERROR(BM3/SUM($BM3:$BP3),"")</f>
        <v>0.42735042735042733</v>
      </c>
      <c r="CN3" s="123">
        <f t="shared" ref="CN3:CN33" si="29">IFERROR(BN3/SUM($BM3:$BP3),"")</f>
        <v>0.13675213675213677</v>
      </c>
      <c r="CO3" s="123">
        <f t="shared" ref="CO3:CO33" si="30">IFERROR(BO3/SUM($BM3:$BP3),"")</f>
        <v>0.12820512820512819</v>
      </c>
      <c r="CP3" s="123">
        <f t="shared" ref="CP3:CP33" si="31">IFERROR(BP3/SUM($BM3:$BP3),"")</f>
        <v>0.30769230769230771</v>
      </c>
    </row>
    <row r="4" spans="1:94" x14ac:dyDescent="0.25">
      <c r="A4" s="67" t="str">
        <f t="shared" si="0"/>
        <v>[Y, Y]</v>
      </c>
      <c r="B4" s="68" t="str">
        <f t="shared" si="1"/>
        <v>[Y, Y]</v>
      </c>
      <c r="C4" s="68" t="str">
        <f t="shared" si="2"/>
        <v>[Y, Y]</v>
      </c>
      <c r="D4" s="68" t="str">
        <f t="shared" si="3"/>
        <v>[Y, Y]</v>
      </c>
      <c r="E4" s="68" t="str">
        <f t="shared" si="4"/>
        <v>[Y, Y]</v>
      </c>
      <c r="F4" s="69" t="str">
        <f t="shared" si="5"/>
        <v>[Y, N]</v>
      </c>
      <c r="G4" t="s">
        <v>60</v>
      </c>
      <c r="H4">
        <v>2</v>
      </c>
      <c r="I4" s="87">
        <v>3</v>
      </c>
      <c r="J4" t="s">
        <v>44</v>
      </c>
      <c r="N4" t="s">
        <v>61</v>
      </c>
      <c r="O4">
        <v>0</v>
      </c>
      <c r="P4" s="2">
        <v>42143.688784722224</v>
      </c>
      <c r="Q4" s="2">
        <v>42143.697141203702</v>
      </c>
      <c r="R4">
        <v>1</v>
      </c>
      <c r="S4" s="8">
        <v>3</v>
      </c>
      <c r="T4" s="10" t="s">
        <v>62</v>
      </c>
      <c r="U4">
        <v>1</v>
      </c>
      <c r="V4" s="8">
        <v>4</v>
      </c>
      <c r="W4" s="9">
        <v>100</v>
      </c>
      <c r="X4" s="27">
        <f>IF(MAX($X98:$Y98)=X98,100,X98/MAX($X98:$Y98)*100)</f>
        <v>100</v>
      </c>
      <c r="Y4" s="27">
        <f>IF(MAX($X98:$Y98)=Y98,100,Y98/MAX($X98:$Y98)*100)</f>
        <v>65.573770491803273</v>
      </c>
      <c r="Z4" s="11" t="s">
        <v>63</v>
      </c>
      <c r="AA4" s="8">
        <v>3</v>
      </c>
      <c r="AB4" s="9">
        <v>100</v>
      </c>
      <c r="AC4" s="9">
        <v>4</v>
      </c>
      <c r="AD4" s="27">
        <f>IF(MAX($AD98:$AF98)=AD98,100,AD98/MAX($AD98:$AF98)*100)</f>
        <v>40</v>
      </c>
      <c r="AE4" s="27">
        <f>IF(MAX($AD98:$AF98)=AE98,100,AE98/MAX($AD98:$AF98)*100)</f>
        <v>100</v>
      </c>
      <c r="AF4" s="27">
        <f>IF(MAX($AD98:$AF98)=AF98,100,AF98/MAX($AD98:$AF98)*100)</f>
        <v>60</v>
      </c>
      <c r="AG4" s="10" t="s">
        <v>64</v>
      </c>
      <c r="AH4" s="8">
        <v>4</v>
      </c>
      <c r="AI4" s="9">
        <v>3</v>
      </c>
      <c r="AJ4" s="9">
        <v>2</v>
      </c>
      <c r="AK4" s="9">
        <v>100</v>
      </c>
      <c r="AL4" s="27">
        <f>IF(MAX($AL98:$AO98)=AL98,100,AL98/MAX($AL98:$AO98)*100)</f>
        <v>20</v>
      </c>
      <c r="AM4" s="27">
        <f>IF(MAX($AL98:$AO98)=AM98,100,AM98/MAX($AL98:AO$98)*100)</f>
        <v>40</v>
      </c>
      <c r="AN4" s="27">
        <f>IF(MAX($AL98:$AO98)=AN98,100,AN98/MAX($AL98:$AO98)*100)</f>
        <v>40</v>
      </c>
      <c r="AO4" s="27">
        <f>IF(MAX($AL98:$AO98)=AO98,100,AO98/MAX($AL98:$AO98)*100)</f>
        <v>100</v>
      </c>
      <c r="AP4" s="10" t="s">
        <v>65</v>
      </c>
      <c r="AQ4" s="8">
        <v>100</v>
      </c>
      <c r="AR4" s="9">
        <v>2</v>
      </c>
      <c r="AS4" s="9">
        <v>4</v>
      </c>
      <c r="AT4" s="9">
        <v>3</v>
      </c>
      <c r="AU4" s="27">
        <f>IF(MAX($AU98:$AX98)=AU98,100,AU98/MAX($AU98:$AX98)*100)</f>
        <v>100</v>
      </c>
      <c r="AV4" s="27">
        <f>IF(MAX($AU98:$AX98)=AV98,100,AV98/MAX($AU98:$AX98)*100)</f>
        <v>19.35483870967742</v>
      </c>
      <c r="AW4" s="27">
        <f>IF(MAX($AU98:$AX98)=AW98,100,AW98/MAX($AU98:$AX98)*100)</f>
        <v>20.967741935483872</v>
      </c>
      <c r="AX4" s="27">
        <f>IF(MAX($AU98:$AX98)=AX98,100,AX98/MAX($AU98:$AX98)*100)</f>
        <v>20.967741935483872</v>
      </c>
      <c r="AY4" s="10" t="s">
        <v>66</v>
      </c>
      <c r="AZ4" s="8">
        <v>100</v>
      </c>
      <c r="BA4" s="9">
        <v>4</v>
      </c>
      <c r="BB4" s="9">
        <v>3</v>
      </c>
      <c r="BC4" s="9">
        <v>2</v>
      </c>
      <c r="BD4" s="27">
        <f>IF(MAX($BD98:$BG98)=BD98,100,BD98/MAX($BD98:$BG98)*100)</f>
        <v>100</v>
      </c>
      <c r="BE4" s="27">
        <f>IF(MAX($BD98:$BG98)=BE98,100,BE98/MAX($BD98:$BG98)*100)</f>
        <v>21.311475409836063</v>
      </c>
      <c r="BF4" s="27">
        <f>IF(MAX($BD98:$BG98)=BF98,100,BF98/MAX($BD98:$BG98)*100)</f>
        <v>22.950819672131146</v>
      </c>
      <c r="BG4" s="27">
        <f>IF(MAX($BD98:$BG98)=BG98,100,BG98/MAX($BD98:$BG98)*100)</f>
        <v>21.311475409836063</v>
      </c>
      <c r="BH4" s="10" t="s">
        <v>67</v>
      </c>
      <c r="BI4" s="8">
        <v>100</v>
      </c>
      <c r="BJ4" s="9">
        <v>4</v>
      </c>
      <c r="BK4" s="9">
        <v>3</v>
      </c>
      <c r="BL4" s="9">
        <v>2</v>
      </c>
      <c r="BM4" s="38">
        <v>100</v>
      </c>
      <c r="BN4" s="38">
        <v>0</v>
      </c>
      <c r="BO4" s="38">
        <v>0</v>
      </c>
      <c r="BP4" s="38">
        <v>0</v>
      </c>
      <c r="BQ4" s="10"/>
      <c r="BR4" s="47" t="s">
        <v>68</v>
      </c>
      <c r="BS4" s="9">
        <v>38.934494018555</v>
      </c>
      <c r="BT4" s="9">
        <v>-77.059600830077997</v>
      </c>
      <c r="BU4" s="10">
        <v>-1</v>
      </c>
      <c r="BV4" s="123">
        <f t="shared" si="11"/>
        <v>0.60396039603960405</v>
      </c>
      <c r="BW4" s="123">
        <f t="shared" si="12"/>
        <v>0.39603960396039606</v>
      </c>
      <c r="BX4" s="123">
        <f t="shared" si="13"/>
        <v>0.2</v>
      </c>
      <c r="BY4" s="123">
        <f t="shared" si="14"/>
        <v>0.5</v>
      </c>
      <c r="BZ4" s="123">
        <f t="shared" si="15"/>
        <v>0.3</v>
      </c>
      <c r="CA4" s="123">
        <f t="shared" si="16"/>
        <v>0.1</v>
      </c>
      <c r="CB4" s="123">
        <f t="shared" si="17"/>
        <v>0.2</v>
      </c>
      <c r="CC4" s="123">
        <f t="shared" si="18"/>
        <v>0.2</v>
      </c>
      <c r="CD4" s="123">
        <f t="shared" si="19"/>
        <v>0.5</v>
      </c>
      <c r="CE4" s="123">
        <f t="shared" si="20"/>
        <v>0.62</v>
      </c>
      <c r="CF4" s="123">
        <f t="shared" si="21"/>
        <v>0.12000000000000001</v>
      </c>
      <c r="CG4" s="123">
        <f t="shared" si="22"/>
        <v>0.13</v>
      </c>
      <c r="CH4" s="123">
        <f t="shared" si="23"/>
        <v>0.13</v>
      </c>
      <c r="CI4" s="123">
        <f t="shared" si="24"/>
        <v>0.60396039603960405</v>
      </c>
      <c r="CJ4" s="123">
        <f t="shared" si="25"/>
        <v>0.12871287128712872</v>
      </c>
      <c r="CK4" s="123">
        <f t="shared" si="26"/>
        <v>0.13861386138613863</v>
      </c>
      <c r="CL4" s="123">
        <f t="shared" si="27"/>
        <v>0.12871287128712872</v>
      </c>
      <c r="CM4" s="123">
        <f t="shared" si="28"/>
        <v>1</v>
      </c>
      <c r="CN4" s="123">
        <f t="shared" si="29"/>
        <v>0</v>
      </c>
      <c r="CO4" s="123">
        <f t="shared" si="30"/>
        <v>0</v>
      </c>
      <c r="CP4" s="123">
        <f t="shared" si="31"/>
        <v>0</v>
      </c>
    </row>
    <row r="5" spans="1:94" x14ac:dyDescent="0.25">
      <c r="A5" s="67" t="str">
        <f t="shared" si="0"/>
        <v>[Y, Y]</v>
      </c>
      <c r="B5" s="68" t="str">
        <f t="shared" si="1"/>
        <v>[Y, Y]</v>
      </c>
      <c r="C5" s="68" t="str">
        <f t="shared" si="2"/>
        <v>[Y, Y]</v>
      </c>
      <c r="D5" s="68" t="str">
        <f t="shared" si="3"/>
        <v>[Y, Y]</v>
      </c>
      <c r="E5" s="68" t="str">
        <f t="shared" si="4"/>
        <v>[Y, Y]</v>
      </c>
      <c r="F5" s="69" t="str">
        <f t="shared" si="5"/>
        <v>[Y, Y]</v>
      </c>
      <c r="G5" t="s">
        <v>69</v>
      </c>
      <c r="H5">
        <v>2</v>
      </c>
      <c r="I5" s="106">
        <v>2</v>
      </c>
      <c r="J5" t="s">
        <v>44</v>
      </c>
      <c r="N5" t="s">
        <v>70</v>
      </c>
      <c r="O5">
        <v>0</v>
      </c>
      <c r="P5" s="2">
        <v>42144.466886574075</v>
      </c>
      <c r="Q5" s="2">
        <v>42150.720879629633</v>
      </c>
      <c r="R5">
        <v>1</v>
      </c>
      <c r="S5" s="8"/>
      <c r="T5" s="10"/>
      <c r="U5">
        <v>1</v>
      </c>
      <c r="V5" s="8">
        <v>100</v>
      </c>
      <c r="W5" s="9">
        <v>4</v>
      </c>
      <c r="X5" s="9">
        <v>70</v>
      </c>
      <c r="Y5" s="9">
        <v>100</v>
      </c>
      <c r="Z5" s="11" t="s">
        <v>71</v>
      </c>
      <c r="AA5" s="8">
        <v>4</v>
      </c>
      <c r="AB5" s="9">
        <v>100</v>
      </c>
      <c r="AC5" s="9">
        <v>3</v>
      </c>
      <c r="AD5" s="9">
        <v>75</v>
      </c>
      <c r="AE5" s="9">
        <v>100</v>
      </c>
      <c r="AF5" s="9">
        <v>52</v>
      </c>
      <c r="AG5" s="11" t="s">
        <v>72</v>
      </c>
      <c r="AH5" s="8">
        <v>2</v>
      </c>
      <c r="AI5" s="9">
        <v>4</v>
      </c>
      <c r="AJ5" s="9">
        <v>4</v>
      </c>
      <c r="AK5" s="9">
        <v>100</v>
      </c>
      <c r="AL5" s="9">
        <v>0</v>
      </c>
      <c r="AM5" s="9">
        <v>70</v>
      </c>
      <c r="AN5" s="9">
        <v>70</v>
      </c>
      <c r="AO5" s="9">
        <v>100</v>
      </c>
      <c r="AP5" s="11" t="s">
        <v>73</v>
      </c>
      <c r="AQ5" s="8">
        <v>2</v>
      </c>
      <c r="AR5" s="9">
        <v>100</v>
      </c>
      <c r="AS5" s="9">
        <v>3</v>
      </c>
      <c r="AT5" s="9">
        <v>4</v>
      </c>
      <c r="AU5" s="9">
        <v>70</v>
      </c>
      <c r="AV5" s="9">
        <v>100</v>
      </c>
      <c r="AW5" s="9">
        <v>81</v>
      </c>
      <c r="AX5" s="9">
        <v>90</v>
      </c>
      <c r="AY5" s="11" t="s">
        <v>74</v>
      </c>
      <c r="AZ5" s="8">
        <v>2</v>
      </c>
      <c r="BA5" s="9">
        <v>100</v>
      </c>
      <c r="BB5" s="9">
        <v>3</v>
      </c>
      <c r="BC5" s="9">
        <v>4</v>
      </c>
      <c r="BD5" s="9">
        <v>75</v>
      </c>
      <c r="BE5" s="9">
        <v>100</v>
      </c>
      <c r="BF5" s="9">
        <v>75</v>
      </c>
      <c r="BG5" s="9">
        <v>75</v>
      </c>
      <c r="BH5" s="11" t="s">
        <v>75</v>
      </c>
      <c r="BI5" s="8">
        <v>4</v>
      </c>
      <c r="BJ5" s="9">
        <v>3</v>
      </c>
      <c r="BK5" s="9">
        <v>2</v>
      </c>
      <c r="BL5" s="9">
        <v>100</v>
      </c>
      <c r="BM5" s="9">
        <v>76</v>
      </c>
      <c r="BN5" s="9">
        <v>76</v>
      </c>
      <c r="BO5" s="9">
        <v>60</v>
      </c>
      <c r="BP5" s="9">
        <v>100</v>
      </c>
      <c r="BQ5" s="11" t="s">
        <v>76</v>
      </c>
      <c r="BR5" s="47" t="s">
        <v>77</v>
      </c>
      <c r="BS5" s="9">
        <v>32.879501342772997</v>
      </c>
      <c r="BT5" s="9">
        <v>-96.939796447754006</v>
      </c>
      <c r="BU5" s="10">
        <v>-1</v>
      </c>
      <c r="BV5" s="123">
        <f t="shared" si="11"/>
        <v>0.41176470588235292</v>
      </c>
      <c r="BW5" s="123">
        <f t="shared" si="12"/>
        <v>0.58823529411764708</v>
      </c>
      <c r="BX5" s="123">
        <f t="shared" si="13"/>
        <v>0.33039647577092512</v>
      </c>
      <c r="BY5" s="123">
        <f t="shared" si="14"/>
        <v>0.44052863436123346</v>
      </c>
      <c r="BZ5" s="123">
        <f t="shared" si="15"/>
        <v>0.22907488986784141</v>
      </c>
      <c r="CA5" s="123">
        <f t="shared" si="16"/>
        <v>0</v>
      </c>
      <c r="CB5" s="123">
        <f t="shared" si="17"/>
        <v>0.29166666666666669</v>
      </c>
      <c r="CC5" s="123">
        <f t="shared" si="18"/>
        <v>0.29166666666666669</v>
      </c>
      <c r="CD5" s="123">
        <f t="shared" si="19"/>
        <v>0.41666666666666669</v>
      </c>
      <c r="CE5" s="123">
        <f t="shared" si="20"/>
        <v>0.20527859237536658</v>
      </c>
      <c r="CF5" s="123">
        <f t="shared" si="21"/>
        <v>0.2932551319648094</v>
      </c>
      <c r="CG5" s="123">
        <f t="shared" si="22"/>
        <v>0.23753665689149561</v>
      </c>
      <c r="CH5" s="123">
        <f t="shared" si="23"/>
        <v>0.26392961876832843</v>
      </c>
      <c r="CI5" s="123">
        <f t="shared" si="24"/>
        <v>0.23076923076923078</v>
      </c>
      <c r="CJ5" s="123">
        <f t="shared" si="25"/>
        <v>0.30769230769230771</v>
      </c>
      <c r="CK5" s="123">
        <f t="shared" si="26"/>
        <v>0.23076923076923078</v>
      </c>
      <c r="CL5" s="123">
        <f t="shared" si="27"/>
        <v>0.23076923076923078</v>
      </c>
      <c r="CM5" s="123">
        <f t="shared" si="28"/>
        <v>0.24358974358974358</v>
      </c>
      <c r="CN5" s="123">
        <f t="shared" si="29"/>
        <v>0.24358974358974358</v>
      </c>
      <c r="CO5" s="123">
        <f t="shared" si="30"/>
        <v>0.19230769230769232</v>
      </c>
      <c r="CP5" s="123">
        <f t="shared" si="31"/>
        <v>0.32051282051282054</v>
      </c>
    </row>
    <row r="6" spans="1:94" x14ac:dyDescent="0.25">
      <c r="A6" s="67" t="str">
        <f t="shared" si="0"/>
        <v>[Y, Y]</v>
      </c>
      <c r="B6" s="68" t="str">
        <f t="shared" si="1"/>
        <v>[Y, Y]</v>
      </c>
      <c r="C6" s="68" t="str">
        <f t="shared" si="2"/>
        <v>[Y, Y]</v>
      </c>
      <c r="D6" s="68" t="str">
        <f t="shared" si="3"/>
        <v>[Y, Y]</v>
      </c>
      <c r="E6" s="68" t="str">
        <f t="shared" si="4"/>
        <v>[Y, Y]</v>
      </c>
      <c r="F6" s="69" t="str">
        <f t="shared" si="5"/>
        <v>[Y, Y]</v>
      </c>
      <c r="G6" t="s">
        <v>78</v>
      </c>
      <c r="H6">
        <v>2</v>
      </c>
      <c r="I6" s="87">
        <v>2</v>
      </c>
      <c r="J6" t="s">
        <v>44</v>
      </c>
      <c r="N6" t="s">
        <v>79</v>
      </c>
      <c r="O6">
        <v>0</v>
      </c>
      <c r="P6" s="2">
        <v>42139.49114583333</v>
      </c>
      <c r="Q6" s="2">
        <v>42150.797291666669</v>
      </c>
      <c r="R6">
        <v>1</v>
      </c>
      <c r="S6" s="8">
        <v>2</v>
      </c>
      <c r="T6" s="10"/>
      <c r="U6">
        <v>1</v>
      </c>
      <c r="V6" s="8">
        <v>100</v>
      </c>
      <c r="W6" s="9">
        <v>4</v>
      </c>
      <c r="X6" s="9">
        <v>79</v>
      </c>
      <c r="Y6" s="9">
        <v>100</v>
      </c>
      <c r="Z6" s="11" t="s">
        <v>80</v>
      </c>
      <c r="AA6" s="8">
        <v>3</v>
      </c>
      <c r="AB6" s="9">
        <v>100</v>
      </c>
      <c r="AC6" s="9">
        <v>4</v>
      </c>
      <c r="AD6" s="9">
        <v>60</v>
      </c>
      <c r="AE6" s="9">
        <v>100</v>
      </c>
      <c r="AF6" s="9">
        <v>80</v>
      </c>
      <c r="AG6" s="11" t="s">
        <v>81</v>
      </c>
      <c r="AH6" s="8">
        <v>2</v>
      </c>
      <c r="AI6" s="9">
        <v>100</v>
      </c>
      <c r="AJ6" s="9">
        <v>3</v>
      </c>
      <c r="AK6" s="9">
        <v>4</v>
      </c>
      <c r="AL6" s="9">
        <v>42</v>
      </c>
      <c r="AM6" s="9">
        <v>100</v>
      </c>
      <c r="AN6" s="9">
        <v>100</v>
      </c>
      <c r="AO6" s="9">
        <v>100</v>
      </c>
      <c r="AP6" s="11" t="s">
        <v>82</v>
      </c>
      <c r="AQ6" s="8">
        <v>3</v>
      </c>
      <c r="AR6" s="9">
        <v>100</v>
      </c>
      <c r="AS6" s="9">
        <v>2</v>
      </c>
      <c r="AT6" s="9">
        <v>4</v>
      </c>
      <c r="AU6" s="9">
        <v>80</v>
      </c>
      <c r="AV6" s="9">
        <v>100</v>
      </c>
      <c r="AW6" s="9">
        <v>30</v>
      </c>
      <c r="AX6" s="9">
        <v>90</v>
      </c>
      <c r="AY6" s="10"/>
      <c r="AZ6" s="8">
        <v>4</v>
      </c>
      <c r="BA6" s="9">
        <v>100</v>
      </c>
      <c r="BB6" s="9">
        <v>3</v>
      </c>
      <c r="BC6" s="9">
        <v>2</v>
      </c>
      <c r="BD6" s="9">
        <v>100</v>
      </c>
      <c r="BE6" s="9">
        <v>100</v>
      </c>
      <c r="BF6" s="9">
        <v>100</v>
      </c>
      <c r="BG6" s="9">
        <v>50</v>
      </c>
      <c r="BH6" s="10"/>
      <c r="BI6" s="8">
        <v>100</v>
      </c>
      <c r="BJ6" s="9">
        <v>4</v>
      </c>
      <c r="BK6" s="9">
        <v>2</v>
      </c>
      <c r="BL6" s="9">
        <v>3</v>
      </c>
      <c r="BM6" s="9">
        <v>100</v>
      </c>
      <c r="BN6" s="9">
        <v>80</v>
      </c>
      <c r="BO6" s="9">
        <v>52</v>
      </c>
      <c r="BP6" s="9">
        <v>80</v>
      </c>
      <c r="BQ6" s="10"/>
      <c r="BR6" s="8" t="s">
        <v>83</v>
      </c>
      <c r="BS6" s="9">
        <v>38.895095825195</v>
      </c>
      <c r="BT6" s="9">
        <v>-77.036399841309006</v>
      </c>
      <c r="BU6" s="10">
        <v>-1</v>
      </c>
      <c r="BV6" s="123">
        <f t="shared" si="11"/>
        <v>0.44134078212290501</v>
      </c>
      <c r="BW6" s="123">
        <f t="shared" si="12"/>
        <v>0.55865921787709494</v>
      </c>
      <c r="BX6" s="123">
        <f t="shared" si="13"/>
        <v>0.25</v>
      </c>
      <c r="BY6" s="123">
        <f t="shared" si="14"/>
        <v>0.41666666666666669</v>
      </c>
      <c r="BZ6" s="123">
        <f t="shared" si="15"/>
        <v>0.33333333333333331</v>
      </c>
      <c r="CA6" s="123">
        <f t="shared" si="16"/>
        <v>0.12280701754385964</v>
      </c>
      <c r="CB6" s="123">
        <f t="shared" si="17"/>
        <v>0.29239766081871343</v>
      </c>
      <c r="CC6" s="123">
        <f t="shared" si="18"/>
        <v>0.29239766081871343</v>
      </c>
      <c r="CD6" s="123">
        <f t="shared" si="19"/>
        <v>0.29239766081871343</v>
      </c>
      <c r="CE6" s="123">
        <f t="shared" si="20"/>
        <v>0.26666666666666666</v>
      </c>
      <c r="CF6" s="123">
        <f t="shared" si="21"/>
        <v>0.33333333333333331</v>
      </c>
      <c r="CG6" s="123">
        <f t="shared" si="22"/>
        <v>0.1</v>
      </c>
      <c r="CH6" s="123">
        <f t="shared" si="23"/>
        <v>0.3</v>
      </c>
      <c r="CI6" s="123">
        <f t="shared" si="24"/>
        <v>0.2857142857142857</v>
      </c>
      <c r="CJ6" s="123">
        <f t="shared" si="25"/>
        <v>0.2857142857142857</v>
      </c>
      <c r="CK6" s="123">
        <f t="shared" si="26"/>
        <v>0.2857142857142857</v>
      </c>
      <c r="CL6" s="123">
        <f t="shared" si="27"/>
        <v>0.14285714285714285</v>
      </c>
      <c r="CM6" s="123">
        <f t="shared" si="28"/>
        <v>0.32051282051282054</v>
      </c>
      <c r="CN6" s="123">
        <f t="shared" si="29"/>
        <v>0.25641025641025639</v>
      </c>
      <c r="CO6" s="123">
        <f t="shared" si="30"/>
        <v>0.16666666666666666</v>
      </c>
      <c r="CP6" s="123">
        <f t="shared" si="31"/>
        <v>0.25641025641025639</v>
      </c>
    </row>
    <row r="7" spans="1:94" x14ac:dyDescent="0.25">
      <c r="A7" s="67" t="str">
        <f t="shared" si="0"/>
        <v>[Y, Y]</v>
      </c>
      <c r="B7" s="68" t="str">
        <f t="shared" si="1"/>
        <v>[Y, Y]</v>
      </c>
      <c r="C7" s="68" t="str">
        <f t="shared" si="2"/>
        <v>[Y, Y]</v>
      </c>
      <c r="D7" s="68" t="str">
        <f t="shared" si="3"/>
        <v>[Y, Y]</v>
      </c>
      <c r="E7" s="68" t="str">
        <f t="shared" si="4"/>
        <v>[Y, Y]</v>
      </c>
      <c r="F7" s="69" t="str">
        <f t="shared" si="5"/>
        <v>[Y, Y]</v>
      </c>
      <c r="G7" t="s">
        <v>84</v>
      </c>
      <c r="H7">
        <v>2</v>
      </c>
      <c r="I7" s="87">
        <v>1</v>
      </c>
      <c r="J7" t="s">
        <v>44</v>
      </c>
      <c r="N7" t="s">
        <v>85</v>
      </c>
      <c r="O7">
        <v>0</v>
      </c>
      <c r="P7" s="2">
        <v>42152.394479166665</v>
      </c>
      <c r="Q7" s="2">
        <v>42152.430208333331</v>
      </c>
      <c r="R7">
        <v>1</v>
      </c>
      <c r="S7" s="8">
        <v>1</v>
      </c>
      <c r="T7" s="10"/>
      <c r="U7">
        <v>1</v>
      </c>
      <c r="V7" s="8">
        <v>100</v>
      </c>
      <c r="W7" s="9">
        <v>4</v>
      </c>
      <c r="X7" s="9">
        <v>60</v>
      </c>
      <c r="Y7" s="9">
        <v>100</v>
      </c>
      <c r="Z7" s="11" t="s">
        <v>86</v>
      </c>
      <c r="AA7" s="8">
        <v>3</v>
      </c>
      <c r="AB7" s="9">
        <v>100</v>
      </c>
      <c r="AC7" s="9">
        <v>4</v>
      </c>
      <c r="AD7" s="9">
        <v>10</v>
      </c>
      <c r="AE7" s="9">
        <v>100</v>
      </c>
      <c r="AF7" s="9">
        <v>75</v>
      </c>
      <c r="AG7" s="10" t="s">
        <v>87</v>
      </c>
      <c r="AH7" s="8">
        <v>2</v>
      </c>
      <c r="AI7" s="9">
        <v>100</v>
      </c>
      <c r="AJ7" s="9">
        <v>3</v>
      </c>
      <c r="AK7" s="9">
        <v>4</v>
      </c>
      <c r="AL7" s="9">
        <v>2</v>
      </c>
      <c r="AM7" s="9">
        <v>100</v>
      </c>
      <c r="AN7" s="9">
        <v>10</v>
      </c>
      <c r="AO7" s="9">
        <v>30</v>
      </c>
      <c r="AP7" s="11" t="s">
        <v>88</v>
      </c>
      <c r="AQ7" s="8">
        <v>100</v>
      </c>
      <c r="AR7" s="9">
        <v>4</v>
      </c>
      <c r="AS7" s="9">
        <v>2</v>
      </c>
      <c r="AT7" s="9">
        <v>3</v>
      </c>
      <c r="AU7" s="9">
        <v>100</v>
      </c>
      <c r="AV7" s="9">
        <v>33</v>
      </c>
      <c r="AW7" s="9">
        <v>1</v>
      </c>
      <c r="AX7" s="9">
        <v>10</v>
      </c>
      <c r="AY7" s="10"/>
      <c r="AZ7" s="8">
        <v>100</v>
      </c>
      <c r="BA7" s="9">
        <v>4</v>
      </c>
      <c r="BB7" s="9">
        <v>3</v>
      </c>
      <c r="BC7" s="9">
        <v>2</v>
      </c>
      <c r="BD7" s="9">
        <v>100</v>
      </c>
      <c r="BE7" s="9">
        <v>33</v>
      </c>
      <c r="BF7" s="9">
        <v>10</v>
      </c>
      <c r="BG7" s="9">
        <v>10</v>
      </c>
      <c r="BH7" s="10"/>
      <c r="BI7" s="8">
        <v>100</v>
      </c>
      <c r="BJ7" s="9">
        <v>4</v>
      </c>
      <c r="BK7" s="9">
        <v>2</v>
      </c>
      <c r="BL7" s="9">
        <v>3</v>
      </c>
      <c r="BM7" s="9">
        <v>100</v>
      </c>
      <c r="BN7" s="9">
        <v>10</v>
      </c>
      <c r="BO7" s="9">
        <v>1</v>
      </c>
      <c r="BP7" s="9">
        <v>5</v>
      </c>
      <c r="BQ7" s="10"/>
      <c r="BR7" s="8"/>
      <c r="BS7" s="9">
        <v>59.333297729492003</v>
      </c>
      <c r="BT7" s="9">
        <v>18.050003051758001</v>
      </c>
      <c r="BU7" s="10">
        <v>-1</v>
      </c>
      <c r="BV7" s="123">
        <f t="shared" si="11"/>
        <v>0.375</v>
      </c>
      <c r="BW7" s="123">
        <f t="shared" si="12"/>
        <v>0.625</v>
      </c>
      <c r="BX7" s="123">
        <f t="shared" si="13"/>
        <v>5.4054054054054057E-2</v>
      </c>
      <c r="BY7" s="123">
        <f t="shared" si="14"/>
        <v>0.54054054054054057</v>
      </c>
      <c r="BZ7" s="123">
        <f t="shared" si="15"/>
        <v>0.40540540540540543</v>
      </c>
      <c r="CA7" s="123">
        <f t="shared" si="16"/>
        <v>1.4084507042253521E-2</v>
      </c>
      <c r="CB7" s="123">
        <f t="shared" si="17"/>
        <v>0.70422535211267601</v>
      </c>
      <c r="CC7" s="123">
        <f t="shared" si="18"/>
        <v>7.0422535211267609E-2</v>
      </c>
      <c r="CD7" s="123">
        <f t="shared" si="19"/>
        <v>0.21126760563380281</v>
      </c>
      <c r="CE7" s="123">
        <f t="shared" si="20"/>
        <v>0.69444444444444442</v>
      </c>
      <c r="CF7" s="123">
        <f t="shared" si="21"/>
        <v>0.22916666666666666</v>
      </c>
      <c r="CG7" s="123">
        <f t="shared" si="22"/>
        <v>6.9444444444444441E-3</v>
      </c>
      <c r="CH7" s="123">
        <f t="shared" si="23"/>
        <v>6.9444444444444448E-2</v>
      </c>
      <c r="CI7" s="123">
        <f t="shared" si="24"/>
        <v>0.65359477124183007</v>
      </c>
      <c r="CJ7" s="123">
        <f t="shared" si="25"/>
        <v>0.21568627450980393</v>
      </c>
      <c r="CK7" s="123">
        <f t="shared" si="26"/>
        <v>6.535947712418301E-2</v>
      </c>
      <c r="CL7" s="123">
        <f t="shared" si="27"/>
        <v>6.535947712418301E-2</v>
      </c>
      <c r="CM7" s="123">
        <f t="shared" si="28"/>
        <v>0.86206896551724133</v>
      </c>
      <c r="CN7" s="123">
        <f t="shared" si="29"/>
        <v>8.6206896551724144E-2</v>
      </c>
      <c r="CO7" s="123">
        <f t="shared" si="30"/>
        <v>8.6206896551724137E-3</v>
      </c>
      <c r="CP7" s="123">
        <f t="shared" si="31"/>
        <v>4.3103448275862072E-2</v>
      </c>
    </row>
    <row r="8" spans="1:94" s="13" customFormat="1" ht="15.75" thickBot="1" x14ac:dyDescent="0.3">
      <c r="A8" s="67" t="str">
        <f t="shared" si="0"/>
        <v>[Y, Y]</v>
      </c>
      <c r="B8" s="68" t="str">
        <f t="shared" si="1"/>
        <v>[Y, Y]</v>
      </c>
      <c r="C8" s="68" t="str">
        <f t="shared" si="2"/>
        <v>[Y, Y]</v>
      </c>
      <c r="D8" s="68" t="str">
        <f t="shared" si="3"/>
        <v>[Y, Y]</v>
      </c>
      <c r="E8" s="68" t="str">
        <f t="shared" si="4"/>
        <v>[Y, Y]</v>
      </c>
      <c r="F8" s="69" t="str">
        <f t="shared" si="5"/>
        <v>[Y, Y]</v>
      </c>
      <c r="G8" s="13" t="s">
        <v>89</v>
      </c>
      <c r="H8">
        <v>2</v>
      </c>
      <c r="I8" s="71">
        <v>3</v>
      </c>
      <c r="J8" s="13" t="s">
        <v>44</v>
      </c>
      <c r="N8" s="13" t="s">
        <v>90</v>
      </c>
      <c r="O8" s="13">
        <v>0</v>
      </c>
      <c r="P8" s="65">
        <v>42152.661782407406</v>
      </c>
      <c r="Q8" s="65">
        <v>42153.453946759262</v>
      </c>
      <c r="R8" s="13">
        <v>1</v>
      </c>
      <c r="S8" s="12">
        <v>3</v>
      </c>
      <c r="T8" s="14" t="s">
        <v>91</v>
      </c>
      <c r="U8" s="13">
        <v>1</v>
      </c>
      <c r="V8" s="12">
        <v>100</v>
      </c>
      <c r="W8" s="13">
        <v>4</v>
      </c>
      <c r="X8" s="13">
        <v>80</v>
      </c>
      <c r="Y8" s="13">
        <v>100</v>
      </c>
      <c r="Z8" s="14" t="s">
        <v>92</v>
      </c>
      <c r="AA8" s="12">
        <v>4</v>
      </c>
      <c r="AB8" s="13">
        <v>100</v>
      </c>
      <c r="AC8" s="13">
        <v>3</v>
      </c>
      <c r="AD8" s="13">
        <v>60</v>
      </c>
      <c r="AE8" s="13">
        <v>100</v>
      </c>
      <c r="AF8" s="13">
        <v>40</v>
      </c>
      <c r="AG8" s="14" t="s">
        <v>93</v>
      </c>
      <c r="AH8" s="12">
        <v>2</v>
      </c>
      <c r="AI8" s="13">
        <v>3</v>
      </c>
      <c r="AJ8" s="13">
        <v>4</v>
      </c>
      <c r="AK8" s="13">
        <v>100</v>
      </c>
      <c r="AL8" s="13">
        <v>21</v>
      </c>
      <c r="AM8" s="13">
        <v>50</v>
      </c>
      <c r="AN8" s="13">
        <v>50</v>
      </c>
      <c r="AO8" s="13">
        <v>100</v>
      </c>
      <c r="AP8" s="66" t="s">
        <v>94</v>
      </c>
      <c r="AQ8" s="12">
        <v>100</v>
      </c>
      <c r="AR8" s="13">
        <v>3</v>
      </c>
      <c r="AS8" s="13">
        <v>2</v>
      </c>
      <c r="AT8" s="13">
        <v>4</v>
      </c>
      <c r="AU8" s="13">
        <v>100</v>
      </c>
      <c r="AV8" s="13">
        <v>20</v>
      </c>
      <c r="AW8" s="13">
        <v>10</v>
      </c>
      <c r="AX8" s="13">
        <v>50</v>
      </c>
      <c r="AY8" s="14" t="s">
        <v>95</v>
      </c>
      <c r="AZ8" s="12">
        <v>100</v>
      </c>
      <c r="BA8" s="13">
        <v>4</v>
      </c>
      <c r="BB8" s="13">
        <v>3</v>
      </c>
      <c r="BC8" s="13">
        <v>2</v>
      </c>
      <c r="BD8" s="13">
        <v>100</v>
      </c>
      <c r="BE8" s="13">
        <v>90</v>
      </c>
      <c r="BF8" s="13">
        <v>80</v>
      </c>
      <c r="BG8" s="13">
        <v>60</v>
      </c>
      <c r="BH8" s="14" t="s">
        <v>96</v>
      </c>
      <c r="BI8" s="12">
        <v>100</v>
      </c>
      <c r="BJ8" s="13">
        <v>3</v>
      </c>
      <c r="BK8" s="13">
        <v>2</v>
      </c>
      <c r="BL8" s="13">
        <v>4</v>
      </c>
      <c r="BM8" s="13">
        <v>100</v>
      </c>
      <c r="BN8" s="13">
        <v>40</v>
      </c>
      <c r="BO8" s="13">
        <v>20</v>
      </c>
      <c r="BP8" s="13">
        <v>70</v>
      </c>
      <c r="BQ8" s="66" t="s">
        <v>97</v>
      </c>
      <c r="BR8" s="12" t="s">
        <v>98</v>
      </c>
      <c r="BS8" s="13">
        <v>45.416702270507997</v>
      </c>
      <c r="BT8" s="13">
        <v>-75.699996948242003</v>
      </c>
      <c r="BU8" s="14">
        <v>-1</v>
      </c>
      <c r="BV8" s="123">
        <f t="shared" si="11"/>
        <v>0.44444444444444442</v>
      </c>
      <c r="BW8" s="123">
        <f t="shared" si="12"/>
        <v>0.55555555555555558</v>
      </c>
      <c r="BX8" s="123">
        <f t="shared" si="13"/>
        <v>0.3</v>
      </c>
      <c r="BY8" s="123">
        <f t="shared" si="14"/>
        <v>0.5</v>
      </c>
      <c r="BZ8" s="123">
        <f t="shared" si="15"/>
        <v>0.2</v>
      </c>
      <c r="CA8" s="123">
        <f t="shared" si="16"/>
        <v>9.5022624434389136E-2</v>
      </c>
      <c r="CB8" s="123">
        <f t="shared" si="17"/>
        <v>0.22624434389140272</v>
      </c>
      <c r="CC8" s="123">
        <f t="shared" si="18"/>
        <v>0.22624434389140272</v>
      </c>
      <c r="CD8" s="123">
        <f t="shared" si="19"/>
        <v>0.45248868778280543</v>
      </c>
      <c r="CE8" s="123">
        <f t="shared" si="20"/>
        <v>0.55555555555555558</v>
      </c>
      <c r="CF8" s="123">
        <f t="shared" si="21"/>
        <v>0.1111111111111111</v>
      </c>
      <c r="CG8" s="123">
        <f t="shared" si="22"/>
        <v>5.5555555555555552E-2</v>
      </c>
      <c r="CH8" s="123">
        <f t="shared" si="23"/>
        <v>0.27777777777777779</v>
      </c>
      <c r="CI8" s="123">
        <f t="shared" si="24"/>
        <v>0.30303030303030304</v>
      </c>
      <c r="CJ8" s="123">
        <f t="shared" si="25"/>
        <v>0.27272727272727271</v>
      </c>
      <c r="CK8" s="123">
        <f t="shared" si="26"/>
        <v>0.24242424242424243</v>
      </c>
      <c r="CL8" s="123">
        <f t="shared" si="27"/>
        <v>0.18181818181818182</v>
      </c>
      <c r="CM8" s="123">
        <f t="shared" si="28"/>
        <v>0.43478260869565216</v>
      </c>
      <c r="CN8" s="123">
        <f t="shared" si="29"/>
        <v>0.17391304347826086</v>
      </c>
      <c r="CO8" s="123">
        <f t="shared" si="30"/>
        <v>8.6956521739130432E-2</v>
      </c>
      <c r="CP8" s="123">
        <f t="shared" si="31"/>
        <v>0.30434782608695654</v>
      </c>
    </row>
    <row r="9" spans="1:94" s="48" customFormat="1" x14ac:dyDescent="0.25">
      <c r="A9" s="67" t="str">
        <f>"["&amp;IF(MAX($X9:$Y9)=100,"Y","N")&amp;", " &amp; IF(COUNT($X9:$Y9)-COUNTIF($X9:$Y9,0)&gt;1,"Y","N")&amp;"]"</f>
        <v>[Y, Y]</v>
      </c>
      <c r="B9" s="68" t="str">
        <f>"["&amp;IF(MAX($AD9:$AF9)=100,"Y","N")&amp;", " &amp; IF(COUNT($AD9:$AF9)-COUNTIF($AD9:$AF9,0)&gt;1,"Y","N")&amp;"]"</f>
        <v>[Y, Y]</v>
      </c>
      <c r="C9" s="68" t="str">
        <f>"["&amp;IF(MAX($AL9:$AO9)=100,"Y","N")&amp;", " &amp; IF(COUNT($AL9:$AO9)-COUNTIF($AL9:$AO9,0)&gt;1,"Y","N")&amp;"]"</f>
        <v>[Y, Y]</v>
      </c>
      <c r="D9" s="68" t="str">
        <f>"["&amp;IF(MAX($AU9:$AX9)=100,"Y","N")&amp;", " &amp; IF(COUNT($AU9:$AX9)-COUNTIF($AU9:$AX9,0)&gt;1,"Y","N")&amp;"]"</f>
        <v>[Y, Y]</v>
      </c>
      <c r="E9" s="68" t="str">
        <f>"["&amp;IF(MAX($BD9:$BG9)=100,"Y","N")&amp;", " &amp; IF(COUNT($BD9:$BG9)-COUNTIF($BD9:$BG9,0)&gt;1,"Y","N")&amp;"]"</f>
        <v>[Y, Y]</v>
      </c>
      <c r="F9" s="69" t="str">
        <f>"["&amp;IF(MAX($BM9:$BP9)=100,"Y","N")&amp;", " &amp; IF(COUNT($BM9:$BP9)-COUNTIF($BM9:$BP9,0)&gt;1,"Y","N")&amp;"]"</f>
        <v>[Y, Y]</v>
      </c>
      <c r="G9" s="61" t="s">
        <v>155</v>
      </c>
      <c r="H9">
        <v>3</v>
      </c>
      <c r="I9" s="87">
        <v>1</v>
      </c>
      <c r="J9" s="48" t="s">
        <v>44</v>
      </c>
      <c r="M9" s="49"/>
      <c r="N9" s="48" t="s">
        <v>156</v>
      </c>
      <c r="O9" s="48">
        <v>0</v>
      </c>
      <c r="P9" s="50">
        <v>42241.68922453704</v>
      </c>
      <c r="Q9" s="50">
        <v>42241.699201388888</v>
      </c>
      <c r="R9" s="48">
        <v>1</v>
      </c>
      <c r="S9" s="51">
        <v>1</v>
      </c>
      <c r="T9" s="52"/>
      <c r="U9" s="48">
        <v>1</v>
      </c>
      <c r="V9" s="51">
        <v>100</v>
      </c>
      <c r="W9" s="49">
        <v>4</v>
      </c>
      <c r="X9" s="27">
        <f>IF(MAX($X103:$Y103)=X103,100,X103/MAX($X103:$Y103)*100)</f>
        <v>51.785714285714292</v>
      </c>
      <c r="Y9" s="27">
        <f>IF(MAX($X103:$Y103)=Y103,100,Y103/MAX($X103:$Y103)*100)</f>
        <v>100</v>
      </c>
      <c r="Z9" s="53" t="s">
        <v>157</v>
      </c>
      <c r="AA9" s="100">
        <v>4</v>
      </c>
      <c r="AB9" s="87">
        <v>100</v>
      </c>
      <c r="AC9" s="87">
        <v>3</v>
      </c>
      <c r="AD9" s="27">
        <f>IF(MAX($AD103:$AF103)=AD103,100,AD103/MAX($AD103:$AF103)*100)</f>
        <v>55.000000000000007</v>
      </c>
      <c r="AE9" s="27">
        <f>IF(MAX($AD103:$AF103)=AE103,100,AE103/MAX($AD103:$AF103)*100)</f>
        <v>100</v>
      </c>
      <c r="AF9" s="27">
        <f>IF(MAX($AD103:$AF103)=AF103,100,AF103/MAX($AD103:$AF103)*100)</f>
        <v>20</v>
      </c>
      <c r="AG9" s="52"/>
      <c r="AH9" s="51">
        <v>2</v>
      </c>
      <c r="AI9" s="49">
        <v>4</v>
      </c>
      <c r="AJ9" s="49">
        <v>3</v>
      </c>
      <c r="AK9" s="49">
        <v>100</v>
      </c>
      <c r="AL9" s="27">
        <f>IF(MAX($AL103:$AO103)=AL103,100,AL103/MAX($AL103:$AO103)*100)</f>
        <v>2</v>
      </c>
      <c r="AM9" s="27">
        <f>IF(MAX($AL103:$AO103)=AM103,100,AM103/MAX($AL$98:AO103)*100)</f>
        <v>7.0000000000000009</v>
      </c>
      <c r="AN9" s="27">
        <f>IF(MAX($AL103:$AO103)=AN103,100,AN103/MAX($AL103:$AO103)*100)</f>
        <v>19</v>
      </c>
      <c r="AO9" s="27">
        <f>IF(MAX($AL103:$AO103)=AO103,100,AO103/MAX($AL103:$AO103)*100)</f>
        <v>100</v>
      </c>
      <c r="AP9" s="53"/>
      <c r="AQ9" s="51">
        <v>3</v>
      </c>
      <c r="AR9" s="49">
        <v>4</v>
      </c>
      <c r="AS9" s="49">
        <v>100</v>
      </c>
      <c r="AT9" s="49">
        <v>2</v>
      </c>
      <c r="AU9" s="27">
        <f>IF(MAX($AU103:$AX103)=AU103,100,AU103/MAX($AU103:$AX103)*100)</f>
        <v>43.478260869565219</v>
      </c>
      <c r="AV9" s="27">
        <f>IF(MAX($AU103:$AX103)=AV103,100,AV103/MAX($AU103:$AX103)*100)</f>
        <v>75</v>
      </c>
      <c r="AW9" s="27">
        <f>IF(MAX($AU103:$AX103)=AW103,100,AW103/MAX($AU103:$AX103)*100)</f>
        <v>100</v>
      </c>
      <c r="AX9" s="27">
        <f>IF(MAX($AU103:$AX103)=AX103,100,AX103/MAX($AU103:$AX103)*100)</f>
        <v>40.217391304347828</v>
      </c>
      <c r="AY9" s="52"/>
      <c r="AZ9" s="51">
        <v>3</v>
      </c>
      <c r="BA9" s="49">
        <v>100</v>
      </c>
      <c r="BB9" s="49">
        <v>4</v>
      </c>
      <c r="BC9" s="49">
        <v>2</v>
      </c>
      <c r="BD9" s="27">
        <f>IF(MAX($BD103:$BG103)=BD103,100,BD103/MAX($BD103:$BG103)*100)</f>
        <v>32.954545454545453</v>
      </c>
      <c r="BE9" s="27">
        <f>IF(MAX($BD103:$BG103)=BE103,100,BE103/MAX($BD103:$BG103)*100)</f>
        <v>100</v>
      </c>
      <c r="BF9" s="27">
        <f>IF(MAX($BD103:$BG103)=BF103,100,BF103/MAX($BD103:$BG103)*100)</f>
        <v>89.772727272727266</v>
      </c>
      <c r="BG9" s="27">
        <f>IF(MAX($BD103:$BG103)=BG103,100,BG103/MAX($BD103:$BG103)*100)</f>
        <v>21.59090909090909</v>
      </c>
      <c r="BH9" s="52"/>
      <c r="BI9" s="51">
        <v>100</v>
      </c>
      <c r="BJ9" s="49">
        <v>2</v>
      </c>
      <c r="BK9" s="49">
        <v>3</v>
      </c>
      <c r="BL9" s="49">
        <v>4</v>
      </c>
      <c r="BM9" s="27">
        <f>IF(MAX($BM103:$BP103)=BM103,100,BM103/MAX($BM103:$BP103)*100)</f>
        <v>100</v>
      </c>
      <c r="BN9" s="27">
        <f>IF(MAX($BM103:$BP103)=BN103,100,BN103/MAX($BM103:$BP103)*100)</f>
        <v>60</v>
      </c>
      <c r="BO9" s="27">
        <f>IF(MAX($BM103:$BP103)=BO103,100,BO103/MAX($BM103:$BP103)*100)</f>
        <v>72.631578947368425</v>
      </c>
      <c r="BP9" s="27">
        <f>IF(MAX($BM103:$BP103)=BP103,100,BP103/MAX($BM103:$BP103)*100)</f>
        <v>86.31578947368422</v>
      </c>
      <c r="BQ9" s="52"/>
      <c r="BR9" s="51"/>
      <c r="BS9" s="52">
        <v>35.994003295897997</v>
      </c>
      <c r="BT9" s="48">
        <v>-78.898597717285</v>
      </c>
      <c r="BU9" s="48">
        <v>-1</v>
      </c>
      <c r="BV9" s="123">
        <f t="shared" si="11"/>
        <v>0.34117647058823536</v>
      </c>
      <c r="BW9" s="123">
        <f t="shared" si="12"/>
        <v>0.6588235294117647</v>
      </c>
      <c r="BX9" s="123">
        <f t="shared" si="13"/>
        <v>0.31428571428571433</v>
      </c>
      <c r="BY9" s="123">
        <f t="shared" si="14"/>
        <v>0.5714285714285714</v>
      </c>
      <c r="BZ9" s="123">
        <f t="shared" si="15"/>
        <v>0.11428571428571428</v>
      </c>
      <c r="CA9" s="123">
        <f t="shared" si="16"/>
        <v>1.5625E-2</v>
      </c>
      <c r="CB9" s="123">
        <f t="shared" si="17"/>
        <v>5.4687500000000007E-2</v>
      </c>
      <c r="CC9" s="123">
        <f t="shared" si="18"/>
        <v>0.1484375</v>
      </c>
      <c r="CD9" s="123">
        <f t="shared" si="19"/>
        <v>0.78125</v>
      </c>
      <c r="CE9" s="123">
        <f t="shared" si="20"/>
        <v>0.16806722689075629</v>
      </c>
      <c r="CF9" s="123">
        <f t="shared" si="21"/>
        <v>0.28991596638655459</v>
      </c>
      <c r="CG9" s="123">
        <f t="shared" si="22"/>
        <v>0.38655462184873945</v>
      </c>
      <c r="CH9" s="123">
        <f t="shared" si="23"/>
        <v>0.15546218487394958</v>
      </c>
      <c r="CI9" s="123">
        <f t="shared" si="24"/>
        <v>0.13488372093023257</v>
      </c>
      <c r="CJ9" s="123">
        <f t="shared" si="25"/>
        <v>0.4093023255813954</v>
      </c>
      <c r="CK9" s="123">
        <f t="shared" si="26"/>
        <v>0.36744186046511629</v>
      </c>
      <c r="CL9" s="123">
        <f t="shared" si="27"/>
        <v>8.8372093023255827E-2</v>
      </c>
      <c r="CM9" s="123">
        <f t="shared" si="28"/>
        <v>0.3135313531353135</v>
      </c>
      <c r="CN9" s="123">
        <f t="shared" si="29"/>
        <v>0.18811881188118809</v>
      </c>
      <c r="CO9" s="123">
        <f t="shared" si="30"/>
        <v>0.2277227722772277</v>
      </c>
      <c r="CP9" s="123">
        <f t="shared" si="31"/>
        <v>0.27062706270627063</v>
      </c>
    </row>
    <row r="10" spans="1:94" s="90" customFormat="1" ht="15.75" thickBot="1" x14ac:dyDescent="0.3">
      <c r="A10" s="75" t="str">
        <f t="shared" ref="A10:A33" si="32">"["&amp;IF(MAX($X10:$Y10)=100,"Y","N")&amp;", " &amp; IF(COUNT($X10:$Y10)-COUNTIF($X10:$Y10,0)&gt;1,"Y","N")&amp;"]"</f>
        <v>[N, N]</v>
      </c>
      <c r="B10" s="76" t="str">
        <f t="shared" ref="B10:B33" si="33">"["&amp;IF(MAX($AD10:$AF10)=100,"Y","N")&amp;", " &amp; IF(COUNT($AD10:$AF10)-COUNTIF($AD10:$AF10,0)&gt;1,"Y","N")&amp;"]"</f>
        <v>[N, N]</v>
      </c>
      <c r="C10" s="76" t="str">
        <f t="shared" ref="C10:C33" si="34">"["&amp;IF(MAX($AL10:$AO10)=100,"Y","N")&amp;", " &amp; IF(COUNT($AL10:$AO10)-COUNTIF($AL10:$AO10,0)&gt;1,"Y","N")&amp;"]"</f>
        <v>[N, N]</v>
      </c>
      <c r="D10" s="76" t="str">
        <f t="shared" ref="D10:D33" si="35">"["&amp;IF(MAX($AU10:$AX10)=100,"Y","N")&amp;", " &amp; IF(COUNT($AU10:$AX10)-COUNTIF($AU10:$AX10,0)&gt;1,"Y","N")&amp;"]"</f>
        <v>[N, N]</v>
      </c>
      <c r="E10" s="76" t="str">
        <f t="shared" ref="E10:E33" si="36">"["&amp;IF(MAX($BD10:$BG10)=100,"Y","N")&amp;", " &amp; IF(COUNT($BD10:$BG10)-COUNTIF($BD10:$BG10,0)&gt;1,"Y","N")&amp;"]"</f>
        <v>[N, N]</v>
      </c>
      <c r="F10" s="77" t="str">
        <f t="shared" ref="F10:F33" si="37">"["&amp;IF(MAX($BM10:$BP10)=100,"Y","N")&amp;", " &amp; IF(COUNT($BM10:$BP10)-COUNTIF($BM10:$BP10,0)&gt;1,"Y","N")&amp;"]"</f>
        <v>[N, N]</v>
      </c>
      <c r="G10" s="90" t="s">
        <v>158</v>
      </c>
      <c r="H10">
        <v>1</v>
      </c>
      <c r="I10" s="71">
        <v>1</v>
      </c>
      <c r="J10" s="90" t="s">
        <v>44</v>
      </c>
      <c r="N10" s="90" t="s">
        <v>277</v>
      </c>
      <c r="O10" s="90">
        <v>0</v>
      </c>
      <c r="P10" s="91">
        <v>42241.711875000001</v>
      </c>
      <c r="Q10" s="91">
        <v>42241.714375000003</v>
      </c>
      <c r="R10" s="90">
        <v>1</v>
      </c>
      <c r="S10" s="92">
        <v>1</v>
      </c>
      <c r="T10" s="93"/>
      <c r="U10" s="90">
        <v>1</v>
      </c>
      <c r="V10" s="92">
        <v>100</v>
      </c>
      <c r="W10" s="90">
        <v>4</v>
      </c>
      <c r="Z10" s="94"/>
      <c r="AA10" s="92">
        <v>4</v>
      </c>
      <c r="AB10" s="90">
        <v>100</v>
      </c>
      <c r="AC10" s="90">
        <v>3</v>
      </c>
      <c r="AG10" s="93"/>
      <c r="AH10" s="92">
        <v>100</v>
      </c>
      <c r="AI10" s="90">
        <v>2</v>
      </c>
      <c r="AJ10" s="90">
        <v>3</v>
      </c>
      <c r="AK10" s="90">
        <v>4</v>
      </c>
      <c r="AP10" s="94"/>
      <c r="AQ10" s="92">
        <v>3</v>
      </c>
      <c r="AR10" s="90">
        <v>100</v>
      </c>
      <c r="AS10" s="90">
        <v>4</v>
      </c>
      <c r="AT10" s="90">
        <v>2</v>
      </c>
      <c r="AY10" s="93"/>
      <c r="AZ10" s="92">
        <v>4</v>
      </c>
      <c r="BA10" s="90">
        <v>100</v>
      </c>
      <c r="BB10" s="90">
        <v>3</v>
      </c>
      <c r="BC10" s="90">
        <v>2</v>
      </c>
      <c r="BH10" s="93"/>
      <c r="BI10" s="92">
        <v>4</v>
      </c>
      <c r="BJ10" s="90">
        <v>2</v>
      </c>
      <c r="BK10" s="90">
        <v>3</v>
      </c>
      <c r="BL10" s="90">
        <v>100</v>
      </c>
      <c r="BQ10" s="93"/>
      <c r="BR10" s="92"/>
      <c r="BS10" s="93">
        <v>35.227096557617003</v>
      </c>
      <c r="BT10" s="90">
        <v>-80.843101501465</v>
      </c>
      <c r="BU10" s="90">
        <v>-1</v>
      </c>
      <c r="BV10" s="183" t="str">
        <f t="shared" si="11"/>
        <v/>
      </c>
      <c r="BW10" s="123" t="str">
        <f t="shared" si="12"/>
        <v/>
      </c>
      <c r="BX10" s="123" t="str">
        <f t="shared" si="13"/>
        <v/>
      </c>
      <c r="BY10" s="123" t="str">
        <f t="shared" si="14"/>
        <v/>
      </c>
      <c r="BZ10" s="123" t="str">
        <f t="shared" si="15"/>
        <v/>
      </c>
      <c r="CA10" s="123" t="str">
        <f t="shared" si="16"/>
        <v/>
      </c>
      <c r="CB10" s="123" t="str">
        <f t="shared" si="17"/>
        <v/>
      </c>
      <c r="CC10" s="123" t="str">
        <f t="shared" si="18"/>
        <v/>
      </c>
      <c r="CD10" s="123" t="str">
        <f t="shared" si="19"/>
        <v/>
      </c>
      <c r="CE10" s="123" t="str">
        <f t="shared" si="20"/>
        <v/>
      </c>
      <c r="CF10" s="123" t="str">
        <f t="shared" si="21"/>
        <v/>
      </c>
      <c r="CG10" s="123" t="str">
        <f t="shared" si="22"/>
        <v/>
      </c>
      <c r="CH10" s="123" t="str">
        <f t="shared" si="23"/>
        <v/>
      </c>
      <c r="CI10" s="123" t="str">
        <f t="shared" si="24"/>
        <v/>
      </c>
      <c r="CJ10" s="123" t="str">
        <f t="shared" si="25"/>
        <v/>
      </c>
      <c r="CK10" s="123" t="str">
        <f t="shared" si="26"/>
        <v/>
      </c>
      <c r="CL10" s="123" t="str">
        <f t="shared" si="27"/>
        <v/>
      </c>
      <c r="CM10" s="123" t="str">
        <f t="shared" si="28"/>
        <v/>
      </c>
      <c r="CN10" s="123" t="str">
        <f t="shared" si="29"/>
        <v/>
      </c>
      <c r="CO10" s="123" t="str">
        <f t="shared" si="30"/>
        <v/>
      </c>
      <c r="CP10" s="123" t="str">
        <f t="shared" si="31"/>
        <v/>
      </c>
    </row>
    <row r="11" spans="1:94" x14ac:dyDescent="0.25">
      <c r="A11" s="67" t="str">
        <f t="shared" si="32"/>
        <v>[Y, Y]</v>
      </c>
      <c r="B11" s="68" t="str">
        <f t="shared" si="33"/>
        <v>[Y, Y]</v>
      </c>
      <c r="C11" s="68" t="str">
        <f t="shared" si="34"/>
        <v>[Y, Y]</v>
      </c>
      <c r="D11" s="68" t="str">
        <f t="shared" si="35"/>
        <v>[Y, Y]</v>
      </c>
      <c r="E11" s="68" t="str">
        <f t="shared" si="36"/>
        <v>[Y, Y]</v>
      </c>
      <c r="F11" s="69" t="str">
        <f t="shared" si="37"/>
        <v>[Y, Y]</v>
      </c>
      <c r="G11" s="62" t="s">
        <v>159</v>
      </c>
      <c r="H11">
        <v>1</v>
      </c>
      <c r="I11" s="87">
        <v>3</v>
      </c>
      <c r="J11" t="s">
        <v>44</v>
      </c>
      <c r="M11" s="9"/>
      <c r="N11" t="s">
        <v>160</v>
      </c>
      <c r="O11">
        <v>0</v>
      </c>
      <c r="P11" s="2">
        <v>42242.406539351854</v>
      </c>
      <c r="Q11" s="2">
        <v>42242.433298611111</v>
      </c>
      <c r="R11">
        <v>1</v>
      </c>
      <c r="S11" s="8">
        <v>3</v>
      </c>
      <c r="T11" s="10" t="s">
        <v>161</v>
      </c>
      <c r="U11">
        <v>1</v>
      </c>
      <c r="V11" s="8">
        <v>4</v>
      </c>
      <c r="W11" s="9">
        <v>100</v>
      </c>
      <c r="X11" s="9">
        <v>100</v>
      </c>
      <c r="Y11" s="9">
        <v>70</v>
      </c>
      <c r="Z11" s="11" t="s">
        <v>162</v>
      </c>
      <c r="AA11" s="8">
        <v>3</v>
      </c>
      <c r="AB11" s="9">
        <v>100</v>
      </c>
      <c r="AC11" s="9">
        <v>4</v>
      </c>
      <c r="AD11" s="9">
        <v>31</v>
      </c>
      <c r="AE11" s="9">
        <v>100</v>
      </c>
      <c r="AF11" s="9">
        <v>60</v>
      </c>
      <c r="AG11" s="10" t="s">
        <v>163</v>
      </c>
      <c r="AH11" s="8">
        <v>2</v>
      </c>
      <c r="AI11" s="9">
        <v>3</v>
      </c>
      <c r="AJ11" s="9">
        <v>4</v>
      </c>
      <c r="AK11" s="9">
        <v>100</v>
      </c>
      <c r="AL11" s="9">
        <v>50</v>
      </c>
      <c r="AM11" s="9">
        <v>60</v>
      </c>
      <c r="AN11" s="9">
        <v>70</v>
      </c>
      <c r="AO11" s="9">
        <v>100</v>
      </c>
      <c r="AP11" s="11" t="s">
        <v>164</v>
      </c>
      <c r="AQ11" s="8">
        <v>2</v>
      </c>
      <c r="AR11" s="9">
        <v>100</v>
      </c>
      <c r="AS11" s="9">
        <v>4</v>
      </c>
      <c r="AT11" s="9">
        <v>3</v>
      </c>
      <c r="AU11" s="9">
        <v>30</v>
      </c>
      <c r="AV11" s="9">
        <v>100</v>
      </c>
      <c r="AW11" s="9">
        <v>70</v>
      </c>
      <c r="AX11" s="9">
        <v>50</v>
      </c>
      <c r="AY11" s="10" t="s">
        <v>165</v>
      </c>
      <c r="AZ11" s="8">
        <v>2</v>
      </c>
      <c r="BA11" s="9">
        <v>100</v>
      </c>
      <c r="BB11" s="9">
        <v>4</v>
      </c>
      <c r="BC11" s="9">
        <v>3</v>
      </c>
      <c r="BD11" s="9">
        <v>30</v>
      </c>
      <c r="BE11" s="9">
        <v>100</v>
      </c>
      <c r="BF11" s="9">
        <v>70</v>
      </c>
      <c r="BG11" s="9">
        <v>50</v>
      </c>
      <c r="BH11" s="10" t="s">
        <v>166</v>
      </c>
      <c r="BI11" s="8">
        <v>2</v>
      </c>
      <c r="BJ11" s="9">
        <v>100</v>
      </c>
      <c r="BK11" s="9">
        <v>4</v>
      </c>
      <c r="BL11" s="9">
        <v>3</v>
      </c>
      <c r="BM11" s="9">
        <v>30</v>
      </c>
      <c r="BN11" s="9">
        <v>100</v>
      </c>
      <c r="BO11" s="9">
        <v>70</v>
      </c>
      <c r="BP11" s="9">
        <v>50</v>
      </c>
      <c r="BQ11" s="10" t="s">
        <v>167</v>
      </c>
      <c r="BR11" s="8" t="s">
        <v>168</v>
      </c>
      <c r="BS11" s="10">
        <v>35.227096557617003</v>
      </c>
      <c r="BT11">
        <v>-80.843101501465</v>
      </c>
      <c r="BU11">
        <v>-1</v>
      </c>
      <c r="BV11" s="123">
        <f t="shared" si="11"/>
        <v>0.58823529411764708</v>
      </c>
      <c r="BW11" s="123">
        <f t="shared" si="12"/>
        <v>0.41176470588235292</v>
      </c>
      <c r="BX11" s="123">
        <f t="shared" si="13"/>
        <v>0.16230366492146597</v>
      </c>
      <c r="BY11" s="123">
        <f t="shared" si="14"/>
        <v>0.52356020942408377</v>
      </c>
      <c r="BZ11" s="123">
        <f t="shared" si="15"/>
        <v>0.31413612565445026</v>
      </c>
      <c r="CA11" s="123">
        <f t="shared" si="16"/>
        <v>0.17857142857142858</v>
      </c>
      <c r="CB11" s="123">
        <f t="shared" si="17"/>
        <v>0.21428571428571427</v>
      </c>
      <c r="CC11" s="123">
        <f t="shared" si="18"/>
        <v>0.25</v>
      </c>
      <c r="CD11" s="123">
        <f t="shared" si="19"/>
        <v>0.35714285714285715</v>
      </c>
      <c r="CE11" s="123">
        <f t="shared" si="20"/>
        <v>0.12</v>
      </c>
      <c r="CF11" s="123">
        <f t="shared" si="21"/>
        <v>0.4</v>
      </c>
      <c r="CG11" s="123">
        <f t="shared" si="22"/>
        <v>0.28000000000000003</v>
      </c>
      <c r="CH11" s="123">
        <f t="shared" si="23"/>
        <v>0.2</v>
      </c>
      <c r="CI11" s="123">
        <f t="shared" si="24"/>
        <v>0.12</v>
      </c>
      <c r="CJ11" s="123">
        <f t="shared" si="25"/>
        <v>0.4</v>
      </c>
      <c r="CK11" s="123">
        <f t="shared" si="26"/>
        <v>0.28000000000000003</v>
      </c>
      <c r="CL11" s="123">
        <f t="shared" si="27"/>
        <v>0.2</v>
      </c>
      <c r="CM11" s="123">
        <f t="shared" si="28"/>
        <v>0.12</v>
      </c>
      <c r="CN11" s="123">
        <f t="shared" si="29"/>
        <v>0.4</v>
      </c>
      <c r="CO11" s="123">
        <f t="shared" si="30"/>
        <v>0.28000000000000003</v>
      </c>
      <c r="CP11" s="123">
        <f t="shared" si="31"/>
        <v>0.2</v>
      </c>
    </row>
    <row r="12" spans="1:94" x14ac:dyDescent="0.25">
      <c r="A12" s="67" t="str">
        <f t="shared" si="32"/>
        <v>[Y, Y]</v>
      </c>
      <c r="B12" s="68" t="str">
        <f t="shared" si="33"/>
        <v>[Y, Y]</v>
      </c>
      <c r="C12" s="68" t="str">
        <f t="shared" si="34"/>
        <v>[Y, Y]</v>
      </c>
      <c r="D12" s="68" t="str">
        <f t="shared" si="35"/>
        <v>[Y, Y]</v>
      </c>
      <c r="E12" s="68" t="str">
        <f t="shared" si="36"/>
        <v>[Y, Y]</v>
      </c>
      <c r="F12" s="69" t="str">
        <f t="shared" si="37"/>
        <v>[Y, Y]</v>
      </c>
      <c r="G12" s="62" t="s">
        <v>169</v>
      </c>
      <c r="H12">
        <v>3</v>
      </c>
      <c r="I12" s="87">
        <v>2</v>
      </c>
      <c r="J12" t="s">
        <v>44</v>
      </c>
      <c r="M12" s="9"/>
      <c r="N12" t="s">
        <v>170</v>
      </c>
      <c r="O12">
        <v>0</v>
      </c>
      <c r="P12" s="2">
        <v>42242.653043981481</v>
      </c>
      <c r="Q12" s="2">
        <v>42242.660428240742</v>
      </c>
      <c r="R12">
        <v>1</v>
      </c>
      <c r="S12" s="8">
        <v>2</v>
      </c>
      <c r="T12" s="10"/>
      <c r="U12">
        <v>1</v>
      </c>
      <c r="V12" s="8">
        <v>100</v>
      </c>
      <c r="W12" s="9">
        <v>4</v>
      </c>
      <c r="X12" s="9">
        <v>80</v>
      </c>
      <c r="Y12" s="9">
        <v>100</v>
      </c>
      <c r="Z12" s="11"/>
      <c r="AA12" s="8">
        <v>3</v>
      </c>
      <c r="AB12" s="9">
        <v>100</v>
      </c>
      <c r="AC12" s="9">
        <v>4</v>
      </c>
      <c r="AD12" s="9">
        <v>30</v>
      </c>
      <c r="AE12" s="9">
        <v>100</v>
      </c>
      <c r="AF12" s="9">
        <v>60</v>
      </c>
      <c r="AG12" s="10"/>
      <c r="AH12" s="8">
        <v>2</v>
      </c>
      <c r="AI12" s="9">
        <v>3</v>
      </c>
      <c r="AJ12" s="9">
        <v>100</v>
      </c>
      <c r="AK12" s="9">
        <v>4</v>
      </c>
      <c r="AL12" s="9">
        <v>5</v>
      </c>
      <c r="AM12" s="9">
        <v>50</v>
      </c>
      <c r="AN12" s="9">
        <v>100</v>
      </c>
      <c r="AO12" s="9">
        <v>100</v>
      </c>
      <c r="AP12" s="11"/>
      <c r="AQ12" s="8">
        <v>100</v>
      </c>
      <c r="AR12" s="9">
        <v>3</v>
      </c>
      <c r="AS12" s="9">
        <v>4</v>
      </c>
      <c r="AT12" s="9">
        <v>2</v>
      </c>
      <c r="AU12" s="9">
        <v>100</v>
      </c>
      <c r="AV12" s="9">
        <v>70</v>
      </c>
      <c r="AW12" s="9">
        <v>70</v>
      </c>
      <c r="AX12" s="9">
        <v>50</v>
      </c>
      <c r="AY12" s="10"/>
      <c r="AZ12" s="8">
        <v>4</v>
      </c>
      <c r="BA12" s="9">
        <v>3</v>
      </c>
      <c r="BB12" s="9">
        <v>100</v>
      </c>
      <c r="BC12" s="9">
        <v>2</v>
      </c>
      <c r="BD12" s="9">
        <v>80</v>
      </c>
      <c r="BE12" s="9">
        <v>51</v>
      </c>
      <c r="BF12" s="9">
        <v>100</v>
      </c>
      <c r="BG12" s="9">
        <v>50</v>
      </c>
      <c r="BH12" s="10"/>
      <c r="BI12" s="8">
        <v>4</v>
      </c>
      <c r="BJ12" s="9">
        <v>3</v>
      </c>
      <c r="BK12" s="9">
        <v>2</v>
      </c>
      <c r="BL12" s="9">
        <v>100</v>
      </c>
      <c r="BM12" s="9">
        <v>71</v>
      </c>
      <c r="BN12" s="9">
        <v>71</v>
      </c>
      <c r="BO12" s="9">
        <v>50</v>
      </c>
      <c r="BP12" s="9">
        <v>100</v>
      </c>
      <c r="BQ12" s="10"/>
      <c r="BR12" s="8"/>
      <c r="BS12" s="10">
        <v>35.995407104492003</v>
      </c>
      <c r="BT12">
        <v>-78.901901245117003</v>
      </c>
      <c r="BU12">
        <v>-1</v>
      </c>
      <c r="BV12" s="123">
        <f t="shared" si="11"/>
        <v>0.44444444444444442</v>
      </c>
      <c r="BW12" s="123">
        <f t="shared" si="12"/>
        <v>0.55555555555555558</v>
      </c>
      <c r="BX12" s="123">
        <f t="shared" si="13"/>
        <v>0.15789473684210525</v>
      </c>
      <c r="BY12" s="123">
        <f t="shared" si="14"/>
        <v>0.52631578947368418</v>
      </c>
      <c r="BZ12" s="123">
        <f t="shared" si="15"/>
        <v>0.31578947368421051</v>
      </c>
      <c r="CA12" s="123">
        <f t="shared" si="16"/>
        <v>1.9607843137254902E-2</v>
      </c>
      <c r="CB12" s="123">
        <f t="shared" si="17"/>
        <v>0.19607843137254902</v>
      </c>
      <c r="CC12" s="123">
        <f t="shared" si="18"/>
        <v>0.39215686274509803</v>
      </c>
      <c r="CD12" s="123">
        <f t="shared" si="19"/>
        <v>0.39215686274509803</v>
      </c>
      <c r="CE12" s="123">
        <f t="shared" si="20"/>
        <v>0.34482758620689657</v>
      </c>
      <c r="CF12" s="123">
        <f t="shared" si="21"/>
        <v>0.2413793103448276</v>
      </c>
      <c r="CG12" s="123">
        <f t="shared" si="22"/>
        <v>0.2413793103448276</v>
      </c>
      <c r="CH12" s="123">
        <f t="shared" si="23"/>
        <v>0.17241379310344829</v>
      </c>
      <c r="CI12" s="123">
        <f t="shared" si="24"/>
        <v>0.28469750889679718</v>
      </c>
      <c r="CJ12" s="123">
        <f t="shared" si="25"/>
        <v>0.18149466192170818</v>
      </c>
      <c r="CK12" s="123">
        <f t="shared" si="26"/>
        <v>0.35587188612099646</v>
      </c>
      <c r="CL12" s="123">
        <f t="shared" si="27"/>
        <v>0.17793594306049823</v>
      </c>
      <c r="CM12" s="123">
        <f t="shared" si="28"/>
        <v>0.24315068493150685</v>
      </c>
      <c r="CN12" s="123">
        <f t="shared" si="29"/>
        <v>0.24315068493150685</v>
      </c>
      <c r="CO12" s="123">
        <f t="shared" si="30"/>
        <v>0.17123287671232876</v>
      </c>
      <c r="CP12" s="123">
        <f t="shared" si="31"/>
        <v>0.34246575342465752</v>
      </c>
    </row>
    <row r="13" spans="1:94" x14ac:dyDescent="0.25">
      <c r="A13" s="67" t="str">
        <f t="shared" si="32"/>
        <v>[Y, Y]</v>
      </c>
      <c r="B13" s="68" t="str">
        <f t="shared" si="33"/>
        <v>[Y, Y]</v>
      </c>
      <c r="C13" s="68" t="str">
        <f t="shared" si="34"/>
        <v>[Y, Y]</v>
      </c>
      <c r="D13" s="68" t="str">
        <f t="shared" si="35"/>
        <v>[Y, Y]</v>
      </c>
      <c r="E13" s="68" t="str">
        <f t="shared" si="36"/>
        <v>[Y, Y]</v>
      </c>
      <c r="F13" s="69" t="str">
        <f t="shared" si="37"/>
        <v>[Y, Y]</v>
      </c>
      <c r="G13" t="s">
        <v>171</v>
      </c>
      <c r="H13">
        <v>3</v>
      </c>
      <c r="I13" s="87">
        <v>1</v>
      </c>
      <c r="J13" t="s">
        <v>44</v>
      </c>
      <c r="M13" s="9"/>
      <c r="N13" t="s">
        <v>172</v>
      </c>
      <c r="O13">
        <v>0</v>
      </c>
      <c r="P13" s="2">
        <v>42242.577731481484</v>
      </c>
      <c r="Q13" s="2">
        <v>42242.72184027778</v>
      </c>
      <c r="R13">
        <v>1</v>
      </c>
      <c r="S13" s="8">
        <v>1</v>
      </c>
      <c r="T13" s="10"/>
      <c r="U13">
        <v>1</v>
      </c>
      <c r="V13" s="8">
        <v>100</v>
      </c>
      <c r="W13" s="9">
        <v>4</v>
      </c>
      <c r="X13" s="9">
        <v>71</v>
      </c>
      <c r="Y13" s="9">
        <v>100</v>
      </c>
      <c r="Z13" s="11" t="s">
        <v>173</v>
      </c>
      <c r="AA13" s="8">
        <v>100</v>
      </c>
      <c r="AB13" s="9">
        <v>100</v>
      </c>
      <c r="AC13" s="9">
        <v>100</v>
      </c>
      <c r="AD13" s="9">
        <v>100</v>
      </c>
      <c r="AE13" s="9">
        <v>100</v>
      </c>
      <c r="AF13" s="9">
        <v>100</v>
      </c>
      <c r="AG13" s="10" t="s">
        <v>174</v>
      </c>
      <c r="AH13" s="8">
        <v>4</v>
      </c>
      <c r="AI13" s="9">
        <v>100</v>
      </c>
      <c r="AJ13" s="9">
        <v>100</v>
      </c>
      <c r="AK13" s="9">
        <v>100</v>
      </c>
      <c r="AL13" s="27">
        <f>IF(MAX($AL107:$AO107)=AL107,100,AL107/MAX($AL107:$AO107)*100)</f>
        <v>41.428571428571431</v>
      </c>
      <c r="AM13" s="27">
        <f>IF(MAX($AL107:$AO107)=AM107,100,AM107/MAX($AL$98:AO107)*100)</f>
        <v>68</v>
      </c>
      <c r="AN13" s="27">
        <f>IF(MAX($AL107:$AO107)=AN107,100,AN107/MAX($AL107:$AO107)*100)</f>
        <v>100</v>
      </c>
      <c r="AO13" s="27">
        <f>IF(MAX($AL107:$AO107)=AO107,100,AO107/MAX($AL107:$AO107)*100)</f>
        <v>78.571428571428569</v>
      </c>
      <c r="AP13" s="11" t="s">
        <v>175</v>
      </c>
      <c r="AQ13" s="8">
        <v>100</v>
      </c>
      <c r="AR13" s="9">
        <v>100</v>
      </c>
      <c r="AS13" s="9">
        <v>100</v>
      </c>
      <c r="AT13" s="9">
        <v>3</v>
      </c>
      <c r="AU13" s="9">
        <v>100</v>
      </c>
      <c r="AV13" s="9">
        <v>100</v>
      </c>
      <c r="AW13" s="9">
        <v>100</v>
      </c>
      <c r="AX13" s="9">
        <v>52</v>
      </c>
      <c r="AY13" s="10" t="s">
        <v>176</v>
      </c>
      <c r="AZ13" s="8">
        <v>100</v>
      </c>
      <c r="BA13" s="9">
        <v>100</v>
      </c>
      <c r="BB13" s="9">
        <v>100</v>
      </c>
      <c r="BC13" s="9">
        <v>4</v>
      </c>
      <c r="BD13" s="9">
        <v>71</v>
      </c>
      <c r="BE13" s="9">
        <v>91</v>
      </c>
      <c r="BF13" s="9">
        <v>100</v>
      </c>
      <c r="BG13" s="9">
        <v>30</v>
      </c>
      <c r="BH13" s="10" t="s">
        <v>177</v>
      </c>
      <c r="BI13" s="8">
        <v>100</v>
      </c>
      <c r="BJ13" s="9">
        <v>4</v>
      </c>
      <c r="BK13" s="9">
        <v>100</v>
      </c>
      <c r="BL13" s="9">
        <v>100</v>
      </c>
      <c r="BM13" s="9">
        <v>100</v>
      </c>
      <c r="BN13" s="9">
        <v>91</v>
      </c>
      <c r="BO13" s="9">
        <v>92</v>
      </c>
      <c r="BP13" s="9">
        <v>100</v>
      </c>
      <c r="BQ13" s="10" t="s">
        <v>178</v>
      </c>
      <c r="BR13" s="8" t="s">
        <v>179</v>
      </c>
      <c r="BS13" s="10">
        <v>35.966598510742003</v>
      </c>
      <c r="BT13">
        <v>-79.041000366210994</v>
      </c>
      <c r="BU13">
        <v>-1</v>
      </c>
      <c r="BV13" s="123">
        <f t="shared" si="11"/>
        <v>0.41520467836257308</v>
      </c>
      <c r="BW13" s="123">
        <f t="shared" si="12"/>
        <v>0.58479532163742687</v>
      </c>
      <c r="BX13" s="123">
        <f t="shared" si="13"/>
        <v>0.33333333333333331</v>
      </c>
      <c r="BY13" s="123">
        <f t="shared" si="14"/>
        <v>0.33333333333333331</v>
      </c>
      <c r="BZ13" s="123">
        <f t="shared" si="15"/>
        <v>0.33333333333333331</v>
      </c>
      <c r="CA13" s="123">
        <f t="shared" si="16"/>
        <v>0.14384920634920637</v>
      </c>
      <c r="CB13" s="123">
        <f t="shared" si="17"/>
        <v>0.2361111111111111</v>
      </c>
      <c r="CC13" s="123">
        <f t="shared" si="18"/>
        <v>0.34722222222222221</v>
      </c>
      <c r="CD13" s="123">
        <f t="shared" si="19"/>
        <v>0.27281746031746029</v>
      </c>
      <c r="CE13" s="123">
        <f t="shared" si="20"/>
        <v>0.28409090909090912</v>
      </c>
      <c r="CF13" s="123">
        <f t="shared" si="21"/>
        <v>0.28409090909090912</v>
      </c>
      <c r="CG13" s="123">
        <f t="shared" si="22"/>
        <v>0.28409090909090912</v>
      </c>
      <c r="CH13" s="123">
        <f t="shared" si="23"/>
        <v>0.14772727272727273</v>
      </c>
      <c r="CI13" s="123">
        <f t="shared" si="24"/>
        <v>0.24315068493150685</v>
      </c>
      <c r="CJ13" s="123">
        <f t="shared" si="25"/>
        <v>0.31164383561643838</v>
      </c>
      <c r="CK13" s="123">
        <f t="shared" si="26"/>
        <v>0.34246575342465752</v>
      </c>
      <c r="CL13" s="123">
        <f t="shared" si="27"/>
        <v>0.10273972602739725</v>
      </c>
      <c r="CM13" s="123">
        <f t="shared" si="28"/>
        <v>0.26109660574412535</v>
      </c>
      <c r="CN13" s="123">
        <f t="shared" si="29"/>
        <v>0.23759791122715404</v>
      </c>
      <c r="CO13" s="123">
        <f t="shared" si="30"/>
        <v>0.24020887728459531</v>
      </c>
      <c r="CP13" s="123">
        <f t="shared" si="31"/>
        <v>0.26109660574412535</v>
      </c>
    </row>
    <row r="14" spans="1:94" s="13" customFormat="1" ht="15.75" thickBot="1" x14ac:dyDescent="0.3">
      <c r="A14" s="75" t="str">
        <f t="shared" si="32"/>
        <v>[Y, Y]</v>
      </c>
      <c r="B14" s="76" t="str">
        <f t="shared" si="33"/>
        <v>[Y, Y]</v>
      </c>
      <c r="C14" s="76" t="str">
        <f t="shared" si="34"/>
        <v>[Y, Y]</v>
      </c>
      <c r="D14" s="76" t="str">
        <f t="shared" si="35"/>
        <v>[Y, Y]</v>
      </c>
      <c r="E14" s="76" t="str">
        <f t="shared" si="36"/>
        <v>[Y, Y]</v>
      </c>
      <c r="F14" s="77" t="str">
        <f t="shared" si="37"/>
        <v>[Y, Y]</v>
      </c>
      <c r="G14" s="13" t="s">
        <v>180</v>
      </c>
      <c r="H14">
        <v>1</v>
      </c>
      <c r="I14" s="106">
        <v>2</v>
      </c>
      <c r="J14" s="13" t="s">
        <v>44</v>
      </c>
      <c r="N14" s="13" t="s">
        <v>181</v>
      </c>
      <c r="O14" s="13">
        <v>0</v>
      </c>
      <c r="P14" s="65">
        <v>42243.378298611111</v>
      </c>
      <c r="Q14" s="65">
        <v>42243.383159722223</v>
      </c>
      <c r="R14" s="13">
        <v>1</v>
      </c>
      <c r="S14" s="12">
        <v>3</v>
      </c>
      <c r="T14" s="14" t="s">
        <v>182</v>
      </c>
      <c r="U14" s="13">
        <v>1</v>
      </c>
      <c r="V14" s="12">
        <v>100</v>
      </c>
      <c r="W14" s="13">
        <v>4</v>
      </c>
      <c r="X14" s="13">
        <v>31</v>
      </c>
      <c r="Y14" s="13">
        <v>100</v>
      </c>
      <c r="Z14" s="66"/>
      <c r="AA14" s="12">
        <v>3</v>
      </c>
      <c r="AB14" s="13">
        <v>100</v>
      </c>
      <c r="AC14" s="13">
        <v>4</v>
      </c>
      <c r="AD14" s="13">
        <v>23</v>
      </c>
      <c r="AE14" s="13">
        <v>100</v>
      </c>
      <c r="AF14" s="13">
        <v>19</v>
      </c>
      <c r="AG14" s="14"/>
      <c r="AH14" s="12">
        <v>3</v>
      </c>
      <c r="AI14" s="13">
        <v>4</v>
      </c>
      <c r="AJ14" s="13">
        <v>4</v>
      </c>
      <c r="AK14" s="13">
        <v>100</v>
      </c>
      <c r="AL14" s="13">
        <v>32</v>
      </c>
      <c r="AM14" s="13">
        <v>70</v>
      </c>
      <c r="AN14" s="13">
        <v>70</v>
      </c>
      <c r="AO14" s="13">
        <v>100</v>
      </c>
      <c r="AP14" s="66"/>
      <c r="AQ14" s="12">
        <v>100</v>
      </c>
      <c r="AR14" s="13">
        <v>3</v>
      </c>
      <c r="AS14" s="13">
        <v>3</v>
      </c>
      <c r="AT14" s="13">
        <v>100</v>
      </c>
      <c r="AU14" s="13">
        <v>100</v>
      </c>
      <c r="AV14" s="13">
        <v>50</v>
      </c>
      <c r="AW14" s="13">
        <v>50</v>
      </c>
      <c r="AX14" s="13">
        <v>100</v>
      </c>
      <c r="AY14" s="14"/>
      <c r="AZ14" s="12">
        <v>100</v>
      </c>
      <c r="BA14" s="13">
        <v>4</v>
      </c>
      <c r="BB14" s="13">
        <v>3</v>
      </c>
      <c r="BC14" s="13">
        <v>4</v>
      </c>
      <c r="BD14" s="13">
        <v>100</v>
      </c>
      <c r="BE14" s="13">
        <v>41</v>
      </c>
      <c r="BF14" s="13">
        <v>22</v>
      </c>
      <c r="BG14" s="13">
        <v>41</v>
      </c>
      <c r="BH14" s="14"/>
      <c r="BI14" s="12">
        <v>100</v>
      </c>
      <c r="BJ14" s="13">
        <v>4</v>
      </c>
      <c r="BK14" s="13">
        <v>3</v>
      </c>
      <c r="BL14" s="13">
        <v>4</v>
      </c>
      <c r="BM14" s="13">
        <v>100</v>
      </c>
      <c r="BN14" s="13">
        <v>23</v>
      </c>
      <c r="BO14" s="13">
        <v>13</v>
      </c>
      <c r="BP14" s="13">
        <v>23</v>
      </c>
      <c r="BQ14" s="14"/>
      <c r="BR14" s="12"/>
      <c r="BS14" s="14">
        <v>35.994003295897997</v>
      </c>
      <c r="BT14" s="13">
        <v>-78.898597717285</v>
      </c>
      <c r="BU14" s="13">
        <v>-1</v>
      </c>
      <c r="BV14" s="123">
        <f t="shared" si="11"/>
        <v>0.23664122137404581</v>
      </c>
      <c r="BW14" s="123">
        <f t="shared" si="12"/>
        <v>0.76335877862595425</v>
      </c>
      <c r="BX14" s="123">
        <f t="shared" si="13"/>
        <v>0.1619718309859155</v>
      </c>
      <c r="BY14" s="123">
        <f t="shared" si="14"/>
        <v>0.70422535211267601</v>
      </c>
      <c r="BZ14" s="123">
        <f t="shared" si="15"/>
        <v>0.13380281690140844</v>
      </c>
      <c r="CA14" s="123">
        <f t="shared" si="16"/>
        <v>0.11764705882352941</v>
      </c>
      <c r="CB14" s="123">
        <f t="shared" si="17"/>
        <v>0.25735294117647056</v>
      </c>
      <c r="CC14" s="123">
        <f t="shared" si="18"/>
        <v>0.25735294117647056</v>
      </c>
      <c r="CD14" s="123">
        <f t="shared" si="19"/>
        <v>0.36764705882352944</v>
      </c>
      <c r="CE14" s="123">
        <f t="shared" si="20"/>
        <v>0.33333333333333331</v>
      </c>
      <c r="CF14" s="123">
        <f t="shared" si="21"/>
        <v>0.16666666666666666</v>
      </c>
      <c r="CG14" s="123">
        <f t="shared" si="22"/>
        <v>0.16666666666666666</v>
      </c>
      <c r="CH14" s="123">
        <f t="shared" si="23"/>
        <v>0.33333333333333331</v>
      </c>
      <c r="CI14" s="123">
        <f t="shared" si="24"/>
        <v>0.49019607843137253</v>
      </c>
      <c r="CJ14" s="123">
        <f t="shared" si="25"/>
        <v>0.20098039215686275</v>
      </c>
      <c r="CK14" s="123">
        <f t="shared" si="26"/>
        <v>0.10784313725490197</v>
      </c>
      <c r="CL14" s="123">
        <f t="shared" si="27"/>
        <v>0.20098039215686275</v>
      </c>
      <c r="CM14" s="123">
        <f t="shared" si="28"/>
        <v>0.62893081761006286</v>
      </c>
      <c r="CN14" s="123">
        <f t="shared" si="29"/>
        <v>0.14465408805031446</v>
      </c>
      <c r="CO14" s="123">
        <f t="shared" si="30"/>
        <v>8.1761006289308172E-2</v>
      </c>
      <c r="CP14" s="123">
        <f t="shared" si="31"/>
        <v>0.14465408805031446</v>
      </c>
    </row>
    <row r="15" spans="1:94" x14ac:dyDescent="0.25">
      <c r="A15" s="67" t="str">
        <f t="shared" si="32"/>
        <v>[Y, Y]</v>
      </c>
      <c r="B15" s="68" t="str">
        <f t="shared" si="33"/>
        <v>[Y, Y]</v>
      </c>
      <c r="C15" s="68" t="str">
        <f t="shared" si="34"/>
        <v>[Y, Y]</v>
      </c>
      <c r="D15" s="68" t="str">
        <f t="shared" si="35"/>
        <v>[Y, Y]</v>
      </c>
      <c r="E15" s="68" t="str">
        <f t="shared" si="36"/>
        <v>[Y, Y]</v>
      </c>
      <c r="F15" s="69" t="str">
        <f t="shared" si="37"/>
        <v>[Y, Y]</v>
      </c>
      <c r="G15" t="s">
        <v>183</v>
      </c>
      <c r="H15">
        <v>3</v>
      </c>
      <c r="I15" s="87">
        <v>1</v>
      </c>
      <c r="J15" t="s">
        <v>44</v>
      </c>
      <c r="M15" s="9"/>
      <c r="N15" t="s">
        <v>184</v>
      </c>
      <c r="O15">
        <v>0</v>
      </c>
      <c r="P15" s="2">
        <v>42243.384710648148</v>
      </c>
      <c r="Q15" s="2">
        <v>42243.40552083333</v>
      </c>
      <c r="R15">
        <v>1</v>
      </c>
      <c r="S15" s="8">
        <v>1</v>
      </c>
      <c r="T15" s="10"/>
      <c r="U15">
        <v>1</v>
      </c>
      <c r="V15" s="8">
        <v>4</v>
      </c>
      <c r="W15" s="9">
        <v>100</v>
      </c>
      <c r="X15" s="9">
        <v>100</v>
      </c>
      <c r="Y15" s="9">
        <v>80</v>
      </c>
      <c r="Z15" s="11" t="s">
        <v>185</v>
      </c>
      <c r="AA15" s="8">
        <v>4</v>
      </c>
      <c r="AB15" s="9">
        <v>100</v>
      </c>
      <c r="AC15" s="9">
        <v>3</v>
      </c>
      <c r="AD15" s="9">
        <v>82</v>
      </c>
      <c r="AE15" s="9">
        <v>100</v>
      </c>
      <c r="AF15" s="9">
        <v>61</v>
      </c>
      <c r="AG15" s="10" t="s">
        <v>186</v>
      </c>
      <c r="AH15" s="8">
        <v>100</v>
      </c>
      <c r="AI15" s="9">
        <v>3</v>
      </c>
      <c r="AJ15" s="9">
        <v>4</v>
      </c>
      <c r="AK15" s="9">
        <v>3</v>
      </c>
      <c r="AL15" s="9">
        <v>100</v>
      </c>
      <c r="AM15" s="9">
        <v>75</v>
      </c>
      <c r="AN15" s="9">
        <v>79</v>
      </c>
      <c r="AO15" s="9">
        <v>75</v>
      </c>
      <c r="AP15" s="11"/>
      <c r="AQ15" s="8">
        <v>3</v>
      </c>
      <c r="AR15" s="9">
        <v>100</v>
      </c>
      <c r="AS15" s="9">
        <v>100</v>
      </c>
      <c r="AT15" s="9">
        <v>4</v>
      </c>
      <c r="AU15" s="9">
        <v>50</v>
      </c>
      <c r="AV15" s="9">
        <v>100</v>
      </c>
      <c r="AW15" s="9">
        <v>99</v>
      </c>
      <c r="AX15" s="9">
        <v>75</v>
      </c>
      <c r="AY15" s="10"/>
      <c r="AZ15" s="8">
        <v>100</v>
      </c>
      <c r="BA15" s="9">
        <v>4</v>
      </c>
      <c r="BB15" s="9">
        <v>3</v>
      </c>
      <c r="BC15" s="9">
        <v>3</v>
      </c>
      <c r="BD15" s="9">
        <v>100</v>
      </c>
      <c r="BE15" s="9">
        <v>80</v>
      </c>
      <c r="BF15" s="9">
        <v>70</v>
      </c>
      <c r="BG15" s="9">
        <v>70</v>
      </c>
      <c r="BH15" s="10"/>
      <c r="BI15" s="8">
        <v>4</v>
      </c>
      <c r="BJ15" s="9">
        <v>3</v>
      </c>
      <c r="BK15" s="9">
        <v>2</v>
      </c>
      <c r="BL15" s="9">
        <v>100</v>
      </c>
      <c r="BM15" s="9">
        <v>80</v>
      </c>
      <c r="BN15" s="9">
        <v>70</v>
      </c>
      <c r="BO15" s="9">
        <v>60</v>
      </c>
      <c r="BP15" s="9">
        <v>100</v>
      </c>
      <c r="BQ15" s="10"/>
      <c r="BR15" s="8"/>
      <c r="BS15" s="10">
        <v>35.860107421875</v>
      </c>
      <c r="BT15">
        <v>-78.83260345459</v>
      </c>
      <c r="BU15">
        <v>-1</v>
      </c>
      <c r="BV15" s="123">
        <f t="shared" si="11"/>
        <v>0.55555555555555558</v>
      </c>
      <c r="BW15" s="123">
        <f t="shared" si="12"/>
        <v>0.44444444444444442</v>
      </c>
      <c r="BX15" s="123">
        <f t="shared" si="13"/>
        <v>0.33744855967078191</v>
      </c>
      <c r="BY15" s="123">
        <f t="shared" si="14"/>
        <v>0.41152263374485598</v>
      </c>
      <c r="BZ15" s="123">
        <f t="shared" si="15"/>
        <v>0.25102880658436216</v>
      </c>
      <c r="CA15" s="123">
        <f t="shared" si="16"/>
        <v>0.303951367781155</v>
      </c>
      <c r="CB15" s="123">
        <f t="shared" si="17"/>
        <v>0.22796352583586627</v>
      </c>
      <c r="CC15" s="123">
        <f t="shared" si="18"/>
        <v>0.24012158054711247</v>
      </c>
      <c r="CD15" s="123">
        <f t="shared" si="19"/>
        <v>0.22796352583586627</v>
      </c>
      <c r="CE15" s="123">
        <f t="shared" si="20"/>
        <v>0.15432098765432098</v>
      </c>
      <c r="CF15" s="123">
        <f t="shared" si="21"/>
        <v>0.30864197530864196</v>
      </c>
      <c r="CG15" s="123">
        <f t="shared" si="22"/>
        <v>0.30555555555555558</v>
      </c>
      <c r="CH15" s="123">
        <f t="shared" si="23"/>
        <v>0.23148148148148148</v>
      </c>
      <c r="CI15" s="123">
        <f t="shared" si="24"/>
        <v>0.3125</v>
      </c>
      <c r="CJ15" s="123">
        <f t="shared" si="25"/>
        <v>0.25</v>
      </c>
      <c r="CK15" s="123">
        <f t="shared" si="26"/>
        <v>0.21875</v>
      </c>
      <c r="CL15" s="123">
        <f t="shared" si="27"/>
        <v>0.21875</v>
      </c>
      <c r="CM15" s="123">
        <f t="shared" si="28"/>
        <v>0.25806451612903225</v>
      </c>
      <c r="CN15" s="123">
        <f t="shared" si="29"/>
        <v>0.22580645161290322</v>
      </c>
      <c r="CO15" s="123">
        <f t="shared" si="30"/>
        <v>0.19354838709677419</v>
      </c>
      <c r="CP15" s="123">
        <f t="shared" si="31"/>
        <v>0.32258064516129031</v>
      </c>
    </row>
    <row r="16" spans="1:94" x14ac:dyDescent="0.25">
      <c r="A16" s="67" t="str">
        <f t="shared" si="32"/>
        <v>[Y, Y]</v>
      </c>
      <c r="B16" s="68" t="str">
        <f t="shared" si="33"/>
        <v>[Y, Y]</v>
      </c>
      <c r="C16" s="68" t="str">
        <f t="shared" si="34"/>
        <v>[Y, Y]</v>
      </c>
      <c r="D16" s="68" t="str">
        <f t="shared" si="35"/>
        <v>[Y, Y]</v>
      </c>
      <c r="E16" s="68" t="str">
        <f t="shared" si="36"/>
        <v>[Y, Y]</v>
      </c>
      <c r="F16" s="69" t="str">
        <f t="shared" si="37"/>
        <v>[Y, Y]</v>
      </c>
      <c r="G16" t="s">
        <v>187</v>
      </c>
      <c r="H16">
        <v>3</v>
      </c>
      <c r="I16" s="87">
        <v>1</v>
      </c>
      <c r="J16" t="s">
        <v>44</v>
      </c>
      <c r="M16" s="9"/>
      <c r="N16" t="s">
        <v>188</v>
      </c>
      <c r="O16">
        <v>0</v>
      </c>
      <c r="P16" s="2">
        <v>42244.370069444441</v>
      </c>
      <c r="Q16" s="2">
        <v>42244.374247685184</v>
      </c>
      <c r="R16">
        <v>1</v>
      </c>
      <c r="S16" s="8">
        <v>1</v>
      </c>
      <c r="T16" s="10"/>
      <c r="U16">
        <v>1</v>
      </c>
      <c r="V16" s="8">
        <v>4</v>
      </c>
      <c r="W16" s="9">
        <v>100</v>
      </c>
      <c r="X16" s="9">
        <v>100</v>
      </c>
      <c r="Y16" s="9">
        <v>82</v>
      </c>
      <c r="Z16" s="11"/>
      <c r="AA16" s="8">
        <v>3</v>
      </c>
      <c r="AB16" s="9">
        <v>100</v>
      </c>
      <c r="AC16" s="9">
        <v>4</v>
      </c>
      <c r="AD16" s="9">
        <v>78</v>
      </c>
      <c r="AE16" s="9">
        <v>100</v>
      </c>
      <c r="AF16" s="9">
        <v>80</v>
      </c>
      <c r="AG16" s="10" t="s">
        <v>189</v>
      </c>
      <c r="AH16" s="8">
        <v>2</v>
      </c>
      <c r="AI16" s="9">
        <v>4</v>
      </c>
      <c r="AJ16" s="9">
        <v>3</v>
      </c>
      <c r="AK16" s="9">
        <v>100</v>
      </c>
      <c r="AL16" s="9">
        <v>60</v>
      </c>
      <c r="AM16" s="9">
        <v>80</v>
      </c>
      <c r="AN16" s="9">
        <v>75</v>
      </c>
      <c r="AO16" s="9">
        <v>100</v>
      </c>
      <c r="AP16" s="11"/>
      <c r="AQ16" s="8">
        <v>4</v>
      </c>
      <c r="AR16" s="9">
        <v>100</v>
      </c>
      <c r="AS16" s="9">
        <v>3</v>
      </c>
      <c r="AT16" s="9">
        <v>2</v>
      </c>
      <c r="AU16" s="9">
        <v>90</v>
      </c>
      <c r="AV16" s="9">
        <v>100</v>
      </c>
      <c r="AW16" s="9">
        <v>80</v>
      </c>
      <c r="AX16" s="9">
        <v>70</v>
      </c>
      <c r="AY16" s="10"/>
      <c r="AZ16" s="8">
        <v>2</v>
      </c>
      <c r="BA16" s="9">
        <v>4</v>
      </c>
      <c r="BB16" s="9">
        <v>100</v>
      </c>
      <c r="BC16" s="9">
        <v>3</v>
      </c>
      <c r="BD16" s="9">
        <v>75</v>
      </c>
      <c r="BE16" s="9">
        <v>95</v>
      </c>
      <c r="BF16" s="9">
        <v>100</v>
      </c>
      <c r="BG16" s="9">
        <v>80</v>
      </c>
      <c r="BH16" s="10"/>
      <c r="BI16" s="8">
        <v>4</v>
      </c>
      <c r="BJ16" s="9">
        <v>2</v>
      </c>
      <c r="BK16" s="9">
        <v>3</v>
      </c>
      <c r="BL16" s="9">
        <v>100</v>
      </c>
      <c r="BM16" s="9">
        <v>90</v>
      </c>
      <c r="BN16" s="9">
        <v>79</v>
      </c>
      <c r="BO16" s="9">
        <v>80</v>
      </c>
      <c r="BP16" s="9">
        <v>100</v>
      </c>
      <c r="BQ16" s="10"/>
      <c r="BR16" s="8"/>
      <c r="BS16" s="10">
        <v>35.994003295897997</v>
      </c>
      <c r="BT16">
        <v>-78.898597717285</v>
      </c>
      <c r="BU16">
        <v>-1</v>
      </c>
      <c r="BV16" s="123">
        <f t="shared" si="11"/>
        <v>0.5494505494505495</v>
      </c>
      <c r="BW16" s="123">
        <f t="shared" si="12"/>
        <v>0.45054945054945056</v>
      </c>
      <c r="BX16" s="123">
        <f t="shared" si="13"/>
        <v>0.30232558139534882</v>
      </c>
      <c r="BY16" s="123">
        <f t="shared" si="14"/>
        <v>0.38759689922480622</v>
      </c>
      <c r="BZ16" s="123">
        <f t="shared" si="15"/>
        <v>0.31007751937984496</v>
      </c>
      <c r="CA16" s="123">
        <f t="shared" si="16"/>
        <v>0.19047619047619047</v>
      </c>
      <c r="CB16" s="123">
        <f t="shared" si="17"/>
        <v>0.25396825396825395</v>
      </c>
      <c r="CC16" s="123">
        <f t="shared" si="18"/>
        <v>0.23809523809523808</v>
      </c>
      <c r="CD16" s="123">
        <f t="shared" si="19"/>
        <v>0.31746031746031744</v>
      </c>
      <c r="CE16" s="123">
        <f t="shared" si="20"/>
        <v>0.26470588235294118</v>
      </c>
      <c r="CF16" s="123">
        <f t="shared" si="21"/>
        <v>0.29411764705882354</v>
      </c>
      <c r="CG16" s="123">
        <f t="shared" si="22"/>
        <v>0.23529411764705882</v>
      </c>
      <c r="CH16" s="123">
        <f t="shared" si="23"/>
        <v>0.20588235294117646</v>
      </c>
      <c r="CI16" s="123">
        <f t="shared" si="24"/>
        <v>0.21428571428571427</v>
      </c>
      <c r="CJ16" s="123">
        <f t="shared" si="25"/>
        <v>0.27142857142857141</v>
      </c>
      <c r="CK16" s="123">
        <f t="shared" si="26"/>
        <v>0.2857142857142857</v>
      </c>
      <c r="CL16" s="123">
        <f t="shared" si="27"/>
        <v>0.22857142857142856</v>
      </c>
      <c r="CM16" s="123">
        <f t="shared" si="28"/>
        <v>0.25787965616045844</v>
      </c>
      <c r="CN16" s="123">
        <f t="shared" si="29"/>
        <v>0.22636103151862463</v>
      </c>
      <c r="CO16" s="123">
        <f t="shared" si="30"/>
        <v>0.22922636103151864</v>
      </c>
      <c r="CP16" s="123">
        <f t="shared" si="31"/>
        <v>0.28653295128939826</v>
      </c>
    </row>
    <row r="17" spans="1:94" x14ac:dyDescent="0.25">
      <c r="A17" s="67" t="str">
        <f t="shared" si="32"/>
        <v>[Y, Y]</v>
      </c>
      <c r="B17" s="68" t="str">
        <f t="shared" si="33"/>
        <v>[Y, Y]</v>
      </c>
      <c r="C17" s="68" t="str">
        <f t="shared" si="34"/>
        <v>[Y, Y]</v>
      </c>
      <c r="D17" s="68" t="str">
        <f t="shared" si="35"/>
        <v>[Y, Y]</v>
      </c>
      <c r="E17" s="68" t="str">
        <f t="shared" si="36"/>
        <v>[Y, Y]</v>
      </c>
      <c r="F17" s="69" t="str">
        <f t="shared" si="37"/>
        <v>[Y, Y]</v>
      </c>
      <c r="G17" t="s">
        <v>190</v>
      </c>
      <c r="H17">
        <v>1</v>
      </c>
      <c r="I17" s="87">
        <v>1</v>
      </c>
      <c r="J17" t="s">
        <v>44</v>
      </c>
      <c r="M17" s="9"/>
      <c r="N17" t="s">
        <v>191</v>
      </c>
      <c r="O17">
        <v>0</v>
      </c>
      <c r="P17" s="2">
        <v>42244.490451388891</v>
      </c>
      <c r="Q17" s="2">
        <v>42244.558449074073</v>
      </c>
      <c r="R17">
        <v>1</v>
      </c>
      <c r="S17" s="8">
        <v>1</v>
      </c>
      <c r="T17" s="10"/>
      <c r="U17">
        <v>1</v>
      </c>
      <c r="V17" s="8">
        <v>100</v>
      </c>
      <c r="W17" s="9">
        <v>4</v>
      </c>
      <c r="X17" s="9">
        <v>75</v>
      </c>
      <c r="Y17" s="9">
        <v>100</v>
      </c>
      <c r="Z17" s="11" t="s">
        <v>192</v>
      </c>
      <c r="AA17" s="8">
        <v>4</v>
      </c>
      <c r="AB17" s="9">
        <v>100</v>
      </c>
      <c r="AC17" s="9">
        <v>3</v>
      </c>
      <c r="AD17" s="9">
        <v>70</v>
      </c>
      <c r="AE17" s="9">
        <v>100</v>
      </c>
      <c r="AF17" s="9">
        <v>70</v>
      </c>
      <c r="AG17" s="10" t="s">
        <v>193</v>
      </c>
      <c r="AH17" s="8">
        <v>2</v>
      </c>
      <c r="AI17" s="9">
        <v>4</v>
      </c>
      <c r="AJ17" s="9">
        <v>100</v>
      </c>
      <c r="AK17" s="9">
        <v>3</v>
      </c>
      <c r="AL17" s="9">
        <v>30</v>
      </c>
      <c r="AM17" s="9">
        <v>95</v>
      </c>
      <c r="AN17" s="9">
        <v>100</v>
      </c>
      <c r="AO17" s="9">
        <v>50</v>
      </c>
      <c r="AP17" s="11" t="s">
        <v>194</v>
      </c>
      <c r="AQ17" s="8">
        <v>4</v>
      </c>
      <c r="AR17" s="9">
        <v>100</v>
      </c>
      <c r="AS17" s="9">
        <v>2</v>
      </c>
      <c r="AT17" s="9">
        <v>3</v>
      </c>
      <c r="AU17" s="9">
        <v>90</v>
      </c>
      <c r="AV17" s="9">
        <v>100</v>
      </c>
      <c r="AW17" s="9">
        <v>60</v>
      </c>
      <c r="AX17" s="9">
        <v>80</v>
      </c>
      <c r="AY17" s="10" t="s">
        <v>195</v>
      </c>
      <c r="AZ17" s="8">
        <v>4</v>
      </c>
      <c r="BA17" s="9">
        <v>100</v>
      </c>
      <c r="BB17" s="9">
        <v>3</v>
      </c>
      <c r="BC17" s="9">
        <v>2</v>
      </c>
      <c r="BD17" s="9">
        <v>90</v>
      </c>
      <c r="BE17" s="9">
        <v>100</v>
      </c>
      <c r="BF17" s="9">
        <v>90</v>
      </c>
      <c r="BG17" s="9">
        <v>75</v>
      </c>
      <c r="BH17" s="10" t="s">
        <v>196</v>
      </c>
      <c r="BI17" s="8">
        <v>4</v>
      </c>
      <c r="BJ17" s="9">
        <v>100</v>
      </c>
      <c r="BK17" s="9">
        <v>3</v>
      </c>
      <c r="BL17" s="9">
        <v>2</v>
      </c>
      <c r="BM17" s="9">
        <v>90</v>
      </c>
      <c r="BN17" s="9">
        <v>100</v>
      </c>
      <c r="BO17" s="9">
        <v>80</v>
      </c>
      <c r="BP17" s="9">
        <v>75</v>
      </c>
      <c r="BQ17" s="10" t="s">
        <v>197</v>
      </c>
      <c r="BR17" s="8" t="s">
        <v>198</v>
      </c>
      <c r="BS17" s="10">
        <v>39.712600708007997</v>
      </c>
      <c r="BT17">
        <v>-84.166198730469006</v>
      </c>
      <c r="BU17">
        <v>-1</v>
      </c>
      <c r="BV17" s="123">
        <f t="shared" si="11"/>
        <v>0.42857142857142855</v>
      </c>
      <c r="BW17" s="123">
        <f t="shared" si="12"/>
        <v>0.5714285714285714</v>
      </c>
      <c r="BX17" s="123">
        <f t="shared" si="13"/>
        <v>0.29166666666666669</v>
      </c>
      <c r="BY17" s="123">
        <f t="shared" si="14"/>
        <v>0.41666666666666669</v>
      </c>
      <c r="BZ17" s="123">
        <f t="shared" si="15"/>
        <v>0.29166666666666669</v>
      </c>
      <c r="CA17" s="123">
        <f t="shared" si="16"/>
        <v>0.10909090909090909</v>
      </c>
      <c r="CB17" s="123">
        <f t="shared" si="17"/>
        <v>0.34545454545454546</v>
      </c>
      <c r="CC17" s="123">
        <f t="shared" si="18"/>
        <v>0.36363636363636365</v>
      </c>
      <c r="CD17" s="123">
        <f t="shared" si="19"/>
        <v>0.18181818181818182</v>
      </c>
      <c r="CE17" s="123">
        <f t="shared" si="20"/>
        <v>0.27272727272727271</v>
      </c>
      <c r="CF17" s="123">
        <f t="shared" si="21"/>
        <v>0.30303030303030304</v>
      </c>
      <c r="CG17" s="123">
        <f t="shared" si="22"/>
        <v>0.18181818181818182</v>
      </c>
      <c r="CH17" s="123">
        <f t="shared" si="23"/>
        <v>0.24242424242424243</v>
      </c>
      <c r="CI17" s="123">
        <f t="shared" si="24"/>
        <v>0.25352112676056338</v>
      </c>
      <c r="CJ17" s="123">
        <f t="shared" si="25"/>
        <v>0.28169014084507044</v>
      </c>
      <c r="CK17" s="123">
        <f t="shared" si="26"/>
        <v>0.25352112676056338</v>
      </c>
      <c r="CL17" s="123">
        <f t="shared" si="27"/>
        <v>0.21126760563380281</v>
      </c>
      <c r="CM17" s="123">
        <f t="shared" si="28"/>
        <v>0.2608695652173913</v>
      </c>
      <c r="CN17" s="123">
        <f t="shared" si="29"/>
        <v>0.28985507246376813</v>
      </c>
      <c r="CO17" s="123">
        <f t="shared" si="30"/>
        <v>0.2318840579710145</v>
      </c>
      <c r="CP17" s="123">
        <f t="shared" si="31"/>
        <v>0.21739130434782608</v>
      </c>
    </row>
    <row r="18" spans="1:94" s="13" customFormat="1" ht="15.75" thickBot="1" x14ac:dyDescent="0.3">
      <c r="A18" s="75" t="str">
        <f t="shared" si="32"/>
        <v>[Y, Y]</v>
      </c>
      <c r="B18" s="76" t="str">
        <f t="shared" si="33"/>
        <v>[Y, Y]</v>
      </c>
      <c r="C18" s="76" t="str">
        <f t="shared" si="34"/>
        <v>[Y, Y]</v>
      </c>
      <c r="D18" s="76" t="str">
        <f t="shared" si="35"/>
        <v>[Y, Y]</v>
      </c>
      <c r="E18" s="76" t="str">
        <f t="shared" si="36"/>
        <v>[Y, Y]</v>
      </c>
      <c r="F18" s="77" t="str">
        <f t="shared" si="37"/>
        <v>[Y, Y]</v>
      </c>
      <c r="G18" s="13" t="s">
        <v>199</v>
      </c>
      <c r="H18">
        <v>3</v>
      </c>
      <c r="I18" s="106">
        <v>3</v>
      </c>
      <c r="J18" s="13" t="s">
        <v>44</v>
      </c>
      <c r="N18" s="13" t="s">
        <v>200</v>
      </c>
      <c r="O18" s="13">
        <v>0</v>
      </c>
      <c r="P18" s="65">
        <v>42244.692407407405</v>
      </c>
      <c r="Q18" s="65">
        <v>42244.707638888889</v>
      </c>
      <c r="R18" s="13">
        <v>1</v>
      </c>
      <c r="S18" s="12"/>
      <c r="T18" s="14"/>
      <c r="U18" s="13">
        <v>1</v>
      </c>
      <c r="V18" s="12">
        <v>100</v>
      </c>
      <c r="W18" s="13">
        <v>4</v>
      </c>
      <c r="X18" s="13">
        <v>35</v>
      </c>
      <c r="Y18" s="13">
        <v>100</v>
      </c>
      <c r="Z18" s="66" t="s">
        <v>201</v>
      </c>
      <c r="AA18" s="12">
        <v>3</v>
      </c>
      <c r="AB18" s="13">
        <v>100</v>
      </c>
      <c r="AC18" s="13">
        <v>4</v>
      </c>
      <c r="AD18" s="13">
        <v>10</v>
      </c>
      <c r="AE18" s="13">
        <v>100</v>
      </c>
      <c r="AF18" s="13">
        <v>30</v>
      </c>
      <c r="AG18" s="14" t="s">
        <v>202</v>
      </c>
      <c r="AH18" s="12">
        <v>100</v>
      </c>
      <c r="AI18" s="13">
        <v>4</v>
      </c>
      <c r="AJ18" s="13">
        <v>4</v>
      </c>
      <c r="AK18" s="13">
        <v>3</v>
      </c>
      <c r="AL18" s="13">
        <v>100</v>
      </c>
      <c r="AM18" s="13">
        <v>60</v>
      </c>
      <c r="AN18" s="13">
        <v>60</v>
      </c>
      <c r="AO18" s="13">
        <v>20</v>
      </c>
      <c r="AP18" s="66" t="s">
        <v>203</v>
      </c>
      <c r="AQ18" s="12">
        <v>2</v>
      </c>
      <c r="AR18" s="13">
        <v>100</v>
      </c>
      <c r="AS18" s="13">
        <v>4</v>
      </c>
      <c r="AT18" s="13">
        <v>3</v>
      </c>
      <c r="AU18" s="13">
        <v>10</v>
      </c>
      <c r="AV18" s="13">
        <v>100</v>
      </c>
      <c r="AW18" s="13">
        <v>80</v>
      </c>
      <c r="AX18" s="13">
        <v>10</v>
      </c>
      <c r="AY18" s="14" t="s">
        <v>204</v>
      </c>
      <c r="AZ18" s="12">
        <v>3</v>
      </c>
      <c r="BA18" s="13">
        <v>100</v>
      </c>
      <c r="BB18" s="13">
        <v>4</v>
      </c>
      <c r="BC18" s="13">
        <v>2</v>
      </c>
      <c r="BD18" s="13">
        <v>20</v>
      </c>
      <c r="BE18" s="13">
        <v>100</v>
      </c>
      <c r="BF18" s="13">
        <v>80</v>
      </c>
      <c r="BG18" s="13">
        <v>20</v>
      </c>
      <c r="BH18" s="14"/>
      <c r="BI18" s="12">
        <v>4</v>
      </c>
      <c r="BJ18" s="13">
        <v>100</v>
      </c>
      <c r="BK18" s="13">
        <v>3</v>
      </c>
      <c r="BL18" s="13">
        <v>2</v>
      </c>
      <c r="BM18" s="13">
        <v>40</v>
      </c>
      <c r="BN18" s="13">
        <v>100</v>
      </c>
      <c r="BO18" s="13">
        <v>40</v>
      </c>
      <c r="BP18" s="13">
        <v>20</v>
      </c>
      <c r="BQ18" s="14" t="s">
        <v>205</v>
      </c>
      <c r="BR18" s="12"/>
      <c r="BS18" s="14">
        <v>35.889602661132997</v>
      </c>
      <c r="BT18" s="13">
        <v>-78.92440032959</v>
      </c>
      <c r="BU18" s="13">
        <v>-1</v>
      </c>
      <c r="BV18" s="123">
        <f t="shared" si="11"/>
        <v>0.25925925925925924</v>
      </c>
      <c r="BW18" s="123">
        <f t="shared" si="12"/>
        <v>0.7407407407407407</v>
      </c>
      <c r="BX18" s="123">
        <f t="shared" si="13"/>
        <v>7.1428571428571425E-2</v>
      </c>
      <c r="BY18" s="123">
        <f t="shared" si="14"/>
        <v>0.7142857142857143</v>
      </c>
      <c r="BZ18" s="123">
        <f t="shared" si="15"/>
        <v>0.21428571428571427</v>
      </c>
      <c r="CA18" s="123">
        <f t="shared" si="16"/>
        <v>0.41666666666666669</v>
      </c>
      <c r="CB18" s="123">
        <f t="shared" si="17"/>
        <v>0.25</v>
      </c>
      <c r="CC18" s="123">
        <f t="shared" si="18"/>
        <v>0.25</v>
      </c>
      <c r="CD18" s="123">
        <f t="shared" si="19"/>
        <v>8.3333333333333329E-2</v>
      </c>
      <c r="CE18" s="123">
        <f t="shared" si="20"/>
        <v>0.05</v>
      </c>
      <c r="CF18" s="123">
        <f t="shared" si="21"/>
        <v>0.5</v>
      </c>
      <c r="CG18" s="123">
        <f t="shared" si="22"/>
        <v>0.4</v>
      </c>
      <c r="CH18" s="123">
        <f t="shared" si="23"/>
        <v>0.05</v>
      </c>
      <c r="CI18" s="123">
        <f t="shared" si="24"/>
        <v>9.0909090909090912E-2</v>
      </c>
      <c r="CJ18" s="123">
        <f t="shared" si="25"/>
        <v>0.45454545454545453</v>
      </c>
      <c r="CK18" s="123">
        <f t="shared" si="26"/>
        <v>0.36363636363636365</v>
      </c>
      <c r="CL18" s="123">
        <f t="shared" si="27"/>
        <v>9.0909090909090912E-2</v>
      </c>
      <c r="CM18" s="123">
        <f t="shared" si="28"/>
        <v>0.2</v>
      </c>
      <c r="CN18" s="123">
        <f t="shared" si="29"/>
        <v>0.5</v>
      </c>
      <c r="CO18" s="123">
        <f t="shared" si="30"/>
        <v>0.2</v>
      </c>
      <c r="CP18" s="123">
        <f t="shared" si="31"/>
        <v>0.1</v>
      </c>
    </row>
    <row r="19" spans="1:94" x14ac:dyDescent="0.25">
      <c r="A19" s="67" t="str">
        <f t="shared" si="32"/>
        <v>[Y, N]</v>
      </c>
      <c r="B19" s="68" t="str">
        <f t="shared" si="33"/>
        <v>[Y, N]</v>
      </c>
      <c r="C19" s="68" t="str">
        <f t="shared" si="34"/>
        <v>[Y, N]</v>
      </c>
      <c r="D19" s="68" t="str">
        <f t="shared" si="35"/>
        <v>[Y, N]</v>
      </c>
      <c r="E19" s="68" t="str">
        <f t="shared" si="36"/>
        <v>[Y, Y]</v>
      </c>
      <c r="F19" s="69" t="str">
        <f t="shared" si="37"/>
        <v>[Y, Y]</v>
      </c>
      <c r="G19" t="s">
        <v>206</v>
      </c>
      <c r="H19">
        <v>2</v>
      </c>
      <c r="I19" s="87">
        <v>1</v>
      </c>
      <c r="J19" t="s">
        <v>44</v>
      </c>
      <c r="M19" s="9"/>
      <c r="N19" t="s">
        <v>207</v>
      </c>
      <c r="O19">
        <v>0</v>
      </c>
      <c r="P19" s="2">
        <v>42244.867164351854</v>
      </c>
      <c r="Q19" s="2">
        <v>42244.872002314813</v>
      </c>
      <c r="R19">
        <v>1</v>
      </c>
      <c r="S19" s="8">
        <v>1</v>
      </c>
      <c r="T19" s="10"/>
      <c r="U19">
        <v>1</v>
      </c>
      <c r="V19" s="8">
        <v>4</v>
      </c>
      <c r="W19" s="9">
        <v>100</v>
      </c>
      <c r="X19" s="9">
        <v>100</v>
      </c>
      <c r="Y19" s="9">
        <v>0</v>
      </c>
      <c r="Z19" s="11" t="s">
        <v>208</v>
      </c>
      <c r="AA19" s="8">
        <v>3</v>
      </c>
      <c r="AB19" s="9">
        <v>100</v>
      </c>
      <c r="AC19" s="9">
        <v>4</v>
      </c>
      <c r="AD19" s="9">
        <v>0</v>
      </c>
      <c r="AE19" s="9">
        <v>100</v>
      </c>
      <c r="AF19" s="9">
        <v>0</v>
      </c>
      <c r="AG19" s="10" t="s">
        <v>209</v>
      </c>
      <c r="AH19" s="8">
        <v>2</v>
      </c>
      <c r="AI19" s="9">
        <v>3</v>
      </c>
      <c r="AJ19" s="9">
        <v>4</v>
      </c>
      <c r="AK19" s="9">
        <v>100</v>
      </c>
      <c r="AL19" s="9">
        <v>0</v>
      </c>
      <c r="AM19" s="9">
        <v>0</v>
      </c>
      <c r="AN19" s="9">
        <v>0</v>
      </c>
      <c r="AO19" s="9">
        <v>100</v>
      </c>
      <c r="AP19" s="11" t="s">
        <v>210</v>
      </c>
      <c r="AQ19" s="8">
        <v>2</v>
      </c>
      <c r="AR19" s="9">
        <v>100</v>
      </c>
      <c r="AS19" s="9">
        <v>4</v>
      </c>
      <c r="AT19" s="9">
        <v>3</v>
      </c>
      <c r="AU19" s="9">
        <v>0</v>
      </c>
      <c r="AV19" s="9">
        <v>100</v>
      </c>
      <c r="AW19" s="9">
        <v>0</v>
      </c>
      <c r="AX19" s="9">
        <v>0</v>
      </c>
      <c r="AY19" s="10"/>
      <c r="AZ19" s="8">
        <v>3</v>
      </c>
      <c r="BA19" s="9">
        <v>100</v>
      </c>
      <c r="BB19" s="9">
        <v>4</v>
      </c>
      <c r="BC19" s="9">
        <v>2</v>
      </c>
      <c r="BD19" s="9">
        <v>0</v>
      </c>
      <c r="BE19" s="9">
        <v>100</v>
      </c>
      <c r="BF19" s="9">
        <v>0</v>
      </c>
      <c r="BG19" s="9">
        <v>17</v>
      </c>
      <c r="BH19" s="10"/>
      <c r="BI19" s="8">
        <v>100</v>
      </c>
      <c r="BJ19" s="9">
        <v>2</v>
      </c>
      <c r="BK19" s="9">
        <v>4</v>
      </c>
      <c r="BL19" s="9">
        <v>100</v>
      </c>
      <c r="BM19" s="9">
        <v>100</v>
      </c>
      <c r="BN19" s="9">
        <v>0</v>
      </c>
      <c r="BO19" s="9">
        <v>0</v>
      </c>
      <c r="BP19" s="9">
        <v>100</v>
      </c>
      <c r="BQ19" s="10"/>
      <c r="BR19" s="8"/>
      <c r="BS19" s="10">
        <v>45.5</v>
      </c>
      <c r="BT19">
        <v>-73.583297729492003</v>
      </c>
      <c r="BU19">
        <v>-1</v>
      </c>
      <c r="BV19" s="123">
        <f t="shared" si="11"/>
        <v>1</v>
      </c>
      <c r="BW19" s="123">
        <f t="shared" si="12"/>
        <v>0</v>
      </c>
      <c r="BX19" s="123">
        <f t="shared" si="13"/>
        <v>0</v>
      </c>
      <c r="BY19" s="123">
        <f t="shared" si="14"/>
        <v>1</v>
      </c>
      <c r="BZ19" s="123">
        <f t="shared" si="15"/>
        <v>0</v>
      </c>
      <c r="CA19" s="123">
        <f t="shared" si="16"/>
        <v>0</v>
      </c>
      <c r="CB19" s="123">
        <f t="shared" si="17"/>
        <v>0</v>
      </c>
      <c r="CC19" s="123">
        <f t="shared" si="18"/>
        <v>0</v>
      </c>
      <c r="CD19" s="123">
        <f t="shared" si="19"/>
        <v>1</v>
      </c>
      <c r="CE19" s="123">
        <f t="shared" si="20"/>
        <v>0</v>
      </c>
      <c r="CF19" s="123">
        <f t="shared" si="21"/>
        <v>1</v>
      </c>
      <c r="CG19" s="123">
        <f t="shared" si="22"/>
        <v>0</v>
      </c>
      <c r="CH19" s="123">
        <f t="shared" si="23"/>
        <v>0</v>
      </c>
      <c r="CI19" s="123">
        <f t="shared" si="24"/>
        <v>0</v>
      </c>
      <c r="CJ19" s="123">
        <f t="shared" si="25"/>
        <v>0.85470085470085466</v>
      </c>
      <c r="CK19" s="123">
        <f t="shared" si="26"/>
        <v>0</v>
      </c>
      <c r="CL19" s="123">
        <f t="shared" si="27"/>
        <v>0.14529914529914531</v>
      </c>
      <c r="CM19" s="123">
        <f t="shared" si="28"/>
        <v>0.5</v>
      </c>
      <c r="CN19" s="123">
        <f t="shared" si="29"/>
        <v>0</v>
      </c>
      <c r="CO19" s="123">
        <f t="shared" si="30"/>
        <v>0</v>
      </c>
      <c r="CP19" s="123">
        <f t="shared" si="31"/>
        <v>0.5</v>
      </c>
    </row>
    <row r="20" spans="1:94" x14ac:dyDescent="0.25">
      <c r="A20" s="67" t="str">
        <f t="shared" si="32"/>
        <v>[Y, Y]</v>
      </c>
      <c r="B20" s="68" t="str">
        <f t="shared" si="33"/>
        <v>[Y, Y]</v>
      </c>
      <c r="C20" s="68" t="str">
        <f t="shared" si="34"/>
        <v>[Y, Y]</v>
      </c>
      <c r="D20" s="68" t="str">
        <f t="shared" si="35"/>
        <v>[Y, Y]</v>
      </c>
      <c r="E20" s="68" t="str">
        <f t="shared" si="36"/>
        <v>[Y, Y]</v>
      </c>
      <c r="F20" s="69" t="str">
        <f t="shared" si="37"/>
        <v>[Y, Y]</v>
      </c>
      <c r="G20" t="s">
        <v>211</v>
      </c>
      <c r="H20">
        <v>1</v>
      </c>
      <c r="I20" s="87">
        <v>1</v>
      </c>
      <c r="J20" t="s">
        <v>44</v>
      </c>
      <c r="M20" s="9"/>
      <c r="N20" t="s">
        <v>212</v>
      </c>
      <c r="O20">
        <v>0</v>
      </c>
      <c r="P20" s="2">
        <v>42247.310532407406</v>
      </c>
      <c r="Q20" s="2">
        <v>42247.314699074072</v>
      </c>
      <c r="R20">
        <v>1</v>
      </c>
      <c r="S20" s="8">
        <v>1</v>
      </c>
      <c r="T20" s="10"/>
      <c r="U20">
        <v>1</v>
      </c>
      <c r="V20" s="8">
        <v>4</v>
      </c>
      <c r="W20" s="9">
        <v>100</v>
      </c>
      <c r="X20" s="27">
        <f>IF(MAX($X114:$Y114)=X114,100,X114/MAX($X114:$Y114)*100)</f>
        <v>100</v>
      </c>
      <c r="Y20" s="27">
        <f>IF(MAX($X114:$Y114)=Y114,100,Y114/MAX($X114:$Y114)*100)</f>
        <v>22.222222222222221</v>
      </c>
      <c r="Z20" s="11"/>
      <c r="AA20" s="8">
        <v>100</v>
      </c>
      <c r="AB20" s="9">
        <v>3</v>
      </c>
      <c r="AC20" s="9">
        <v>4</v>
      </c>
      <c r="AD20" s="27">
        <f>IF(MAX($AD114:$AF114)=AD114,100,AD114/MAX($AD114:$AF114)*100)</f>
        <v>100</v>
      </c>
      <c r="AE20" s="27">
        <f>IF(MAX($AD114:$AF114)=AE114,100,AE114/MAX($AD114:$AF114)*100)</f>
        <v>40</v>
      </c>
      <c r="AF20" s="27">
        <f>IF(MAX($AD114:$AF114)=AF114,100,AF114/MAX($AD114:$AF114)*100)</f>
        <v>60</v>
      </c>
      <c r="AG20" s="10"/>
      <c r="AH20" s="8">
        <v>4</v>
      </c>
      <c r="AI20" s="9">
        <v>100</v>
      </c>
      <c r="AJ20" s="9">
        <v>3</v>
      </c>
      <c r="AK20" s="9">
        <v>2</v>
      </c>
      <c r="AL20" s="27">
        <f>IF(MAX($AL114:$AO114)=AL114,100,AL114/MAX($AL114:$AO114)*100)</f>
        <v>60</v>
      </c>
      <c r="AM20" s="27">
        <f>IF(MAX($AL114:$AO114)=AM114,100,AM114/MAX($AL$98:AO114)*100)</f>
        <v>100</v>
      </c>
      <c r="AN20" s="27">
        <f>IF(MAX($AL114:$AO114)=AN114,100,AN114/MAX($AL114:$AO114)*100)</f>
        <v>28.000000000000004</v>
      </c>
      <c r="AO20" s="27">
        <f>IF(MAX($AL114:$AO114)=AO114,100,AO114/MAX($AL114:$AO114)*100)</f>
        <v>12</v>
      </c>
      <c r="AP20" s="11"/>
      <c r="AQ20" s="8">
        <v>100</v>
      </c>
      <c r="AR20" s="9">
        <v>3</v>
      </c>
      <c r="AS20" s="9">
        <v>2</v>
      </c>
      <c r="AT20" s="9">
        <v>4</v>
      </c>
      <c r="AU20" s="27">
        <f>IF(MAX($AU114:$AX114)=AU114,100,AU114/MAX($AU114:$AX114)*100)</f>
        <v>100</v>
      </c>
      <c r="AV20" s="27">
        <f>IF(MAX($AU114:$AX114)=AV114,100,AV114/MAX($AU114:$AX114)*100)</f>
        <v>50</v>
      </c>
      <c r="AW20" s="27">
        <f>IF(MAX($AU114:$AX114)=AW114,100,AW114/MAX($AU114:$AX114)*100)</f>
        <v>25</v>
      </c>
      <c r="AX20" s="27">
        <f>IF(MAX($AU114:$AX114)=AX114,100,AX114/MAX($AU114:$AX114)*100)</f>
        <v>75</v>
      </c>
      <c r="AY20" s="10"/>
      <c r="AZ20" s="8">
        <v>2</v>
      </c>
      <c r="BA20" s="9">
        <v>4</v>
      </c>
      <c r="BB20" s="9">
        <v>100</v>
      </c>
      <c r="BC20" s="9">
        <v>3</v>
      </c>
      <c r="BD20" s="27">
        <f>IF(MAX($BD114:$BG114)=BD114,100,BD114/MAX($BD114:$BG114)*100)</f>
        <v>32.5</v>
      </c>
      <c r="BE20" s="27">
        <f>IF(MAX($BD114:$BG114)=BE114,100,BE114/MAX($BD114:$BG114)*100)</f>
        <v>60</v>
      </c>
      <c r="BF20" s="27">
        <f>IF(MAX($BD114:$BG114)=BF114,100,BF114/MAX($BD114:$BG114)*100)</f>
        <v>100</v>
      </c>
      <c r="BG20" s="27">
        <f>IF(MAX($BD114:$BG114)=BG114,100,BG114/MAX($BD114:$BG114)*100)</f>
        <v>45</v>
      </c>
      <c r="BH20" s="10"/>
      <c r="BI20" s="8">
        <v>100</v>
      </c>
      <c r="BJ20" s="9">
        <v>3</v>
      </c>
      <c r="BK20" s="9">
        <v>2</v>
      </c>
      <c r="BL20" s="9">
        <v>4</v>
      </c>
      <c r="BM20" s="27">
        <f>IF(MAX($BM114:$BP114)=BM114,100,BM114/MAX($BM114:$BP114)*100)</f>
        <v>75</v>
      </c>
      <c r="BN20" s="27">
        <f>IF(MAX($BM114:$BP114)=BN114,100,BN114/MAX($BM114:$BP114)*100)</f>
        <v>50</v>
      </c>
      <c r="BO20" s="27">
        <f>IF(MAX($BM114:$BP114)=BO114,100,BO114/MAX($BM114:$BP114)*100)</f>
        <v>25</v>
      </c>
      <c r="BP20" s="27">
        <f>IF(MAX($BM114:$BP114)=BP114,100,BP114/MAX($BM114:$BP114)*100)</f>
        <v>100</v>
      </c>
      <c r="BQ20" s="10"/>
      <c r="BR20" s="8"/>
      <c r="BS20" s="10">
        <v>35.889602661132997</v>
      </c>
      <c r="BT20">
        <v>-78.92440032959</v>
      </c>
      <c r="BU20">
        <v>-1</v>
      </c>
      <c r="BV20" s="123">
        <f t="shared" si="11"/>
        <v>0.81818181818181812</v>
      </c>
      <c r="BW20" s="123">
        <f t="shared" si="12"/>
        <v>0.1818181818181818</v>
      </c>
      <c r="BX20" s="123">
        <f t="shared" si="13"/>
        <v>0.5</v>
      </c>
      <c r="BY20" s="123">
        <f t="shared" si="14"/>
        <v>0.2</v>
      </c>
      <c r="BZ20" s="123">
        <f t="shared" si="15"/>
        <v>0.3</v>
      </c>
      <c r="CA20" s="123">
        <f t="shared" si="16"/>
        <v>0.3</v>
      </c>
      <c r="CB20" s="123">
        <f t="shared" si="17"/>
        <v>0.5</v>
      </c>
      <c r="CC20" s="123">
        <f t="shared" si="18"/>
        <v>0.14000000000000001</v>
      </c>
      <c r="CD20" s="123">
        <f t="shared" si="19"/>
        <v>0.06</v>
      </c>
      <c r="CE20" s="123">
        <f t="shared" si="20"/>
        <v>0.4</v>
      </c>
      <c r="CF20" s="123">
        <f t="shared" si="21"/>
        <v>0.2</v>
      </c>
      <c r="CG20" s="123">
        <f t="shared" si="22"/>
        <v>0.1</v>
      </c>
      <c r="CH20" s="123">
        <f t="shared" si="23"/>
        <v>0.3</v>
      </c>
      <c r="CI20" s="123">
        <f t="shared" si="24"/>
        <v>0.1368421052631579</v>
      </c>
      <c r="CJ20" s="123">
        <f t="shared" si="25"/>
        <v>0.25263157894736843</v>
      </c>
      <c r="CK20" s="123">
        <f t="shared" si="26"/>
        <v>0.42105263157894735</v>
      </c>
      <c r="CL20" s="123">
        <f t="shared" si="27"/>
        <v>0.18947368421052632</v>
      </c>
      <c r="CM20" s="123">
        <f t="shared" si="28"/>
        <v>0.3</v>
      </c>
      <c r="CN20" s="123">
        <f t="shared" si="29"/>
        <v>0.2</v>
      </c>
      <c r="CO20" s="123">
        <f t="shared" si="30"/>
        <v>0.1</v>
      </c>
      <c r="CP20" s="123">
        <f t="shared" si="31"/>
        <v>0.4</v>
      </c>
    </row>
    <row r="21" spans="1:94" x14ac:dyDescent="0.25">
      <c r="A21" s="67" t="str">
        <f t="shared" si="32"/>
        <v>[Y, Y]</v>
      </c>
      <c r="B21" s="68" t="str">
        <f t="shared" si="33"/>
        <v>[Y, Y]</v>
      </c>
      <c r="C21" s="68" t="str">
        <f t="shared" si="34"/>
        <v>[Y, Y]</v>
      </c>
      <c r="D21" s="68" t="str">
        <f t="shared" si="35"/>
        <v>[Y, Y]</v>
      </c>
      <c r="E21" s="68" t="str">
        <f t="shared" si="36"/>
        <v>[Y, Y]</v>
      </c>
      <c r="F21" s="69" t="str">
        <f t="shared" si="37"/>
        <v>[Y, Y]</v>
      </c>
      <c r="G21" t="s">
        <v>213</v>
      </c>
      <c r="H21">
        <v>3</v>
      </c>
      <c r="I21" s="87">
        <v>3</v>
      </c>
      <c r="J21" t="s">
        <v>44</v>
      </c>
      <c r="M21" s="9"/>
      <c r="N21" t="s">
        <v>160</v>
      </c>
      <c r="O21">
        <v>0</v>
      </c>
      <c r="P21" s="2">
        <v>42247.612187500003</v>
      </c>
      <c r="Q21" s="2">
        <v>42247.644305555557</v>
      </c>
      <c r="R21">
        <v>1</v>
      </c>
      <c r="S21" s="8">
        <v>3</v>
      </c>
      <c r="T21" s="10" t="s">
        <v>214</v>
      </c>
      <c r="U21">
        <v>1</v>
      </c>
      <c r="V21" s="8">
        <v>100</v>
      </c>
      <c r="W21" s="9">
        <v>4</v>
      </c>
      <c r="X21" s="9">
        <v>70</v>
      </c>
      <c r="Y21" s="9">
        <v>100</v>
      </c>
      <c r="Z21" s="11" t="s">
        <v>215</v>
      </c>
      <c r="AA21" s="8">
        <v>100</v>
      </c>
      <c r="AB21" s="9">
        <v>4</v>
      </c>
      <c r="AC21" s="9">
        <v>3</v>
      </c>
      <c r="AD21" s="9">
        <v>100</v>
      </c>
      <c r="AE21" s="9">
        <v>70</v>
      </c>
      <c r="AF21" s="9">
        <v>40</v>
      </c>
      <c r="AG21" s="10" t="s">
        <v>216</v>
      </c>
      <c r="AH21" s="8">
        <v>100</v>
      </c>
      <c r="AI21" s="9">
        <v>3</v>
      </c>
      <c r="AJ21" s="9">
        <v>4</v>
      </c>
      <c r="AK21" s="9">
        <v>2</v>
      </c>
      <c r="AL21" s="9">
        <v>100</v>
      </c>
      <c r="AM21" s="9">
        <v>90</v>
      </c>
      <c r="AN21" s="9">
        <v>85</v>
      </c>
      <c r="AO21" s="9">
        <v>60</v>
      </c>
      <c r="AP21" s="11"/>
      <c r="AQ21" s="8">
        <v>100</v>
      </c>
      <c r="AR21" s="9">
        <v>4</v>
      </c>
      <c r="AS21" s="9">
        <v>2</v>
      </c>
      <c r="AT21" s="9">
        <v>3</v>
      </c>
      <c r="AU21" s="9">
        <v>100</v>
      </c>
      <c r="AV21" s="9">
        <v>85</v>
      </c>
      <c r="AW21" s="9">
        <v>70</v>
      </c>
      <c r="AX21" s="9">
        <v>75</v>
      </c>
      <c r="AY21" s="10" t="s">
        <v>217</v>
      </c>
      <c r="AZ21" s="8">
        <v>100</v>
      </c>
      <c r="BA21" s="9">
        <v>3</v>
      </c>
      <c r="BB21" s="9">
        <v>4</v>
      </c>
      <c r="BC21" s="9">
        <v>2</v>
      </c>
      <c r="BD21" s="9">
        <v>100</v>
      </c>
      <c r="BE21" s="9">
        <v>85</v>
      </c>
      <c r="BF21" s="9">
        <v>90</v>
      </c>
      <c r="BG21" s="9">
        <v>80</v>
      </c>
      <c r="BH21" s="10" t="s">
        <v>218</v>
      </c>
      <c r="BI21" s="8">
        <v>100</v>
      </c>
      <c r="BJ21" s="9">
        <v>2</v>
      </c>
      <c r="BK21" s="9">
        <v>3</v>
      </c>
      <c r="BL21" s="9">
        <v>4</v>
      </c>
      <c r="BM21" s="9">
        <v>100</v>
      </c>
      <c r="BN21" s="9">
        <v>75</v>
      </c>
      <c r="BO21" s="9">
        <v>80</v>
      </c>
      <c r="BP21" s="9">
        <v>90</v>
      </c>
      <c r="BQ21" s="10"/>
      <c r="BR21" s="8"/>
      <c r="BS21" s="10">
        <v>35.227096557617003</v>
      </c>
      <c r="BT21">
        <v>-80.843101501465</v>
      </c>
      <c r="BU21">
        <v>-1</v>
      </c>
      <c r="BV21" s="123">
        <f t="shared" si="11"/>
        <v>0.41176470588235292</v>
      </c>
      <c r="BW21" s="123">
        <f t="shared" si="12"/>
        <v>0.58823529411764708</v>
      </c>
      <c r="BX21" s="123">
        <f t="shared" si="13"/>
        <v>0.47619047619047616</v>
      </c>
      <c r="BY21" s="123">
        <f t="shared" si="14"/>
        <v>0.33333333333333331</v>
      </c>
      <c r="BZ21" s="123">
        <f t="shared" si="15"/>
        <v>0.19047619047619047</v>
      </c>
      <c r="CA21" s="123">
        <f t="shared" si="16"/>
        <v>0.29850746268656714</v>
      </c>
      <c r="CB21" s="123">
        <f t="shared" si="17"/>
        <v>0.26865671641791045</v>
      </c>
      <c r="CC21" s="123">
        <f t="shared" si="18"/>
        <v>0.2537313432835821</v>
      </c>
      <c r="CD21" s="123">
        <f t="shared" si="19"/>
        <v>0.17910447761194029</v>
      </c>
      <c r="CE21" s="123">
        <f t="shared" si="20"/>
        <v>0.30303030303030304</v>
      </c>
      <c r="CF21" s="123">
        <f t="shared" si="21"/>
        <v>0.25757575757575757</v>
      </c>
      <c r="CG21" s="123">
        <f t="shared" si="22"/>
        <v>0.21212121212121213</v>
      </c>
      <c r="CH21" s="123">
        <f t="shared" si="23"/>
        <v>0.22727272727272727</v>
      </c>
      <c r="CI21" s="123">
        <f t="shared" si="24"/>
        <v>0.28169014084507044</v>
      </c>
      <c r="CJ21" s="123">
        <f t="shared" si="25"/>
        <v>0.23943661971830985</v>
      </c>
      <c r="CK21" s="123">
        <f t="shared" si="26"/>
        <v>0.25352112676056338</v>
      </c>
      <c r="CL21" s="123">
        <f t="shared" si="27"/>
        <v>0.22535211267605634</v>
      </c>
      <c r="CM21" s="123">
        <f t="shared" si="28"/>
        <v>0.28985507246376813</v>
      </c>
      <c r="CN21" s="123">
        <f t="shared" si="29"/>
        <v>0.21739130434782608</v>
      </c>
      <c r="CO21" s="123">
        <f t="shared" si="30"/>
        <v>0.2318840579710145</v>
      </c>
      <c r="CP21" s="123">
        <f t="shared" si="31"/>
        <v>0.2608695652173913</v>
      </c>
    </row>
    <row r="22" spans="1:94" s="13" customFormat="1" ht="15.75" thickBot="1" x14ac:dyDescent="0.3">
      <c r="A22" s="75" t="str">
        <f t="shared" si="32"/>
        <v>[Y, Y]</v>
      </c>
      <c r="B22" s="76" t="str">
        <f t="shared" si="33"/>
        <v>[Y, Y]</v>
      </c>
      <c r="C22" s="76" t="str">
        <f t="shared" si="34"/>
        <v>[Y, Y]</v>
      </c>
      <c r="D22" s="76" t="str">
        <f t="shared" si="35"/>
        <v>[N, N]</v>
      </c>
      <c r="E22" s="76" t="str">
        <f t="shared" si="36"/>
        <v>[N, N]</v>
      </c>
      <c r="F22" s="77" t="str">
        <f t="shared" si="37"/>
        <v>[N, N]</v>
      </c>
      <c r="G22" s="13" t="s">
        <v>219</v>
      </c>
      <c r="H22">
        <v>3</v>
      </c>
      <c r="I22" s="71">
        <v>1</v>
      </c>
      <c r="J22" s="13" t="s">
        <v>44</v>
      </c>
      <c r="N22" s="13" t="s">
        <v>220</v>
      </c>
      <c r="O22" s="13">
        <v>0</v>
      </c>
      <c r="P22" s="65">
        <v>42242.655532407407</v>
      </c>
      <c r="Q22" s="65">
        <v>42242.659201388888</v>
      </c>
      <c r="R22" s="13">
        <v>0</v>
      </c>
      <c r="S22" s="12">
        <v>1</v>
      </c>
      <c r="T22" s="14"/>
      <c r="U22" s="13">
        <v>1</v>
      </c>
      <c r="V22" s="12">
        <v>4</v>
      </c>
      <c r="W22" s="13">
        <v>100</v>
      </c>
      <c r="X22" s="13">
        <v>100</v>
      </c>
      <c r="Y22" s="13">
        <v>53</v>
      </c>
      <c r="Z22" s="66"/>
      <c r="AA22" s="12">
        <v>4</v>
      </c>
      <c r="AB22" s="13">
        <v>100</v>
      </c>
      <c r="AC22" s="13">
        <v>3</v>
      </c>
      <c r="AD22" s="13">
        <v>60</v>
      </c>
      <c r="AE22" s="13">
        <v>100</v>
      </c>
      <c r="AF22" s="13">
        <v>43</v>
      </c>
      <c r="AG22" s="14"/>
      <c r="AH22" s="12">
        <v>100</v>
      </c>
      <c r="AI22" s="13">
        <v>2</v>
      </c>
      <c r="AJ22" s="13">
        <v>4</v>
      </c>
      <c r="AK22" s="13">
        <v>3</v>
      </c>
      <c r="AL22" s="13">
        <v>100</v>
      </c>
      <c r="AM22" s="13">
        <v>55</v>
      </c>
      <c r="AN22" s="13">
        <v>83</v>
      </c>
      <c r="AO22" s="13">
        <v>66</v>
      </c>
      <c r="AP22" s="66"/>
      <c r="AQ22" s="12"/>
      <c r="AY22" s="14"/>
      <c r="AZ22" s="12"/>
      <c r="BH22" s="14"/>
      <c r="BI22" s="12"/>
      <c r="BQ22" s="14"/>
      <c r="BR22" s="12"/>
      <c r="BS22" s="14"/>
      <c r="BU22" s="13">
        <v>-1</v>
      </c>
      <c r="BV22" s="123">
        <f t="shared" si="11"/>
        <v>0.65359477124183007</v>
      </c>
      <c r="BW22" s="123">
        <f t="shared" si="12"/>
        <v>0.34640522875816993</v>
      </c>
      <c r="BX22" s="123">
        <f t="shared" si="13"/>
        <v>0.29556650246305421</v>
      </c>
      <c r="BY22" s="123">
        <f t="shared" si="14"/>
        <v>0.49261083743842365</v>
      </c>
      <c r="BZ22" s="123">
        <f t="shared" si="15"/>
        <v>0.21182266009852216</v>
      </c>
      <c r="CA22" s="123">
        <f t="shared" si="16"/>
        <v>0.32894736842105265</v>
      </c>
      <c r="CB22" s="123">
        <f t="shared" si="17"/>
        <v>0.18092105263157895</v>
      </c>
      <c r="CC22" s="123">
        <f t="shared" si="18"/>
        <v>0.27302631578947367</v>
      </c>
      <c r="CD22" s="123">
        <f t="shared" si="19"/>
        <v>0.21710526315789475</v>
      </c>
      <c r="CE22" s="123" t="str">
        <f t="shared" si="20"/>
        <v/>
      </c>
      <c r="CF22" s="123" t="str">
        <f t="shared" si="21"/>
        <v/>
      </c>
      <c r="CG22" s="123" t="str">
        <f t="shared" si="22"/>
        <v/>
      </c>
      <c r="CH22" s="123" t="str">
        <f t="shared" si="23"/>
        <v/>
      </c>
      <c r="CI22" s="123" t="str">
        <f t="shared" si="24"/>
        <v/>
      </c>
      <c r="CJ22" s="123" t="str">
        <f t="shared" si="25"/>
        <v/>
      </c>
      <c r="CK22" s="123" t="str">
        <f t="shared" si="26"/>
        <v/>
      </c>
      <c r="CL22" s="123" t="str">
        <f t="shared" si="27"/>
        <v/>
      </c>
      <c r="CM22" s="123" t="str">
        <f t="shared" si="28"/>
        <v/>
      </c>
      <c r="CN22" s="123" t="str">
        <f t="shared" si="29"/>
        <v/>
      </c>
      <c r="CO22" s="123" t="str">
        <f t="shared" si="30"/>
        <v/>
      </c>
      <c r="CP22" s="123" t="str">
        <f t="shared" si="31"/>
        <v/>
      </c>
    </row>
    <row r="23" spans="1:94" x14ac:dyDescent="0.25">
      <c r="A23" s="67" t="str">
        <f t="shared" si="32"/>
        <v>[Y, Y]</v>
      </c>
      <c r="B23" s="68" t="str">
        <f t="shared" si="33"/>
        <v>[Y, Y]</v>
      </c>
      <c r="C23" s="68" t="str">
        <f t="shared" si="34"/>
        <v>[Y, Y]</v>
      </c>
      <c r="D23" s="68" t="str">
        <f t="shared" si="35"/>
        <v>[Y, Y]</v>
      </c>
      <c r="E23" s="68" t="str">
        <f t="shared" si="36"/>
        <v>[Y, Y]</v>
      </c>
      <c r="F23" s="69" t="str">
        <f t="shared" si="37"/>
        <v>[Y, Y]</v>
      </c>
      <c r="G23" t="s">
        <v>221</v>
      </c>
      <c r="H23">
        <v>1</v>
      </c>
      <c r="I23" s="87">
        <v>1</v>
      </c>
      <c r="J23" t="s">
        <v>44</v>
      </c>
      <c r="M23" s="9"/>
      <c r="N23" t="s">
        <v>222</v>
      </c>
      <c r="O23">
        <v>0</v>
      </c>
      <c r="P23" s="2">
        <v>42249.673148148147</v>
      </c>
      <c r="Q23" s="2">
        <v>42249.703275462962</v>
      </c>
      <c r="R23">
        <v>1</v>
      </c>
      <c r="S23" s="8">
        <v>1</v>
      </c>
      <c r="T23" s="10"/>
      <c r="U23">
        <v>1</v>
      </c>
      <c r="V23" s="8">
        <v>100</v>
      </c>
      <c r="W23" s="9">
        <v>4</v>
      </c>
      <c r="X23" s="9">
        <v>70</v>
      </c>
      <c r="Y23" s="9">
        <v>100</v>
      </c>
      <c r="Z23" s="11" t="s">
        <v>223</v>
      </c>
      <c r="AA23" s="8">
        <v>3</v>
      </c>
      <c r="AB23" s="9">
        <v>100</v>
      </c>
      <c r="AC23" s="9">
        <v>4</v>
      </c>
      <c r="AD23" s="9">
        <v>60</v>
      </c>
      <c r="AE23" s="9">
        <v>100</v>
      </c>
      <c r="AF23" s="9">
        <v>80</v>
      </c>
      <c r="AG23" s="10"/>
      <c r="AH23" s="8">
        <v>2</v>
      </c>
      <c r="AI23" s="9">
        <v>4</v>
      </c>
      <c r="AJ23" s="9">
        <v>100</v>
      </c>
      <c r="AK23" s="9">
        <v>3</v>
      </c>
      <c r="AL23" s="9">
        <v>0</v>
      </c>
      <c r="AM23" s="9">
        <v>90</v>
      </c>
      <c r="AN23" s="9">
        <v>100</v>
      </c>
      <c r="AO23" s="9">
        <v>10</v>
      </c>
      <c r="AP23" s="11" t="s">
        <v>224</v>
      </c>
      <c r="AQ23" s="8">
        <v>100</v>
      </c>
      <c r="AR23" s="9">
        <v>4</v>
      </c>
      <c r="AS23" s="9">
        <v>2</v>
      </c>
      <c r="AT23" s="9">
        <v>3</v>
      </c>
      <c r="AU23" s="9">
        <v>100</v>
      </c>
      <c r="AV23" s="9">
        <v>90</v>
      </c>
      <c r="AW23" s="9">
        <v>20</v>
      </c>
      <c r="AX23" s="9">
        <v>50</v>
      </c>
      <c r="AY23" s="10"/>
      <c r="AZ23" s="8">
        <v>4</v>
      </c>
      <c r="BA23" s="9">
        <v>3</v>
      </c>
      <c r="BB23" s="9">
        <v>100</v>
      </c>
      <c r="BC23" s="9">
        <v>2</v>
      </c>
      <c r="BD23" s="9">
        <v>90</v>
      </c>
      <c r="BE23" s="9">
        <v>70</v>
      </c>
      <c r="BF23" s="9">
        <v>100</v>
      </c>
      <c r="BG23" s="9">
        <v>20</v>
      </c>
      <c r="BH23" s="10"/>
      <c r="BI23" s="8">
        <v>4</v>
      </c>
      <c r="BJ23" s="9">
        <v>3</v>
      </c>
      <c r="BK23" s="9">
        <v>2</v>
      </c>
      <c r="BL23" s="9">
        <v>100</v>
      </c>
      <c r="BM23" s="9">
        <v>90</v>
      </c>
      <c r="BN23" s="9">
        <v>50</v>
      </c>
      <c r="BO23" s="9">
        <v>50</v>
      </c>
      <c r="BP23" s="9">
        <v>100</v>
      </c>
      <c r="BQ23" s="10"/>
      <c r="BR23" s="8"/>
      <c r="BS23" s="10">
        <v>35.889602661132997</v>
      </c>
      <c r="BT23">
        <v>-78.92440032959</v>
      </c>
      <c r="BU23">
        <v>-1</v>
      </c>
      <c r="BV23" s="123">
        <f t="shared" si="11"/>
        <v>0.41176470588235292</v>
      </c>
      <c r="BW23" s="123">
        <f t="shared" si="12"/>
        <v>0.58823529411764708</v>
      </c>
      <c r="BX23" s="123">
        <f t="shared" si="13"/>
        <v>0.25</v>
      </c>
      <c r="BY23" s="123">
        <f t="shared" si="14"/>
        <v>0.41666666666666669</v>
      </c>
      <c r="BZ23" s="123">
        <f t="shared" si="15"/>
        <v>0.33333333333333331</v>
      </c>
      <c r="CA23" s="123">
        <f t="shared" si="16"/>
        <v>0</v>
      </c>
      <c r="CB23" s="123">
        <f t="shared" si="17"/>
        <v>0.45</v>
      </c>
      <c r="CC23" s="123">
        <f t="shared" si="18"/>
        <v>0.5</v>
      </c>
      <c r="CD23" s="123">
        <f t="shared" si="19"/>
        <v>0.05</v>
      </c>
      <c r="CE23" s="123">
        <f t="shared" si="20"/>
        <v>0.38461538461538464</v>
      </c>
      <c r="CF23" s="123">
        <f t="shared" si="21"/>
        <v>0.34615384615384615</v>
      </c>
      <c r="CG23" s="123">
        <f t="shared" si="22"/>
        <v>7.6923076923076927E-2</v>
      </c>
      <c r="CH23" s="123">
        <f t="shared" si="23"/>
        <v>0.19230769230769232</v>
      </c>
      <c r="CI23" s="123">
        <f t="shared" si="24"/>
        <v>0.32142857142857145</v>
      </c>
      <c r="CJ23" s="123">
        <f t="shared" si="25"/>
        <v>0.25</v>
      </c>
      <c r="CK23" s="123">
        <f t="shared" si="26"/>
        <v>0.35714285714285715</v>
      </c>
      <c r="CL23" s="123">
        <f t="shared" si="27"/>
        <v>7.1428571428571425E-2</v>
      </c>
      <c r="CM23" s="123">
        <f t="shared" si="28"/>
        <v>0.31034482758620691</v>
      </c>
      <c r="CN23" s="123">
        <f t="shared" si="29"/>
        <v>0.17241379310344829</v>
      </c>
      <c r="CO23" s="123">
        <f t="shared" si="30"/>
        <v>0.17241379310344829</v>
      </c>
      <c r="CP23" s="123">
        <f t="shared" si="31"/>
        <v>0.34482758620689657</v>
      </c>
    </row>
    <row r="24" spans="1:94" x14ac:dyDescent="0.25">
      <c r="A24" s="67" t="str">
        <f t="shared" si="32"/>
        <v>[Y, Y]</v>
      </c>
      <c r="B24" s="68" t="str">
        <f t="shared" si="33"/>
        <v>[Y, N]</v>
      </c>
      <c r="C24" s="68" t="str">
        <f t="shared" si="34"/>
        <v>[Y, N]</v>
      </c>
      <c r="D24" s="68" t="str">
        <f t="shared" si="35"/>
        <v>[Y, N]</v>
      </c>
      <c r="E24" s="68" t="str">
        <f t="shared" si="36"/>
        <v>[Y, Y]</v>
      </c>
      <c r="F24" s="69" t="str">
        <f t="shared" si="37"/>
        <v>[Y, N]</v>
      </c>
      <c r="G24" t="s">
        <v>225</v>
      </c>
      <c r="H24">
        <v>2</v>
      </c>
      <c r="I24" s="87">
        <v>1</v>
      </c>
      <c r="J24" t="s">
        <v>44</v>
      </c>
      <c r="M24" s="9"/>
      <c r="N24" t="s">
        <v>226</v>
      </c>
      <c r="O24">
        <v>0</v>
      </c>
      <c r="P24" s="2">
        <v>42250.230729166666</v>
      </c>
      <c r="Q24" s="2">
        <v>42250.248240740744</v>
      </c>
      <c r="R24">
        <v>1</v>
      </c>
      <c r="S24" s="8">
        <v>1</v>
      </c>
      <c r="T24" s="10"/>
      <c r="U24">
        <v>1</v>
      </c>
      <c r="V24" s="8">
        <v>100</v>
      </c>
      <c r="W24" s="9">
        <v>100</v>
      </c>
      <c r="X24" s="9">
        <v>100</v>
      </c>
      <c r="Y24" s="9">
        <v>100</v>
      </c>
      <c r="Z24" s="11" t="s">
        <v>227</v>
      </c>
      <c r="AA24" s="8">
        <v>4</v>
      </c>
      <c r="AB24" s="9">
        <v>100</v>
      </c>
      <c r="AC24" s="9">
        <v>3</v>
      </c>
      <c r="AD24" s="9">
        <v>0</v>
      </c>
      <c r="AE24" s="9">
        <v>100</v>
      </c>
      <c r="AF24" s="9">
        <v>0</v>
      </c>
      <c r="AG24" s="10" t="s">
        <v>228</v>
      </c>
      <c r="AH24" s="8">
        <v>2</v>
      </c>
      <c r="AI24" s="9">
        <v>3</v>
      </c>
      <c r="AJ24" s="9">
        <v>4</v>
      </c>
      <c r="AK24" s="9">
        <v>100</v>
      </c>
      <c r="AL24" s="9">
        <v>0</v>
      </c>
      <c r="AM24" s="9">
        <v>0</v>
      </c>
      <c r="AN24" s="9">
        <v>0</v>
      </c>
      <c r="AO24" s="9">
        <v>100</v>
      </c>
      <c r="AP24" s="11" t="s">
        <v>229</v>
      </c>
      <c r="AQ24" s="8">
        <v>4</v>
      </c>
      <c r="AR24" s="9">
        <v>100</v>
      </c>
      <c r="AS24" s="9">
        <v>3</v>
      </c>
      <c r="AT24" s="9">
        <v>3</v>
      </c>
      <c r="AU24" s="9">
        <v>0</v>
      </c>
      <c r="AV24" s="9">
        <v>100</v>
      </c>
      <c r="AW24" s="9">
        <v>0</v>
      </c>
      <c r="AX24" s="9">
        <v>0</v>
      </c>
      <c r="AY24" s="10" t="s">
        <v>230</v>
      </c>
      <c r="AZ24" s="8">
        <v>4</v>
      </c>
      <c r="BA24" s="9">
        <v>100</v>
      </c>
      <c r="BB24" s="9">
        <v>3</v>
      </c>
      <c r="BC24" s="9">
        <v>2</v>
      </c>
      <c r="BD24" s="9">
        <v>100</v>
      </c>
      <c r="BE24" s="9">
        <v>100</v>
      </c>
      <c r="BF24" s="9">
        <v>0</v>
      </c>
      <c r="BG24" s="9">
        <v>0</v>
      </c>
      <c r="BH24" s="10" t="s">
        <v>231</v>
      </c>
      <c r="BI24" s="8">
        <v>100</v>
      </c>
      <c r="BJ24" s="9">
        <v>4</v>
      </c>
      <c r="BK24" s="9">
        <v>2</v>
      </c>
      <c r="BL24" s="9">
        <v>4</v>
      </c>
      <c r="BM24" s="9">
        <v>100</v>
      </c>
      <c r="BN24" s="9">
        <v>0</v>
      </c>
      <c r="BO24" s="9">
        <v>0</v>
      </c>
      <c r="BP24" s="9">
        <v>0</v>
      </c>
      <c r="BQ24" s="10" t="s">
        <v>232</v>
      </c>
      <c r="BR24" s="8" t="s">
        <v>233</v>
      </c>
      <c r="BS24" s="10">
        <v>50.633895874022997</v>
      </c>
      <c r="BT24">
        <v>-4.3643951416015998</v>
      </c>
      <c r="BU24">
        <v>-1</v>
      </c>
      <c r="BV24" s="123">
        <f t="shared" si="11"/>
        <v>0.5</v>
      </c>
      <c r="BW24" s="123">
        <f t="shared" si="12"/>
        <v>0.5</v>
      </c>
      <c r="BX24" s="123">
        <f t="shared" si="13"/>
        <v>0</v>
      </c>
      <c r="BY24" s="123">
        <f t="shared" si="14"/>
        <v>1</v>
      </c>
      <c r="BZ24" s="123">
        <f t="shared" si="15"/>
        <v>0</v>
      </c>
      <c r="CA24" s="123">
        <f t="shared" si="16"/>
        <v>0</v>
      </c>
      <c r="CB24" s="123">
        <f t="shared" si="17"/>
        <v>0</v>
      </c>
      <c r="CC24" s="123">
        <f t="shared" si="18"/>
        <v>0</v>
      </c>
      <c r="CD24" s="123">
        <f t="shared" si="19"/>
        <v>1</v>
      </c>
      <c r="CE24" s="123">
        <f t="shared" si="20"/>
        <v>0</v>
      </c>
      <c r="CF24" s="123">
        <f t="shared" si="21"/>
        <v>1</v>
      </c>
      <c r="CG24" s="123">
        <f t="shared" si="22"/>
        <v>0</v>
      </c>
      <c r="CH24" s="123">
        <f t="shared" si="23"/>
        <v>0</v>
      </c>
      <c r="CI24" s="123">
        <f t="shared" si="24"/>
        <v>0.5</v>
      </c>
      <c r="CJ24" s="123">
        <f t="shared" si="25"/>
        <v>0.5</v>
      </c>
      <c r="CK24" s="123">
        <f t="shared" si="26"/>
        <v>0</v>
      </c>
      <c r="CL24" s="123">
        <f t="shared" si="27"/>
        <v>0</v>
      </c>
      <c r="CM24" s="123">
        <f t="shared" si="28"/>
        <v>1</v>
      </c>
      <c r="CN24" s="123">
        <f t="shared" si="29"/>
        <v>0</v>
      </c>
      <c r="CO24" s="123">
        <f t="shared" si="30"/>
        <v>0</v>
      </c>
      <c r="CP24" s="123">
        <f t="shared" si="31"/>
        <v>0</v>
      </c>
    </row>
    <row r="25" spans="1:94" x14ac:dyDescent="0.25">
      <c r="A25" s="67" t="str">
        <f t="shared" si="32"/>
        <v>[Y, Y]</v>
      </c>
      <c r="B25" s="68" t="str">
        <f t="shared" si="33"/>
        <v>[Y, Y]</v>
      </c>
      <c r="C25" s="68" t="str">
        <f t="shared" si="34"/>
        <v>[Y, Y]</v>
      </c>
      <c r="D25" s="68" t="str">
        <f t="shared" si="35"/>
        <v>[N, N]</v>
      </c>
      <c r="E25" s="68" t="str">
        <f t="shared" si="36"/>
        <v>[N, N]</v>
      </c>
      <c r="F25" s="69" t="str">
        <f t="shared" si="37"/>
        <v>[N, N]</v>
      </c>
      <c r="G25" t="s">
        <v>234</v>
      </c>
      <c r="H25">
        <v>3</v>
      </c>
      <c r="I25" s="87">
        <v>1</v>
      </c>
      <c r="J25" t="s">
        <v>44</v>
      </c>
      <c r="M25" s="9"/>
      <c r="N25" t="s">
        <v>235</v>
      </c>
      <c r="O25">
        <v>0</v>
      </c>
      <c r="P25" s="2">
        <v>42243.508113425924</v>
      </c>
      <c r="Q25" s="2">
        <v>42243.582361111112</v>
      </c>
      <c r="R25">
        <v>0</v>
      </c>
      <c r="S25" s="8">
        <v>1</v>
      </c>
      <c r="T25" s="10"/>
      <c r="U25">
        <v>1</v>
      </c>
      <c r="V25" s="8">
        <v>100</v>
      </c>
      <c r="W25" s="9">
        <v>4</v>
      </c>
      <c r="X25" s="9">
        <v>75</v>
      </c>
      <c r="Y25" s="9">
        <v>100</v>
      </c>
      <c r="Z25" s="11" t="s">
        <v>236</v>
      </c>
      <c r="AA25" s="8">
        <v>3</v>
      </c>
      <c r="AB25" s="9">
        <v>100</v>
      </c>
      <c r="AC25" s="9">
        <v>4</v>
      </c>
      <c r="AD25" s="9">
        <v>50</v>
      </c>
      <c r="AE25" s="9">
        <v>100</v>
      </c>
      <c r="AF25" s="9">
        <v>51</v>
      </c>
      <c r="AG25" s="10" t="s">
        <v>237</v>
      </c>
      <c r="AH25" s="8">
        <v>3</v>
      </c>
      <c r="AI25" s="9">
        <v>4</v>
      </c>
      <c r="AJ25" s="9">
        <v>100</v>
      </c>
      <c r="AK25" s="9">
        <v>2</v>
      </c>
      <c r="AL25" s="9">
        <v>50</v>
      </c>
      <c r="AM25" s="9">
        <v>90</v>
      </c>
      <c r="AN25" s="9">
        <v>100</v>
      </c>
      <c r="AO25" s="9">
        <v>50</v>
      </c>
      <c r="AP25" s="11"/>
      <c r="AQ25" s="8"/>
      <c r="AR25" s="9"/>
      <c r="AS25" s="9"/>
      <c r="AT25" s="9"/>
      <c r="AU25" s="9"/>
      <c r="AV25" s="9"/>
      <c r="AW25" s="9"/>
      <c r="AX25" s="9"/>
      <c r="AY25" s="10"/>
      <c r="AZ25" s="8"/>
      <c r="BA25" s="9"/>
      <c r="BB25" s="9"/>
      <c r="BC25" s="9"/>
      <c r="BD25" s="9"/>
      <c r="BE25" s="9"/>
      <c r="BF25" s="9"/>
      <c r="BG25" s="9"/>
      <c r="BH25" s="10"/>
      <c r="BI25" s="8"/>
      <c r="BJ25" s="9"/>
      <c r="BK25" s="9"/>
      <c r="BL25" s="9"/>
      <c r="BM25" s="9"/>
      <c r="BN25" s="9"/>
      <c r="BO25" s="9"/>
      <c r="BP25" s="9"/>
      <c r="BQ25" s="10"/>
      <c r="BR25" s="8"/>
      <c r="BS25" s="10"/>
      <c r="BU25">
        <v>-1</v>
      </c>
      <c r="BV25" s="123">
        <f t="shared" si="11"/>
        <v>0.42857142857142855</v>
      </c>
      <c r="BW25" s="123">
        <f t="shared" si="12"/>
        <v>0.5714285714285714</v>
      </c>
      <c r="BX25" s="123">
        <f t="shared" si="13"/>
        <v>0.24875621890547264</v>
      </c>
      <c r="BY25" s="123">
        <f t="shared" si="14"/>
        <v>0.49751243781094528</v>
      </c>
      <c r="BZ25" s="123">
        <f t="shared" si="15"/>
        <v>0.2537313432835821</v>
      </c>
      <c r="CA25" s="123">
        <f t="shared" si="16"/>
        <v>0.17241379310344829</v>
      </c>
      <c r="CB25" s="123">
        <f t="shared" si="17"/>
        <v>0.31034482758620691</v>
      </c>
      <c r="CC25" s="123">
        <f t="shared" si="18"/>
        <v>0.34482758620689657</v>
      </c>
      <c r="CD25" s="123">
        <f t="shared" si="19"/>
        <v>0.17241379310344829</v>
      </c>
      <c r="CE25" s="123" t="str">
        <f t="shared" si="20"/>
        <v/>
      </c>
      <c r="CF25" s="123" t="str">
        <f t="shared" si="21"/>
        <v/>
      </c>
      <c r="CG25" s="123" t="str">
        <f t="shared" si="22"/>
        <v/>
      </c>
      <c r="CH25" s="123" t="str">
        <f t="shared" si="23"/>
        <v/>
      </c>
      <c r="CI25" s="123" t="str">
        <f t="shared" si="24"/>
        <v/>
      </c>
      <c r="CJ25" s="123" t="str">
        <f t="shared" si="25"/>
        <v/>
      </c>
      <c r="CK25" s="123" t="str">
        <f t="shared" si="26"/>
        <v/>
      </c>
      <c r="CL25" s="123" t="str">
        <f t="shared" si="27"/>
        <v/>
      </c>
      <c r="CM25" s="123" t="str">
        <f t="shared" si="28"/>
        <v/>
      </c>
      <c r="CN25" s="123" t="str">
        <f t="shared" si="29"/>
        <v/>
      </c>
      <c r="CO25" s="123" t="str">
        <f t="shared" si="30"/>
        <v/>
      </c>
      <c r="CP25" s="123" t="str">
        <f t="shared" si="31"/>
        <v/>
      </c>
    </row>
    <row r="26" spans="1:94" s="13" customFormat="1" ht="15.75" thickBot="1" x14ac:dyDescent="0.3">
      <c r="A26" s="75" t="str">
        <f t="shared" si="32"/>
        <v>[Y, Y]</v>
      </c>
      <c r="B26" s="76" t="str">
        <f t="shared" si="33"/>
        <v>[Y, Y]</v>
      </c>
      <c r="C26" s="76" t="str">
        <f t="shared" si="34"/>
        <v>[Y, Y]</v>
      </c>
      <c r="D26" s="76" t="str">
        <f t="shared" si="35"/>
        <v>[Y, Y]</v>
      </c>
      <c r="E26" s="76" t="str">
        <f t="shared" si="36"/>
        <v>[Y, Y]</v>
      </c>
      <c r="F26" s="77" t="str">
        <f t="shared" si="37"/>
        <v>[Y, Y]</v>
      </c>
      <c r="G26" s="13" t="s">
        <v>238</v>
      </c>
      <c r="H26">
        <v>2</v>
      </c>
      <c r="I26" s="71">
        <v>1</v>
      </c>
      <c r="J26" s="13" t="s">
        <v>44</v>
      </c>
      <c r="N26" s="13" t="s">
        <v>239</v>
      </c>
      <c r="O26" s="13">
        <v>0</v>
      </c>
      <c r="P26" s="65">
        <v>42251.42460648148</v>
      </c>
      <c r="Q26" s="65">
        <v>42251.435648148145</v>
      </c>
      <c r="R26" s="13">
        <v>1</v>
      </c>
      <c r="S26" s="12">
        <v>1</v>
      </c>
      <c r="T26" s="14"/>
      <c r="U26" s="13">
        <v>1</v>
      </c>
      <c r="V26" s="12">
        <v>100</v>
      </c>
      <c r="W26" s="13">
        <v>4</v>
      </c>
      <c r="X26" s="13">
        <v>75</v>
      </c>
      <c r="Y26" s="13">
        <v>100</v>
      </c>
      <c r="Z26" s="66" t="s">
        <v>240</v>
      </c>
      <c r="AA26" s="12">
        <v>4</v>
      </c>
      <c r="AB26" s="13">
        <v>3</v>
      </c>
      <c r="AC26" s="13">
        <v>100</v>
      </c>
      <c r="AD26" s="13">
        <v>50</v>
      </c>
      <c r="AE26" s="13">
        <v>10</v>
      </c>
      <c r="AF26" s="13">
        <v>100</v>
      </c>
      <c r="AG26" s="14" t="s">
        <v>241</v>
      </c>
      <c r="AH26" s="12">
        <v>2</v>
      </c>
      <c r="AI26" s="13">
        <v>100</v>
      </c>
      <c r="AJ26" s="13">
        <v>4</v>
      </c>
      <c r="AK26" s="13">
        <v>3</v>
      </c>
      <c r="AL26" s="13">
        <v>25</v>
      </c>
      <c r="AM26" s="13">
        <v>100</v>
      </c>
      <c r="AN26" s="13">
        <v>75</v>
      </c>
      <c r="AO26" s="13">
        <v>50</v>
      </c>
      <c r="AP26" s="66" t="s">
        <v>242</v>
      </c>
      <c r="AQ26" s="12">
        <v>4</v>
      </c>
      <c r="AR26" s="13">
        <v>100</v>
      </c>
      <c r="AS26" s="13">
        <v>3</v>
      </c>
      <c r="AT26" s="13">
        <v>2</v>
      </c>
      <c r="AU26" s="13">
        <v>75</v>
      </c>
      <c r="AV26" s="13">
        <v>100</v>
      </c>
      <c r="AW26" s="13">
        <v>51</v>
      </c>
      <c r="AX26" s="13">
        <v>10</v>
      </c>
      <c r="AY26" s="14" t="s">
        <v>243</v>
      </c>
      <c r="AZ26" s="12">
        <v>4</v>
      </c>
      <c r="BA26" s="13">
        <v>100</v>
      </c>
      <c r="BB26" s="13">
        <v>3</v>
      </c>
      <c r="BC26" s="13">
        <v>2</v>
      </c>
      <c r="BD26" s="13">
        <v>75</v>
      </c>
      <c r="BE26" s="13">
        <v>100</v>
      </c>
      <c r="BF26" s="13">
        <v>50</v>
      </c>
      <c r="BG26" s="13">
        <v>10</v>
      </c>
      <c r="BH26" s="14" t="s">
        <v>244</v>
      </c>
      <c r="BI26" s="12">
        <v>4</v>
      </c>
      <c r="BJ26" s="13">
        <v>100</v>
      </c>
      <c r="BK26" s="13">
        <v>3</v>
      </c>
      <c r="BL26" s="13">
        <v>2</v>
      </c>
      <c r="BM26" s="13">
        <v>75</v>
      </c>
      <c r="BN26" s="13">
        <v>100</v>
      </c>
      <c r="BO26" s="13">
        <v>50</v>
      </c>
      <c r="BP26" s="13">
        <v>10</v>
      </c>
      <c r="BQ26" s="14" t="s">
        <v>245</v>
      </c>
      <c r="BR26" s="12"/>
      <c r="BS26" s="14">
        <v>55.949996948242003</v>
      </c>
      <c r="BT26" s="13">
        <v>-3.1999969482421999</v>
      </c>
      <c r="BU26" s="13">
        <v>-1</v>
      </c>
      <c r="BV26" s="123">
        <f t="shared" si="11"/>
        <v>0.42857142857142855</v>
      </c>
      <c r="BW26" s="123">
        <f t="shared" si="12"/>
        <v>0.5714285714285714</v>
      </c>
      <c r="BX26" s="123">
        <f t="shared" si="13"/>
        <v>0.3125</v>
      </c>
      <c r="BY26" s="123">
        <f t="shared" si="14"/>
        <v>6.25E-2</v>
      </c>
      <c r="BZ26" s="123">
        <f t="shared" si="15"/>
        <v>0.625</v>
      </c>
      <c r="CA26" s="123">
        <f t="shared" si="16"/>
        <v>0.1</v>
      </c>
      <c r="CB26" s="123">
        <f t="shared" si="17"/>
        <v>0.4</v>
      </c>
      <c r="CC26" s="123">
        <f t="shared" si="18"/>
        <v>0.3</v>
      </c>
      <c r="CD26" s="123">
        <f t="shared" si="19"/>
        <v>0.2</v>
      </c>
      <c r="CE26" s="123">
        <f t="shared" si="20"/>
        <v>0.31779661016949151</v>
      </c>
      <c r="CF26" s="123">
        <f t="shared" si="21"/>
        <v>0.42372881355932202</v>
      </c>
      <c r="CG26" s="123">
        <f t="shared" si="22"/>
        <v>0.21610169491525424</v>
      </c>
      <c r="CH26" s="123">
        <f t="shared" si="23"/>
        <v>4.2372881355932202E-2</v>
      </c>
      <c r="CI26" s="123">
        <f t="shared" si="24"/>
        <v>0.31914893617021278</v>
      </c>
      <c r="CJ26" s="123">
        <f t="shared" si="25"/>
        <v>0.42553191489361702</v>
      </c>
      <c r="CK26" s="123">
        <f t="shared" si="26"/>
        <v>0.21276595744680851</v>
      </c>
      <c r="CL26" s="123">
        <f t="shared" si="27"/>
        <v>4.2553191489361701E-2</v>
      </c>
      <c r="CM26" s="123">
        <f t="shared" si="28"/>
        <v>0.31914893617021278</v>
      </c>
      <c r="CN26" s="123">
        <f t="shared" si="29"/>
        <v>0.42553191489361702</v>
      </c>
      <c r="CO26" s="123">
        <f t="shared" si="30"/>
        <v>0.21276595744680851</v>
      </c>
      <c r="CP26" s="123">
        <f t="shared" si="31"/>
        <v>4.2553191489361701E-2</v>
      </c>
    </row>
    <row r="27" spans="1:94" x14ac:dyDescent="0.25">
      <c r="A27" s="67" t="str">
        <f t="shared" si="32"/>
        <v>[Y, Y]</v>
      </c>
      <c r="B27" s="68" t="str">
        <f t="shared" si="33"/>
        <v>[Y, Y]</v>
      </c>
      <c r="C27" s="68" t="str">
        <f t="shared" si="34"/>
        <v>[Y, Y]</v>
      </c>
      <c r="D27" s="68" t="str">
        <f t="shared" si="35"/>
        <v>[Y, Y]</v>
      </c>
      <c r="E27" s="68" t="str">
        <f t="shared" si="36"/>
        <v>[Y, Y]</v>
      </c>
      <c r="F27" s="69" t="str">
        <f t="shared" si="37"/>
        <v>[Y, Y]</v>
      </c>
      <c r="G27" t="s">
        <v>246</v>
      </c>
      <c r="H27">
        <v>3</v>
      </c>
      <c r="I27" s="87">
        <v>3</v>
      </c>
      <c r="J27" t="s">
        <v>44</v>
      </c>
      <c r="M27" s="9"/>
      <c r="N27" t="s">
        <v>247</v>
      </c>
      <c r="O27">
        <v>0</v>
      </c>
      <c r="P27" s="2">
        <v>42253.481226851851</v>
      </c>
      <c r="Q27" s="2">
        <v>42253.488368055558</v>
      </c>
      <c r="R27">
        <v>1</v>
      </c>
      <c r="S27" s="8">
        <v>3</v>
      </c>
      <c r="T27" s="10" t="s">
        <v>248</v>
      </c>
      <c r="U27">
        <v>1</v>
      </c>
      <c r="V27" s="8">
        <v>4</v>
      </c>
      <c r="W27" s="9">
        <v>100</v>
      </c>
      <c r="X27" s="27">
        <f>IF(MAX($X121:$Y121)=X121,100,X121/MAX($X121:$Y121)*100)</f>
        <v>100</v>
      </c>
      <c r="Y27" s="27">
        <f>IF(MAX($X121:$Y121)=Y121,100,Y121/MAX($X121:$Y121)*100)</f>
        <v>67.796610169491515</v>
      </c>
      <c r="Z27" s="11" t="s">
        <v>249</v>
      </c>
      <c r="AA27" s="8">
        <v>4</v>
      </c>
      <c r="AB27" s="9">
        <v>100</v>
      </c>
      <c r="AC27" s="9">
        <v>3</v>
      </c>
      <c r="AD27" s="27">
        <f>IF(MAX($AD121:$AF121)=AD121,100,AD121/MAX($AD121:$AF121)*100)</f>
        <v>73.75</v>
      </c>
      <c r="AE27" s="27">
        <f>IF(MAX($AD121:$AF121)=AE121,100,AE121/MAX($AD121:$AF121)*100)</f>
        <v>100</v>
      </c>
      <c r="AF27" s="27">
        <f>IF(MAX($AD121:$AF121)=AF121,100,AF121/MAX($AD121:$AF121)*100)</f>
        <v>36.25</v>
      </c>
      <c r="AG27" s="10" t="s">
        <v>250</v>
      </c>
      <c r="AH27" s="8">
        <v>100</v>
      </c>
      <c r="AI27" s="9">
        <v>100</v>
      </c>
      <c r="AJ27" s="9">
        <v>100</v>
      </c>
      <c r="AK27" s="9">
        <v>4</v>
      </c>
      <c r="AL27" s="9">
        <v>100</v>
      </c>
      <c r="AM27" s="9">
        <v>100</v>
      </c>
      <c r="AN27" s="9">
        <v>100</v>
      </c>
      <c r="AO27" s="9">
        <v>71</v>
      </c>
      <c r="AP27" s="11" t="s">
        <v>251</v>
      </c>
      <c r="AQ27" s="8">
        <v>100</v>
      </c>
      <c r="AR27" s="9">
        <v>4</v>
      </c>
      <c r="AS27" s="9">
        <v>3</v>
      </c>
      <c r="AT27" s="9">
        <v>4</v>
      </c>
      <c r="AU27" s="9">
        <v>100</v>
      </c>
      <c r="AV27" s="9">
        <v>79</v>
      </c>
      <c r="AW27" s="9">
        <v>50</v>
      </c>
      <c r="AX27" s="9">
        <v>90</v>
      </c>
      <c r="AY27" s="10"/>
      <c r="AZ27" s="8">
        <v>100</v>
      </c>
      <c r="BA27" s="9">
        <v>4</v>
      </c>
      <c r="BB27" s="9">
        <v>3</v>
      </c>
      <c r="BC27" s="9">
        <v>4</v>
      </c>
      <c r="BD27" s="9">
        <v>100</v>
      </c>
      <c r="BE27" s="9">
        <v>80</v>
      </c>
      <c r="BF27" s="9">
        <v>60</v>
      </c>
      <c r="BG27" s="9">
        <v>80</v>
      </c>
      <c r="BH27" s="10"/>
      <c r="BI27" s="8">
        <v>4</v>
      </c>
      <c r="BJ27" s="9">
        <v>100</v>
      </c>
      <c r="BK27" s="9">
        <v>3</v>
      </c>
      <c r="BL27" s="9">
        <v>100</v>
      </c>
      <c r="BM27" s="9">
        <v>80</v>
      </c>
      <c r="BN27" s="9">
        <v>90</v>
      </c>
      <c r="BO27" s="9">
        <v>60</v>
      </c>
      <c r="BP27" s="9">
        <v>100</v>
      </c>
      <c r="BQ27" s="10"/>
      <c r="BR27" s="8"/>
      <c r="BS27" s="10">
        <v>55.675903320312003</v>
      </c>
      <c r="BT27">
        <v>12.565505981445</v>
      </c>
      <c r="BU27">
        <v>-1</v>
      </c>
      <c r="BV27" s="123">
        <f t="shared" si="11"/>
        <v>0.59595959595959602</v>
      </c>
      <c r="BW27" s="123">
        <f t="shared" si="12"/>
        <v>0.40404040404040398</v>
      </c>
      <c r="BX27" s="123">
        <f t="shared" si="13"/>
        <v>0.35119047619047616</v>
      </c>
      <c r="BY27" s="123">
        <f t="shared" si="14"/>
        <v>0.47619047619047616</v>
      </c>
      <c r="BZ27" s="123">
        <f t="shared" si="15"/>
        <v>0.17261904761904762</v>
      </c>
      <c r="CA27" s="123">
        <f t="shared" si="16"/>
        <v>0.26954177897574122</v>
      </c>
      <c r="CB27" s="123">
        <f t="shared" si="17"/>
        <v>0.26954177897574122</v>
      </c>
      <c r="CC27" s="123">
        <f t="shared" si="18"/>
        <v>0.26954177897574122</v>
      </c>
      <c r="CD27" s="123">
        <f t="shared" si="19"/>
        <v>0.19137466307277629</v>
      </c>
      <c r="CE27" s="123">
        <f t="shared" si="20"/>
        <v>0.31347962382445144</v>
      </c>
      <c r="CF27" s="123">
        <f t="shared" si="21"/>
        <v>0.2476489028213166</v>
      </c>
      <c r="CG27" s="123">
        <f t="shared" si="22"/>
        <v>0.15673981191222572</v>
      </c>
      <c r="CH27" s="123">
        <f t="shared" si="23"/>
        <v>0.28213166144200624</v>
      </c>
      <c r="CI27" s="123">
        <f t="shared" si="24"/>
        <v>0.3125</v>
      </c>
      <c r="CJ27" s="123">
        <f t="shared" si="25"/>
        <v>0.25</v>
      </c>
      <c r="CK27" s="123">
        <f t="shared" si="26"/>
        <v>0.1875</v>
      </c>
      <c r="CL27" s="123">
        <f t="shared" si="27"/>
        <v>0.25</v>
      </c>
      <c r="CM27" s="123">
        <f t="shared" si="28"/>
        <v>0.24242424242424243</v>
      </c>
      <c r="CN27" s="123">
        <f t="shared" si="29"/>
        <v>0.27272727272727271</v>
      </c>
      <c r="CO27" s="123">
        <f t="shared" si="30"/>
        <v>0.18181818181818182</v>
      </c>
      <c r="CP27" s="123">
        <f t="shared" si="31"/>
        <v>0.30303030303030304</v>
      </c>
    </row>
    <row r="28" spans="1:94" x14ac:dyDescent="0.25">
      <c r="A28" s="67" t="str">
        <f t="shared" si="32"/>
        <v>[N, N]</v>
      </c>
      <c r="B28" s="68" t="str">
        <f t="shared" si="33"/>
        <v>[N, N]</v>
      </c>
      <c r="C28" s="68" t="str">
        <f t="shared" si="34"/>
        <v>[N, N]</v>
      </c>
      <c r="D28" s="68" t="str">
        <f t="shared" si="35"/>
        <v>[N, N]</v>
      </c>
      <c r="E28" s="68" t="str">
        <f t="shared" si="36"/>
        <v>[N, N]</v>
      </c>
      <c r="F28" s="69" t="str">
        <f t="shared" si="37"/>
        <v>[N, N]</v>
      </c>
      <c r="G28" t="s">
        <v>252</v>
      </c>
      <c r="H28">
        <v>2</v>
      </c>
      <c r="I28" s="87">
        <v>3</v>
      </c>
      <c r="J28" t="s">
        <v>44</v>
      </c>
      <c r="M28" s="9"/>
      <c r="N28" t="s">
        <v>253</v>
      </c>
      <c r="O28">
        <v>0</v>
      </c>
      <c r="P28" s="2">
        <v>42253.669027777774</v>
      </c>
      <c r="Q28" s="2">
        <v>42253.679328703707</v>
      </c>
      <c r="R28">
        <v>1</v>
      </c>
      <c r="S28" s="8">
        <v>3</v>
      </c>
      <c r="T28" s="10" t="s">
        <v>254</v>
      </c>
      <c r="U28">
        <v>1</v>
      </c>
      <c r="V28" s="8">
        <v>100</v>
      </c>
      <c r="W28" s="9">
        <v>4</v>
      </c>
      <c r="X28" s="9"/>
      <c r="Y28" s="9"/>
      <c r="Z28" s="11" t="s">
        <v>255</v>
      </c>
      <c r="AA28" s="8">
        <v>3</v>
      </c>
      <c r="AB28" s="9">
        <v>4</v>
      </c>
      <c r="AC28" s="9">
        <v>100</v>
      </c>
      <c r="AD28" s="9"/>
      <c r="AE28" s="9"/>
      <c r="AF28" s="9"/>
      <c r="AG28" s="10" t="s">
        <v>256</v>
      </c>
      <c r="AH28" s="8">
        <v>2</v>
      </c>
      <c r="AI28" s="9">
        <v>100</v>
      </c>
      <c r="AJ28" s="9">
        <v>4</v>
      </c>
      <c r="AK28" s="9">
        <v>3</v>
      </c>
      <c r="AL28" s="9"/>
      <c r="AM28" s="9"/>
      <c r="AN28" s="9"/>
      <c r="AO28" s="9"/>
      <c r="AP28" s="11" t="s">
        <v>257</v>
      </c>
      <c r="AQ28" s="8">
        <v>3</v>
      </c>
      <c r="AR28" s="9">
        <v>100</v>
      </c>
      <c r="AS28" s="9">
        <v>2</v>
      </c>
      <c r="AT28" s="9">
        <v>4</v>
      </c>
      <c r="AU28" s="9"/>
      <c r="AV28" s="9"/>
      <c r="AW28" s="9"/>
      <c r="AX28" s="9"/>
      <c r="AY28" s="10" t="s">
        <v>258</v>
      </c>
      <c r="AZ28" s="8">
        <v>2</v>
      </c>
      <c r="BA28" s="9">
        <v>100</v>
      </c>
      <c r="BB28" s="9">
        <v>3</v>
      </c>
      <c r="BC28" s="9">
        <v>4</v>
      </c>
      <c r="BD28" s="9"/>
      <c r="BE28" s="9"/>
      <c r="BF28" s="9"/>
      <c r="BG28" s="9"/>
      <c r="BH28" s="10" t="s">
        <v>259</v>
      </c>
      <c r="BI28" s="8">
        <v>2</v>
      </c>
      <c r="BJ28" s="9">
        <v>100</v>
      </c>
      <c r="BK28" s="9">
        <v>3</v>
      </c>
      <c r="BL28" s="9">
        <v>4</v>
      </c>
      <c r="BM28" s="9"/>
      <c r="BN28" s="9"/>
      <c r="BO28" s="9"/>
      <c r="BP28" s="9"/>
      <c r="BQ28" s="10" t="s">
        <v>259</v>
      </c>
      <c r="BR28" s="8" t="s">
        <v>260</v>
      </c>
      <c r="BS28" s="10">
        <v>52.36669921875</v>
      </c>
      <c r="BT28">
        <v>4.8999938964843999</v>
      </c>
      <c r="BU28">
        <v>-1</v>
      </c>
      <c r="BV28" s="123" t="str">
        <f t="shared" si="11"/>
        <v/>
      </c>
      <c r="BW28" s="123" t="str">
        <f t="shared" si="12"/>
        <v/>
      </c>
      <c r="BX28" s="123" t="str">
        <f t="shared" si="13"/>
        <v/>
      </c>
      <c r="BY28" s="123" t="str">
        <f t="shared" si="14"/>
        <v/>
      </c>
      <c r="BZ28" s="123" t="str">
        <f t="shared" si="15"/>
        <v/>
      </c>
      <c r="CA28" s="123" t="str">
        <f t="shared" si="16"/>
        <v/>
      </c>
      <c r="CB28" s="123" t="str">
        <f t="shared" si="17"/>
        <v/>
      </c>
      <c r="CC28" s="123" t="str">
        <f t="shared" si="18"/>
        <v/>
      </c>
      <c r="CD28" s="123" t="str">
        <f t="shared" si="19"/>
        <v/>
      </c>
      <c r="CE28" s="123" t="str">
        <f t="shared" si="20"/>
        <v/>
      </c>
      <c r="CF28" s="123" t="str">
        <f t="shared" si="21"/>
        <v/>
      </c>
      <c r="CG28" s="123" t="str">
        <f t="shared" si="22"/>
        <v/>
      </c>
      <c r="CH28" s="123" t="str">
        <f t="shared" si="23"/>
        <v/>
      </c>
      <c r="CI28" s="123" t="str">
        <f t="shared" si="24"/>
        <v/>
      </c>
      <c r="CJ28" s="123" t="str">
        <f t="shared" si="25"/>
        <v/>
      </c>
      <c r="CK28" s="123" t="str">
        <f t="shared" si="26"/>
        <v/>
      </c>
      <c r="CL28" s="123" t="str">
        <f t="shared" si="27"/>
        <v/>
      </c>
      <c r="CM28" s="123" t="str">
        <f t="shared" si="28"/>
        <v/>
      </c>
      <c r="CN28" s="123" t="str">
        <f t="shared" si="29"/>
        <v/>
      </c>
      <c r="CO28" s="123" t="str">
        <f t="shared" si="30"/>
        <v/>
      </c>
      <c r="CP28" s="123" t="str">
        <f t="shared" si="31"/>
        <v/>
      </c>
    </row>
    <row r="29" spans="1:94" x14ac:dyDescent="0.25">
      <c r="A29" s="67" t="str">
        <f t="shared" si="32"/>
        <v>[Y, Y]</v>
      </c>
      <c r="B29" s="68" t="str">
        <f t="shared" si="33"/>
        <v>[Y, Y]</v>
      </c>
      <c r="C29" s="68" t="str">
        <f t="shared" si="34"/>
        <v>[Y, Y]</v>
      </c>
      <c r="D29" s="68" t="str">
        <f t="shared" si="35"/>
        <v>[Y, Y]</v>
      </c>
      <c r="E29" s="68" t="str">
        <f t="shared" si="36"/>
        <v>[Y, Y]</v>
      </c>
      <c r="F29" s="69" t="str">
        <f t="shared" si="37"/>
        <v>[Y, Y]</v>
      </c>
      <c r="G29" t="s">
        <v>261</v>
      </c>
      <c r="H29">
        <v>3</v>
      </c>
      <c r="I29" s="87">
        <v>1</v>
      </c>
      <c r="J29" t="s">
        <v>44</v>
      </c>
      <c r="M29" s="9"/>
      <c r="N29" t="s">
        <v>262</v>
      </c>
      <c r="O29">
        <v>0</v>
      </c>
      <c r="P29" s="2">
        <v>42261.19332175926</v>
      </c>
      <c r="Q29" s="2">
        <v>42261.205347222225</v>
      </c>
      <c r="R29">
        <v>1</v>
      </c>
      <c r="S29" s="8">
        <v>1</v>
      </c>
      <c r="T29" s="10"/>
      <c r="U29">
        <v>1</v>
      </c>
      <c r="V29" s="8">
        <v>100</v>
      </c>
      <c r="W29" s="9">
        <v>100</v>
      </c>
      <c r="X29" s="9">
        <v>100</v>
      </c>
      <c r="Y29" s="9">
        <v>100</v>
      </c>
      <c r="Z29" s="11" t="s">
        <v>263</v>
      </c>
      <c r="AA29" s="8">
        <v>4</v>
      </c>
      <c r="AB29" s="9">
        <v>100</v>
      </c>
      <c r="AC29" s="9">
        <v>4</v>
      </c>
      <c r="AD29" s="9">
        <v>60</v>
      </c>
      <c r="AE29" s="9">
        <v>100</v>
      </c>
      <c r="AF29" s="9">
        <v>60</v>
      </c>
      <c r="AG29" s="10"/>
      <c r="AH29" s="8">
        <v>4</v>
      </c>
      <c r="AI29" s="9">
        <v>100</v>
      </c>
      <c r="AJ29" s="9">
        <v>4</v>
      </c>
      <c r="AK29" s="9">
        <v>100</v>
      </c>
      <c r="AL29" s="9">
        <v>60</v>
      </c>
      <c r="AM29" s="9">
        <v>100</v>
      </c>
      <c r="AN29" s="9">
        <v>60</v>
      </c>
      <c r="AO29" s="9">
        <v>100</v>
      </c>
      <c r="AP29" s="11"/>
      <c r="AQ29" s="8">
        <v>100</v>
      </c>
      <c r="AR29" s="9">
        <v>100</v>
      </c>
      <c r="AS29" s="9">
        <v>2</v>
      </c>
      <c r="AT29" s="9">
        <v>3</v>
      </c>
      <c r="AU29" s="9">
        <v>100</v>
      </c>
      <c r="AV29" s="9">
        <v>100</v>
      </c>
      <c r="AW29" s="9">
        <v>40</v>
      </c>
      <c r="AX29" s="9">
        <v>80</v>
      </c>
      <c r="AY29" s="10"/>
      <c r="AZ29" s="8">
        <v>100</v>
      </c>
      <c r="BA29" s="9">
        <v>4</v>
      </c>
      <c r="BB29" s="9">
        <v>3</v>
      </c>
      <c r="BC29" s="9">
        <v>4</v>
      </c>
      <c r="BD29" s="9">
        <v>100</v>
      </c>
      <c r="BE29" s="9">
        <v>70</v>
      </c>
      <c r="BF29" s="9">
        <v>40</v>
      </c>
      <c r="BG29" s="9">
        <v>70</v>
      </c>
      <c r="BH29" s="10"/>
      <c r="BI29" s="8">
        <v>100</v>
      </c>
      <c r="BJ29" s="9">
        <v>4</v>
      </c>
      <c r="BK29" s="9">
        <v>3</v>
      </c>
      <c r="BL29" s="9">
        <v>3</v>
      </c>
      <c r="BM29" s="9">
        <v>100</v>
      </c>
      <c r="BN29" s="9">
        <v>60</v>
      </c>
      <c r="BO29" s="9">
        <v>40</v>
      </c>
      <c r="BP29" s="9">
        <v>40</v>
      </c>
      <c r="BQ29" s="10"/>
      <c r="BR29" s="8"/>
      <c r="BS29" s="10">
        <v>55.77180480957</v>
      </c>
      <c r="BT29">
        <v>12.505996704101999</v>
      </c>
      <c r="BU29">
        <v>-1</v>
      </c>
      <c r="BV29" s="123">
        <f t="shared" si="11"/>
        <v>0.5</v>
      </c>
      <c r="BW29" s="123">
        <f t="shared" si="12"/>
        <v>0.5</v>
      </c>
      <c r="BX29" s="123">
        <f t="shared" si="13"/>
        <v>0.27272727272727271</v>
      </c>
      <c r="BY29" s="123">
        <f t="shared" si="14"/>
        <v>0.45454545454545453</v>
      </c>
      <c r="BZ29" s="123">
        <f t="shared" si="15"/>
        <v>0.27272727272727271</v>
      </c>
      <c r="CA29" s="123">
        <f t="shared" si="16"/>
        <v>0.1875</v>
      </c>
      <c r="CB29" s="123">
        <f t="shared" si="17"/>
        <v>0.3125</v>
      </c>
      <c r="CC29" s="123">
        <f t="shared" si="18"/>
        <v>0.1875</v>
      </c>
      <c r="CD29" s="123">
        <f t="shared" si="19"/>
        <v>0.3125</v>
      </c>
      <c r="CE29" s="123">
        <f t="shared" si="20"/>
        <v>0.3125</v>
      </c>
      <c r="CF29" s="123">
        <f t="shared" si="21"/>
        <v>0.3125</v>
      </c>
      <c r="CG29" s="123">
        <f t="shared" si="22"/>
        <v>0.125</v>
      </c>
      <c r="CH29" s="123">
        <f t="shared" si="23"/>
        <v>0.25</v>
      </c>
      <c r="CI29" s="123">
        <f t="shared" si="24"/>
        <v>0.35714285714285715</v>
      </c>
      <c r="CJ29" s="123">
        <f t="shared" si="25"/>
        <v>0.25</v>
      </c>
      <c r="CK29" s="123">
        <f t="shared" si="26"/>
        <v>0.14285714285714285</v>
      </c>
      <c r="CL29" s="123">
        <f t="shared" si="27"/>
        <v>0.25</v>
      </c>
      <c r="CM29" s="123">
        <f t="shared" si="28"/>
        <v>0.41666666666666669</v>
      </c>
      <c r="CN29" s="123">
        <f t="shared" si="29"/>
        <v>0.25</v>
      </c>
      <c r="CO29" s="123">
        <f t="shared" si="30"/>
        <v>0.16666666666666666</v>
      </c>
      <c r="CP29" s="123">
        <f t="shared" si="31"/>
        <v>0.16666666666666666</v>
      </c>
    </row>
    <row r="30" spans="1:94" s="13" customFormat="1" ht="15.75" thickBot="1" x14ac:dyDescent="0.3">
      <c r="A30" s="75" t="str">
        <f t="shared" si="32"/>
        <v>[Y, Y]</v>
      </c>
      <c r="B30" s="76" t="str">
        <f t="shared" si="33"/>
        <v>[Y, Y]</v>
      </c>
      <c r="C30" s="76" t="str">
        <f t="shared" si="34"/>
        <v>[Y, Y]</v>
      </c>
      <c r="D30" s="76" t="str">
        <f t="shared" si="35"/>
        <v>[Y, Y]</v>
      </c>
      <c r="E30" s="76" t="str">
        <f t="shared" si="36"/>
        <v>[Y, Y]</v>
      </c>
      <c r="F30" s="77" t="str">
        <f t="shared" si="37"/>
        <v>[Y, Y]</v>
      </c>
      <c r="G30" s="13" t="s">
        <v>264</v>
      </c>
      <c r="H30">
        <v>2</v>
      </c>
      <c r="I30" s="71">
        <v>1</v>
      </c>
      <c r="J30" s="13" t="s">
        <v>44</v>
      </c>
      <c r="N30" s="13" t="s">
        <v>265</v>
      </c>
      <c r="O30" s="13">
        <v>0</v>
      </c>
      <c r="P30" s="65">
        <v>42263.654305555552</v>
      </c>
      <c r="Q30" s="65">
        <v>42263.658634259256</v>
      </c>
      <c r="R30" s="13">
        <v>1</v>
      </c>
      <c r="S30" s="12">
        <v>1</v>
      </c>
      <c r="T30" s="14"/>
      <c r="U30" s="13">
        <v>1</v>
      </c>
      <c r="V30" s="12">
        <v>100</v>
      </c>
      <c r="W30" s="13">
        <v>4</v>
      </c>
      <c r="X30" s="13">
        <v>80</v>
      </c>
      <c r="Y30" s="13">
        <v>100</v>
      </c>
      <c r="Z30" s="66"/>
      <c r="AA30" s="12">
        <v>100</v>
      </c>
      <c r="AB30" s="13">
        <v>4</v>
      </c>
      <c r="AC30" s="13">
        <v>3</v>
      </c>
      <c r="AD30" s="13">
        <v>100</v>
      </c>
      <c r="AE30" s="13">
        <v>81</v>
      </c>
      <c r="AF30" s="13">
        <v>72</v>
      </c>
      <c r="AG30" s="14"/>
      <c r="AH30" s="12">
        <v>100</v>
      </c>
      <c r="AI30" s="13">
        <v>3</v>
      </c>
      <c r="AJ30" s="13">
        <v>2</v>
      </c>
      <c r="AK30" s="13">
        <v>4</v>
      </c>
      <c r="AL30" s="13">
        <v>100</v>
      </c>
      <c r="AM30" s="13">
        <v>70</v>
      </c>
      <c r="AN30" s="13">
        <v>51</v>
      </c>
      <c r="AO30" s="13">
        <v>80</v>
      </c>
      <c r="AP30" s="66"/>
      <c r="AQ30" s="12">
        <v>3</v>
      </c>
      <c r="AR30" s="13">
        <v>100</v>
      </c>
      <c r="AS30" s="13">
        <v>2</v>
      </c>
      <c r="AT30" s="13">
        <v>4</v>
      </c>
      <c r="AU30" s="13">
        <v>63</v>
      </c>
      <c r="AV30" s="13">
        <v>100</v>
      </c>
      <c r="AW30" s="13">
        <v>43</v>
      </c>
      <c r="AX30" s="13">
        <v>82</v>
      </c>
      <c r="AY30" s="14"/>
      <c r="AZ30" s="12">
        <v>4</v>
      </c>
      <c r="BA30" s="13">
        <v>100</v>
      </c>
      <c r="BB30" s="13">
        <v>2</v>
      </c>
      <c r="BC30" s="13">
        <v>3</v>
      </c>
      <c r="BD30" s="13">
        <v>82</v>
      </c>
      <c r="BE30" s="13">
        <v>100</v>
      </c>
      <c r="BF30" s="13">
        <v>52</v>
      </c>
      <c r="BG30" s="13">
        <v>72</v>
      </c>
      <c r="BH30" s="14"/>
      <c r="BI30" s="12">
        <v>100</v>
      </c>
      <c r="BJ30" s="13">
        <v>4</v>
      </c>
      <c r="BK30" s="13">
        <v>2</v>
      </c>
      <c r="BL30" s="13">
        <v>3</v>
      </c>
      <c r="BM30" s="13">
        <v>100</v>
      </c>
      <c r="BN30" s="13">
        <v>90</v>
      </c>
      <c r="BO30" s="13">
        <v>52</v>
      </c>
      <c r="BP30" s="13">
        <v>71</v>
      </c>
      <c r="BQ30" s="14"/>
      <c r="BR30" s="12"/>
      <c r="BS30" s="14">
        <v>55.884399414062003</v>
      </c>
      <c r="BT30" s="13">
        <v>-3.3397979736328001</v>
      </c>
      <c r="BU30" s="13">
        <v>-1</v>
      </c>
      <c r="BV30" s="123">
        <f t="shared" si="11"/>
        <v>0.44444444444444442</v>
      </c>
      <c r="BW30" s="123">
        <f t="shared" si="12"/>
        <v>0.55555555555555558</v>
      </c>
      <c r="BX30" s="123">
        <f t="shared" si="13"/>
        <v>0.39525691699604742</v>
      </c>
      <c r="BY30" s="123">
        <f t="shared" si="14"/>
        <v>0.3201581027667984</v>
      </c>
      <c r="BZ30" s="123">
        <f t="shared" si="15"/>
        <v>0.28458498023715417</v>
      </c>
      <c r="CA30" s="123">
        <f t="shared" si="16"/>
        <v>0.33222591362126247</v>
      </c>
      <c r="CB30" s="123">
        <f t="shared" si="17"/>
        <v>0.23255813953488372</v>
      </c>
      <c r="CC30" s="123">
        <f t="shared" si="18"/>
        <v>0.16943521594684385</v>
      </c>
      <c r="CD30" s="123">
        <f t="shared" si="19"/>
        <v>0.26578073089700999</v>
      </c>
      <c r="CE30" s="123">
        <f t="shared" si="20"/>
        <v>0.21875</v>
      </c>
      <c r="CF30" s="123">
        <f t="shared" si="21"/>
        <v>0.34722222222222221</v>
      </c>
      <c r="CG30" s="123">
        <f t="shared" si="22"/>
        <v>0.14930555555555555</v>
      </c>
      <c r="CH30" s="123">
        <f t="shared" si="23"/>
        <v>0.28472222222222221</v>
      </c>
      <c r="CI30" s="123">
        <f t="shared" si="24"/>
        <v>0.26797385620915032</v>
      </c>
      <c r="CJ30" s="123">
        <f t="shared" si="25"/>
        <v>0.32679738562091504</v>
      </c>
      <c r="CK30" s="123">
        <f t="shared" si="26"/>
        <v>0.16993464052287582</v>
      </c>
      <c r="CL30" s="123">
        <f t="shared" si="27"/>
        <v>0.23529411764705882</v>
      </c>
      <c r="CM30" s="123">
        <f t="shared" si="28"/>
        <v>0.31948881789137379</v>
      </c>
      <c r="CN30" s="123">
        <f t="shared" si="29"/>
        <v>0.28753993610223644</v>
      </c>
      <c r="CO30" s="123">
        <f t="shared" si="30"/>
        <v>0.16613418530351437</v>
      </c>
      <c r="CP30" s="123">
        <f t="shared" si="31"/>
        <v>0.2268370607028754</v>
      </c>
    </row>
    <row r="31" spans="1:94" x14ac:dyDescent="0.25">
      <c r="A31" s="67" t="str">
        <f t="shared" si="32"/>
        <v>[Y, Y]</v>
      </c>
      <c r="B31" s="68" t="str">
        <f t="shared" si="33"/>
        <v>[Y, Y]</v>
      </c>
      <c r="C31" s="68" t="str">
        <f t="shared" si="34"/>
        <v>[Y, Y]</v>
      </c>
      <c r="D31" s="68" t="str">
        <f t="shared" si="35"/>
        <v>[Y, Y]</v>
      </c>
      <c r="E31" s="68" t="str">
        <f t="shared" si="36"/>
        <v>[Y, Y]</v>
      </c>
      <c r="F31" s="69" t="str">
        <f t="shared" si="37"/>
        <v>[Y, Y]</v>
      </c>
      <c r="G31" t="s">
        <v>266</v>
      </c>
      <c r="H31">
        <v>3</v>
      </c>
      <c r="I31" s="87">
        <v>1</v>
      </c>
      <c r="J31" t="s">
        <v>44</v>
      </c>
      <c r="M31" s="9"/>
      <c r="N31" t="s">
        <v>267</v>
      </c>
      <c r="O31">
        <v>0</v>
      </c>
      <c r="P31" s="2">
        <v>42268.313402777778</v>
      </c>
      <c r="Q31" s="2">
        <v>42268.319386574076</v>
      </c>
      <c r="R31">
        <v>1</v>
      </c>
      <c r="S31" s="8">
        <v>1</v>
      </c>
      <c r="T31" s="10"/>
      <c r="U31">
        <v>1</v>
      </c>
      <c r="V31" s="8">
        <v>100</v>
      </c>
      <c r="W31" s="9">
        <v>100</v>
      </c>
      <c r="X31" s="9">
        <v>100</v>
      </c>
      <c r="Y31" s="9">
        <v>100</v>
      </c>
      <c r="Z31" s="11" t="s">
        <v>268</v>
      </c>
      <c r="AA31" s="8">
        <v>4</v>
      </c>
      <c r="AB31" s="9">
        <v>3</v>
      </c>
      <c r="AC31" s="9">
        <v>100</v>
      </c>
      <c r="AD31" s="9">
        <v>90</v>
      </c>
      <c r="AE31" s="9">
        <v>50</v>
      </c>
      <c r="AF31" s="9">
        <v>100</v>
      </c>
      <c r="AG31" s="10"/>
      <c r="AH31" s="8">
        <v>2</v>
      </c>
      <c r="AI31" s="9">
        <v>4</v>
      </c>
      <c r="AJ31" s="9">
        <v>100</v>
      </c>
      <c r="AK31" s="9">
        <v>3</v>
      </c>
      <c r="AL31" s="9">
        <v>20</v>
      </c>
      <c r="AM31" s="9">
        <v>90</v>
      </c>
      <c r="AN31" s="9">
        <v>100</v>
      </c>
      <c r="AO31" s="9">
        <v>50</v>
      </c>
      <c r="AP31" s="11" t="s">
        <v>269</v>
      </c>
      <c r="AQ31" s="8">
        <v>100</v>
      </c>
      <c r="AR31" s="9">
        <v>100</v>
      </c>
      <c r="AS31" s="9">
        <v>3</v>
      </c>
      <c r="AT31" s="9">
        <v>4</v>
      </c>
      <c r="AU31" s="9">
        <v>100</v>
      </c>
      <c r="AV31" s="9">
        <v>100</v>
      </c>
      <c r="AW31" s="9">
        <v>70</v>
      </c>
      <c r="AX31" s="9">
        <v>60</v>
      </c>
      <c r="AY31" s="10"/>
      <c r="AZ31" s="8">
        <v>100</v>
      </c>
      <c r="BA31" s="9">
        <v>100</v>
      </c>
      <c r="BB31" s="9">
        <v>4</v>
      </c>
      <c r="BC31" s="9">
        <v>3</v>
      </c>
      <c r="BD31" s="9">
        <v>100</v>
      </c>
      <c r="BE31" s="9">
        <v>100</v>
      </c>
      <c r="BF31" s="9">
        <v>60</v>
      </c>
      <c r="BG31" s="9">
        <v>50</v>
      </c>
      <c r="BH31" s="10"/>
      <c r="BI31" s="8">
        <v>100</v>
      </c>
      <c r="BJ31" s="9">
        <v>3</v>
      </c>
      <c r="BK31" s="9">
        <v>4</v>
      </c>
      <c r="BL31" s="9">
        <v>4</v>
      </c>
      <c r="BM31" s="9">
        <v>100</v>
      </c>
      <c r="BN31" s="9">
        <v>50</v>
      </c>
      <c r="BO31" s="9">
        <v>80</v>
      </c>
      <c r="BP31" s="9">
        <v>80</v>
      </c>
      <c r="BQ31" s="10"/>
      <c r="BR31" s="8"/>
      <c r="BS31" s="10">
        <v>39.479202270507997</v>
      </c>
      <c r="BT31">
        <v>-84.712997436522997</v>
      </c>
      <c r="BU31">
        <v>-1</v>
      </c>
      <c r="BV31" s="123">
        <f t="shared" si="11"/>
        <v>0.5</v>
      </c>
      <c r="BW31" s="123">
        <f t="shared" si="12"/>
        <v>0.5</v>
      </c>
      <c r="BX31" s="123">
        <f t="shared" si="13"/>
        <v>0.375</v>
      </c>
      <c r="BY31" s="123">
        <f t="shared" si="14"/>
        <v>0.20833333333333334</v>
      </c>
      <c r="BZ31" s="123">
        <f t="shared" si="15"/>
        <v>0.41666666666666669</v>
      </c>
      <c r="CA31" s="123">
        <f t="shared" si="16"/>
        <v>7.6923076923076927E-2</v>
      </c>
      <c r="CB31" s="123">
        <f t="shared" si="17"/>
        <v>0.34615384615384615</v>
      </c>
      <c r="CC31" s="123">
        <f t="shared" si="18"/>
        <v>0.38461538461538464</v>
      </c>
      <c r="CD31" s="123">
        <f t="shared" si="19"/>
        <v>0.19230769230769232</v>
      </c>
      <c r="CE31" s="123">
        <f t="shared" si="20"/>
        <v>0.30303030303030304</v>
      </c>
      <c r="CF31" s="123">
        <f t="shared" si="21"/>
        <v>0.30303030303030304</v>
      </c>
      <c r="CG31" s="123">
        <f t="shared" si="22"/>
        <v>0.21212121212121213</v>
      </c>
      <c r="CH31" s="123">
        <f t="shared" si="23"/>
        <v>0.18181818181818182</v>
      </c>
      <c r="CI31" s="123">
        <f t="shared" si="24"/>
        <v>0.32258064516129031</v>
      </c>
      <c r="CJ31" s="123">
        <f t="shared" si="25"/>
        <v>0.32258064516129031</v>
      </c>
      <c r="CK31" s="123">
        <f t="shared" si="26"/>
        <v>0.19354838709677419</v>
      </c>
      <c r="CL31" s="123">
        <f t="shared" si="27"/>
        <v>0.16129032258064516</v>
      </c>
      <c r="CM31" s="123">
        <f t="shared" si="28"/>
        <v>0.32258064516129031</v>
      </c>
      <c r="CN31" s="123">
        <f t="shared" si="29"/>
        <v>0.16129032258064516</v>
      </c>
      <c r="CO31" s="123">
        <f t="shared" si="30"/>
        <v>0.25806451612903225</v>
      </c>
      <c r="CP31" s="123">
        <f t="shared" si="31"/>
        <v>0.25806451612903225</v>
      </c>
    </row>
    <row r="32" spans="1:94" x14ac:dyDescent="0.25">
      <c r="A32" s="67" t="str">
        <f t="shared" si="32"/>
        <v>[Y, Y]</v>
      </c>
      <c r="B32" s="68" t="str">
        <f t="shared" si="33"/>
        <v>[Y, Y]</v>
      </c>
      <c r="C32" s="68" t="str">
        <f t="shared" si="34"/>
        <v>[Y, Y]</v>
      </c>
      <c r="D32" s="68" t="str">
        <f t="shared" si="35"/>
        <v>[Y, Y]</v>
      </c>
      <c r="E32" s="68" t="str">
        <f t="shared" si="36"/>
        <v>[Y, Y]</v>
      </c>
      <c r="F32" s="69" t="str">
        <f t="shared" si="37"/>
        <v>[Y, Y]</v>
      </c>
      <c r="G32" t="s">
        <v>270</v>
      </c>
      <c r="H32">
        <v>2</v>
      </c>
      <c r="I32" s="87">
        <v>2</v>
      </c>
      <c r="J32" t="s">
        <v>44</v>
      </c>
      <c r="M32" s="9"/>
      <c r="N32">
        <v>71.124408000000003</v>
      </c>
      <c r="O32">
        <v>0</v>
      </c>
      <c r="P32" s="2">
        <v>42269.427453703705</v>
      </c>
      <c r="Q32" s="2">
        <v>42269.43141203704</v>
      </c>
      <c r="R32">
        <v>1</v>
      </c>
      <c r="S32" s="8">
        <v>2</v>
      </c>
      <c r="T32" s="10"/>
      <c r="U32">
        <v>1</v>
      </c>
      <c r="V32" s="8">
        <v>4</v>
      </c>
      <c r="W32" s="9">
        <v>100</v>
      </c>
      <c r="X32" s="27">
        <f>IF(MAX($X126:$Y126)=X126,100,X126/MAX($X126:$Y126)*100)</f>
        <v>100</v>
      </c>
      <c r="Y32" s="27">
        <f>IF(MAX($X126:$Y126)=Y126,100,Y126/MAX($X126:$Y126)*100)</f>
        <v>63.888888888888886</v>
      </c>
      <c r="Z32" s="11"/>
      <c r="AA32" s="8">
        <v>100</v>
      </c>
      <c r="AB32" s="9">
        <v>4</v>
      </c>
      <c r="AC32" s="9">
        <v>100</v>
      </c>
      <c r="AD32" s="27">
        <f t="shared" ref="AD32:AF33" si="38">IF(MAX($AD126:$AF126)=AD126,100,AD126/MAX($AD126:$AF126)*100)</f>
        <v>67.021276595744681</v>
      </c>
      <c r="AE32" s="27">
        <f t="shared" si="38"/>
        <v>44.680851063829785</v>
      </c>
      <c r="AF32" s="27">
        <f t="shared" si="38"/>
        <v>100</v>
      </c>
      <c r="AG32" s="10"/>
      <c r="AH32" s="8">
        <v>4</v>
      </c>
      <c r="AI32" s="9">
        <v>3</v>
      </c>
      <c r="AJ32" s="9">
        <v>100</v>
      </c>
      <c r="AK32" s="9">
        <v>4</v>
      </c>
      <c r="AL32" s="27">
        <f>IF(MAX($AL126:$AO126)=AL126,100,AL126/MAX($AL126:$AO126)*100)</f>
        <v>100</v>
      </c>
      <c r="AM32" s="27">
        <f>IF(MAX($AL126:$AO126)=AM126,100,AM126/MAX($AL$98:AO126)*100)</f>
        <v>54</v>
      </c>
      <c r="AN32" s="27">
        <f>IF(MAX($AL126:$AO126)=AN126,100,AN126/MAX($AL126:$AO126)*100)</f>
        <v>100</v>
      </c>
      <c r="AO32" s="27">
        <f>IF(MAX($AL126:$AO126)=AO126,100,AO126/MAX($AL126:$AO126)*100)</f>
        <v>81.578947368421055</v>
      </c>
      <c r="AP32" s="11"/>
      <c r="AQ32" s="8">
        <v>3</v>
      </c>
      <c r="AR32" s="9">
        <v>4</v>
      </c>
      <c r="AS32" s="9">
        <v>3</v>
      </c>
      <c r="AT32" s="9">
        <v>100</v>
      </c>
      <c r="AU32" s="27">
        <f t="shared" ref="AU32:AX33" si="39">IF(MAX($AU126:$AX126)=AU126,100,AU126/MAX($AU126:$AX126)*100)</f>
        <v>63.076923076923073</v>
      </c>
      <c r="AV32" s="27">
        <f t="shared" si="39"/>
        <v>84.615384615384613</v>
      </c>
      <c r="AW32" s="27">
        <f t="shared" si="39"/>
        <v>70.769230769230774</v>
      </c>
      <c r="AX32" s="27">
        <f t="shared" si="39"/>
        <v>100</v>
      </c>
      <c r="AY32" s="10"/>
      <c r="AZ32" s="8">
        <v>3</v>
      </c>
      <c r="BA32" s="9">
        <v>100</v>
      </c>
      <c r="BB32" s="9">
        <v>4</v>
      </c>
      <c r="BC32" s="9">
        <v>3</v>
      </c>
      <c r="BD32" s="27">
        <f t="shared" ref="BD32:BG33" si="40">IF(MAX($BD126:$BG126)=BD126,100,BD126/MAX($BD126:$BG126)*100)</f>
        <v>73.611111111111114</v>
      </c>
      <c r="BE32" s="27">
        <f t="shared" si="40"/>
        <v>100</v>
      </c>
      <c r="BF32" s="27">
        <f t="shared" si="40"/>
        <v>87.5</v>
      </c>
      <c r="BG32" s="27">
        <f t="shared" si="40"/>
        <v>75</v>
      </c>
      <c r="BH32" s="10"/>
      <c r="BI32" s="8">
        <v>3</v>
      </c>
      <c r="BJ32" s="9">
        <v>4</v>
      </c>
      <c r="BK32" s="9">
        <v>100</v>
      </c>
      <c r="BL32" s="9">
        <v>100</v>
      </c>
      <c r="BM32" s="27">
        <f>IF(MAX($BM126:$BP126)=BM126,100,BM126/MAX($BM126:$BP126)*100)</f>
        <v>75.903614457831324</v>
      </c>
      <c r="BN32" s="27">
        <f t="shared" ref="BN32:BP33" si="41">IF(MAX($BM126:$BP126)=BN126,100,BN126/MAX($BM126:$BP126)*100)</f>
        <v>66.265060240963862</v>
      </c>
      <c r="BO32" s="27">
        <f t="shared" si="41"/>
        <v>100</v>
      </c>
      <c r="BP32" s="27">
        <f t="shared" si="41"/>
        <v>96.385542168674704</v>
      </c>
      <c r="BQ32" s="10"/>
      <c r="BR32" s="8"/>
      <c r="BS32" s="10">
        <v>38.992401123047003</v>
      </c>
      <c r="BT32">
        <v>-76.790100097655994</v>
      </c>
      <c r="BU32">
        <v>-1</v>
      </c>
      <c r="BV32" s="123">
        <f t="shared" si="11"/>
        <v>0.61016949152542377</v>
      </c>
      <c r="BW32" s="123">
        <f t="shared" si="12"/>
        <v>0.38983050847457629</v>
      </c>
      <c r="BX32" s="123">
        <f t="shared" si="13"/>
        <v>0.3165829145728643</v>
      </c>
      <c r="BY32" s="123">
        <f t="shared" si="14"/>
        <v>0.21105527638190952</v>
      </c>
      <c r="BZ32" s="123">
        <f t="shared" si="15"/>
        <v>0.47236180904522612</v>
      </c>
      <c r="CA32" s="123">
        <f t="shared" si="16"/>
        <v>0.29799247176913424</v>
      </c>
      <c r="CB32" s="123">
        <f t="shared" si="17"/>
        <v>0.1609159347553325</v>
      </c>
      <c r="CC32" s="123">
        <f t="shared" si="18"/>
        <v>0.29799247176913424</v>
      </c>
      <c r="CD32" s="123">
        <f t="shared" si="19"/>
        <v>0.24309912170639902</v>
      </c>
      <c r="CE32" s="123">
        <f t="shared" si="20"/>
        <v>0.19806763285024154</v>
      </c>
      <c r="CF32" s="123">
        <f t="shared" si="21"/>
        <v>0.26570048309178745</v>
      </c>
      <c r="CG32" s="123">
        <f t="shared" si="22"/>
        <v>0.22222222222222224</v>
      </c>
      <c r="CH32" s="123">
        <f t="shared" si="23"/>
        <v>0.3140096618357488</v>
      </c>
      <c r="CI32" s="123">
        <f t="shared" si="24"/>
        <v>0.21900826446280994</v>
      </c>
      <c r="CJ32" s="123">
        <f t="shared" si="25"/>
        <v>0.2975206611570248</v>
      </c>
      <c r="CK32" s="123">
        <f t="shared" si="26"/>
        <v>0.26033057851239672</v>
      </c>
      <c r="CL32" s="123">
        <f t="shared" si="27"/>
        <v>0.2231404958677686</v>
      </c>
      <c r="CM32" s="123">
        <f t="shared" si="28"/>
        <v>0.22419928825622773</v>
      </c>
      <c r="CN32" s="123">
        <f t="shared" si="29"/>
        <v>0.19572953736654805</v>
      </c>
      <c r="CO32" s="123">
        <f t="shared" si="30"/>
        <v>0.29537366548042704</v>
      </c>
      <c r="CP32" s="123">
        <f t="shared" si="31"/>
        <v>0.28469750889679712</v>
      </c>
    </row>
    <row r="33" spans="1:94" x14ac:dyDescent="0.25">
      <c r="A33" s="67" t="str">
        <f t="shared" si="32"/>
        <v>[Y, Y]</v>
      </c>
      <c r="B33" s="68" t="str">
        <f t="shared" si="33"/>
        <v>[Y, Y]</v>
      </c>
      <c r="C33" s="68" t="str">
        <f t="shared" si="34"/>
        <v>[Y, Y]</v>
      </c>
      <c r="D33" s="68" t="str">
        <f t="shared" si="35"/>
        <v>[Y, Y]</v>
      </c>
      <c r="E33" s="68" t="str">
        <f t="shared" si="36"/>
        <v>[Y, Y]</v>
      </c>
      <c r="F33" s="69" t="str">
        <f t="shared" si="37"/>
        <v>[Y, Y]</v>
      </c>
      <c r="G33" t="s">
        <v>271</v>
      </c>
      <c r="H33">
        <v>2</v>
      </c>
      <c r="I33" s="87">
        <v>1</v>
      </c>
      <c r="J33" t="s">
        <v>44</v>
      </c>
      <c r="M33" s="9"/>
      <c r="N33" t="s">
        <v>278</v>
      </c>
      <c r="O33">
        <v>0</v>
      </c>
      <c r="P33" s="2">
        <v>42271.510601851849</v>
      </c>
      <c r="Q33" s="2">
        <v>42271.517743055556</v>
      </c>
      <c r="R33">
        <v>1</v>
      </c>
      <c r="S33" s="8">
        <v>1</v>
      </c>
      <c r="T33" s="10"/>
      <c r="U33">
        <v>1</v>
      </c>
      <c r="V33" s="8">
        <v>4</v>
      </c>
      <c r="W33" s="9">
        <v>100</v>
      </c>
      <c r="X33" s="27">
        <f>IF(MAX($X127:$Y127)=X127,100,X127/MAX($X127:$Y127)*100)</f>
        <v>100</v>
      </c>
      <c r="Y33" s="27">
        <f>IF(MAX($X127:$Y127)=Y127,100,Y127/MAX($X127:$Y127)*100)</f>
        <v>67.213114754098356</v>
      </c>
      <c r="Z33" s="11" t="s">
        <v>272</v>
      </c>
      <c r="AA33" s="8">
        <v>3</v>
      </c>
      <c r="AB33" s="9">
        <v>100</v>
      </c>
      <c r="AC33" s="9">
        <v>4</v>
      </c>
      <c r="AD33" s="27">
        <f t="shared" si="38"/>
        <v>18.75</v>
      </c>
      <c r="AE33" s="27">
        <f t="shared" si="38"/>
        <v>100</v>
      </c>
      <c r="AF33" s="27">
        <f t="shared" si="38"/>
        <v>26.25</v>
      </c>
      <c r="AG33" s="10"/>
      <c r="AH33" s="8">
        <v>3</v>
      </c>
      <c r="AI33" s="9">
        <v>100</v>
      </c>
      <c r="AJ33" s="9">
        <v>2</v>
      </c>
      <c r="AK33" s="9">
        <v>4</v>
      </c>
      <c r="AL33" s="27">
        <f>IF(MAX($AL127:$AO127)=AL127,100,AL127/MAX($AL127:$AO127)*100)</f>
        <v>45.714285714285715</v>
      </c>
      <c r="AM33" s="27">
        <f>IF(MAX($AL127:$AO127)=AM127,100,AM127/MAX($AL$98:AO127)*100)</f>
        <v>100</v>
      </c>
      <c r="AN33" s="27">
        <f>IF(MAX($AL127:$AO127)=AN127,100,AN127/MAX($AL127:$AO127)*100)</f>
        <v>14.285714285714285</v>
      </c>
      <c r="AO33" s="27">
        <f>IF(MAX($AL127:$AO127)=AO127,100,AO127/MAX($AL127:$AO127)*100)</f>
        <v>72.857142857142847</v>
      </c>
      <c r="AP33" s="11" t="s">
        <v>273</v>
      </c>
      <c r="AQ33" s="8">
        <v>4</v>
      </c>
      <c r="AR33" s="9">
        <v>2</v>
      </c>
      <c r="AS33" s="9">
        <v>100</v>
      </c>
      <c r="AT33" s="9">
        <v>3</v>
      </c>
      <c r="AU33" s="27">
        <f t="shared" si="39"/>
        <v>100</v>
      </c>
      <c r="AV33" s="27">
        <f t="shared" si="39"/>
        <v>1.9607843137254901</v>
      </c>
      <c r="AW33" s="27">
        <f t="shared" si="39"/>
        <v>98.039215686274503</v>
      </c>
      <c r="AX33" s="27">
        <f t="shared" si="39"/>
        <v>52.941176470588239</v>
      </c>
      <c r="AY33" s="10" t="s">
        <v>274</v>
      </c>
      <c r="AZ33" s="8">
        <v>4</v>
      </c>
      <c r="BA33" s="9">
        <v>2</v>
      </c>
      <c r="BB33" s="9">
        <v>100</v>
      </c>
      <c r="BC33" s="9">
        <v>3</v>
      </c>
      <c r="BD33" s="27">
        <f t="shared" si="40"/>
        <v>85</v>
      </c>
      <c r="BE33" s="27">
        <f t="shared" si="40"/>
        <v>1.6666666666666667</v>
      </c>
      <c r="BF33" s="27">
        <f t="shared" si="40"/>
        <v>100</v>
      </c>
      <c r="BG33" s="27">
        <f t="shared" si="40"/>
        <v>63.333333333333329</v>
      </c>
      <c r="BH33" s="10" t="s">
        <v>275</v>
      </c>
      <c r="BI33" s="8">
        <v>100</v>
      </c>
      <c r="BJ33" s="9">
        <v>2</v>
      </c>
      <c r="BK33" s="9">
        <v>4</v>
      </c>
      <c r="BL33" s="9">
        <v>3</v>
      </c>
      <c r="BM33" s="27">
        <f>IF(MAX($BM127:$BP127)=BM127,100,BM127/MAX($BM127:$BP127)*100)</f>
        <v>100</v>
      </c>
      <c r="BN33" s="27">
        <f t="shared" si="41"/>
        <v>15</v>
      </c>
      <c r="BO33" s="27">
        <f t="shared" si="41"/>
        <v>75</v>
      </c>
      <c r="BP33" s="27">
        <f t="shared" si="41"/>
        <v>22.5</v>
      </c>
      <c r="BQ33" s="10" t="s">
        <v>276</v>
      </c>
      <c r="BR33" s="8"/>
      <c r="BS33" s="10">
        <v>39.746704101562003</v>
      </c>
      <c r="BT33">
        <v>-104.83840179443</v>
      </c>
      <c r="BU33">
        <v>-1</v>
      </c>
      <c r="BV33" s="123">
        <f t="shared" si="11"/>
        <v>0.59803921568627461</v>
      </c>
      <c r="BW33" s="123">
        <f t="shared" si="12"/>
        <v>0.40196078431372551</v>
      </c>
      <c r="BX33" s="123">
        <f t="shared" si="13"/>
        <v>0.12931034482758622</v>
      </c>
      <c r="BY33" s="123">
        <f t="shared" si="14"/>
        <v>0.68965517241379315</v>
      </c>
      <c r="BZ33" s="123">
        <f t="shared" si="15"/>
        <v>0.18103448275862069</v>
      </c>
      <c r="CA33" s="123">
        <f t="shared" si="16"/>
        <v>0.19631901840490801</v>
      </c>
      <c r="CB33" s="123">
        <f t="shared" si="17"/>
        <v>0.42944785276073622</v>
      </c>
      <c r="CC33" s="123">
        <f t="shared" si="18"/>
        <v>6.1349693251533742E-2</v>
      </c>
      <c r="CD33" s="123">
        <f t="shared" si="19"/>
        <v>0.31288343558282206</v>
      </c>
      <c r="CE33" s="123">
        <f t="shared" si="20"/>
        <v>0.39534883720930231</v>
      </c>
      <c r="CF33" s="123">
        <f t="shared" si="21"/>
        <v>7.7519379844961239E-3</v>
      </c>
      <c r="CG33" s="123">
        <f t="shared" si="22"/>
        <v>0.38759689922480617</v>
      </c>
      <c r="CH33" s="123">
        <f t="shared" si="23"/>
        <v>0.20930232558139536</v>
      </c>
      <c r="CI33" s="123">
        <f t="shared" si="24"/>
        <v>0.34</v>
      </c>
      <c r="CJ33" s="123">
        <f t="shared" si="25"/>
        <v>6.6666666666666671E-3</v>
      </c>
      <c r="CK33" s="123">
        <f t="shared" si="26"/>
        <v>0.4</v>
      </c>
      <c r="CL33" s="123">
        <f t="shared" si="27"/>
        <v>0.2533333333333333</v>
      </c>
      <c r="CM33" s="123">
        <f t="shared" si="28"/>
        <v>0.47058823529411764</v>
      </c>
      <c r="CN33" s="123">
        <f t="shared" si="29"/>
        <v>7.0588235294117646E-2</v>
      </c>
      <c r="CO33" s="123">
        <f t="shared" si="30"/>
        <v>0.35294117647058826</v>
      </c>
      <c r="CP33" s="123">
        <f t="shared" si="31"/>
        <v>0.10588235294117647</v>
      </c>
    </row>
    <row r="34" spans="1:94" x14ac:dyDescent="0.25">
      <c r="P34" s="2"/>
      <c r="Q34" s="2"/>
      <c r="S34" s="8"/>
      <c r="T34" s="10"/>
      <c r="V34" s="8"/>
      <c r="W34" s="9"/>
      <c r="X34" s="9"/>
      <c r="Y34" s="9"/>
      <c r="Z34" s="11"/>
      <c r="AA34" s="8"/>
      <c r="AB34" s="9"/>
      <c r="AC34" s="9"/>
      <c r="AD34" s="9"/>
      <c r="AE34" s="9"/>
      <c r="AF34" s="9"/>
      <c r="AG34" s="10"/>
      <c r="AH34" s="8"/>
      <c r="AI34" s="9"/>
      <c r="AJ34" s="9"/>
      <c r="AK34" s="9"/>
      <c r="AL34" s="9"/>
      <c r="AM34" s="9"/>
      <c r="AN34" s="9"/>
      <c r="AO34" s="9"/>
      <c r="AP34" s="11"/>
      <c r="AQ34" s="8"/>
      <c r="AR34" s="9"/>
      <c r="AS34" s="9"/>
      <c r="AT34" s="9"/>
      <c r="AU34" s="9"/>
      <c r="AV34" s="9"/>
      <c r="AW34" s="9"/>
      <c r="AX34" s="9"/>
      <c r="AY34" s="10"/>
      <c r="AZ34" s="8"/>
      <c r="BA34" s="9"/>
      <c r="BB34" s="9"/>
      <c r="BC34" s="9"/>
      <c r="BD34" s="9"/>
      <c r="BE34" s="9"/>
      <c r="BF34" s="9"/>
      <c r="BG34" s="9"/>
      <c r="BH34" s="10"/>
      <c r="BI34" s="8"/>
      <c r="BJ34" s="9"/>
      <c r="BK34" s="9"/>
      <c r="BL34" s="9"/>
      <c r="BM34" s="9"/>
      <c r="BN34" s="9"/>
      <c r="BO34" s="9"/>
      <c r="BP34" s="9"/>
      <c r="BQ34" s="10"/>
      <c r="BR34" s="8"/>
      <c r="BS34" s="9"/>
      <c r="BT34" s="9"/>
      <c r="BU34" s="10"/>
      <c r="BV34" s="123"/>
      <c r="BW34" s="123"/>
      <c r="CD34" s="123"/>
    </row>
    <row r="35" spans="1:94" hidden="1" x14ac:dyDescent="0.25">
      <c r="G35" s="9"/>
      <c r="H35" s="9"/>
      <c r="I35" s="9"/>
      <c r="J35" s="9"/>
      <c r="P35" s="2"/>
      <c r="Q35" s="2"/>
      <c r="S35" s="8"/>
      <c r="T35" s="10"/>
      <c r="V35" s="8"/>
      <c r="W35" s="9"/>
      <c r="X35" s="9"/>
      <c r="Y35" s="9"/>
      <c r="Z35" s="11"/>
      <c r="AA35" s="8"/>
      <c r="AB35" s="9"/>
      <c r="AC35" s="9"/>
      <c r="AD35" s="9"/>
      <c r="AE35" s="9"/>
      <c r="AF35" s="9"/>
      <c r="AG35" s="10"/>
      <c r="AH35" s="8"/>
      <c r="AI35" s="9"/>
      <c r="AJ35" s="9"/>
      <c r="AK35" s="9"/>
      <c r="AL35" s="9"/>
      <c r="AM35" s="9"/>
      <c r="AN35" s="9"/>
      <c r="AO35" s="9"/>
      <c r="AP35" s="11"/>
      <c r="AQ35" s="8"/>
      <c r="AR35" s="9"/>
      <c r="AS35" s="9"/>
      <c r="AT35" s="9"/>
      <c r="AU35" s="9"/>
      <c r="AV35" s="9"/>
      <c r="AW35" s="9"/>
      <c r="AX35" s="9"/>
      <c r="AY35" s="10"/>
      <c r="AZ35" s="8"/>
      <c r="BA35" s="9"/>
      <c r="BB35" s="9"/>
      <c r="BC35" s="9"/>
      <c r="BD35" s="9"/>
      <c r="BE35" s="9"/>
      <c r="BF35" s="9"/>
      <c r="BG35" s="9"/>
      <c r="BH35" s="10"/>
      <c r="BI35" s="8"/>
      <c r="BJ35" s="9"/>
      <c r="BK35" s="9"/>
      <c r="BL35" s="9"/>
      <c r="BM35" s="9"/>
      <c r="BN35" s="9"/>
      <c r="BO35" s="9"/>
      <c r="BP35" s="9"/>
      <c r="BQ35" s="10"/>
      <c r="BR35" s="8"/>
      <c r="BS35" s="9"/>
      <c r="BT35" s="9"/>
      <c r="BU35" s="10"/>
    </row>
    <row r="36" spans="1:94" hidden="1" x14ac:dyDescent="0.25">
      <c r="G36" s="9"/>
      <c r="H36" s="9"/>
      <c r="I36" s="9"/>
      <c r="J36" s="9"/>
      <c r="P36" s="2"/>
      <c r="Q36" s="2"/>
      <c r="S36" s="8"/>
      <c r="T36" s="10"/>
      <c r="V36" s="8"/>
      <c r="W36" s="9"/>
      <c r="X36" s="9"/>
      <c r="Y36" s="9"/>
      <c r="Z36" s="11"/>
      <c r="AA36" s="8"/>
      <c r="AB36" s="9"/>
      <c r="AC36" s="9"/>
      <c r="AD36" s="9"/>
      <c r="AE36" s="9"/>
      <c r="AF36" s="9"/>
      <c r="AG36" s="10"/>
      <c r="AH36" s="8"/>
      <c r="AI36" s="9"/>
      <c r="AJ36" s="9"/>
      <c r="AK36" s="9"/>
      <c r="AL36" s="9"/>
      <c r="AM36" s="9"/>
      <c r="AN36" s="9"/>
      <c r="AO36" s="9"/>
      <c r="AP36" s="11"/>
      <c r="AQ36" s="8"/>
      <c r="AR36" s="9"/>
      <c r="AS36" s="9"/>
      <c r="AT36" s="9"/>
      <c r="AU36" s="9"/>
      <c r="AV36" s="9"/>
      <c r="AW36" s="9"/>
      <c r="AX36" s="9"/>
      <c r="AY36" s="10"/>
      <c r="AZ36" s="8"/>
      <c r="BA36" s="9"/>
      <c r="BB36" s="9"/>
      <c r="BC36" s="9"/>
      <c r="BD36" s="9"/>
      <c r="BE36" s="9"/>
      <c r="BF36" s="9"/>
      <c r="BG36" s="9"/>
      <c r="BH36" s="10"/>
      <c r="BI36" s="8"/>
      <c r="BJ36" s="9"/>
      <c r="BK36" s="9"/>
      <c r="BL36" s="9"/>
      <c r="BM36" s="9"/>
      <c r="BN36" s="9"/>
      <c r="BO36" s="9"/>
      <c r="BP36" s="9"/>
      <c r="BQ36" s="10"/>
      <c r="BR36" s="8"/>
      <c r="BS36" s="9"/>
      <c r="BT36" s="9"/>
      <c r="BU36" s="10"/>
    </row>
    <row r="37" spans="1:94" hidden="1" x14ac:dyDescent="0.25">
      <c r="G37" s="9"/>
      <c r="H37" s="9"/>
      <c r="I37" s="9"/>
      <c r="J37" s="9"/>
      <c r="P37" s="2"/>
      <c r="Q37" s="2"/>
      <c r="S37" s="8"/>
      <c r="T37" s="10"/>
      <c r="V37" s="8"/>
      <c r="W37" s="9"/>
      <c r="X37" s="9"/>
      <c r="Y37" s="9"/>
      <c r="Z37" s="11"/>
      <c r="AA37" s="8"/>
      <c r="AB37" s="9"/>
      <c r="AC37" s="9"/>
      <c r="AD37" s="9"/>
      <c r="AE37" s="9"/>
      <c r="AF37" s="9"/>
      <c r="AG37" s="10"/>
      <c r="AH37" s="8"/>
      <c r="AI37" s="9"/>
      <c r="AJ37" s="9"/>
      <c r="AK37" s="9"/>
      <c r="AL37" s="9"/>
      <c r="AM37" s="9"/>
      <c r="AN37" s="9"/>
      <c r="AO37" s="9"/>
      <c r="AP37" s="11"/>
      <c r="AQ37" s="8"/>
      <c r="AR37" s="9"/>
      <c r="AS37" s="9"/>
      <c r="AT37" s="9"/>
      <c r="AU37" s="9"/>
      <c r="AV37" s="9"/>
      <c r="AW37" s="9"/>
      <c r="AX37" s="9"/>
      <c r="AY37" s="10"/>
      <c r="AZ37" s="8"/>
      <c r="BA37" s="9"/>
      <c r="BB37" s="9"/>
      <c r="BC37" s="9"/>
      <c r="BD37" s="9"/>
      <c r="BE37" s="9"/>
      <c r="BF37" s="9"/>
      <c r="BG37" s="9"/>
      <c r="BH37" s="10"/>
      <c r="BI37" s="8"/>
      <c r="BJ37" s="9"/>
      <c r="BK37" s="9"/>
      <c r="BL37" s="9"/>
      <c r="BM37" s="9"/>
      <c r="BN37" s="9"/>
      <c r="BO37" s="9"/>
      <c r="BP37" s="9"/>
      <c r="BQ37" s="10"/>
      <c r="BR37" s="8"/>
      <c r="BS37" s="9"/>
      <c r="BT37" s="9"/>
      <c r="BU37" s="10"/>
    </row>
    <row r="38" spans="1:94" hidden="1" x14ac:dyDescent="0.25">
      <c r="G38" s="9"/>
      <c r="H38" s="9"/>
      <c r="I38" s="9"/>
      <c r="J38" s="9"/>
      <c r="P38" s="2"/>
      <c r="Q38" s="2"/>
      <c r="S38" s="8"/>
      <c r="T38" s="10"/>
      <c r="V38" s="8"/>
      <c r="W38" s="9"/>
      <c r="X38" s="9"/>
      <c r="Y38" s="9"/>
      <c r="Z38" s="11"/>
      <c r="AA38" s="8"/>
      <c r="AB38" s="9"/>
      <c r="AC38" s="9"/>
      <c r="AD38" s="9"/>
      <c r="AE38" s="9"/>
      <c r="AF38" s="9"/>
      <c r="AG38" s="10"/>
      <c r="AH38" s="8"/>
      <c r="AI38" s="9"/>
      <c r="AJ38" s="9"/>
      <c r="AK38" s="9"/>
      <c r="AL38" s="9"/>
      <c r="AM38" s="9"/>
      <c r="AN38" s="9"/>
      <c r="AO38" s="9"/>
      <c r="AP38" s="11"/>
      <c r="AQ38" s="8"/>
      <c r="AR38" s="9"/>
      <c r="AS38" s="9"/>
      <c r="AT38" s="9"/>
      <c r="AU38" s="9"/>
      <c r="AV38" s="9"/>
      <c r="AW38" s="9"/>
      <c r="AX38" s="9"/>
      <c r="AY38" s="10"/>
      <c r="AZ38" s="8"/>
      <c r="BA38" s="9"/>
      <c r="BB38" s="9"/>
      <c r="BC38" s="9"/>
      <c r="BD38" s="9"/>
      <c r="BE38" s="9"/>
      <c r="BF38" s="9"/>
      <c r="BG38" s="9"/>
      <c r="BH38" s="10"/>
      <c r="BI38" s="8"/>
      <c r="BJ38" s="9"/>
      <c r="BK38" s="9"/>
      <c r="BL38" s="9"/>
      <c r="BM38" s="9"/>
      <c r="BN38" s="9"/>
      <c r="BO38" s="9"/>
      <c r="BP38" s="9"/>
      <c r="BQ38" s="10"/>
      <c r="BR38" s="8"/>
      <c r="BS38" s="9"/>
      <c r="BT38" s="9"/>
      <c r="BU38" s="10"/>
    </row>
    <row r="39" spans="1:94" hidden="1" x14ac:dyDescent="0.25">
      <c r="G39" s="9"/>
      <c r="H39" s="9"/>
      <c r="I39" s="9"/>
      <c r="J39" s="9"/>
      <c r="P39" s="2"/>
      <c r="Q39" s="2"/>
      <c r="S39" s="8"/>
      <c r="T39" s="10"/>
      <c r="V39" s="8"/>
      <c r="W39" s="9"/>
      <c r="X39" s="9"/>
      <c r="Y39" s="9"/>
      <c r="Z39" s="11"/>
      <c r="AA39" s="8"/>
      <c r="AB39" s="9"/>
      <c r="AC39" s="9"/>
      <c r="AD39" s="9"/>
      <c r="AE39" s="9"/>
      <c r="AF39" s="9"/>
      <c r="AG39" s="10"/>
      <c r="AH39" s="8"/>
      <c r="AI39" s="9"/>
      <c r="AJ39" s="9"/>
      <c r="AK39" s="9"/>
      <c r="AL39" s="9"/>
      <c r="AM39" s="9"/>
      <c r="AN39" s="9"/>
      <c r="AO39" s="9"/>
      <c r="AP39" s="11"/>
      <c r="AQ39" s="8"/>
      <c r="AR39" s="9"/>
      <c r="AS39" s="9"/>
      <c r="AT39" s="9"/>
      <c r="AU39" s="9"/>
      <c r="AV39" s="9"/>
      <c r="AW39" s="9"/>
      <c r="AX39" s="9"/>
      <c r="AY39" s="10"/>
      <c r="AZ39" s="8"/>
      <c r="BA39" s="9"/>
      <c r="BB39" s="9"/>
      <c r="BC39" s="9"/>
      <c r="BD39" s="9"/>
      <c r="BE39" s="9"/>
      <c r="BF39" s="9"/>
      <c r="BG39" s="9"/>
      <c r="BH39" s="10"/>
      <c r="BI39" s="8"/>
      <c r="BJ39" s="9"/>
      <c r="BK39" s="9"/>
      <c r="BL39" s="9"/>
      <c r="BM39" s="9"/>
      <c r="BN39" s="9"/>
      <c r="BO39" s="9"/>
      <c r="BP39" s="9"/>
      <c r="BQ39" s="10"/>
      <c r="BR39" s="8"/>
      <c r="BS39" s="9"/>
      <c r="BT39" s="9"/>
      <c r="BU39" s="10"/>
    </row>
    <row r="40" spans="1:94" hidden="1" x14ac:dyDescent="0.25">
      <c r="G40" s="9"/>
      <c r="H40" s="9"/>
      <c r="I40" s="9"/>
      <c r="J40" s="9"/>
      <c r="P40" s="2"/>
      <c r="Q40" s="2"/>
      <c r="S40" s="8"/>
      <c r="T40" s="10"/>
      <c r="V40" s="8"/>
      <c r="W40" s="9"/>
      <c r="X40" s="9"/>
      <c r="Y40" s="9"/>
      <c r="Z40" s="11"/>
      <c r="AA40" s="8"/>
      <c r="AB40" s="9"/>
      <c r="AC40" s="9"/>
      <c r="AD40" s="9"/>
      <c r="AE40" s="9"/>
      <c r="AF40" s="9"/>
      <c r="AG40" s="10"/>
      <c r="AH40" s="8"/>
      <c r="AI40" s="9"/>
      <c r="AJ40" s="9"/>
      <c r="AK40" s="9"/>
      <c r="AL40" s="9"/>
      <c r="AM40" s="9"/>
      <c r="AN40" s="9"/>
      <c r="AO40" s="9"/>
      <c r="AP40" s="11"/>
      <c r="AQ40" s="8"/>
      <c r="AR40" s="9"/>
      <c r="AS40" s="9"/>
      <c r="AT40" s="9"/>
      <c r="AU40" s="9"/>
      <c r="AV40" s="9"/>
      <c r="AW40" s="9"/>
      <c r="AX40" s="9"/>
      <c r="AY40" s="10"/>
      <c r="AZ40" s="8"/>
      <c r="BA40" s="9"/>
      <c r="BB40" s="9"/>
      <c r="BC40" s="9"/>
      <c r="BD40" s="9"/>
      <c r="BE40" s="9"/>
      <c r="BF40" s="9"/>
      <c r="BG40" s="9"/>
      <c r="BH40" s="10"/>
      <c r="BI40" s="8"/>
      <c r="BJ40" s="9"/>
      <c r="BK40" s="9"/>
      <c r="BL40" s="9"/>
      <c r="BM40" s="9"/>
      <c r="BN40" s="9"/>
      <c r="BO40" s="9"/>
      <c r="BP40" s="9"/>
      <c r="BQ40" s="10"/>
      <c r="BR40" s="8"/>
      <c r="BS40" s="9"/>
      <c r="BT40" s="9"/>
      <c r="BU40" s="10"/>
    </row>
    <row r="41" spans="1:94" hidden="1" x14ac:dyDescent="0.25">
      <c r="G41" s="9"/>
      <c r="H41" s="9"/>
      <c r="I41" s="9"/>
      <c r="J41" s="9"/>
      <c r="P41" s="2"/>
      <c r="Q41" s="2"/>
      <c r="S41" s="8"/>
      <c r="T41" s="10"/>
      <c r="V41" s="8"/>
      <c r="W41" s="9"/>
      <c r="X41" s="9"/>
      <c r="Y41" s="9"/>
      <c r="Z41" s="11"/>
      <c r="AA41" s="8"/>
      <c r="AB41" s="9"/>
      <c r="AC41" s="9"/>
      <c r="AD41" s="9"/>
      <c r="AE41" s="9"/>
      <c r="AF41" s="9"/>
      <c r="AG41" s="10"/>
      <c r="AH41" s="8"/>
      <c r="AI41" s="9"/>
      <c r="AJ41" s="9"/>
      <c r="AK41" s="9"/>
      <c r="AL41" s="9"/>
      <c r="AM41" s="9"/>
      <c r="AN41" s="9"/>
      <c r="AO41" s="9"/>
      <c r="AP41" s="11"/>
      <c r="AQ41" s="8"/>
      <c r="AR41" s="9"/>
      <c r="AS41" s="9"/>
      <c r="AT41" s="9"/>
      <c r="AU41" s="9"/>
      <c r="AV41" s="9"/>
      <c r="AW41" s="9"/>
      <c r="AX41" s="9"/>
      <c r="AY41" s="10"/>
      <c r="AZ41" s="8"/>
      <c r="BA41" s="9"/>
      <c r="BB41" s="9"/>
      <c r="BC41" s="9"/>
      <c r="BD41" s="9"/>
      <c r="BE41" s="9"/>
      <c r="BF41" s="9"/>
      <c r="BG41" s="9"/>
      <c r="BH41" s="10"/>
      <c r="BI41" s="8"/>
      <c r="BJ41" s="9"/>
      <c r="BK41" s="9"/>
      <c r="BL41" s="9"/>
      <c r="BM41" s="9"/>
      <c r="BN41" s="9"/>
      <c r="BO41" s="9"/>
      <c r="BP41" s="9"/>
      <c r="BQ41" s="10"/>
      <c r="BR41" s="8"/>
      <c r="BS41" s="9"/>
      <c r="BT41" s="9"/>
      <c r="BU41" s="10"/>
    </row>
    <row r="42" spans="1:94" hidden="1" x14ac:dyDescent="0.25">
      <c r="G42" s="9"/>
      <c r="H42" s="9"/>
      <c r="I42" s="9"/>
      <c r="J42" s="9"/>
      <c r="P42" s="2"/>
      <c r="Q42" s="2"/>
      <c r="S42" s="8"/>
      <c r="T42" s="10"/>
      <c r="V42" s="8"/>
      <c r="W42" s="9"/>
      <c r="X42" s="9"/>
      <c r="Y42" s="9"/>
      <c r="Z42" s="11"/>
      <c r="AA42" s="8"/>
      <c r="AB42" s="9"/>
      <c r="AC42" s="9"/>
      <c r="AD42" s="9"/>
      <c r="AE42" s="9"/>
      <c r="AF42" s="9"/>
      <c r="AG42" s="10"/>
      <c r="AH42" s="8"/>
      <c r="AI42" s="9"/>
      <c r="AJ42" s="9"/>
      <c r="AK42" s="9"/>
      <c r="AL42" s="9"/>
      <c r="AM42" s="9"/>
      <c r="AN42" s="9"/>
      <c r="AO42" s="9"/>
      <c r="AP42" s="11"/>
      <c r="AQ42" s="8"/>
      <c r="AR42" s="9"/>
      <c r="AS42" s="9"/>
      <c r="AT42" s="9"/>
      <c r="AU42" s="9"/>
      <c r="AV42" s="9"/>
      <c r="AW42" s="9"/>
      <c r="AX42" s="9"/>
      <c r="AY42" s="10"/>
      <c r="AZ42" s="8"/>
      <c r="BA42" s="9"/>
      <c r="BB42" s="9"/>
      <c r="BC42" s="9"/>
      <c r="BD42" s="9"/>
      <c r="BE42" s="9"/>
      <c r="BF42" s="9"/>
      <c r="BG42" s="9"/>
      <c r="BH42" s="10"/>
      <c r="BI42" s="8"/>
      <c r="BJ42" s="9"/>
      <c r="BK42" s="9"/>
      <c r="BL42" s="9"/>
      <c r="BM42" s="9"/>
      <c r="BN42" s="9"/>
      <c r="BO42" s="9"/>
      <c r="BP42" s="9"/>
      <c r="BQ42" s="10"/>
      <c r="BR42" s="8"/>
      <c r="BS42" s="9"/>
      <c r="BT42" s="9"/>
      <c r="BU42" s="10"/>
    </row>
    <row r="43" spans="1:94" hidden="1" x14ac:dyDescent="0.25">
      <c r="G43" s="9"/>
      <c r="H43" s="9"/>
      <c r="I43" s="9"/>
      <c r="J43" s="9"/>
      <c r="P43" s="2"/>
      <c r="Q43" s="2"/>
      <c r="S43" s="8"/>
      <c r="T43" s="10"/>
      <c r="V43" s="8"/>
      <c r="W43" s="9"/>
      <c r="X43" s="9"/>
      <c r="Y43" s="9"/>
      <c r="Z43" s="11"/>
      <c r="AA43" s="8"/>
      <c r="AB43" s="9"/>
      <c r="AC43" s="9"/>
      <c r="AD43" s="9"/>
      <c r="AE43" s="9"/>
      <c r="AF43" s="9"/>
      <c r="AG43" s="10"/>
      <c r="AH43" s="8"/>
      <c r="AI43" s="9"/>
      <c r="AJ43" s="9"/>
      <c r="AK43" s="9"/>
      <c r="AL43" s="9"/>
      <c r="AM43" s="9"/>
      <c r="AN43" s="9"/>
      <c r="AO43" s="9"/>
      <c r="AP43" s="11"/>
      <c r="AQ43" s="8"/>
      <c r="AR43" s="9"/>
      <c r="AS43" s="9"/>
      <c r="AT43" s="9"/>
      <c r="AU43" s="9"/>
      <c r="AV43" s="9"/>
      <c r="AW43" s="9"/>
      <c r="AX43" s="9"/>
      <c r="AY43" s="10"/>
      <c r="AZ43" s="8"/>
      <c r="BA43" s="9"/>
      <c r="BB43" s="9"/>
      <c r="BC43" s="9"/>
      <c r="BD43" s="9"/>
      <c r="BE43" s="9"/>
      <c r="BF43" s="9"/>
      <c r="BG43" s="9"/>
      <c r="BH43" s="10"/>
      <c r="BI43" s="8"/>
      <c r="BJ43" s="9"/>
      <c r="BK43" s="9"/>
      <c r="BL43" s="9"/>
      <c r="BM43" s="9"/>
      <c r="BN43" s="9"/>
      <c r="BO43" s="9"/>
      <c r="BP43" s="9"/>
      <c r="BQ43" s="10"/>
      <c r="BR43" s="8"/>
      <c r="BS43" s="9"/>
      <c r="BT43" s="9"/>
      <c r="BU43" s="10"/>
    </row>
    <row r="44" spans="1:94" hidden="1" x14ac:dyDescent="0.25">
      <c r="G44" s="9"/>
      <c r="H44" s="9"/>
      <c r="I44" s="9"/>
      <c r="J44" s="9"/>
      <c r="P44" s="2"/>
      <c r="Q44" s="2"/>
      <c r="S44" s="8"/>
      <c r="T44" s="10"/>
      <c r="V44" s="8"/>
      <c r="W44" s="9"/>
      <c r="X44" s="9"/>
      <c r="Y44" s="9"/>
      <c r="Z44" s="11"/>
      <c r="AA44" s="8"/>
      <c r="AB44" s="9"/>
      <c r="AC44" s="9"/>
      <c r="AD44" s="9"/>
      <c r="AE44" s="9"/>
      <c r="AF44" s="9"/>
      <c r="AG44" s="10"/>
      <c r="AH44" s="8"/>
      <c r="AI44" s="9"/>
      <c r="AJ44" s="9"/>
      <c r="AK44" s="9"/>
      <c r="AL44" s="9"/>
      <c r="AM44" s="9"/>
      <c r="AN44" s="9"/>
      <c r="AO44" s="9"/>
      <c r="AP44" s="11"/>
      <c r="AQ44" s="8"/>
      <c r="AR44" s="9"/>
      <c r="AS44" s="9"/>
      <c r="AT44" s="9"/>
      <c r="AU44" s="9"/>
      <c r="AV44" s="9"/>
      <c r="AW44" s="9"/>
      <c r="AX44" s="9"/>
      <c r="AY44" s="10"/>
      <c r="AZ44" s="8"/>
      <c r="BA44" s="9"/>
      <c r="BB44" s="9"/>
      <c r="BC44" s="9"/>
      <c r="BD44" s="9"/>
      <c r="BE44" s="9"/>
      <c r="BF44" s="9"/>
      <c r="BG44" s="9"/>
      <c r="BH44" s="10"/>
      <c r="BI44" s="8"/>
      <c r="BJ44" s="9"/>
      <c r="BK44" s="9"/>
      <c r="BL44" s="9"/>
      <c r="BM44" s="9"/>
      <c r="BN44" s="9"/>
      <c r="BO44" s="9"/>
      <c r="BP44" s="9"/>
      <c r="BQ44" s="10"/>
      <c r="BR44" s="8"/>
      <c r="BS44" s="9"/>
      <c r="BT44" s="9"/>
      <c r="BU44" s="10"/>
    </row>
    <row r="45" spans="1:94" hidden="1" x14ac:dyDescent="0.25">
      <c r="G45" s="9"/>
      <c r="H45" s="9"/>
      <c r="I45" s="9"/>
      <c r="J45" s="9"/>
      <c r="P45" s="2"/>
      <c r="Q45" s="2"/>
      <c r="S45" s="8"/>
      <c r="T45" s="10"/>
      <c r="V45" s="8"/>
      <c r="W45" s="9"/>
      <c r="X45" s="9"/>
      <c r="Y45" s="9"/>
      <c r="Z45" s="11"/>
      <c r="AA45" s="8"/>
      <c r="AB45" s="9"/>
      <c r="AC45" s="9"/>
      <c r="AD45" s="9"/>
      <c r="AE45" s="9"/>
      <c r="AF45" s="9"/>
      <c r="AG45" s="10"/>
      <c r="AH45" s="8"/>
      <c r="AI45" s="9"/>
      <c r="AJ45" s="9"/>
      <c r="AK45" s="9"/>
      <c r="AL45" s="9"/>
      <c r="AM45" s="9"/>
      <c r="AN45" s="9"/>
      <c r="AO45" s="9"/>
      <c r="AP45" s="11"/>
      <c r="AQ45" s="8"/>
      <c r="AR45" s="9"/>
      <c r="AS45" s="9"/>
      <c r="AT45" s="9"/>
      <c r="AU45" s="9"/>
      <c r="AV45" s="9"/>
      <c r="AW45" s="9"/>
      <c r="AX45" s="9"/>
      <c r="AY45" s="10"/>
      <c r="AZ45" s="8"/>
      <c r="BA45" s="9"/>
      <c r="BB45" s="9"/>
      <c r="BC45" s="9"/>
      <c r="BD45" s="9"/>
      <c r="BE45" s="9"/>
      <c r="BF45" s="9"/>
      <c r="BG45" s="9"/>
      <c r="BH45" s="10"/>
      <c r="BI45" s="8"/>
      <c r="BJ45" s="9"/>
      <c r="BK45" s="9"/>
      <c r="BL45" s="9"/>
      <c r="BM45" s="9"/>
      <c r="BN45" s="9"/>
      <c r="BO45" s="9"/>
      <c r="BP45" s="9"/>
      <c r="BQ45" s="10"/>
      <c r="BR45" s="8"/>
      <c r="BS45" s="9"/>
      <c r="BT45" s="9"/>
      <c r="BU45" s="10"/>
    </row>
    <row r="46" spans="1:94" hidden="1" x14ac:dyDescent="0.25">
      <c r="G46" s="9"/>
      <c r="H46" s="9"/>
      <c r="I46" s="9"/>
      <c r="J46" s="9"/>
      <c r="P46" s="2"/>
      <c r="Q46" s="2"/>
      <c r="S46" s="8"/>
      <c r="T46" s="10"/>
      <c r="V46" s="8"/>
      <c r="W46" s="9"/>
      <c r="X46" s="9"/>
      <c r="Y46" s="9"/>
      <c r="Z46" s="11"/>
      <c r="AA46" s="8"/>
      <c r="AB46" s="9"/>
      <c r="AC46" s="9"/>
      <c r="AD46" s="9"/>
      <c r="AE46" s="9"/>
      <c r="AF46" s="9"/>
      <c r="AG46" s="10"/>
      <c r="AH46" s="8"/>
      <c r="AI46" s="9"/>
      <c r="AJ46" s="9"/>
      <c r="AK46" s="9"/>
      <c r="AL46" s="9"/>
      <c r="AM46" s="9"/>
      <c r="AN46" s="9"/>
      <c r="AO46" s="9"/>
      <c r="AP46" s="11"/>
      <c r="AQ46" s="8"/>
      <c r="AR46" s="9"/>
      <c r="AS46" s="9"/>
      <c r="AT46" s="9"/>
      <c r="AU46" s="9"/>
      <c r="AV46" s="9"/>
      <c r="AW46" s="9"/>
      <c r="AX46" s="9"/>
      <c r="AY46" s="10"/>
      <c r="AZ46" s="8"/>
      <c r="BA46" s="9"/>
      <c r="BB46" s="9"/>
      <c r="BC46" s="9"/>
      <c r="BD46" s="9"/>
      <c r="BE46" s="9"/>
      <c r="BF46" s="9"/>
      <c r="BG46" s="9"/>
      <c r="BH46" s="10"/>
      <c r="BI46" s="8"/>
      <c r="BJ46" s="9"/>
      <c r="BK46" s="9"/>
      <c r="BL46" s="9"/>
      <c r="BM46" s="9"/>
      <c r="BN46" s="9"/>
      <c r="BO46" s="9"/>
      <c r="BP46" s="9"/>
      <c r="BQ46" s="10"/>
      <c r="BR46" s="8"/>
      <c r="BS46" s="9"/>
      <c r="BT46" s="9"/>
      <c r="BU46" s="10"/>
    </row>
    <row r="47" spans="1:94" hidden="1" x14ac:dyDescent="0.25">
      <c r="G47" s="9"/>
      <c r="H47" s="9"/>
      <c r="I47" s="9"/>
      <c r="J47" s="9"/>
      <c r="P47" s="2"/>
      <c r="Q47" s="2"/>
      <c r="S47" s="8"/>
      <c r="T47" s="10"/>
      <c r="V47" s="8"/>
      <c r="W47" s="9"/>
      <c r="X47" s="9"/>
      <c r="Y47" s="9"/>
      <c r="Z47" s="11"/>
      <c r="AA47" s="8"/>
      <c r="AB47" s="9"/>
      <c r="AC47" s="9"/>
      <c r="AD47" s="9"/>
      <c r="AE47" s="9"/>
      <c r="AF47" s="9"/>
      <c r="AG47" s="10"/>
      <c r="AH47" s="8"/>
      <c r="AI47" s="9"/>
      <c r="AJ47" s="9"/>
      <c r="AK47" s="9"/>
      <c r="AL47" s="9"/>
      <c r="AM47" s="9"/>
      <c r="AN47" s="9"/>
      <c r="AO47" s="9"/>
      <c r="AP47" s="11"/>
      <c r="AQ47" s="8"/>
      <c r="AR47" s="9"/>
      <c r="AS47" s="9"/>
      <c r="AT47" s="9"/>
      <c r="AU47" s="9"/>
      <c r="AV47" s="9"/>
      <c r="AW47" s="9"/>
      <c r="AX47" s="9"/>
      <c r="AY47" s="10"/>
      <c r="AZ47" s="8"/>
      <c r="BA47" s="9"/>
      <c r="BB47" s="9"/>
      <c r="BC47" s="9"/>
      <c r="BD47" s="9"/>
      <c r="BE47" s="9"/>
      <c r="BF47" s="9"/>
      <c r="BG47" s="9"/>
      <c r="BH47" s="10"/>
      <c r="BI47" s="8"/>
      <c r="BJ47" s="9"/>
      <c r="BK47" s="9"/>
      <c r="BL47" s="9"/>
      <c r="BM47" s="9"/>
      <c r="BN47" s="9"/>
      <c r="BO47" s="9"/>
      <c r="BP47" s="9"/>
      <c r="BQ47" s="10"/>
      <c r="BR47" s="8"/>
      <c r="BS47" s="9"/>
      <c r="BT47" s="9"/>
      <c r="BU47" s="10"/>
    </row>
    <row r="48" spans="1:94" hidden="1" x14ac:dyDescent="0.25">
      <c r="G48" s="9"/>
      <c r="H48" s="9"/>
      <c r="I48" s="9"/>
      <c r="J48" s="9"/>
      <c r="P48" s="2"/>
      <c r="Q48" s="2"/>
      <c r="S48" s="8"/>
      <c r="T48" s="10"/>
      <c r="V48" s="8"/>
      <c r="W48" s="9"/>
      <c r="X48" s="9"/>
      <c r="Y48" s="9"/>
      <c r="Z48" s="11"/>
      <c r="AA48" s="8"/>
      <c r="AB48" s="9"/>
      <c r="AC48" s="9"/>
      <c r="AD48" s="9"/>
      <c r="AE48" s="9"/>
      <c r="AF48" s="9"/>
      <c r="AG48" s="10"/>
      <c r="AH48" s="8"/>
      <c r="AI48" s="9"/>
      <c r="AJ48" s="9"/>
      <c r="AK48" s="9"/>
      <c r="AL48" s="9"/>
      <c r="AM48" s="9"/>
      <c r="AN48" s="9"/>
      <c r="AO48" s="9"/>
      <c r="AP48" s="11"/>
      <c r="AQ48" s="8"/>
      <c r="AR48" s="9"/>
      <c r="AS48" s="9"/>
      <c r="AT48" s="9"/>
      <c r="AU48" s="9"/>
      <c r="AV48" s="9"/>
      <c r="AW48" s="9"/>
      <c r="AX48" s="9"/>
      <c r="AY48" s="10"/>
      <c r="AZ48" s="8"/>
      <c r="BA48" s="9"/>
      <c r="BB48" s="9"/>
      <c r="BC48" s="9"/>
      <c r="BD48" s="9"/>
      <c r="BE48" s="9"/>
      <c r="BF48" s="9"/>
      <c r="BG48" s="9"/>
      <c r="BH48" s="10"/>
      <c r="BI48" s="8"/>
      <c r="BJ48" s="9"/>
      <c r="BK48" s="9"/>
      <c r="BL48" s="9"/>
      <c r="BM48" s="9"/>
      <c r="BN48" s="9"/>
      <c r="BO48" s="9"/>
      <c r="BP48" s="9"/>
      <c r="BQ48" s="10"/>
      <c r="BR48" s="8"/>
      <c r="BS48" s="9"/>
      <c r="BT48" s="9"/>
      <c r="BU48" s="10"/>
    </row>
    <row r="49" spans="7:73" hidden="1" x14ac:dyDescent="0.25">
      <c r="G49" s="9"/>
      <c r="H49" s="9"/>
      <c r="I49" s="9"/>
      <c r="J49" s="9"/>
      <c r="P49" s="2"/>
      <c r="Q49" s="2"/>
      <c r="S49" s="8"/>
      <c r="T49" s="10"/>
      <c r="V49" s="8"/>
      <c r="W49" s="9"/>
      <c r="X49" s="9"/>
      <c r="Y49" s="9"/>
      <c r="Z49" s="11"/>
      <c r="AA49" s="8"/>
      <c r="AB49" s="9"/>
      <c r="AC49" s="9"/>
      <c r="AD49" s="9"/>
      <c r="AE49" s="9"/>
      <c r="AF49" s="9"/>
      <c r="AG49" s="10"/>
      <c r="AH49" s="8"/>
      <c r="AI49" s="9"/>
      <c r="AJ49" s="9"/>
      <c r="AK49" s="9"/>
      <c r="AL49" s="9"/>
      <c r="AM49" s="9"/>
      <c r="AN49" s="9"/>
      <c r="AO49" s="9"/>
      <c r="AP49" s="11"/>
      <c r="AQ49" s="8"/>
      <c r="AR49" s="9"/>
      <c r="AS49" s="9"/>
      <c r="AT49" s="9"/>
      <c r="AU49" s="9"/>
      <c r="AV49" s="9"/>
      <c r="AW49" s="9"/>
      <c r="AX49" s="9"/>
      <c r="AY49" s="10"/>
      <c r="AZ49" s="8"/>
      <c r="BA49" s="9"/>
      <c r="BB49" s="9"/>
      <c r="BC49" s="9"/>
      <c r="BD49" s="9"/>
      <c r="BE49" s="9"/>
      <c r="BF49" s="9"/>
      <c r="BG49" s="9"/>
      <c r="BH49" s="10"/>
      <c r="BI49" s="8"/>
      <c r="BJ49" s="9"/>
      <c r="BK49" s="9"/>
      <c r="BL49" s="9"/>
      <c r="BM49" s="9"/>
      <c r="BN49" s="9"/>
      <c r="BO49" s="9"/>
      <c r="BP49" s="9"/>
      <c r="BQ49" s="10"/>
      <c r="BR49" s="8"/>
      <c r="BS49" s="9"/>
      <c r="BT49" s="9"/>
      <c r="BU49" s="10"/>
    </row>
    <row r="50" spans="7:73" hidden="1" x14ac:dyDescent="0.25">
      <c r="G50" s="9"/>
      <c r="H50" s="9"/>
      <c r="I50" s="9"/>
      <c r="J50" s="9"/>
      <c r="P50" s="2"/>
      <c r="Q50" s="2"/>
      <c r="S50" s="8"/>
      <c r="T50" s="10"/>
      <c r="V50" s="8"/>
      <c r="W50" s="9"/>
      <c r="X50" s="9"/>
      <c r="Y50" s="9"/>
      <c r="Z50" s="11"/>
      <c r="AA50" s="8"/>
      <c r="AB50" s="9"/>
      <c r="AC50" s="9"/>
      <c r="AD50" s="9"/>
      <c r="AE50" s="9"/>
      <c r="AF50" s="9"/>
      <c r="AG50" s="10"/>
      <c r="AH50" s="8"/>
      <c r="AI50" s="9"/>
      <c r="AJ50" s="9"/>
      <c r="AK50" s="9"/>
      <c r="AL50" s="9"/>
      <c r="AM50" s="9"/>
      <c r="AN50" s="9"/>
      <c r="AO50" s="9"/>
      <c r="AP50" s="11"/>
      <c r="AQ50" s="8"/>
      <c r="AR50" s="9"/>
      <c r="AS50" s="9"/>
      <c r="AT50" s="9"/>
      <c r="AU50" s="9"/>
      <c r="AV50" s="9"/>
      <c r="AW50" s="9"/>
      <c r="AX50" s="9"/>
      <c r="AY50" s="10"/>
      <c r="AZ50" s="8"/>
      <c r="BA50" s="9"/>
      <c r="BB50" s="9"/>
      <c r="BC50" s="9"/>
      <c r="BD50" s="9"/>
      <c r="BE50" s="9"/>
      <c r="BF50" s="9"/>
      <c r="BG50" s="9"/>
      <c r="BH50" s="10"/>
      <c r="BI50" s="8"/>
      <c r="BJ50" s="9"/>
      <c r="BK50" s="9"/>
      <c r="BL50" s="9"/>
      <c r="BM50" s="9"/>
      <c r="BN50" s="9"/>
      <c r="BO50" s="9"/>
      <c r="BP50" s="9"/>
      <c r="BQ50" s="10"/>
      <c r="BR50" s="8"/>
      <c r="BS50" s="9"/>
      <c r="BT50" s="9"/>
      <c r="BU50" s="10"/>
    </row>
    <row r="51" spans="7:73" hidden="1" x14ac:dyDescent="0.25">
      <c r="G51" s="9"/>
      <c r="H51" s="9"/>
      <c r="I51" s="9"/>
      <c r="J51" s="9"/>
      <c r="P51" s="2"/>
      <c r="Q51" s="2"/>
      <c r="S51" s="8"/>
      <c r="T51" s="10"/>
      <c r="V51" s="8"/>
      <c r="W51" s="9"/>
      <c r="X51" s="9"/>
      <c r="Y51" s="9"/>
      <c r="Z51" s="11"/>
      <c r="AA51" s="8"/>
      <c r="AB51" s="9"/>
      <c r="AC51" s="9"/>
      <c r="AD51" s="9"/>
      <c r="AE51" s="9"/>
      <c r="AF51" s="9"/>
      <c r="AG51" s="10"/>
      <c r="AH51" s="8"/>
      <c r="AI51" s="9"/>
      <c r="AJ51" s="9"/>
      <c r="AK51" s="9"/>
      <c r="AL51" s="9"/>
      <c r="AM51" s="9"/>
      <c r="AN51" s="9"/>
      <c r="AO51" s="9"/>
      <c r="AP51" s="11"/>
      <c r="AQ51" s="8"/>
      <c r="AR51" s="9"/>
      <c r="AS51" s="9"/>
      <c r="AT51" s="9"/>
      <c r="AU51" s="9"/>
      <c r="AV51" s="9"/>
      <c r="AW51" s="9"/>
      <c r="AX51" s="9"/>
      <c r="AY51" s="10"/>
      <c r="AZ51" s="8"/>
      <c r="BA51" s="9"/>
      <c r="BB51" s="9"/>
      <c r="BC51" s="9"/>
      <c r="BD51" s="9"/>
      <c r="BE51" s="9"/>
      <c r="BF51" s="9"/>
      <c r="BG51" s="9"/>
      <c r="BH51" s="10"/>
      <c r="BI51" s="8"/>
      <c r="BJ51" s="9"/>
      <c r="BK51" s="9"/>
      <c r="BL51" s="9"/>
      <c r="BM51" s="9"/>
      <c r="BN51" s="9"/>
      <c r="BO51" s="9"/>
      <c r="BP51" s="9"/>
      <c r="BQ51" s="10"/>
      <c r="BR51" s="8"/>
      <c r="BS51" s="9"/>
      <c r="BT51" s="9"/>
      <c r="BU51" s="10"/>
    </row>
    <row r="52" spans="7:73" hidden="1" x14ac:dyDescent="0.25">
      <c r="G52" s="9"/>
      <c r="H52" s="9"/>
      <c r="I52" s="9"/>
      <c r="J52" s="9"/>
      <c r="P52" s="2"/>
      <c r="Q52" s="2"/>
      <c r="S52" s="8"/>
      <c r="T52" s="10"/>
      <c r="V52" s="8"/>
      <c r="W52" s="9"/>
      <c r="X52" s="9"/>
      <c r="Y52" s="9"/>
      <c r="Z52" s="11"/>
      <c r="AA52" s="8"/>
      <c r="AB52" s="9"/>
      <c r="AC52" s="9"/>
      <c r="AD52" s="9"/>
      <c r="AE52" s="9"/>
      <c r="AF52" s="9"/>
      <c r="AG52" s="10"/>
      <c r="AH52" s="8"/>
      <c r="AI52" s="9"/>
      <c r="AJ52" s="9"/>
      <c r="AK52" s="9"/>
      <c r="AL52" s="9"/>
      <c r="AM52" s="9"/>
      <c r="AN52" s="9"/>
      <c r="AO52" s="9"/>
      <c r="AP52" s="11"/>
      <c r="AQ52" s="8"/>
      <c r="AR52" s="9"/>
      <c r="AS52" s="9"/>
      <c r="AT52" s="9"/>
      <c r="AU52" s="9"/>
      <c r="AV52" s="9"/>
      <c r="AW52" s="9"/>
      <c r="AX52" s="9"/>
      <c r="AY52" s="10"/>
      <c r="AZ52" s="8"/>
      <c r="BA52" s="9"/>
      <c r="BB52" s="9"/>
      <c r="BC52" s="9"/>
      <c r="BD52" s="9"/>
      <c r="BE52" s="9"/>
      <c r="BF52" s="9"/>
      <c r="BG52" s="9"/>
      <c r="BH52" s="10"/>
      <c r="BI52" s="8"/>
      <c r="BJ52" s="9"/>
      <c r="BK52" s="9"/>
      <c r="BL52" s="9"/>
      <c r="BM52" s="9"/>
      <c r="BN52" s="9"/>
      <c r="BO52" s="9"/>
      <c r="BP52" s="9"/>
      <c r="BQ52" s="10"/>
      <c r="BR52" s="8"/>
      <c r="BS52" s="9"/>
      <c r="BT52" s="9"/>
      <c r="BU52" s="10"/>
    </row>
    <row r="53" spans="7:73" hidden="1" x14ac:dyDescent="0.25">
      <c r="G53" s="9"/>
      <c r="H53" s="9"/>
      <c r="I53" s="9"/>
      <c r="J53" s="9"/>
      <c r="P53" s="2"/>
      <c r="Q53" s="2"/>
      <c r="S53" s="8"/>
      <c r="T53" s="10"/>
      <c r="V53" s="8"/>
      <c r="W53" s="9"/>
      <c r="X53" s="9"/>
      <c r="Y53" s="9"/>
      <c r="Z53" s="11"/>
      <c r="AA53" s="8"/>
      <c r="AB53" s="9"/>
      <c r="AC53" s="9"/>
      <c r="AD53" s="9"/>
      <c r="AE53" s="9"/>
      <c r="AF53" s="9"/>
      <c r="AG53" s="10"/>
      <c r="AH53" s="8"/>
      <c r="AI53" s="9"/>
      <c r="AJ53" s="9"/>
      <c r="AK53" s="9"/>
      <c r="AL53" s="9"/>
      <c r="AM53" s="9"/>
      <c r="AN53" s="9"/>
      <c r="AO53" s="9"/>
      <c r="AP53" s="11"/>
      <c r="AQ53" s="8"/>
      <c r="AR53" s="9"/>
      <c r="AS53" s="9"/>
      <c r="AT53" s="9"/>
      <c r="AU53" s="9"/>
      <c r="AV53" s="9"/>
      <c r="AW53" s="9"/>
      <c r="AX53" s="9"/>
      <c r="AY53" s="10"/>
      <c r="AZ53" s="8"/>
      <c r="BA53" s="9"/>
      <c r="BB53" s="9"/>
      <c r="BC53" s="9"/>
      <c r="BD53" s="9"/>
      <c r="BE53" s="9"/>
      <c r="BF53" s="9"/>
      <c r="BG53" s="9"/>
      <c r="BH53" s="10"/>
      <c r="BI53" s="8"/>
      <c r="BJ53" s="9"/>
      <c r="BK53" s="9"/>
      <c r="BL53" s="9"/>
      <c r="BM53" s="9"/>
      <c r="BN53" s="9"/>
      <c r="BO53" s="9"/>
      <c r="BP53" s="9"/>
      <c r="BQ53" s="10"/>
      <c r="BR53" s="8"/>
      <c r="BS53" s="9"/>
      <c r="BT53" s="9"/>
      <c r="BU53" s="10"/>
    </row>
    <row r="54" spans="7:73" hidden="1" x14ac:dyDescent="0.25">
      <c r="G54" s="9"/>
      <c r="H54" s="9"/>
      <c r="I54" s="9"/>
      <c r="J54" s="9"/>
      <c r="P54" s="2"/>
      <c r="Q54" s="2"/>
      <c r="S54" s="8"/>
      <c r="T54" s="10"/>
      <c r="V54" s="8"/>
      <c r="W54" s="9"/>
      <c r="X54" s="9"/>
      <c r="Y54" s="9"/>
      <c r="Z54" s="11"/>
      <c r="AA54" s="8"/>
      <c r="AB54" s="9"/>
      <c r="AC54" s="9"/>
      <c r="AD54" s="9"/>
      <c r="AE54" s="9"/>
      <c r="AF54" s="9"/>
      <c r="AG54" s="10"/>
      <c r="AH54" s="8"/>
      <c r="AI54" s="9"/>
      <c r="AJ54" s="9"/>
      <c r="AK54" s="9"/>
      <c r="AL54" s="9"/>
      <c r="AM54" s="9"/>
      <c r="AN54" s="9"/>
      <c r="AO54" s="9"/>
      <c r="AP54" s="11"/>
      <c r="AQ54" s="8"/>
      <c r="AR54" s="9"/>
      <c r="AS54" s="9"/>
      <c r="AT54" s="9"/>
      <c r="AU54" s="9"/>
      <c r="AV54" s="9"/>
      <c r="AW54" s="9"/>
      <c r="AX54" s="9"/>
      <c r="AY54" s="10"/>
      <c r="AZ54" s="8"/>
      <c r="BA54" s="9"/>
      <c r="BB54" s="9"/>
      <c r="BC54" s="9"/>
      <c r="BD54" s="9"/>
      <c r="BE54" s="9"/>
      <c r="BF54" s="9"/>
      <c r="BG54" s="9"/>
      <c r="BH54" s="10"/>
      <c r="BI54" s="8"/>
      <c r="BJ54" s="9"/>
      <c r="BK54" s="9"/>
      <c r="BL54" s="9"/>
      <c r="BM54" s="9"/>
      <c r="BN54" s="9"/>
      <c r="BO54" s="9"/>
      <c r="BP54" s="9"/>
      <c r="BQ54" s="10"/>
      <c r="BR54" s="8"/>
      <c r="BS54" s="9"/>
      <c r="BT54" s="9"/>
      <c r="BU54" s="10"/>
    </row>
    <row r="55" spans="7:73" hidden="1" x14ac:dyDescent="0.25">
      <c r="G55" s="9"/>
      <c r="H55" s="9"/>
      <c r="I55" s="9"/>
      <c r="J55" s="9"/>
      <c r="P55" s="2"/>
      <c r="Q55" s="2"/>
      <c r="S55" s="8"/>
      <c r="T55" s="10"/>
      <c r="V55" s="8"/>
      <c r="W55" s="9"/>
      <c r="X55" s="9"/>
      <c r="Y55" s="9"/>
      <c r="Z55" s="11"/>
      <c r="AA55" s="8"/>
      <c r="AB55" s="9"/>
      <c r="AC55" s="9"/>
      <c r="AD55" s="9"/>
      <c r="AE55" s="9"/>
      <c r="AF55" s="9"/>
      <c r="AG55" s="10"/>
      <c r="AH55" s="8"/>
      <c r="AI55" s="9"/>
      <c r="AJ55" s="9"/>
      <c r="AK55" s="9"/>
      <c r="AL55" s="9"/>
      <c r="AM55" s="9"/>
      <c r="AN55" s="9"/>
      <c r="AO55" s="9"/>
      <c r="AP55" s="11"/>
      <c r="AQ55" s="8"/>
      <c r="AR55" s="9"/>
      <c r="AS55" s="9"/>
      <c r="AT55" s="9"/>
      <c r="AU55" s="9"/>
      <c r="AV55" s="9"/>
      <c r="AW55" s="9"/>
      <c r="AX55" s="9"/>
      <c r="AY55" s="10"/>
      <c r="AZ55" s="8"/>
      <c r="BA55" s="9"/>
      <c r="BB55" s="9"/>
      <c r="BC55" s="9"/>
      <c r="BD55" s="9"/>
      <c r="BE55" s="9"/>
      <c r="BF55" s="9"/>
      <c r="BG55" s="9"/>
      <c r="BH55" s="10"/>
      <c r="BI55" s="8"/>
      <c r="BJ55" s="9"/>
      <c r="BK55" s="9"/>
      <c r="BL55" s="9"/>
      <c r="BM55" s="9"/>
      <c r="BN55" s="9"/>
      <c r="BO55" s="9"/>
      <c r="BP55" s="9"/>
      <c r="BQ55" s="10"/>
      <c r="BR55" s="8"/>
      <c r="BS55" s="9"/>
      <c r="BT55" s="9"/>
      <c r="BU55" s="10"/>
    </row>
    <row r="56" spans="7:73" hidden="1" x14ac:dyDescent="0.25">
      <c r="G56" s="9"/>
      <c r="H56" s="9"/>
      <c r="I56" s="9"/>
      <c r="J56" s="9"/>
      <c r="P56" s="2"/>
      <c r="Q56" s="2"/>
      <c r="S56" s="8"/>
      <c r="T56" s="10"/>
      <c r="V56" s="8"/>
      <c r="W56" s="9"/>
      <c r="X56" s="9"/>
      <c r="Y56" s="9"/>
      <c r="Z56" s="11"/>
      <c r="AA56" s="8"/>
      <c r="AB56" s="9"/>
      <c r="AC56" s="9"/>
      <c r="AD56" s="9"/>
      <c r="AE56" s="9"/>
      <c r="AF56" s="9"/>
      <c r="AG56" s="10"/>
      <c r="AH56" s="8"/>
      <c r="AI56" s="9"/>
      <c r="AJ56" s="9"/>
      <c r="AK56" s="9"/>
      <c r="AL56" s="9"/>
      <c r="AM56" s="9"/>
      <c r="AN56" s="9"/>
      <c r="AO56" s="9"/>
      <c r="AP56" s="11"/>
      <c r="AQ56" s="8"/>
      <c r="AR56" s="9"/>
      <c r="AS56" s="9"/>
      <c r="AT56" s="9"/>
      <c r="AU56" s="9"/>
      <c r="AV56" s="9"/>
      <c r="AW56" s="9"/>
      <c r="AX56" s="9"/>
      <c r="AY56" s="10"/>
      <c r="AZ56" s="8"/>
      <c r="BA56" s="9"/>
      <c r="BB56" s="9"/>
      <c r="BC56" s="9"/>
      <c r="BD56" s="9"/>
      <c r="BE56" s="9"/>
      <c r="BF56" s="9"/>
      <c r="BG56" s="9"/>
      <c r="BH56" s="10"/>
      <c r="BI56" s="8"/>
      <c r="BJ56" s="9"/>
      <c r="BK56" s="9"/>
      <c r="BL56" s="9"/>
      <c r="BM56" s="9"/>
      <c r="BN56" s="9"/>
      <c r="BO56" s="9"/>
      <c r="BP56" s="9"/>
      <c r="BQ56" s="10"/>
      <c r="BR56" s="8"/>
      <c r="BS56" s="9"/>
      <c r="BT56" s="9"/>
      <c r="BU56" s="10"/>
    </row>
    <row r="57" spans="7:73" hidden="1" x14ac:dyDescent="0.25">
      <c r="G57" s="9"/>
      <c r="H57" s="9"/>
      <c r="I57" s="9"/>
      <c r="J57" s="9"/>
      <c r="P57" s="2"/>
      <c r="Q57" s="2"/>
      <c r="S57" s="8"/>
      <c r="T57" s="10"/>
      <c r="V57" s="8"/>
      <c r="W57" s="9"/>
      <c r="X57" s="9"/>
      <c r="Y57" s="9"/>
      <c r="Z57" s="11"/>
      <c r="AA57" s="8"/>
      <c r="AB57" s="9"/>
      <c r="AC57" s="9"/>
      <c r="AD57" s="9"/>
      <c r="AE57" s="9"/>
      <c r="AF57" s="9"/>
      <c r="AG57" s="10"/>
      <c r="AH57" s="8"/>
      <c r="AI57" s="9"/>
      <c r="AJ57" s="9"/>
      <c r="AK57" s="9"/>
      <c r="AL57" s="9"/>
      <c r="AM57" s="9"/>
      <c r="AN57" s="9"/>
      <c r="AO57" s="9"/>
      <c r="AP57" s="11"/>
      <c r="AQ57" s="8"/>
      <c r="AR57" s="9"/>
      <c r="AS57" s="9"/>
      <c r="AT57" s="9"/>
      <c r="AU57" s="9"/>
      <c r="AV57" s="9"/>
      <c r="AW57" s="9"/>
      <c r="AX57" s="9"/>
      <c r="AY57" s="10"/>
      <c r="AZ57" s="8"/>
      <c r="BA57" s="9"/>
      <c r="BB57" s="9"/>
      <c r="BC57" s="9"/>
      <c r="BD57" s="9"/>
      <c r="BE57" s="9"/>
      <c r="BF57" s="9"/>
      <c r="BG57" s="9"/>
      <c r="BH57" s="10"/>
      <c r="BI57" s="8"/>
      <c r="BJ57" s="9"/>
      <c r="BK57" s="9"/>
      <c r="BL57" s="9"/>
      <c r="BM57" s="9"/>
      <c r="BN57" s="9"/>
      <c r="BO57" s="9"/>
      <c r="BP57" s="9"/>
      <c r="BQ57" s="10"/>
      <c r="BR57" s="8"/>
      <c r="BS57" s="9"/>
      <c r="BT57" s="9"/>
      <c r="BU57" s="10"/>
    </row>
    <row r="58" spans="7:73" hidden="1" x14ac:dyDescent="0.25">
      <c r="G58" s="9"/>
      <c r="H58" s="9"/>
      <c r="I58" s="9"/>
      <c r="J58" s="9"/>
      <c r="P58" s="2"/>
      <c r="Q58" s="2"/>
      <c r="S58" s="8"/>
      <c r="T58" s="10"/>
      <c r="V58" s="8"/>
      <c r="W58" s="9"/>
      <c r="X58" s="9"/>
      <c r="Y58" s="9"/>
      <c r="Z58" s="11"/>
      <c r="AA58" s="8"/>
      <c r="AB58" s="9"/>
      <c r="AC58" s="9"/>
      <c r="AD58" s="9"/>
      <c r="AE58" s="9"/>
      <c r="AF58" s="9"/>
      <c r="AG58" s="10"/>
      <c r="AH58" s="8"/>
      <c r="AI58" s="9"/>
      <c r="AJ58" s="9"/>
      <c r="AK58" s="9"/>
      <c r="AL58" s="9"/>
      <c r="AM58" s="9"/>
      <c r="AN58" s="9"/>
      <c r="AO58" s="9"/>
      <c r="AP58" s="11"/>
      <c r="AQ58" s="8"/>
      <c r="AR58" s="9"/>
      <c r="AS58" s="9"/>
      <c r="AT58" s="9"/>
      <c r="AU58" s="9"/>
      <c r="AV58" s="9"/>
      <c r="AW58" s="9"/>
      <c r="AX58" s="9"/>
      <c r="AY58" s="10"/>
      <c r="AZ58" s="8"/>
      <c r="BA58" s="9"/>
      <c r="BB58" s="9"/>
      <c r="BC58" s="9"/>
      <c r="BD58" s="9"/>
      <c r="BE58" s="9"/>
      <c r="BF58" s="9"/>
      <c r="BG58" s="9"/>
      <c r="BH58" s="10"/>
      <c r="BI58" s="8"/>
      <c r="BJ58" s="9"/>
      <c r="BK58" s="9"/>
      <c r="BL58" s="9"/>
      <c r="BM58" s="9"/>
      <c r="BN58" s="9"/>
      <c r="BO58" s="9"/>
      <c r="BP58" s="9"/>
      <c r="BQ58" s="10"/>
      <c r="BR58" s="8"/>
      <c r="BS58" s="9"/>
      <c r="BT58" s="9"/>
      <c r="BU58" s="10"/>
    </row>
    <row r="59" spans="7:73" hidden="1" x14ac:dyDescent="0.25">
      <c r="G59" s="9"/>
      <c r="H59" s="9"/>
      <c r="I59" s="9"/>
      <c r="J59" s="9"/>
      <c r="P59" s="2"/>
      <c r="Q59" s="2"/>
      <c r="S59" s="8"/>
      <c r="T59" s="10"/>
      <c r="V59" s="8"/>
      <c r="W59" s="9"/>
      <c r="X59" s="9"/>
      <c r="Y59" s="9"/>
      <c r="Z59" s="11"/>
      <c r="AA59" s="8"/>
      <c r="AB59" s="9"/>
      <c r="AC59" s="9"/>
      <c r="AD59" s="9"/>
      <c r="AE59" s="9"/>
      <c r="AF59" s="9"/>
      <c r="AG59" s="10"/>
      <c r="AH59" s="8"/>
      <c r="AI59" s="9"/>
      <c r="AJ59" s="9"/>
      <c r="AK59" s="9"/>
      <c r="AL59" s="9"/>
      <c r="AM59" s="9"/>
      <c r="AN59" s="9"/>
      <c r="AO59" s="9"/>
      <c r="AP59" s="11"/>
      <c r="AQ59" s="8"/>
      <c r="AR59" s="9"/>
      <c r="AS59" s="9"/>
      <c r="AT59" s="9"/>
      <c r="AU59" s="9"/>
      <c r="AV59" s="9"/>
      <c r="AW59" s="9"/>
      <c r="AX59" s="9"/>
      <c r="AY59" s="10"/>
      <c r="AZ59" s="8"/>
      <c r="BA59" s="9"/>
      <c r="BB59" s="9"/>
      <c r="BC59" s="9"/>
      <c r="BD59" s="9"/>
      <c r="BE59" s="9"/>
      <c r="BF59" s="9"/>
      <c r="BG59" s="9"/>
      <c r="BH59" s="10"/>
      <c r="BI59" s="8"/>
      <c r="BJ59" s="9"/>
      <c r="BK59" s="9"/>
      <c r="BL59" s="9"/>
      <c r="BM59" s="9"/>
      <c r="BN59" s="9"/>
      <c r="BO59" s="9"/>
      <c r="BP59" s="9"/>
      <c r="BQ59" s="10"/>
      <c r="BR59" s="8"/>
      <c r="BS59" s="9"/>
      <c r="BT59" s="9"/>
      <c r="BU59" s="10"/>
    </row>
    <row r="60" spans="7:73" hidden="1" x14ac:dyDescent="0.25">
      <c r="P60" s="2"/>
      <c r="Q60" s="2"/>
      <c r="S60" s="8"/>
      <c r="T60" s="10"/>
      <c r="V60" s="8"/>
      <c r="W60" s="9"/>
      <c r="X60" s="9"/>
      <c r="Y60" s="9"/>
      <c r="Z60" s="11"/>
      <c r="AA60" s="8"/>
      <c r="AB60" s="9"/>
      <c r="AC60" s="9"/>
      <c r="AD60" s="9"/>
      <c r="AE60" s="9"/>
      <c r="AF60" s="9"/>
      <c r="AG60" s="10"/>
      <c r="AH60" s="8"/>
      <c r="AI60" s="9"/>
      <c r="AJ60" s="9"/>
      <c r="AK60" s="9"/>
      <c r="AL60" s="9"/>
      <c r="AM60" s="9"/>
      <c r="AN60" s="9"/>
      <c r="AO60" s="9"/>
      <c r="AP60" s="11"/>
      <c r="AQ60" s="8"/>
      <c r="AR60" s="9"/>
      <c r="AS60" s="9"/>
      <c r="AT60" s="9"/>
      <c r="AU60" s="9"/>
      <c r="AV60" s="9"/>
      <c r="AW60" s="9"/>
      <c r="AX60" s="9"/>
      <c r="AY60" s="10"/>
      <c r="AZ60" s="8"/>
      <c r="BA60" s="9"/>
      <c r="BB60" s="9"/>
      <c r="BC60" s="9"/>
      <c r="BD60" s="9"/>
      <c r="BE60" s="9"/>
      <c r="BF60" s="9"/>
      <c r="BG60" s="9"/>
      <c r="BH60" s="10"/>
      <c r="BI60" s="8"/>
      <c r="BJ60" s="9"/>
      <c r="BK60" s="9"/>
      <c r="BL60" s="9"/>
      <c r="BM60" s="9"/>
      <c r="BN60" s="9"/>
      <c r="BO60" s="9"/>
      <c r="BP60" s="9"/>
      <c r="BQ60" s="10"/>
      <c r="BR60" s="8"/>
      <c r="BS60" s="9"/>
      <c r="BT60" s="9"/>
      <c r="BU60" s="10"/>
    </row>
    <row r="61" spans="7:73" hidden="1" x14ac:dyDescent="0.25">
      <c r="P61" s="2"/>
      <c r="Q61" s="2"/>
      <c r="S61" s="8"/>
      <c r="T61" s="10"/>
      <c r="V61" s="8"/>
      <c r="W61" s="9"/>
      <c r="X61" s="9"/>
      <c r="Y61" s="9"/>
      <c r="Z61" s="11"/>
      <c r="AA61" s="8"/>
      <c r="AB61" s="9"/>
      <c r="AC61" s="9"/>
      <c r="AD61" s="9"/>
      <c r="AE61" s="9"/>
      <c r="AF61" s="9"/>
      <c r="AG61" s="10"/>
      <c r="AH61" s="8"/>
      <c r="AI61" s="9"/>
      <c r="AJ61" s="9"/>
      <c r="AK61" s="9"/>
      <c r="AL61" s="9"/>
      <c r="AM61" s="9"/>
      <c r="AN61" s="9"/>
      <c r="AO61" s="9"/>
      <c r="AP61" s="11"/>
      <c r="AQ61" s="8"/>
      <c r="AR61" s="9"/>
      <c r="AS61" s="9"/>
      <c r="AT61" s="9"/>
      <c r="AU61" s="9"/>
      <c r="AV61" s="9"/>
      <c r="AW61" s="9"/>
      <c r="AX61" s="9"/>
      <c r="AY61" s="10"/>
      <c r="AZ61" s="8"/>
      <c r="BA61" s="9"/>
      <c r="BB61" s="9"/>
      <c r="BC61" s="9"/>
      <c r="BD61" s="9"/>
      <c r="BE61" s="9"/>
      <c r="BF61" s="9"/>
      <c r="BG61" s="9"/>
      <c r="BH61" s="10"/>
      <c r="BI61" s="8"/>
      <c r="BJ61" s="9"/>
      <c r="BK61" s="9"/>
      <c r="BL61" s="9"/>
      <c r="BM61" s="9"/>
      <c r="BN61" s="9"/>
      <c r="BO61" s="9"/>
      <c r="BP61" s="9"/>
      <c r="BQ61" s="10"/>
      <c r="BR61" s="8"/>
      <c r="BS61" s="9"/>
      <c r="BT61" s="9"/>
      <c r="BU61" s="10"/>
    </row>
    <row r="62" spans="7:73" hidden="1" x14ac:dyDescent="0.25">
      <c r="P62" s="2"/>
      <c r="Q62" s="2"/>
      <c r="S62" s="8"/>
      <c r="T62" s="10"/>
      <c r="V62" s="8"/>
      <c r="W62" s="9"/>
      <c r="X62" s="9"/>
      <c r="Y62" s="9"/>
      <c r="Z62" s="11"/>
      <c r="AA62" s="8"/>
      <c r="AB62" s="9"/>
      <c r="AC62" s="9"/>
      <c r="AD62" s="9"/>
      <c r="AE62" s="9"/>
      <c r="AF62" s="9"/>
      <c r="AG62" s="10"/>
      <c r="AH62" s="8"/>
      <c r="AI62" s="9"/>
      <c r="AJ62" s="9"/>
      <c r="AK62" s="9"/>
      <c r="AL62" s="9"/>
      <c r="AM62" s="9"/>
      <c r="AN62" s="9"/>
      <c r="AO62" s="9"/>
      <c r="AP62" s="11"/>
      <c r="AQ62" s="8"/>
      <c r="AR62" s="9"/>
      <c r="AS62" s="9"/>
      <c r="AT62" s="9"/>
      <c r="AU62" s="9"/>
      <c r="AV62" s="9"/>
      <c r="AW62" s="9"/>
      <c r="AX62" s="9"/>
      <c r="AY62" s="10"/>
      <c r="AZ62" s="8"/>
      <c r="BA62" s="9"/>
      <c r="BB62" s="9"/>
      <c r="BC62" s="9"/>
      <c r="BD62" s="9"/>
      <c r="BE62" s="9"/>
      <c r="BF62" s="9"/>
      <c r="BG62" s="9"/>
      <c r="BH62" s="10"/>
      <c r="BI62" s="8"/>
      <c r="BJ62" s="9"/>
      <c r="BK62" s="9"/>
      <c r="BL62" s="9"/>
      <c r="BM62" s="9"/>
      <c r="BN62" s="9"/>
      <c r="BO62" s="9"/>
      <c r="BP62" s="9"/>
      <c r="BQ62" s="10"/>
      <c r="BR62" s="8"/>
      <c r="BS62" s="9"/>
      <c r="BT62" s="9"/>
      <c r="BU62" s="10"/>
    </row>
    <row r="63" spans="7:73" hidden="1" x14ac:dyDescent="0.25">
      <c r="P63" s="2"/>
      <c r="Q63" s="2"/>
      <c r="S63" s="8"/>
      <c r="T63" s="10"/>
      <c r="V63" s="8"/>
      <c r="W63" s="9"/>
      <c r="X63" s="9"/>
      <c r="Y63" s="9"/>
      <c r="Z63" s="11"/>
      <c r="AA63" s="8"/>
      <c r="AB63" s="9"/>
      <c r="AC63" s="9"/>
      <c r="AD63" s="9"/>
      <c r="AE63" s="9"/>
      <c r="AF63" s="9"/>
      <c r="AG63" s="10"/>
      <c r="AH63" s="8"/>
      <c r="AI63" s="9"/>
      <c r="AJ63" s="9"/>
      <c r="AK63" s="9"/>
      <c r="AL63" s="9"/>
      <c r="AM63" s="9"/>
      <c r="AN63" s="9"/>
      <c r="AO63" s="9"/>
      <c r="AP63" s="11"/>
      <c r="AQ63" s="8"/>
      <c r="AR63" s="9"/>
      <c r="AS63" s="9"/>
      <c r="AT63" s="9"/>
      <c r="AU63" s="9"/>
      <c r="AV63" s="9"/>
      <c r="AW63" s="9"/>
      <c r="AX63" s="9"/>
      <c r="AY63" s="10"/>
      <c r="AZ63" s="8"/>
      <c r="BA63" s="9"/>
      <c r="BB63" s="9"/>
      <c r="BC63" s="9"/>
      <c r="BD63" s="9"/>
      <c r="BE63" s="9"/>
      <c r="BF63" s="9"/>
      <c r="BG63" s="9"/>
      <c r="BH63" s="10"/>
      <c r="BI63" s="8"/>
      <c r="BJ63" s="9"/>
      <c r="BK63" s="9"/>
      <c r="BL63" s="9"/>
      <c r="BM63" s="9"/>
      <c r="BN63" s="9"/>
      <c r="BO63" s="9"/>
      <c r="BP63" s="9"/>
      <c r="BQ63" s="10"/>
      <c r="BR63" s="8"/>
      <c r="BS63" s="9"/>
      <c r="BT63" s="9"/>
      <c r="BU63" s="10"/>
    </row>
    <row r="64" spans="7:73" hidden="1" x14ac:dyDescent="0.25">
      <c r="P64" s="2"/>
      <c r="Q64" s="2"/>
      <c r="S64" s="8"/>
      <c r="T64" s="10"/>
      <c r="V64" s="8"/>
      <c r="W64" s="9"/>
      <c r="X64" s="9"/>
      <c r="Y64" s="9"/>
      <c r="Z64" s="11"/>
      <c r="AA64" s="8"/>
      <c r="AB64" s="9"/>
      <c r="AC64" s="9"/>
      <c r="AD64" s="9"/>
      <c r="AE64" s="9"/>
      <c r="AF64" s="9"/>
      <c r="AG64" s="10"/>
      <c r="AH64" s="8"/>
      <c r="AI64" s="9"/>
      <c r="AJ64" s="9"/>
      <c r="AK64" s="9"/>
      <c r="AL64" s="9"/>
      <c r="AM64" s="9"/>
      <c r="AN64" s="9"/>
      <c r="AO64" s="9"/>
      <c r="AP64" s="11"/>
      <c r="AQ64" s="8"/>
      <c r="AR64" s="9"/>
      <c r="AS64" s="9"/>
      <c r="AT64" s="9"/>
      <c r="AU64" s="9"/>
      <c r="AV64" s="9"/>
      <c r="AW64" s="9"/>
      <c r="AX64" s="9"/>
      <c r="AY64" s="10"/>
      <c r="AZ64" s="8"/>
      <c r="BA64" s="9"/>
      <c r="BB64" s="9"/>
      <c r="BC64" s="9"/>
      <c r="BD64" s="9"/>
      <c r="BE64" s="9"/>
      <c r="BF64" s="9"/>
      <c r="BG64" s="9"/>
      <c r="BH64" s="10"/>
      <c r="BI64" s="8"/>
      <c r="BJ64" s="9"/>
      <c r="BK64" s="9"/>
      <c r="BL64" s="9"/>
      <c r="BM64" s="9"/>
      <c r="BN64" s="9"/>
      <c r="BO64" s="9"/>
      <c r="BP64" s="9"/>
      <c r="BQ64" s="10"/>
      <c r="BR64" s="8"/>
      <c r="BS64" s="9"/>
      <c r="BT64" s="9"/>
      <c r="BU64" s="10"/>
    </row>
    <row r="65" spans="16:73" hidden="1" x14ac:dyDescent="0.25">
      <c r="P65" s="2"/>
      <c r="Q65" s="2"/>
      <c r="S65" s="8"/>
      <c r="T65" s="10"/>
      <c r="V65" s="8"/>
      <c r="W65" s="9"/>
      <c r="X65" s="9"/>
      <c r="Y65" s="9"/>
      <c r="Z65" s="11"/>
      <c r="AA65" s="8"/>
      <c r="AB65" s="9"/>
      <c r="AC65" s="9"/>
      <c r="AD65" s="9"/>
      <c r="AE65" s="9"/>
      <c r="AF65" s="9"/>
      <c r="AG65" s="10"/>
      <c r="AH65" s="8"/>
      <c r="AI65" s="9"/>
      <c r="AJ65" s="9"/>
      <c r="AK65" s="9"/>
      <c r="AL65" s="9"/>
      <c r="AM65" s="9"/>
      <c r="AN65" s="9"/>
      <c r="AO65" s="9"/>
      <c r="AP65" s="11"/>
      <c r="AQ65" s="8"/>
      <c r="AR65" s="9"/>
      <c r="AS65" s="9"/>
      <c r="AT65" s="9"/>
      <c r="AU65" s="9"/>
      <c r="AV65" s="9"/>
      <c r="AW65" s="9"/>
      <c r="AX65" s="9"/>
      <c r="AY65" s="10"/>
      <c r="AZ65" s="8"/>
      <c r="BA65" s="9"/>
      <c r="BB65" s="9"/>
      <c r="BC65" s="9"/>
      <c r="BD65" s="9"/>
      <c r="BE65" s="9"/>
      <c r="BF65" s="9"/>
      <c r="BG65" s="9"/>
      <c r="BH65" s="10"/>
      <c r="BI65" s="8"/>
      <c r="BJ65" s="9"/>
      <c r="BK65" s="9"/>
      <c r="BL65" s="9"/>
      <c r="BM65" s="9"/>
      <c r="BN65" s="9"/>
      <c r="BO65" s="9"/>
      <c r="BP65" s="9"/>
      <c r="BQ65" s="10"/>
      <c r="BR65" s="8"/>
      <c r="BS65" s="9"/>
      <c r="BT65" s="9"/>
      <c r="BU65" s="10"/>
    </row>
    <row r="66" spans="16:73" hidden="1" x14ac:dyDescent="0.25">
      <c r="P66" s="2"/>
      <c r="Q66" s="2"/>
      <c r="S66" s="8"/>
      <c r="T66" s="10"/>
      <c r="V66" s="8"/>
      <c r="W66" s="9"/>
      <c r="X66" s="9"/>
      <c r="Y66" s="9"/>
      <c r="Z66" s="11"/>
      <c r="AA66" s="8"/>
      <c r="AB66" s="9"/>
      <c r="AC66" s="9"/>
      <c r="AD66" s="9"/>
      <c r="AE66" s="9"/>
      <c r="AF66" s="9"/>
      <c r="AG66" s="10"/>
      <c r="AH66" s="8"/>
      <c r="AI66" s="9"/>
      <c r="AJ66" s="9"/>
      <c r="AK66" s="9"/>
      <c r="AL66" s="9"/>
      <c r="AM66" s="9"/>
      <c r="AN66" s="9"/>
      <c r="AO66" s="9"/>
      <c r="AP66" s="11"/>
      <c r="AQ66" s="8"/>
      <c r="AR66" s="9"/>
      <c r="AS66" s="9"/>
      <c r="AT66" s="9"/>
      <c r="AU66" s="9"/>
      <c r="AV66" s="9"/>
      <c r="AW66" s="9"/>
      <c r="AX66" s="9"/>
      <c r="AY66" s="10"/>
      <c r="AZ66" s="8"/>
      <c r="BA66" s="9"/>
      <c r="BB66" s="9"/>
      <c r="BC66" s="9"/>
      <c r="BD66" s="9"/>
      <c r="BE66" s="9"/>
      <c r="BF66" s="9"/>
      <c r="BG66" s="9"/>
      <c r="BH66" s="10"/>
      <c r="BI66" s="8"/>
      <c r="BJ66" s="9"/>
      <c r="BK66" s="9"/>
      <c r="BL66" s="9"/>
      <c r="BM66" s="9"/>
      <c r="BN66" s="9"/>
      <c r="BO66" s="9"/>
      <c r="BP66" s="9"/>
      <c r="BQ66" s="10"/>
      <c r="BR66" s="8"/>
      <c r="BS66" s="9"/>
      <c r="BT66" s="9"/>
      <c r="BU66" s="10"/>
    </row>
    <row r="67" spans="16:73" hidden="1" x14ac:dyDescent="0.25">
      <c r="P67" s="2"/>
      <c r="Q67" s="2"/>
      <c r="S67" s="8"/>
      <c r="T67" s="10"/>
      <c r="V67" s="8"/>
      <c r="W67" s="9"/>
      <c r="X67" s="9"/>
      <c r="Y67" s="9"/>
      <c r="Z67" s="11"/>
      <c r="AA67" s="8"/>
      <c r="AB67" s="9"/>
      <c r="AC67" s="9"/>
      <c r="AD67" s="9"/>
      <c r="AE67" s="9"/>
      <c r="AF67" s="9"/>
      <c r="AG67" s="10"/>
      <c r="AH67" s="8"/>
      <c r="AI67" s="9"/>
      <c r="AJ67" s="9"/>
      <c r="AK67" s="9"/>
      <c r="AL67" s="9"/>
      <c r="AM67" s="9"/>
      <c r="AN67" s="9"/>
      <c r="AO67" s="9"/>
      <c r="AP67" s="11"/>
      <c r="AQ67" s="8"/>
      <c r="AR67" s="9"/>
      <c r="AS67" s="9"/>
      <c r="AT67" s="9"/>
      <c r="AU67" s="9"/>
      <c r="AV67" s="9"/>
      <c r="AW67" s="9"/>
      <c r="AX67" s="9"/>
      <c r="AY67" s="10"/>
      <c r="AZ67" s="8"/>
      <c r="BA67" s="9"/>
      <c r="BB67" s="9"/>
      <c r="BC67" s="9"/>
      <c r="BD67" s="9"/>
      <c r="BE67" s="9"/>
      <c r="BF67" s="9"/>
      <c r="BG67" s="9"/>
      <c r="BH67" s="10"/>
      <c r="BI67" s="8"/>
      <c r="BJ67" s="9"/>
      <c r="BK67" s="9"/>
      <c r="BL67" s="9"/>
      <c r="BM67" s="9"/>
      <c r="BN67" s="9"/>
      <c r="BO67" s="9"/>
      <c r="BP67" s="9"/>
      <c r="BQ67" s="10"/>
      <c r="BR67" s="8"/>
      <c r="BS67" s="9"/>
      <c r="BT67" s="9"/>
      <c r="BU67" s="10"/>
    </row>
    <row r="68" spans="16:73" hidden="1" x14ac:dyDescent="0.25">
      <c r="P68" s="2"/>
      <c r="Q68" s="2"/>
      <c r="S68" s="8"/>
      <c r="T68" s="10"/>
      <c r="V68" s="8"/>
      <c r="W68" s="9"/>
      <c r="X68" s="9"/>
      <c r="Y68" s="9"/>
      <c r="Z68" s="11"/>
      <c r="AA68" s="8"/>
      <c r="AB68" s="9"/>
      <c r="AC68" s="9"/>
      <c r="AD68" s="9"/>
      <c r="AE68" s="9"/>
      <c r="AF68" s="9"/>
      <c r="AG68" s="10"/>
      <c r="AH68" s="8"/>
      <c r="AI68" s="9"/>
      <c r="AJ68" s="9"/>
      <c r="AK68" s="9"/>
      <c r="AL68" s="9"/>
      <c r="AM68" s="9"/>
      <c r="AN68" s="9"/>
      <c r="AO68" s="9"/>
      <c r="AP68" s="11"/>
      <c r="AQ68" s="8"/>
      <c r="AR68" s="9"/>
      <c r="AS68" s="9"/>
      <c r="AT68" s="9"/>
      <c r="AU68" s="9"/>
      <c r="AV68" s="9"/>
      <c r="AW68" s="9"/>
      <c r="AX68" s="9"/>
      <c r="AY68" s="10"/>
      <c r="AZ68" s="8"/>
      <c r="BA68" s="9"/>
      <c r="BB68" s="9"/>
      <c r="BC68" s="9"/>
      <c r="BD68" s="9"/>
      <c r="BE68" s="9"/>
      <c r="BF68" s="9"/>
      <c r="BG68" s="9"/>
      <c r="BH68" s="10"/>
      <c r="BI68" s="8"/>
      <c r="BJ68" s="9"/>
      <c r="BK68" s="9"/>
      <c r="BL68" s="9"/>
      <c r="BM68" s="9"/>
      <c r="BN68" s="9"/>
      <c r="BO68" s="9"/>
      <c r="BP68" s="9"/>
      <c r="BQ68" s="10"/>
      <c r="BR68" s="8"/>
      <c r="BS68" s="9"/>
      <c r="BT68" s="9"/>
      <c r="BU68" s="10"/>
    </row>
    <row r="69" spans="16:73" hidden="1" x14ac:dyDescent="0.25">
      <c r="P69" s="2"/>
      <c r="Q69" s="2"/>
      <c r="S69" s="8"/>
      <c r="T69" s="10"/>
      <c r="V69" s="8"/>
      <c r="W69" s="9"/>
      <c r="X69" s="9"/>
      <c r="Y69" s="9"/>
      <c r="Z69" s="11"/>
      <c r="AA69" s="8"/>
      <c r="AB69" s="9"/>
      <c r="AC69" s="9"/>
      <c r="AD69" s="9"/>
      <c r="AE69" s="9"/>
      <c r="AF69" s="9"/>
      <c r="AG69" s="10"/>
      <c r="AH69" s="8"/>
      <c r="AI69" s="9"/>
      <c r="AJ69" s="9"/>
      <c r="AK69" s="9"/>
      <c r="AL69" s="9"/>
      <c r="AM69" s="9"/>
      <c r="AN69" s="9"/>
      <c r="AO69" s="9"/>
      <c r="AP69" s="11"/>
      <c r="AQ69" s="8"/>
      <c r="AR69" s="9"/>
      <c r="AS69" s="9"/>
      <c r="AT69" s="9"/>
      <c r="AU69" s="9"/>
      <c r="AV69" s="9"/>
      <c r="AW69" s="9"/>
      <c r="AX69" s="9"/>
      <c r="AY69" s="10"/>
      <c r="AZ69" s="8"/>
      <c r="BA69" s="9"/>
      <c r="BB69" s="9"/>
      <c r="BC69" s="9"/>
      <c r="BD69" s="9"/>
      <c r="BE69" s="9"/>
      <c r="BF69" s="9"/>
      <c r="BG69" s="9"/>
      <c r="BH69" s="10"/>
      <c r="BI69" s="8"/>
      <c r="BJ69" s="9"/>
      <c r="BK69" s="9"/>
      <c r="BL69" s="9"/>
      <c r="BM69" s="9"/>
      <c r="BN69" s="9"/>
      <c r="BO69" s="9"/>
      <c r="BP69" s="9"/>
      <c r="BQ69" s="10"/>
      <c r="BR69" s="8"/>
      <c r="BS69" s="9"/>
      <c r="BT69" s="9"/>
      <c r="BU69" s="10"/>
    </row>
    <row r="70" spans="16:73" hidden="1" x14ac:dyDescent="0.25">
      <c r="P70" s="2"/>
      <c r="Q70" s="2"/>
      <c r="S70" s="8"/>
      <c r="T70" s="10"/>
      <c r="V70" s="8"/>
      <c r="W70" s="9"/>
      <c r="X70" s="9"/>
      <c r="Y70" s="9"/>
      <c r="Z70" s="11"/>
      <c r="AA70" s="8"/>
      <c r="AB70" s="9"/>
      <c r="AC70" s="9"/>
      <c r="AD70" s="9"/>
      <c r="AE70" s="9"/>
      <c r="AF70" s="9"/>
      <c r="AG70" s="10"/>
      <c r="AH70" s="8"/>
      <c r="AI70" s="9"/>
      <c r="AJ70" s="9"/>
      <c r="AK70" s="9"/>
      <c r="AL70" s="9"/>
      <c r="AM70" s="9"/>
      <c r="AN70" s="9"/>
      <c r="AO70" s="9"/>
      <c r="AP70" s="11"/>
      <c r="AQ70" s="8"/>
      <c r="AR70" s="9"/>
      <c r="AS70" s="9"/>
      <c r="AT70" s="9"/>
      <c r="AU70" s="9"/>
      <c r="AV70" s="9"/>
      <c r="AW70" s="9"/>
      <c r="AX70" s="9"/>
      <c r="AY70" s="10"/>
      <c r="AZ70" s="8"/>
      <c r="BA70" s="9"/>
      <c r="BB70" s="9"/>
      <c r="BC70" s="9"/>
      <c r="BD70" s="9"/>
      <c r="BE70" s="9"/>
      <c r="BF70" s="9"/>
      <c r="BG70" s="9"/>
      <c r="BH70" s="10"/>
      <c r="BI70" s="8"/>
      <c r="BJ70" s="9"/>
      <c r="BK70" s="9"/>
      <c r="BL70" s="9"/>
      <c r="BM70" s="9"/>
      <c r="BN70" s="9"/>
      <c r="BO70" s="9"/>
      <c r="BP70" s="9"/>
      <c r="BQ70" s="10"/>
      <c r="BR70" s="8"/>
      <c r="BS70" s="9"/>
      <c r="BT70" s="9"/>
      <c r="BU70" s="10"/>
    </row>
    <row r="71" spans="16:73" hidden="1" x14ac:dyDescent="0.25">
      <c r="P71" s="2"/>
      <c r="Q71" s="2"/>
      <c r="S71" s="8"/>
      <c r="T71" s="10"/>
      <c r="V71" s="8"/>
      <c r="W71" s="9"/>
      <c r="X71" s="9"/>
      <c r="Y71" s="9"/>
      <c r="Z71" s="11"/>
      <c r="AA71" s="8"/>
      <c r="AB71" s="9"/>
      <c r="AC71" s="9"/>
      <c r="AD71" s="9"/>
      <c r="AE71" s="9"/>
      <c r="AF71" s="9"/>
      <c r="AG71" s="10"/>
      <c r="AH71" s="8"/>
      <c r="AI71" s="9"/>
      <c r="AJ71" s="9"/>
      <c r="AK71" s="9"/>
      <c r="AL71" s="9"/>
      <c r="AM71" s="9"/>
      <c r="AN71" s="9"/>
      <c r="AO71" s="9"/>
      <c r="AP71" s="11"/>
      <c r="AQ71" s="8"/>
      <c r="AR71" s="9"/>
      <c r="AS71" s="9"/>
      <c r="AT71" s="9"/>
      <c r="AU71" s="9"/>
      <c r="AV71" s="9"/>
      <c r="AW71" s="9"/>
      <c r="AX71" s="9"/>
      <c r="AY71" s="10"/>
      <c r="AZ71" s="8"/>
      <c r="BA71" s="9"/>
      <c r="BB71" s="9"/>
      <c r="BC71" s="9"/>
      <c r="BD71" s="9"/>
      <c r="BE71" s="9"/>
      <c r="BF71" s="9"/>
      <c r="BG71" s="9"/>
      <c r="BH71" s="10"/>
      <c r="BI71" s="8"/>
      <c r="BJ71" s="9"/>
      <c r="BK71" s="9"/>
      <c r="BL71" s="9"/>
      <c r="BM71" s="9"/>
      <c r="BN71" s="9"/>
      <c r="BO71" s="9"/>
      <c r="BP71" s="9"/>
      <c r="BQ71" s="10"/>
      <c r="BR71" s="8"/>
      <c r="BS71" s="9"/>
      <c r="BT71" s="9"/>
      <c r="BU71" s="10"/>
    </row>
    <row r="72" spans="16:73" hidden="1" x14ac:dyDescent="0.25">
      <c r="P72" s="2"/>
      <c r="Q72" s="2"/>
      <c r="S72" s="8"/>
      <c r="T72" s="10"/>
      <c r="V72" s="8"/>
      <c r="W72" s="9"/>
      <c r="X72" s="9"/>
      <c r="Y72" s="9"/>
      <c r="Z72" s="11"/>
      <c r="AA72" s="8"/>
      <c r="AB72" s="9"/>
      <c r="AC72" s="9"/>
      <c r="AD72" s="9"/>
      <c r="AE72" s="9"/>
      <c r="AF72" s="9"/>
      <c r="AG72" s="10"/>
      <c r="AH72" s="8"/>
      <c r="AI72" s="9"/>
      <c r="AJ72" s="9"/>
      <c r="AK72" s="9"/>
      <c r="AL72" s="9"/>
      <c r="AM72" s="9"/>
      <c r="AN72" s="9"/>
      <c r="AO72" s="9"/>
      <c r="AP72" s="11"/>
      <c r="AQ72" s="8"/>
      <c r="AR72" s="9"/>
      <c r="AS72" s="9"/>
      <c r="AT72" s="9"/>
      <c r="AU72" s="9"/>
      <c r="AV72" s="9"/>
      <c r="AW72" s="9"/>
      <c r="AX72" s="9"/>
      <c r="AY72" s="10"/>
      <c r="AZ72" s="8"/>
      <c r="BA72" s="9"/>
      <c r="BB72" s="9"/>
      <c r="BC72" s="9"/>
      <c r="BD72" s="9"/>
      <c r="BE72" s="9"/>
      <c r="BF72" s="9"/>
      <c r="BG72" s="9"/>
      <c r="BH72" s="10"/>
      <c r="BI72" s="8"/>
      <c r="BJ72" s="9"/>
      <c r="BK72" s="9"/>
      <c r="BL72" s="9"/>
      <c r="BM72" s="9"/>
      <c r="BN72" s="9"/>
      <c r="BO72" s="9"/>
      <c r="BP72" s="9"/>
      <c r="BQ72" s="10"/>
      <c r="BR72" s="8"/>
      <c r="BS72" s="9"/>
      <c r="BT72" s="9"/>
      <c r="BU72" s="10"/>
    </row>
    <row r="73" spans="16:73" hidden="1" x14ac:dyDescent="0.25">
      <c r="P73" s="2"/>
      <c r="Q73" s="2"/>
      <c r="S73" s="8"/>
      <c r="T73" s="10"/>
      <c r="V73" s="8"/>
      <c r="W73" s="9"/>
      <c r="X73" s="9"/>
      <c r="Y73" s="9"/>
      <c r="Z73" s="11"/>
      <c r="AA73" s="8"/>
      <c r="AB73" s="9"/>
      <c r="AC73" s="9"/>
      <c r="AD73" s="9"/>
      <c r="AE73" s="9"/>
      <c r="AF73" s="9"/>
      <c r="AG73" s="10"/>
      <c r="AH73" s="8"/>
      <c r="AI73" s="9"/>
      <c r="AJ73" s="9"/>
      <c r="AK73" s="9"/>
      <c r="AL73" s="9"/>
      <c r="AM73" s="9"/>
      <c r="AN73" s="9"/>
      <c r="AO73" s="9"/>
      <c r="AP73" s="11"/>
      <c r="AQ73" s="8"/>
      <c r="AR73" s="9"/>
      <c r="AS73" s="9"/>
      <c r="AT73" s="9"/>
      <c r="AU73" s="9"/>
      <c r="AV73" s="9"/>
      <c r="AW73" s="9"/>
      <c r="AX73" s="9"/>
      <c r="AY73" s="10"/>
      <c r="AZ73" s="8"/>
      <c r="BA73" s="9"/>
      <c r="BB73" s="9"/>
      <c r="BC73" s="9"/>
      <c r="BD73" s="9"/>
      <c r="BE73" s="9"/>
      <c r="BF73" s="9"/>
      <c r="BG73" s="9"/>
      <c r="BH73" s="10"/>
      <c r="BI73" s="8"/>
      <c r="BJ73" s="9"/>
      <c r="BK73" s="9"/>
      <c r="BL73" s="9"/>
      <c r="BM73" s="9"/>
      <c r="BN73" s="9"/>
      <c r="BO73" s="9"/>
      <c r="BP73" s="9"/>
      <c r="BQ73" s="10"/>
      <c r="BR73" s="8"/>
      <c r="BS73" s="9"/>
      <c r="BT73" s="9"/>
      <c r="BU73" s="10"/>
    </row>
    <row r="74" spans="16:73" hidden="1" x14ac:dyDescent="0.25">
      <c r="P74" s="2"/>
      <c r="Q74" s="2"/>
      <c r="S74" s="8"/>
      <c r="T74" s="10"/>
      <c r="V74" s="8"/>
      <c r="W74" s="9"/>
      <c r="X74" s="9"/>
      <c r="Y74" s="9"/>
      <c r="Z74" s="11"/>
      <c r="AA74" s="8"/>
      <c r="AB74" s="9"/>
      <c r="AC74" s="9"/>
      <c r="AD74" s="9"/>
      <c r="AE74" s="9"/>
      <c r="AF74" s="9"/>
      <c r="AG74" s="10"/>
      <c r="AH74" s="8"/>
      <c r="AI74" s="9"/>
      <c r="AJ74" s="9"/>
      <c r="AK74" s="9"/>
      <c r="AL74" s="9"/>
      <c r="AM74" s="9"/>
      <c r="AN74" s="9"/>
      <c r="AO74" s="9"/>
      <c r="AP74" s="11"/>
      <c r="AQ74" s="8"/>
      <c r="AR74" s="9"/>
      <c r="AS74" s="9"/>
      <c r="AT74" s="9"/>
      <c r="AU74" s="9"/>
      <c r="AV74" s="9"/>
      <c r="AW74" s="9"/>
      <c r="AX74" s="9"/>
      <c r="AY74" s="10"/>
      <c r="AZ74" s="8"/>
      <c r="BA74" s="9"/>
      <c r="BB74" s="9"/>
      <c r="BC74" s="9"/>
      <c r="BD74" s="9"/>
      <c r="BE74" s="9"/>
      <c r="BF74" s="9"/>
      <c r="BG74" s="9"/>
      <c r="BH74" s="10"/>
      <c r="BI74" s="8"/>
      <c r="BJ74" s="9"/>
      <c r="BK74" s="9"/>
      <c r="BL74" s="9"/>
      <c r="BM74" s="9"/>
      <c r="BN74" s="9"/>
      <c r="BO74" s="9"/>
      <c r="BP74" s="9"/>
      <c r="BQ74" s="10"/>
      <c r="BR74" s="8"/>
      <c r="BS74" s="9"/>
      <c r="BT74" s="9"/>
      <c r="BU74" s="10"/>
    </row>
    <row r="75" spans="16:73" hidden="1" x14ac:dyDescent="0.25">
      <c r="P75" s="2"/>
      <c r="Q75" s="2"/>
      <c r="S75" s="8"/>
      <c r="T75" s="10"/>
      <c r="V75" s="8"/>
      <c r="W75" s="9"/>
      <c r="X75" s="9"/>
      <c r="Y75" s="9"/>
      <c r="Z75" s="11"/>
      <c r="AA75" s="8"/>
      <c r="AB75" s="9"/>
      <c r="AC75" s="9"/>
      <c r="AD75" s="9"/>
      <c r="AE75" s="9"/>
      <c r="AF75" s="9"/>
      <c r="AG75" s="10"/>
      <c r="AH75" s="8"/>
      <c r="AI75" s="9"/>
      <c r="AJ75" s="9"/>
      <c r="AK75" s="9"/>
      <c r="AL75" s="9"/>
      <c r="AM75" s="9"/>
      <c r="AN75" s="9"/>
      <c r="AO75" s="9"/>
      <c r="AP75" s="11"/>
      <c r="AQ75" s="8"/>
      <c r="AR75" s="9"/>
      <c r="AS75" s="9"/>
      <c r="AT75" s="9"/>
      <c r="AU75" s="9"/>
      <c r="AV75" s="9"/>
      <c r="AW75" s="9"/>
      <c r="AX75" s="9"/>
      <c r="AY75" s="10"/>
      <c r="AZ75" s="8"/>
      <c r="BA75" s="9"/>
      <c r="BB75" s="9"/>
      <c r="BC75" s="9"/>
      <c r="BD75" s="9"/>
      <c r="BE75" s="9"/>
      <c r="BF75" s="9"/>
      <c r="BG75" s="9"/>
      <c r="BH75" s="10"/>
      <c r="BI75" s="8"/>
      <c r="BJ75" s="9"/>
      <c r="BK75" s="9"/>
      <c r="BL75" s="9"/>
      <c r="BM75" s="9"/>
      <c r="BN75" s="9"/>
      <c r="BO75" s="9"/>
      <c r="BP75" s="9"/>
      <c r="BQ75" s="10"/>
      <c r="BR75" s="8"/>
      <c r="BS75" s="9"/>
      <c r="BT75" s="9"/>
      <c r="BU75" s="10"/>
    </row>
    <row r="76" spans="16:73" hidden="1" x14ac:dyDescent="0.25">
      <c r="P76" s="2"/>
      <c r="Q76" s="2"/>
      <c r="S76" s="8"/>
      <c r="T76" s="10"/>
      <c r="V76" s="8"/>
      <c r="W76" s="9"/>
      <c r="X76" s="9"/>
      <c r="Y76" s="9"/>
      <c r="Z76" s="11"/>
      <c r="AA76" s="8"/>
      <c r="AB76" s="9"/>
      <c r="AC76" s="9"/>
      <c r="AD76" s="9"/>
      <c r="AE76" s="9"/>
      <c r="AF76" s="9"/>
      <c r="AG76" s="10"/>
      <c r="AH76" s="8"/>
      <c r="AI76" s="9"/>
      <c r="AJ76" s="9"/>
      <c r="AK76" s="9"/>
      <c r="AL76" s="9"/>
      <c r="AM76" s="9"/>
      <c r="AN76" s="9"/>
      <c r="AO76" s="9"/>
      <c r="AP76" s="11"/>
      <c r="AQ76" s="8"/>
      <c r="AR76" s="9"/>
      <c r="AS76" s="9"/>
      <c r="AT76" s="9"/>
      <c r="AU76" s="9"/>
      <c r="AV76" s="9"/>
      <c r="AW76" s="9"/>
      <c r="AX76" s="9"/>
      <c r="AY76" s="10"/>
      <c r="AZ76" s="8"/>
      <c r="BA76" s="9"/>
      <c r="BB76" s="9"/>
      <c r="BC76" s="9"/>
      <c r="BD76" s="9"/>
      <c r="BE76" s="9"/>
      <c r="BF76" s="9"/>
      <c r="BG76" s="9"/>
      <c r="BH76" s="10"/>
      <c r="BI76" s="8"/>
      <c r="BJ76" s="9"/>
      <c r="BK76" s="9"/>
      <c r="BL76" s="9"/>
      <c r="BM76" s="9"/>
      <c r="BN76" s="9"/>
      <c r="BO76" s="9"/>
      <c r="BP76" s="9"/>
      <c r="BQ76" s="10"/>
      <c r="BR76" s="8"/>
      <c r="BS76" s="9"/>
      <c r="BT76" s="9"/>
      <c r="BU76" s="10"/>
    </row>
    <row r="77" spans="16:73" hidden="1" x14ac:dyDescent="0.25">
      <c r="P77" s="2"/>
      <c r="Q77" s="2"/>
      <c r="S77" s="8"/>
      <c r="T77" s="10"/>
      <c r="V77" s="8"/>
      <c r="W77" s="9"/>
      <c r="X77" s="9"/>
      <c r="Y77" s="9"/>
      <c r="Z77" s="11"/>
      <c r="AA77" s="8"/>
      <c r="AB77" s="9"/>
      <c r="AC77" s="9"/>
      <c r="AD77" s="9"/>
      <c r="AE77" s="9"/>
      <c r="AF77" s="9"/>
      <c r="AG77" s="10"/>
      <c r="AH77" s="8"/>
      <c r="AI77" s="9"/>
      <c r="AJ77" s="9"/>
      <c r="AK77" s="9"/>
      <c r="AL77" s="9"/>
      <c r="AM77" s="9"/>
      <c r="AN77" s="9"/>
      <c r="AO77" s="9"/>
      <c r="AP77" s="11"/>
      <c r="AQ77" s="8"/>
      <c r="AR77" s="9"/>
      <c r="AS77" s="9"/>
      <c r="AT77" s="9"/>
      <c r="AU77" s="9"/>
      <c r="AV77" s="9"/>
      <c r="AW77" s="9"/>
      <c r="AX77" s="9"/>
      <c r="AY77" s="10"/>
      <c r="AZ77" s="8"/>
      <c r="BA77" s="9"/>
      <c r="BB77" s="9"/>
      <c r="BC77" s="9"/>
      <c r="BD77" s="9"/>
      <c r="BE77" s="9"/>
      <c r="BF77" s="9"/>
      <c r="BG77" s="9"/>
      <c r="BH77" s="10"/>
      <c r="BI77" s="8"/>
      <c r="BJ77" s="9"/>
      <c r="BK77" s="9"/>
      <c r="BL77" s="9"/>
      <c r="BM77" s="9"/>
      <c r="BN77" s="9"/>
      <c r="BO77" s="9"/>
      <c r="BP77" s="9"/>
      <c r="BQ77" s="10"/>
      <c r="BR77" s="8"/>
      <c r="BS77" s="9"/>
      <c r="BT77" s="9"/>
      <c r="BU77" s="10"/>
    </row>
    <row r="78" spans="16:73" hidden="1" x14ac:dyDescent="0.25">
      <c r="P78" s="2"/>
      <c r="Q78" s="2"/>
      <c r="S78" s="8"/>
      <c r="T78" s="10"/>
      <c r="V78" s="8"/>
      <c r="W78" s="9"/>
      <c r="X78" s="9"/>
      <c r="Y78" s="9"/>
      <c r="Z78" s="11"/>
      <c r="AA78" s="8"/>
      <c r="AB78" s="9"/>
      <c r="AC78" s="9"/>
      <c r="AD78" s="9"/>
      <c r="AE78" s="9"/>
      <c r="AF78" s="9"/>
      <c r="AG78" s="10"/>
      <c r="AH78" s="8"/>
      <c r="AI78" s="9"/>
      <c r="AJ78" s="9"/>
      <c r="AK78" s="9"/>
      <c r="AL78" s="9"/>
      <c r="AM78" s="9"/>
      <c r="AN78" s="9"/>
      <c r="AO78" s="9"/>
      <c r="AP78" s="11"/>
      <c r="AQ78" s="8"/>
      <c r="AR78" s="9"/>
      <c r="AS78" s="9"/>
      <c r="AT78" s="9"/>
      <c r="AU78" s="9"/>
      <c r="AV78" s="9"/>
      <c r="AW78" s="9"/>
      <c r="AX78" s="9"/>
      <c r="AY78" s="10"/>
      <c r="AZ78" s="8"/>
      <c r="BA78" s="9"/>
      <c r="BB78" s="9"/>
      <c r="BC78" s="9"/>
      <c r="BD78" s="9"/>
      <c r="BE78" s="9"/>
      <c r="BF78" s="9"/>
      <c r="BG78" s="9"/>
      <c r="BH78" s="10"/>
      <c r="BI78" s="8"/>
      <c r="BJ78" s="9"/>
      <c r="BK78" s="9"/>
      <c r="BL78" s="9"/>
      <c r="BM78" s="9"/>
      <c r="BN78" s="9"/>
      <c r="BO78" s="9"/>
      <c r="BP78" s="9"/>
      <c r="BQ78" s="10"/>
      <c r="BR78" s="8"/>
      <c r="BS78" s="9"/>
      <c r="BT78" s="9"/>
      <c r="BU78" s="10"/>
    </row>
    <row r="79" spans="16:73" hidden="1" x14ac:dyDescent="0.25">
      <c r="P79" s="2"/>
      <c r="Q79" s="2"/>
      <c r="S79" s="8"/>
      <c r="T79" s="10"/>
      <c r="V79" s="8"/>
      <c r="W79" s="9"/>
      <c r="X79" s="9"/>
      <c r="Y79" s="9"/>
      <c r="Z79" s="11"/>
      <c r="AA79" s="8"/>
      <c r="AB79" s="9"/>
      <c r="AC79" s="9"/>
      <c r="AD79" s="9"/>
      <c r="AE79" s="9"/>
      <c r="AF79" s="9"/>
      <c r="AG79" s="10"/>
      <c r="AH79" s="8"/>
      <c r="AI79" s="9"/>
      <c r="AJ79" s="9"/>
      <c r="AK79" s="9"/>
      <c r="AL79" s="9"/>
      <c r="AM79" s="9"/>
      <c r="AN79" s="9"/>
      <c r="AO79" s="9"/>
      <c r="AP79" s="11"/>
      <c r="AQ79" s="8"/>
      <c r="AR79" s="9"/>
      <c r="AS79" s="9"/>
      <c r="AT79" s="9"/>
      <c r="AU79" s="9"/>
      <c r="AV79" s="9"/>
      <c r="AW79" s="9"/>
      <c r="AX79" s="9"/>
      <c r="AY79" s="10"/>
      <c r="AZ79" s="8"/>
      <c r="BA79" s="9"/>
      <c r="BB79" s="9"/>
      <c r="BC79" s="9"/>
      <c r="BD79" s="9"/>
      <c r="BE79" s="9"/>
      <c r="BF79" s="9"/>
      <c r="BG79" s="9"/>
      <c r="BH79" s="10"/>
      <c r="BI79" s="8"/>
      <c r="BJ79" s="9"/>
      <c r="BK79" s="9"/>
      <c r="BL79" s="9"/>
      <c r="BM79" s="9"/>
      <c r="BN79" s="9"/>
      <c r="BO79" s="9"/>
      <c r="BP79" s="9"/>
      <c r="BQ79" s="10"/>
      <c r="BR79" s="8"/>
      <c r="BS79" s="9"/>
      <c r="BT79" s="9"/>
      <c r="BU79" s="10"/>
    </row>
    <row r="80" spans="16:73" hidden="1" x14ac:dyDescent="0.25">
      <c r="P80" s="2"/>
      <c r="Q80" s="2"/>
      <c r="S80" s="8"/>
      <c r="T80" s="10"/>
      <c r="V80" s="8"/>
      <c r="W80" s="9"/>
      <c r="X80" s="9"/>
      <c r="Y80" s="9"/>
      <c r="Z80" s="11"/>
      <c r="AA80" s="8"/>
      <c r="AB80" s="9"/>
      <c r="AC80" s="9"/>
      <c r="AD80" s="9"/>
      <c r="AE80" s="9"/>
      <c r="AF80" s="9"/>
      <c r="AG80" s="10"/>
      <c r="AH80" s="8"/>
      <c r="AI80" s="9"/>
      <c r="AJ80" s="9"/>
      <c r="AK80" s="9"/>
      <c r="AL80" s="9"/>
      <c r="AM80" s="9"/>
      <c r="AN80" s="9"/>
      <c r="AO80" s="9"/>
      <c r="AP80" s="11"/>
      <c r="AQ80" s="8"/>
      <c r="AR80" s="9"/>
      <c r="AS80" s="9"/>
      <c r="AT80" s="9"/>
      <c r="AU80" s="9"/>
      <c r="AV80" s="9"/>
      <c r="AW80" s="9"/>
      <c r="AX80" s="9"/>
      <c r="AY80" s="10"/>
      <c r="AZ80" s="8"/>
      <c r="BA80" s="9"/>
      <c r="BB80" s="9"/>
      <c r="BC80" s="9"/>
      <c r="BD80" s="9"/>
      <c r="BE80" s="9"/>
      <c r="BF80" s="9"/>
      <c r="BG80" s="9"/>
      <c r="BH80" s="10"/>
      <c r="BI80" s="8"/>
      <c r="BJ80" s="9"/>
      <c r="BK80" s="9"/>
      <c r="BL80" s="9"/>
      <c r="BM80" s="9"/>
      <c r="BN80" s="9"/>
      <c r="BO80" s="9"/>
      <c r="BP80" s="9"/>
      <c r="BQ80" s="10"/>
      <c r="BR80" s="8"/>
      <c r="BS80" s="9"/>
      <c r="BT80" s="9"/>
      <c r="BU80" s="10"/>
    </row>
    <row r="81" spans="1:79" hidden="1" x14ac:dyDescent="0.25">
      <c r="P81" s="2"/>
      <c r="Q81" s="2"/>
      <c r="S81" s="8"/>
      <c r="T81" s="10"/>
      <c r="V81" s="8"/>
      <c r="W81" s="9"/>
      <c r="X81" s="9"/>
      <c r="Y81" s="9"/>
      <c r="Z81" s="11"/>
      <c r="AA81" s="8"/>
      <c r="AB81" s="9"/>
      <c r="AC81" s="9"/>
      <c r="AD81" s="9"/>
      <c r="AE81" s="9"/>
      <c r="AF81" s="9"/>
      <c r="AG81" s="10"/>
      <c r="AH81" s="8"/>
      <c r="AI81" s="9"/>
      <c r="AJ81" s="9"/>
      <c r="AK81" s="9"/>
      <c r="AL81" s="9"/>
      <c r="AM81" s="9"/>
      <c r="AN81" s="9"/>
      <c r="AO81" s="9"/>
      <c r="AP81" s="11"/>
      <c r="AQ81" s="8"/>
      <c r="AR81" s="9"/>
      <c r="AS81" s="9"/>
      <c r="AT81" s="9"/>
      <c r="AU81" s="9"/>
      <c r="AV81" s="9"/>
      <c r="AW81" s="9"/>
      <c r="AX81" s="9"/>
      <c r="AY81" s="10"/>
      <c r="AZ81" s="8"/>
      <c r="BA81" s="9"/>
      <c r="BB81" s="9"/>
      <c r="BC81" s="9"/>
      <c r="BD81" s="9"/>
      <c r="BE81" s="9"/>
      <c r="BF81" s="9"/>
      <c r="BG81" s="9"/>
      <c r="BH81" s="10"/>
      <c r="BI81" s="8"/>
      <c r="BJ81" s="9"/>
      <c r="BK81" s="9"/>
      <c r="BL81" s="9"/>
      <c r="BM81" s="9"/>
      <c r="BN81" s="9"/>
      <c r="BO81" s="9"/>
      <c r="BP81" s="9"/>
      <c r="BQ81" s="10"/>
      <c r="BR81" s="8"/>
      <c r="BS81" s="9"/>
      <c r="BT81" s="9"/>
      <c r="BU81" s="10"/>
    </row>
    <row r="82" spans="1:79" hidden="1" x14ac:dyDescent="0.25">
      <c r="P82" s="2"/>
      <c r="Q82" s="2"/>
      <c r="S82" s="8"/>
      <c r="T82" s="10"/>
      <c r="V82" s="8"/>
      <c r="W82" s="9"/>
      <c r="X82" s="9"/>
      <c r="Y82" s="9"/>
      <c r="Z82" s="11"/>
      <c r="AA82" s="8"/>
      <c r="AB82" s="9"/>
      <c r="AC82" s="9"/>
      <c r="AD82" s="9"/>
      <c r="AE82" s="9"/>
      <c r="AF82" s="9"/>
      <c r="AG82" s="10"/>
      <c r="AH82" s="8"/>
      <c r="AI82" s="9"/>
      <c r="AJ82" s="9"/>
      <c r="AK82" s="9"/>
      <c r="AL82" s="9"/>
      <c r="AM82" s="9"/>
      <c r="AN82" s="9"/>
      <c r="AO82" s="9"/>
      <c r="AP82" s="11"/>
      <c r="AQ82" s="8"/>
      <c r="AR82" s="9"/>
      <c r="AS82" s="9"/>
      <c r="AT82" s="9"/>
      <c r="AU82" s="9"/>
      <c r="AV82" s="9"/>
      <c r="AW82" s="9"/>
      <c r="AX82" s="9"/>
      <c r="AY82" s="10"/>
      <c r="AZ82" s="8"/>
      <c r="BA82" s="9"/>
      <c r="BB82" s="9"/>
      <c r="BC82" s="9"/>
      <c r="BD82" s="9"/>
      <c r="BE82" s="9"/>
      <c r="BF82" s="9"/>
      <c r="BG82" s="9"/>
      <c r="BH82" s="10"/>
      <c r="BI82" s="8"/>
      <c r="BJ82" s="9"/>
      <c r="BK82" s="9"/>
      <c r="BL82" s="9"/>
      <c r="BM82" s="9"/>
      <c r="BN82" s="9"/>
      <c r="BO82" s="9"/>
      <c r="BP82" s="9"/>
      <c r="BQ82" s="10"/>
      <c r="BR82" s="8"/>
      <c r="BS82" s="9"/>
      <c r="BT82" s="9"/>
      <c r="BU82" s="10"/>
    </row>
    <row r="83" spans="1:79" hidden="1" x14ac:dyDescent="0.25">
      <c r="P83" s="2"/>
      <c r="Q83" s="2"/>
      <c r="S83" s="8"/>
      <c r="T83" s="10"/>
      <c r="V83" s="8"/>
      <c r="W83" s="9"/>
      <c r="X83" s="9"/>
      <c r="Y83" s="9"/>
      <c r="Z83" s="11"/>
      <c r="AA83" s="8"/>
      <c r="AB83" s="9"/>
      <c r="AC83" s="9"/>
      <c r="AD83" s="9"/>
      <c r="AE83" s="9"/>
      <c r="AF83" s="9"/>
      <c r="AG83" s="10"/>
      <c r="AH83" s="8"/>
      <c r="AI83" s="9"/>
      <c r="AJ83" s="9"/>
      <c r="AK83" s="9"/>
      <c r="AL83" s="9"/>
      <c r="AM83" s="9"/>
      <c r="AN83" s="9"/>
      <c r="AO83" s="9"/>
      <c r="AP83" s="11"/>
      <c r="AQ83" s="8"/>
      <c r="AR83" s="9"/>
      <c r="AS83" s="9"/>
      <c r="AT83" s="9"/>
      <c r="AU83" s="9"/>
      <c r="AV83" s="9"/>
      <c r="AW83" s="9"/>
      <c r="AX83" s="9"/>
      <c r="AY83" s="10"/>
      <c r="AZ83" s="8"/>
      <c r="BA83" s="9"/>
      <c r="BB83" s="9"/>
      <c r="BC83" s="9"/>
      <c r="BD83" s="9"/>
      <c r="BE83" s="9"/>
      <c r="BF83" s="9"/>
      <c r="BG83" s="9"/>
      <c r="BH83" s="10"/>
      <c r="BI83" s="8"/>
      <c r="BJ83" s="9"/>
      <c r="BK83" s="9"/>
      <c r="BL83" s="9"/>
      <c r="BM83" s="9"/>
      <c r="BN83" s="9"/>
      <c r="BO83" s="9"/>
      <c r="BP83" s="9"/>
      <c r="BQ83" s="10"/>
      <c r="BR83" s="8"/>
      <c r="BS83" s="9"/>
      <c r="BT83" s="9"/>
      <c r="BU83" s="10"/>
    </row>
    <row r="84" spans="1:79" hidden="1" x14ac:dyDescent="0.25">
      <c r="P84" s="2"/>
      <c r="Q84" s="2"/>
      <c r="S84" s="8"/>
      <c r="T84" s="10"/>
      <c r="V84" s="8"/>
      <c r="W84" s="9"/>
      <c r="X84" s="9"/>
      <c r="Y84" s="9"/>
      <c r="Z84" s="11"/>
      <c r="AA84" s="8"/>
      <c r="AB84" s="9"/>
      <c r="AC84" s="9"/>
      <c r="AD84" s="9"/>
      <c r="AE84" s="9"/>
      <c r="AF84" s="9"/>
      <c r="AG84" s="10"/>
      <c r="AH84" s="8"/>
      <c r="AI84" s="9"/>
      <c r="AJ84" s="9"/>
      <c r="AK84" s="9"/>
      <c r="AL84" s="9"/>
      <c r="AM84" s="9"/>
      <c r="AN84" s="9"/>
      <c r="AO84" s="9"/>
      <c r="AP84" s="11"/>
      <c r="AQ84" s="8"/>
      <c r="AR84" s="9"/>
      <c r="AS84" s="9"/>
      <c r="AT84" s="9"/>
      <c r="AU84" s="9"/>
      <c r="AV84" s="9"/>
      <c r="AW84" s="9"/>
      <c r="AX84" s="9"/>
      <c r="AY84" s="10"/>
      <c r="AZ84" s="8"/>
      <c r="BA84" s="9"/>
      <c r="BB84" s="9"/>
      <c r="BC84" s="9"/>
      <c r="BD84" s="9"/>
      <c r="BE84" s="9"/>
      <c r="BF84" s="9"/>
      <c r="BG84" s="9"/>
      <c r="BH84" s="10"/>
      <c r="BI84" s="8"/>
      <c r="BJ84" s="9"/>
      <c r="BK84" s="9"/>
      <c r="BL84" s="9"/>
      <c r="BM84" s="9"/>
      <c r="BN84" s="9"/>
      <c r="BO84" s="9"/>
      <c r="BP84" s="9"/>
      <c r="BQ84" s="10"/>
      <c r="BR84" s="8"/>
      <c r="BS84" s="9"/>
      <c r="BT84" s="9"/>
      <c r="BU84" s="10"/>
    </row>
    <row r="85" spans="1:79" hidden="1" x14ac:dyDescent="0.25">
      <c r="S85" s="8"/>
      <c r="T85" s="10"/>
      <c r="V85" s="8"/>
      <c r="W85" s="9"/>
      <c r="X85" s="9"/>
      <c r="Y85" s="9"/>
      <c r="Z85" s="10"/>
      <c r="AA85" s="8"/>
      <c r="AB85" s="9"/>
      <c r="AC85" s="9"/>
      <c r="AD85" s="9"/>
      <c r="AE85" s="9"/>
      <c r="AF85" s="9"/>
      <c r="AG85" s="10"/>
      <c r="AH85" s="8"/>
      <c r="AI85" s="9"/>
      <c r="AJ85" s="9"/>
      <c r="AK85" s="9"/>
      <c r="AL85" s="9"/>
      <c r="AM85" s="9"/>
      <c r="AN85" s="9"/>
      <c r="AO85" s="9"/>
      <c r="AP85" s="10"/>
      <c r="AQ85" s="8"/>
      <c r="AR85" s="9"/>
      <c r="AS85" s="9"/>
      <c r="AT85" s="9"/>
      <c r="AU85" s="9"/>
      <c r="AV85" s="9"/>
      <c r="AW85" s="9"/>
      <c r="AX85" s="9"/>
      <c r="AY85" s="10"/>
      <c r="AZ85" s="8"/>
      <c r="BA85" s="9"/>
      <c r="BB85" s="9"/>
      <c r="BC85" s="9"/>
      <c r="BD85" s="9"/>
      <c r="BE85" s="9"/>
      <c r="BF85" s="9"/>
      <c r="BG85" s="9"/>
      <c r="BH85" s="10"/>
      <c r="BI85" s="8"/>
      <c r="BJ85" s="9"/>
      <c r="BK85" s="9"/>
      <c r="BL85" s="9"/>
      <c r="BM85" s="9"/>
      <c r="BN85" s="9"/>
      <c r="BO85" s="9"/>
      <c r="BP85" s="9"/>
      <c r="BQ85" s="10"/>
      <c r="BR85" s="8"/>
      <c r="BS85" s="9"/>
      <c r="BT85" s="9"/>
      <c r="BU85" s="10"/>
    </row>
    <row r="86" spans="1:79" hidden="1" x14ac:dyDescent="0.25">
      <c r="S86" s="8"/>
      <c r="T86" s="10"/>
      <c r="V86" s="8"/>
      <c r="W86" s="9"/>
      <c r="X86" s="9"/>
      <c r="Y86" s="9"/>
      <c r="Z86" s="10"/>
      <c r="AA86" s="8"/>
      <c r="AB86" s="9"/>
      <c r="AC86" s="9"/>
      <c r="AD86" s="9"/>
      <c r="AE86" s="9"/>
      <c r="AF86" s="9"/>
      <c r="AG86" s="10"/>
      <c r="AH86" s="8"/>
      <c r="AI86" s="9"/>
      <c r="AJ86" s="9"/>
      <c r="AK86" s="9"/>
      <c r="AL86" s="9"/>
      <c r="AM86" s="9"/>
      <c r="AN86" s="9"/>
      <c r="AO86" s="9"/>
      <c r="AP86" s="10"/>
      <c r="AQ86" s="8"/>
      <c r="AR86" s="9"/>
      <c r="AS86" s="9"/>
      <c r="AT86" s="9"/>
      <c r="AU86" s="9"/>
      <c r="AV86" s="9"/>
      <c r="AW86" s="9"/>
      <c r="AX86" s="9"/>
      <c r="AY86" s="10"/>
      <c r="AZ86" s="8"/>
      <c r="BA86" s="9"/>
      <c r="BB86" s="9"/>
      <c r="BC86" s="9"/>
      <c r="BD86" s="9"/>
      <c r="BE86" s="9"/>
      <c r="BF86" s="9"/>
      <c r="BG86" s="9"/>
      <c r="BH86" s="10"/>
      <c r="BI86" s="8"/>
      <c r="BJ86" s="9"/>
      <c r="BK86" s="9"/>
      <c r="BL86" s="9"/>
      <c r="BM86" s="9"/>
      <c r="BN86" s="9"/>
      <c r="BO86" s="9"/>
      <c r="BP86" s="9"/>
      <c r="BQ86" s="10"/>
      <c r="BR86" s="8"/>
      <c r="BS86" s="9"/>
      <c r="BT86" s="9"/>
      <c r="BU86" s="10"/>
    </row>
    <row r="87" spans="1:79" hidden="1" x14ac:dyDescent="0.25">
      <c r="S87" s="8"/>
      <c r="T87" s="10"/>
      <c r="V87" s="8"/>
      <c r="W87" s="9"/>
      <c r="X87" s="9"/>
      <c r="Y87" s="9"/>
      <c r="Z87" s="10"/>
      <c r="AA87" s="8"/>
      <c r="AB87" s="9"/>
      <c r="AC87" s="9"/>
      <c r="AD87" s="9"/>
      <c r="AE87" s="9"/>
      <c r="AF87" s="9"/>
      <c r="AG87" s="10"/>
      <c r="AH87" s="8"/>
      <c r="AI87" s="9"/>
      <c r="AJ87" s="9"/>
      <c r="AK87" s="9"/>
      <c r="AL87" s="9"/>
      <c r="AM87" s="9"/>
      <c r="AN87" s="9"/>
      <c r="AO87" s="9"/>
      <c r="AP87" s="10"/>
      <c r="AQ87" s="8"/>
      <c r="AR87" s="9"/>
      <c r="AS87" s="9"/>
      <c r="AT87" s="9"/>
      <c r="AU87" s="9"/>
      <c r="AV87" s="9"/>
      <c r="AW87" s="9"/>
      <c r="AX87" s="9"/>
      <c r="AY87" s="10"/>
      <c r="AZ87" s="8"/>
      <c r="BA87" s="9"/>
      <c r="BB87" s="9"/>
      <c r="BC87" s="9"/>
      <c r="BD87" s="9"/>
      <c r="BE87" s="9"/>
      <c r="BF87" s="9"/>
      <c r="BG87" s="9"/>
      <c r="BH87" s="10"/>
      <c r="BI87" s="8"/>
      <c r="BJ87" s="9"/>
      <c r="BK87" s="9"/>
      <c r="BL87" s="9"/>
      <c r="BM87" s="9"/>
      <c r="BN87" s="9"/>
      <c r="BO87" s="9"/>
      <c r="BP87" s="9"/>
      <c r="BQ87" s="10"/>
      <c r="BR87" s="8"/>
      <c r="BS87" s="9"/>
      <c r="BT87" s="9"/>
      <c r="BU87" s="10"/>
    </row>
    <row r="88" spans="1:79" hidden="1" x14ac:dyDescent="0.25">
      <c r="S88" s="8"/>
      <c r="T88" s="10"/>
      <c r="V88" s="8"/>
      <c r="W88" s="9"/>
      <c r="X88" s="9"/>
      <c r="Y88" s="9"/>
      <c r="Z88" s="10"/>
      <c r="AA88" s="8"/>
      <c r="AB88" s="9"/>
      <c r="AC88" s="9"/>
      <c r="AD88" s="9"/>
      <c r="AE88" s="9"/>
      <c r="AF88" s="9"/>
      <c r="AG88" s="10"/>
      <c r="AH88" s="8"/>
      <c r="AI88" s="9"/>
      <c r="AJ88" s="9"/>
      <c r="AK88" s="9"/>
      <c r="AL88" s="9"/>
      <c r="AM88" s="9"/>
      <c r="AN88" s="9"/>
      <c r="AO88" s="9"/>
      <c r="AP88" s="10"/>
      <c r="AQ88" s="8"/>
      <c r="AR88" s="9"/>
      <c r="AS88" s="9"/>
      <c r="AT88" s="9"/>
      <c r="AU88" s="9"/>
      <c r="AV88" s="9"/>
      <c r="AW88" s="9"/>
      <c r="AX88" s="9"/>
      <c r="AY88" s="10"/>
      <c r="AZ88" s="8"/>
      <c r="BA88" s="9"/>
      <c r="BB88" s="9"/>
      <c r="BC88" s="9"/>
      <c r="BD88" s="9"/>
      <c r="BE88" s="9"/>
      <c r="BF88" s="9"/>
      <c r="BG88" s="9"/>
      <c r="BH88" s="10"/>
      <c r="BI88" s="8"/>
      <c r="BJ88" s="9"/>
      <c r="BK88" s="9"/>
      <c r="BL88" s="9"/>
      <c r="BM88" s="9"/>
      <c r="BN88" s="9"/>
      <c r="BO88" s="9"/>
      <c r="BP88" s="9"/>
      <c r="BQ88" s="10"/>
      <c r="BR88" s="8"/>
      <c r="BS88" s="9"/>
      <c r="BT88" s="9"/>
      <c r="BU88" s="10"/>
    </row>
    <row r="89" spans="1:79" hidden="1" x14ac:dyDescent="0.25">
      <c r="S89" s="8"/>
      <c r="T89" s="10"/>
      <c r="V89" s="8"/>
      <c r="W89" s="9"/>
      <c r="X89" s="9"/>
      <c r="Y89" s="9"/>
      <c r="Z89" s="10"/>
      <c r="AA89" s="8"/>
      <c r="AB89" s="9"/>
      <c r="AC89" s="9"/>
      <c r="AD89" s="9"/>
      <c r="AE89" s="9"/>
      <c r="AF89" s="9"/>
      <c r="AG89" s="10"/>
      <c r="AH89" s="8"/>
      <c r="AI89" s="9"/>
      <c r="AJ89" s="9"/>
      <c r="AK89" s="9"/>
      <c r="AL89" s="9"/>
      <c r="AM89" s="9"/>
      <c r="AN89" s="9"/>
      <c r="AO89" s="9"/>
      <c r="AP89" s="10"/>
      <c r="AQ89" s="8"/>
      <c r="AR89" s="9"/>
      <c r="AS89" s="9"/>
      <c r="AT89" s="9"/>
      <c r="AU89" s="9"/>
      <c r="AV89" s="9"/>
      <c r="AW89" s="9"/>
      <c r="AX89" s="9"/>
      <c r="AY89" s="10"/>
      <c r="AZ89" s="8"/>
      <c r="BA89" s="9"/>
      <c r="BB89" s="9"/>
      <c r="BC89" s="9"/>
      <c r="BD89" s="9"/>
      <c r="BE89" s="9"/>
      <c r="BF89" s="9"/>
      <c r="BG89" s="9"/>
      <c r="BH89" s="10"/>
      <c r="BI89" s="8"/>
      <c r="BJ89" s="9"/>
      <c r="BK89" s="9"/>
      <c r="BL89" s="9"/>
      <c r="BM89" s="9"/>
      <c r="BN89" s="9"/>
      <c r="BO89" s="9"/>
      <c r="BP89" s="9"/>
      <c r="BQ89" s="10"/>
      <c r="BR89" s="8"/>
      <c r="BS89" s="9"/>
      <c r="BT89" s="9"/>
      <c r="BU89" s="10"/>
    </row>
    <row r="90" spans="1:79" hidden="1" x14ac:dyDescent="0.25">
      <c r="S90" s="8"/>
      <c r="T90" s="10"/>
      <c r="V90" s="8"/>
      <c r="W90" s="9"/>
      <c r="X90" s="9"/>
      <c r="Y90" s="9"/>
      <c r="Z90" s="10"/>
      <c r="AA90" s="8"/>
      <c r="AB90" s="9"/>
      <c r="AC90" s="9"/>
      <c r="AD90" s="9"/>
      <c r="AE90" s="9"/>
      <c r="AF90" s="9"/>
      <c r="AG90" s="10"/>
      <c r="AH90" s="8"/>
      <c r="AI90" s="9"/>
      <c r="AJ90" s="9"/>
      <c r="AK90" s="9"/>
      <c r="AL90" s="9"/>
      <c r="AM90" s="9"/>
      <c r="AN90" s="9"/>
      <c r="AO90" s="9"/>
      <c r="AP90" s="10"/>
      <c r="AQ90" s="8"/>
      <c r="AR90" s="9"/>
      <c r="AS90" s="9"/>
      <c r="AT90" s="9"/>
      <c r="AU90" s="9"/>
      <c r="AV90" s="9"/>
      <c r="AW90" s="9"/>
      <c r="AX90" s="9"/>
      <c r="AY90" s="10"/>
      <c r="AZ90" s="8"/>
      <c r="BA90" s="9"/>
      <c r="BB90" s="9"/>
      <c r="BC90" s="9"/>
      <c r="BD90" s="9"/>
      <c r="BE90" s="9"/>
      <c r="BF90" s="9"/>
      <c r="BG90" s="9"/>
      <c r="BH90" s="10"/>
      <c r="BI90" s="8"/>
      <c r="BJ90" s="9"/>
      <c r="BK90" s="9"/>
      <c r="BL90" s="9"/>
      <c r="BM90" s="9"/>
      <c r="BN90" s="9"/>
      <c r="BO90" s="9"/>
      <c r="BP90" s="9"/>
      <c r="BQ90" s="10"/>
      <c r="BR90" s="8"/>
      <c r="BS90" s="9"/>
      <c r="BT90" s="9"/>
      <c r="BU90" s="10"/>
    </row>
    <row r="91" spans="1:79" hidden="1" x14ac:dyDescent="0.25">
      <c r="S91" s="8"/>
      <c r="T91" s="10"/>
      <c r="V91" s="8"/>
      <c r="W91" s="9"/>
      <c r="X91" s="9"/>
      <c r="Y91" s="9"/>
      <c r="Z91" s="10"/>
      <c r="AA91" s="8"/>
      <c r="AB91" s="9"/>
      <c r="AC91" s="9"/>
      <c r="AD91" s="9"/>
      <c r="AE91" s="9"/>
      <c r="AF91" s="9"/>
      <c r="AG91" s="10"/>
      <c r="AH91" s="8"/>
      <c r="AI91" s="9"/>
      <c r="AJ91" s="9"/>
      <c r="AK91" s="9"/>
      <c r="AL91" s="9"/>
      <c r="AM91" s="9"/>
      <c r="AN91" s="9"/>
      <c r="AO91" s="9"/>
      <c r="AP91" s="10"/>
      <c r="AQ91" s="8"/>
      <c r="AR91" s="9"/>
      <c r="AS91" s="9"/>
      <c r="AT91" s="9"/>
      <c r="AU91" s="9"/>
      <c r="AV91" s="9"/>
      <c r="AW91" s="9"/>
      <c r="AX91" s="9"/>
      <c r="AY91" s="10"/>
      <c r="AZ91" s="8"/>
      <c r="BA91" s="9"/>
      <c r="BB91" s="9"/>
      <c r="BC91" s="9"/>
      <c r="BD91" s="9"/>
      <c r="BE91" s="9"/>
      <c r="BF91" s="9"/>
      <c r="BG91" s="9"/>
      <c r="BH91" s="10"/>
      <c r="BI91" s="8"/>
      <c r="BJ91" s="9"/>
      <c r="BK91" s="9"/>
      <c r="BL91" s="9"/>
      <c r="BM91" s="9"/>
      <c r="BN91" s="9"/>
      <c r="BO91" s="9"/>
      <c r="BP91" s="9"/>
      <c r="BQ91" s="10"/>
      <c r="BR91" s="8"/>
      <c r="BS91" s="9"/>
      <c r="BT91" s="9"/>
      <c r="BU91" s="10"/>
    </row>
    <row r="92" spans="1:79" hidden="1" x14ac:dyDescent="0.25">
      <c r="S92" s="8"/>
      <c r="T92" s="10"/>
      <c r="V92" s="8"/>
      <c r="W92" s="9"/>
      <c r="X92" s="9"/>
      <c r="Y92" s="9"/>
      <c r="Z92" s="10"/>
      <c r="AA92" s="8"/>
      <c r="AB92" s="9"/>
      <c r="AC92" s="9"/>
      <c r="AD92" s="9"/>
      <c r="AE92" s="9"/>
      <c r="AF92" s="9"/>
      <c r="AG92" s="10"/>
      <c r="AH92" s="8"/>
      <c r="AI92" s="9"/>
      <c r="AJ92" s="9"/>
      <c r="AK92" s="9"/>
      <c r="AL92" s="9"/>
      <c r="AM92" s="9"/>
      <c r="AN92" s="9"/>
      <c r="AO92" s="9"/>
      <c r="AP92" s="10"/>
      <c r="AQ92" s="8"/>
      <c r="AR92" s="9"/>
      <c r="AS92" s="9"/>
      <c r="AT92" s="9"/>
      <c r="AU92" s="9"/>
      <c r="AV92" s="9"/>
      <c r="AW92" s="9"/>
      <c r="AX92" s="9"/>
      <c r="AY92" s="10"/>
      <c r="AZ92" s="8"/>
      <c r="BA92" s="9"/>
      <c r="BB92" s="9"/>
      <c r="BC92" s="9"/>
      <c r="BD92" s="9"/>
      <c r="BE92" s="9"/>
      <c r="BF92" s="9"/>
      <c r="BG92" s="9"/>
      <c r="BH92" s="10"/>
      <c r="BI92" s="8"/>
      <c r="BJ92" s="9"/>
      <c r="BK92" s="9"/>
      <c r="BL92" s="9"/>
      <c r="BM92" s="9"/>
      <c r="BN92" s="9"/>
      <c r="BO92" s="9"/>
      <c r="BP92" s="9"/>
      <c r="BQ92" s="10"/>
      <c r="BR92" s="8"/>
      <c r="BS92" s="9"/>
      <c r="BT92" s="9"/>
      <c r="BU92" s="10"/>
    </row>
    <row r="93" spans="1:79" hidden="1" x14ac:dyDescent="0.25">
      <c r="S93" s="8"/>
      <c r="T93" s="10"/>
      <c r="V93" s="8"/>
      <c r="W93" s="9"/>
      <c r="X93" s="9"/>
      <c r="Y93" s="9"/>
      <c r="Z93" s="10"/>
      <c r="AA93" s="8"/>
      <c r="AB93" s="9"/>
      <c r="AC93" s="9"/>
      <c r="AD93" s="9"/>
      <c r="AE93" s="9"/>
      <c r="AF93" s="9"/>
      <c r="AG93" s="10"/>
      <c r="AH93" s="8"/>
      <c r="AI93" s="9"/>
      <c r="AJ93" s="9"/>
      <c r="AK93" s="9"/>
      <c r="AL93" s="9"/>
      <c r="AM93" s="9"/>
      <c r="AN93" s="9"/>
      <c r="AO93" s="9"/>
      <c r="AP93" s="10"/>
      <c r="AQ93" s="8"/>
      <c r="AR93" s="9"/>
      <c r="AS93" s="9"/>
      <c r="AT93" s="9"/>
      <c r="AU93" s="9"/>
      <c r="AV93" s="9"/>
      <c r="AW93" s="9"/>
      <c r="AX93" s="9"/>
      <c r="AY93" s="10"/>
      <c r="AZ93" s="8"/>
      <c r="BA93" s="9"/>
      <c r="BB93" s="9"/>
      <c r="BC93" s="9"/>
      <c r="BD93" s="9"/>
      <c r="BE93" s="9"/>
      <c r="BF93" s="9"/>
      <c r="BG93" s="9"/>
      <c r="BH93" s="10"/>
      <c r="BI93" s="8"/>
      <c r="BJ93" s="9"/>
      <c r="BK93" s="9"/>
      <c r="BL93" s="9"/>
      <c r="BM93" s="9"/>
      <c r="BN93" s="9"/>
      <c r="BO93" s="9"/>
      <c r="BP93" s="9"/>
      <c r="BQ93" s="10"/>
      <c r="BR93" s="8"/>
      <c r="BS93" s="9"/>
      <c r="BT93" s="9"/>
      <c r="BU93" s="10"/>
    </row>
    <row r="94" spans="1:79" ht="15.75" thickBot="1" x14ac:dyDescent="0.3">
      <c r="S94" s="12"/>
      <c r="T94" s="14"/>
      <c r="V94" s="12"/>
      <c r="W94" s="13"/>
      <c r="X94" s="13"/>
      <c r="Y94" s="13"/>
      <c r="Z94" s="14"/>
      <c r="AA94" s="12"/>
      <c r="AB94" s="13"/>
      <c r="AC94" s="13"/>
      <c r="AD94" s="13"/>
      <c r="AE94" s="13"/>
      <c r="AF94" s="13"/>
      <c r="AG94" s="14"/>
      <c r="AH94" s="12"/>
      <c r="AI94" s="13"/>
      <c r="AJ94" s="13"/>
      <c r="AK94" s="13"/>
      <c r="AL94" s="13"/>
      <c r="AM94" s="13"/>
      <c r="AN94" s="13"/>
      <c r="AO94" s="13"/>
      <c r="AP94" s="14"/>
      <c r="AQ94" s="12"/>
      <c r="AR94" s="13"/>
      <c r="AS94" s="13"/>
      <c r="AT94" s="13"/>
      <c r="AU94" s="13"/>
      <c r="AV94" s="13"/>
      <c r="AW94" s="13"/>
      <c r="AX94" s="13"/>
      <c r="AY94" s="14"/>
      <c r="AZ94" s="12"/>
      <c r="BA94" s="13"/>
      <c r="BB94" s="13"/>
      <c r="BC94" s="13"/>
      <c r="BD94" s="13"/>
      <c r="BE94" s="13"/>
      <c r="BF94" s="13"/>
      <c r="BG94" s="13"/>
      <c r="BH94" s="14"/>
      <c r="BI94" s="12"/>
      <c r="BJ94" s="13"/>
      <c r="BK94" s="13"/>
      <c r="BL94" s="13"/>
      <c r="BM94" s="13"/>
      <c r="BN94" s="13"/>
      <c r="BO94" s="13"/>
      <c r="BP94" s="13"/>
      <c r="BQ94" s="14"/>
      <c r="BR94" s="12"/>
      <c r="BS94" s="13"/>
      <c r="BT94" s="13"/>
      <c r="BU94" s="14"/>
    </row>
    <row r="95" spans="1:79" s="36" customFormat="1" x14ac:dyDescent="0.25">
      <c r="A95" s="64"/>
      <c r="B95" s="64"/>
      <c r="C95" s="64"/>
      <c r="D95" s="64"/>
      <c r="E95" s="64"/>
      <c r="F95" s="64"/>
      <c r="M95" s="43"/>
      <c r="N95" s="43" t="s">
        <v>154</v>
      </c>
      <c r="O95" s="43" t="s">
        <v>154</v>
      </c>
      <c r="P95" s="43" t="s">
        <v>154</v>
      </c>
      <c r="Q95" s="43" t="s">
        <v>154</v>
      </c>
      <c r="R95" s="43" t="s">
        <v>154</v>
      </c>
      <c r="S95" s="43" t="s">
        <v>154</v>
      </c>
      <c r="T95" s="43" t="s">
        <v>154</v>
      </c>
      <c r="U95" s="43" t="s">
        <v>154</v>
      </c>
      <c r="V95" s="43" t="s">
        <v>154</v>
      </c>
      <c r="W95" s="43" t="s">
        <v>154</v>
      </c>
      <c r="X95" s="43" t="s">
        <v>154</v>
      </c>
      <c r="Y95" s="43" t="s">
        <v>154</v>
      </c>
      <c r="Z95" s="43" t="s">
        <v>154</v>
      </c>
      <c r="AA95" s="43" t="s">
        <v>154</v>
      </c>
      <c r="AB95" s="43" t="s">
        <v>154</v>
      </c>
      <c r="AC95" s="43" t="s">
        <v>154</v>
      </c>
      <c r="AD95" s="43" t="s">
        <v>154</v>
      </c>
      <c r="AE95" s="43" t="s">
        <v>154</v>
      </c>
      <c r="AF95" s="43" t="s">
        <v>154</v>
      </c>
      <c r="AG95" s="43" t="s">
        <v>154</v>
      </c>
      <c r="AH95" s="43"/>
      <c r="AI95" s="43" t="s">
        <v>154</v>
      </c>
      <c r="AJ95" s="43" t="s">
        <v>154</v>
      </c>
      <c r="AK95" s="43" t="s">
        <v>154</v>
      </c>
      <c r="AL95" s="43" t="s">
        <v>154</v>
      </c>
      <c r="AM95" s="43" t="s">
        <v>154</v>
      </c>
      <c r="AN95" s="43" t="s">
        <v>154</v>
      </c>
      <c r="AO95" s="43" t="s">
        <v>154</v>
      </c>
      <c r="AP95" s="43" t="s">
        <v>154</v>
      </c>
      <c r="AQ95" s="43" t="s">
        <v>154</v>
      </c>
      <c r="AR95" s="43" t="s">
        <v>154</v>
      </c>
      <c r="AS95" s="43" t="s">
        <v>154</v>
      </c>
      <c r="AT95" s="43" t="s">
        <v>154</v>
      </c>
      <c r="AU95" s="43" t="s">
        <v>154</v>
      </c>
      <c r="AV95" s="43" t="s">
        <v>154</v>
      </c>
      <c r="AW95" s="43" t="s">
        <v>154</v>
      </c>
      <c r="AX95" s="43" t="s">
        <v>154</v>
      </c>
      <c r="AY95" s="43" t="s">
        <v>154</v>
      </c>
      <c r="AZ95" s="43" t="s">
        <v>154</v>
      </c>
      <c r="BA95" s="43" t="s">
        <v>154</v>
      </c>
      <c r="BB95" s="43" t="s">
        <v>154</v>
      </c>
      <c r="BC95" s="43" t="s">
        <v>154</v>
      </c>
      <c r="BD95" s="43" t="s">
        <v>154</v>
      </c>
      <c r="BE95" s="43" t="s">
        <v>154</v>
      </c>
      <c r="BF95" s="43" t="s">
        <v>154</v>
      </c>
      <c r="BG95" s="43" t="s">
        <v>154</v>
      </c>
      <c r="BH95" s="43" t="s">
        <v>154</v>
      </c>
      <c r="BI95" s="43" t="s">
        <v>154</v>
      </c>
      <c r="BJ95" s="43" t="s">
        <v>154</v>
      </c>
      <c r="BK95" s="43" t="s">
        <v>154</v>
      </c>
      <c r="BL95" s="43" t="s">
        <v>154</v>
      </c>
      <c r="BM95" s="43" t="s">
        <v>154</v>
      </c>
      <c r="BN95" s="43" t="s">
        <v>154</v>
      </c>
      <c r="BO95" s="43" t="s">
        <v>154</v>
      </c>
      <c r="BP95" s="43" t="s">
        <v>154</v>
      </c>
      <c r="BQ95" s="43" t="s">
        <v>154</v>
      </c>
      <c r="BR95" s="43" t="s">
        <v>154</v>
      </c>
      <c r="BS95" s="43" t="s">
        <v>154</v>
      </c>
      <c r="BT95" s="43" t="s">
        <v>154</v>
      </c>
      <c r="BU95" s="43" t="s">
        <v>154</v>
      </c>
    </row>
    <row r="96" spans="1:79" x14ac:dyDescent="0.25">
      <c r="BY96" s="125"/>
      <c r="BZ96" s="125"/>
      <c r="CA96" s="125"/>
    </row>
    <row r="97" spans="1:73" x14ac:dyDescent="0.25">
      <c r="G97" s="30" t="s">
        <v>133</v>
      </c>
      <c r="H97" s="30"/>
      <c r="I97" s="30"/>
    </row>
    <row r="98" spans="1:73" x14ac:dyDescent="0.25">
      <c r="G98" t="s">
        <v>60</v>
      </c>
      <c r="J98" t="s">
        <v>44</v>
      </c>
      <c r="N98" t="s">
        <v>61</v>
      </c>
      <c r="O98">
        <v>0</v>
      </c>
      <c r="P98" s="2">
        <v>42143.688784722224</v>
      </c>
      <c r="Q98" s="2">
        <v>42143.697141203702</v>
      </c>
      <c r="R98">
        <v>1</v>
      </c>
      <c r="S98" s="8">
        <v>3</v>
      </c>
      <c r="T98" s="10" t="s">
        <v>62</v>
      </c>
      <c r="U98">
        <v>1</v>
      </c>
      <c r="V98" s="8">
        <v>4</v>
      </c>
      <c r="W98" s="9">
        <v>100</v>
      </c>
      <c r="X98" s="27">
        <v>61</v>
      </c>
      <c r="Y98" s="27">
        <v>40</v>
      </c>
      <c r="Z98" s="11" t="s">
        <v>63</v>
      </c>
      <c r="AA98" s="8">
        <v>3</v>
      </c>
      <c r="AB98" s="9">
        <v>100</v>
      </c>
      <c r="AC98" s="9">
        <v>4</v>
      </c>
      <c r="AD98" s="27">
        <v>20</v>
      </c>
      <c r="AE98" s="27">
        <v>50</v>
      </c>
      <c r="AF98" s="27">
        <v>30</v>
      </c>
      <c r="AG98" s="10" t="s">
        <v>64</v>
      </c>
      <c r="AH98" s="8">
        <v>4</v>
      </c>
      <c r="AI98" s="9">
        <v>3</v>
      </c>
      <c r="AJ98" s="9">
        <v>2</v>
      </c>
      <c r="AK98" s="9">
        <v>100</v>
      </c>
      <c r="AL98" s="27">
        <v>10</v>
      </c>
      <c r="AM98" s="27">
        <v>20</v>
      </c>
      <c r="AN98" s="27">
        <v>20</v>
      </c>
      <c r="AO98" s="27">
        <v>50</v>
      </c>
      <c r="AP98" s="10" t="s">
        <v>65</v>
      </c>
      <c r="AQ98" s="8">
        <v>100</v>
      </c>
      <c r="AR98" s="9">
        <v>2</v>
      </c>
      <c r="AS98" s="9">
        <v>4</v>
      </c>
      <c r="AT98" s="9">
        <v>3</v>
      </c>
      <c r="AU98" s="27">
        <v>62</v>
      </c>
      <c r="AV98" s="27">
        <v>12</v>
      </c>
      <c r="AW98" s="27">
        <v>13</v>
      </c>
      <c r="AX98" s="27">
        <v>13</v>
      </c>
      <c r="AY98" s="10" t="s">
        <v>66</v>
      </c>
      <c r="AZ98" s="8">
        <v>100</v>
      </c>
      <c r="BA98" s="9">
        <v>4</v>
      </c>
      <c r="BB98" s="9">
        <v>3</v>
      </c>
      <c r="BC98" s="9">
        <v>2</v>
      </c>
      <c r="BD98" s="27">
        <v>61</v>
      </c>
      <c r="BE98" s="27">
        <v>13</v>
      </c>
      <c r="BF98" s="27">
        <v>14</v>
      </c>
      <c r="BG98" s="27">
        <v>13</v>
      </c>
      <c r="BH98" s="10" t="s">
        <v>67</v>
      </c>
      <c r="BI98" s="8">
        <v>100</v>
      </c>
      <c r="BJ98" s="9">
        <v>4</v>
      </c>
      <c r="BK98" s="9">
        <v>3</v>
      </c>
      <c r="BL98" s="9">
        <v>2</v>
      </c>
      <c r="BM98" s="38">
        <v>100</v>
      </c>
      <c r="BN98" s="38">
        <v>0</v>
      </c>
      <c r="BO98" s="38">
        <v>0</v>
      </c>
      <c r="BP98" s="38">
        <v>0</v>
      </c>
      <c r="BQ98" s="10"/>
      <c r="BR98" s="1" t="s">
        <v>68</v>
      </c>
      <c r="BS98">
        <v>38.934494018555</v>
      </c>
      <c r="BT98">
        <v>-77.059600830077997</v>
      </c>
      <c r="BU98">
        <v>-1</v>
      </c>
    </row>
    <row r="99" spans="1:73" x14ac:dyDescent="0.25">
      <c r="A99" s="67" t="str">
        <f>"["&amp;IF(MAX($X99:$Y99)=100,"Y","N")&amp;", " &amp; IF(COUNT($X99:$Y99)-COUNTIF($X99:$Y99,0)&gt;1,"Y","N")&amp;"]"</f>
        <v>[Y, Y]</v>
      </c>
      <c r="B99" s="68" t="str">
        <f>"["&amp;IF(MAX($AD99:$AF99)=100,"Y","N")&amp;", " &amp; IF(COUNT($AD99:$AF99)-COUNTIF($AD99:$AF99,0)&gt;1,"Y","N")&amp;"]"</f>
        <v>[Y, Y]</v>
      </c>
      <c r="C99" s="68" t="str">
        <f>"["&amp;IF(MAX($AL99:$AO99)=100,"Y","N")&amp;", " &amp; IF(COUNT($AL99:$AO99)-COUNTIF($AL99:$AO99,0)&gt;1,"Y","N")&amp;"]"</f>
        <v>[Y, Y]</v>
      </c>
      <c r="D99" s="68" t="str">
        <f>"["&amp;IF(MAX($AU99:$AX99)=100,"Y","N")&amp;", " &amp; IF(COUNT($AU99:$AX99)-COUNTIF($AU99:$AX99,0)&gt;1,"Y","N")&amp;"]"</f>
        <v>[Y, Y]</v>
      </c>
      <c r="E99" s="68" t="str">
        <f>"["&amp;IF(MAX($BD99:$BG99)=100,"Y","N")&amp;", " &amp; IF(COUNT($BD99:$BG99)-COUNTIF($BD99:$BG99,0)&gt;1,"Y","N")&amp;"]"</f>
        <v>[Y, Y]</v>
      </c>
      <c r="F99" s="69" t="str">
        <f>"["&amp;IF(MAX($BM99:$BP99)=100,"Y","N")&amp;", " &amp; IF(COUNT($BM99:$BP99)-COUNTIF($BM99:$BP99,0)&gt;1,"Y","N")&amp;"]"</f>
        <v>[Y, Y]</v>
      </c>
      <c r="G99" t="s">
        <v>69</v>
      </c>
      <c r="J99" t="s">
        <v>44</v>
      </c>
      <c r="N99" t="s">
        <v>70</v>
      </c>
      <c r="O99">
        <v>0</v>
      </c>
      <c r="P99" s="2">
        <v>42144.466886574075</v>
      </c>
      <c r="Q99" s="2">
        <v>42150.720879629633</v>
      </c>
      <c r="R99">
        <v>1</v>
      </c>
      <c r="S99" s="8"/>
      <c r="T99" s="10"/>
      <c r="U99">
        <v>1</v>
      </c>
      <c r="V99" s="8">
        <v>100</v>
      </c>
      <c r="W99" s="9">
        <v>4</v>
      </c>
      <c r="X99" s="9">
        <v>70</v>
      </c>
      <c r="Y99" s="9">
        <v>100</v>
      </c>
      <c r="Z99" s="11" t="s">
        <v>71</v>
      </c>
      <c r="AA99" s="8">
        <v>4</v>
      </c>
      <c r="AB99" s="9">
        <v>100</v>
      </c>
      <c r="AC99" s="9">
        <v>3</v>
      </c>
      <c r="AD99" s="9">
        <v>75</v>
      </c>
      <c r="AE99" s="9">
        <v>100</v>
      </c>
      <c r="AF99" s="9">
        <v>52</v>
      </c>
      <c r="AG99" s="11" t="s">
        <v>72</v>
      </c>
      <c r="AH99" s="8">
        <v>2</v>
      </c>
      <c r="AI99" s="9">
        <v>4</v>
      </c>
      <c r="AJ99" s="9">
        <v>4</v>
      </c>
      <c r="AK99" s="9">
        <v>100</v>
      </c>
      <c r="AL99" s="9">
        <v>0</v>
      </c>
      <c r="AM99" s="9">
        <v>70</v>
      </c>
      <c r="AN99" s="9">
        <v>70</v>
      </c>
      <c r="AO99" s="9">
        <v>100</v>
      </c>
      <c r="AP99" s="11" t="s">
        <v>73</v>
      </c>
      <c r="AQ99" s="8">
        <v>2</v>
      </c>
      <c r="AR99" s="9">
        <v>100</v>
      </c>
      <c r="AS99" s="9">
        <v>3</v>
      </c>
      <c r="AT99" s="9">
        <v>4</v>
      </c>
      <c r="AU99" s="9">
        <v>70</v>
      </c>
      <c r="AV99" s="9">
        <v>100</v>
      </c>
      <c r="AW99" s="9">
        <v>81</v>
      </c>
      <c r="AX99" s="9">
        <v>90</v>
      </c>
      <c r="AY99" s="11" t="s">
        <v>74</v>
      </c>
      <c r="AZ99" s="8">
        <v>2</v>
      </c>
      <c r="BA99" s="9">
        <v>100</v>
      </c>
      <c r="BB99" s="9">
        <v>3</v>
      </c>
      <c r="BC99" s="9">
        <v>4</v>
      </c>
      <c r="BD99" s="9">
        <v>75</v>
      </c>
      <c r="BE99" s="9">
        <v>100</v>
      </c>
      <c r="BF99" s="9">
        <v>75</v>
      </c>
      <c r="BG99" s="9">
        <v>75</v>
      </c>
      <c r="BH99" s="11" t="s">
        <v>75</v>
      </c>
      <c r="BI99" s="8">
        <v>4</v>
      </c>
      <c r="BJ99" s="9">
        <v>3</v>
      </c>
      <c r="BK99" s="9">
        <v>2</v>
      </c>
      <c r="BL99" s="9">
        <v>100</v>
      </c>
      <c r="BM99" s="9">
        <v>76</v>
      </c>
      <c r="BN99" s="9">
        <v>76</v>
      </c>
      <c r="BO99" s="9">
        <v>60</v>
      </c>
      <c r="BP99" s="9">
        <v>100</v>
      </c>
      <c r="BQ99" s="11" t="s">
        <v>76</v>
      </c>
      <c r="BR99" s="47" t="s">
        <v>77</v>
      </c>
      <c r="BS99" s="9">
        <v>32.879501342772997</v>
      </c>
      <c r="BT99" s="9">
        <v>-96.939796447754006</v>
      </c>
      <c r="BU99" s="10">
        <v>-1</v>
      </c>
    </row>
    <row r="100" spans="1:73" x14ac:dyDescent="0.25">
      <c r="A100" s="67" t="str">
        <f>"["&amp;IF(MAX($X100:$Y100)=100,"Y","N")&amp;", " &amp; IF(COUNT($X100:$Y100)-COUNTIF($X100:$Y100,0)&gt;1,"Y","N")&amp;"]"</f>
        <v>[Y, Y]</v>
      </c>
      <c r="B100" s="68" t="str">
        <f>"["&amp;IF(MAX($AD100:$AF100)=100,"Y","N")&amp;", " &amp; IF(COUNT($AD100:$AF100)-COUNTIF($AD100:$AF100,0)&gt;1,"Y","N")&amp;"]"</f>
        <v>[Y, Y]</v>
      </c>
      <c r="C100" s="68" t="str">
        <f>"["&amp;IF(MAX($AL100:$AO100)=100,"Y","N")&amp;", " &amp; IF(COUNT($AL100:$AO100)-COUNTIF($AL100:$AO100,0)&gt;1,"Y","N")&amp;"]"</f>
        <v>[Y, Y]</v>
      </c>
      <c r="D100" s="68" t="str">
        <f>"["&amp;IF(MAX($AU100:$AX100)=100,"Y","N")&amp;", " &amp; IF(COUNT($AU100:$AX100)-COUNTIF($AU100:$AX100,0)&gt;1,"Y","N")&amp;"]"</f>
        <v>[Y, Y]</v>
      </c>
      <c r="E100" s="68" t="str">
        <f>"["&amp;IF(MAX($BD100:$BG100)=100,"Y","N")&amp;", " &amp; IF(COUNT($BD100:$BG100)-COUNTIF($BD100:$BG100,0)&gt;1,"Y","N")&amp;"]"</f>
        <v>[Y, Y]</v>
      </c>
      <c r="F100" s="69" t="str">
        <f>"["&amp;IF(MAX($BM100:$BP100)=100,"Y","N")&amp;", " &amp; IF(COUNT($BM100:$BP100)-COUNTIF($BM100:$BP100,0)&gt;1,"Y","N")&amp;"]"</f>
        <v>[Y, Y]</v>
      </c>
      <c r="G100" t="s">
        <v>78</v>
      </c>
      <c r="J100" t="s">
        <v>44</v>
      </c>
      <c r="N100" t="s">
        <v>79</v>
      </c>
      <c r="O100">
        <v>0</v>
      </c>
      <c r="P100" s="2">
        <v>42139.49114583333</v>
      </c>
      <c r="Q100" s="2">
        <v>42150.797291666669</v>
      </c>
      <c r="R100">
        <v>1</v>
      </c>
      <c r="S100" s="8">
        <v>2</v>
      </c>
      <c r="T100" s="10"/>
      <c r="U100">
        <v>1</v>
      </c>
      <c r="V100" s="8">
        <v>100</v>
      </c>
      <c r="W100" s="9">
        <v>4</v>
      </c>
      <c r="X100" s="9">
        <v>79</v>
      </c>
      <c r="Y100" s="9">
        <v>100</v>
      </c>
      <c r="Z100" s="11" t="s">
        <v>80</v>
      </c>
      <c r="AA100" s="8">
        <v>3</v>
      </c>
      <c r="AB100" s="9">
        <v>100</v>
      </c>
      <c r="AC100" s="9">
        <v>4</v>
      </c>
      <c r="AD100" s="9">
        <v>60</v>
      </c>
      <c r="AE100" s="9">
        <v>100</v>
      </c>
      <c r="AF100" s="9">
        <v>80</v>
      </c>
      <c r="AG100" s="11" t="s">
        <v>81</v>
      </c>
      <c r="AH100" s="8">
        <v>2</v>
      </c>
      <c r="AI100" s="9">
        <v>100</v>
      </c>
      <c r="AJ100" s="9">
        <v>3</v>
      </c>
      <c r="AK100" s="9">
        <v>4</v>
      </c>
      <c r="AL100" s="9">
        <v>42</v>
      </c>
      <c r="AM100" s="9">
        <v>100</v>
      </c>
      <c r="AN100" s="9">
        <v>100</v>
      </c>
      <c r="AO100" s="9">
        <v>100</v>
      </c>
      <c r="AP100" s="11" t="s">
        <v>82</v>
      </c>
      <c r="AQ100" s="8">
        <v>3</v>
      </c>
      <c r="AR100" s="9">
        <v>100</v>
      </c>
      <c r="AS100" s="9">
        <v>2</v>
      </c>
      <c r="AT100" s="9">
        <v>4</v>
      </c>
      <c r="AU100" s="9">
        <v>80</v>
      </c>
      <c r="AV100" s="9">
        <v>100</v>
      </c>
      <c r="AW100" s="9">
        <v>30</v>
      </c>
      <c r="AX100" s="9">
        <v>90</v>
      </c>
      <c r="AY100" s="10"/>
      <c r="AZ100" s="8">
        <v>4</v>
      </c>
      <c r="BA100" s="9">
        <v>100</v>
      </c>
      <c r="BB100" s="9">
        <v>3</v>
      </c>
      <c r="BC100" s="9">
        <v>2</v>
      </c>
      <c r="BD100" s="9">
        <v>100</v>
      </c>
      <c r="BE100" s="9">
        <v>100</v>
      </c>
      <c r="BF100" s="9">
        <v>100</v>
      </c>
      <c r="BG100" s="9">
        <v>50</v>
      </c>
      <c r="BH100" s="10"/>
      <c r="BI100" s="8">
        <v>100</v>
      </c>
      <c r="BJ100" s="9">
        <v>4</v>
      </c>
      <c r="BK100" s="9">
        <v>2</v>
      </c>
      <c r="BL100" s="9">
        <v>3</v>
      </c>
      <c r="BM100" s="9">
        <v>100</v>
      </c>
      <c r="BN100" s="9">
        <v>80</v>
      </c>
      <c r="BO100" s="9">
        <v>52</v>
      </c>
      <c r="BP100" s="9">
        <v>80</v>
      </c>
      <c r="BQ100" s="10"/>
      <c r="BR100" s="8" t="s">
        <v>83</v>
      </c>
      <c r="BS100" s="9">
        <v>38.895095825195</v>
      </c>
      <c r="BT100" s="9">
        <v>-77.036399841309006</v>
      </c>
      <c r="BU100" s="10">
        <v>-1</v>
      </c>
    </row>
    <row r="101" spans="1:73" x14ac:dyDescent="0.25">
      <c r="A101" s="67" t="str">
        <f>"["&amp;IF(MAX($X101:$Y101)=100,"Y","N")&amp;", " &amp; IF(COUNT($X101:$Y101)-COUNTIF($X101:$Y101,0)&gt;1,"Y","N")&amp;"]"</f>
        <v>[Y, Y]</v>
      </c>
      <c r="B101" s="68" t="str">
        <f>"["&amp;IF(MAX($AD101:$AF101)=100,"Y","N")&amp;", " &amp; IF(COUNT($AD101:$AF101)-COUNTIF($AD101:$AF101,0)&gt;1,"Y","N")&amp;"]"</f>
        <v>[Y, Y]</v>
      </c>
      <c r="C101" s="68" t="str">
        <f>"["&amp;IF(MAX($AL101:$AO101)=100,"Y","N")&amp;", " &amp; IF(COUNT($AL101:$AO101)-COUNTIF($AL101:$AO101,0)&gt;1,"Y","N")&amp;"]"</f>
        <v>[Y, Y]</v>
      </c>
      <c r="D101" s="68" t="str">
        <f>"["&amp;IF(MAX($AU101:$AX101)=100,"Y","N")&amp;", " &amp; IF(COUNT($AU101:$AX101)-COUNTIF($AU101:$AX101,0)&gt;1,"Y","N")&amp;"]"</f>
        <v>[Y, Y]</v>
      </c>
      <c r="E101" s="68" t="str">
        <f>"["&amp;IF(MAX($BD101:$BG101)=100,"Y","N")&amp;", " &amp; IF(COUNT($BD101:$BG101)-COUNTIF($BD101:$BG101,0)&gt;1,"Y","N")&amp;"]"</f>
        <v>[Y, Y]</v>
      </c>
      <c r="F101" s="69" t="str">
        <f>"["&amp;IF(MAX($BM101:$BP101)=100,"Y","N")&amp;", " &amp; IF(COUNT($BM101:$BP101)-COUNTIF($BM101:$BP101,0)&gt;1,"Y","N")&amp;"]"</f>
        <v>[Y, Y]</v>
      </c>
      <c r="G101" t="s">
        <v>84</v>
      </c>
      <c r="J101" t="s">
        <v>44</v>
      </c>
      <c r="N101" t="s">
        <v>85</v>
      </c>
      <c r="O101">
        <v>0</v>
      </c>
      <c r="P101" s="2">
        <v>42152.394479166665</v>
      </c>
      <c r="Q101" s="2">
        <v>42152.430208333331</v>
      </c>
      <c r="R101">
        <v>1</v>
      </c>
      <c r="S101" s="8">
        <v>1</v>
      </c>
      <c r="T101" s="10"/>
      <c r="U101">
        <v>1</v>
      </c>
      <c r="V101" s="8">
        <v>100</v>
      </c>
      <c r="W101" s="9">
        <v>4</v>
      </c>
      <c r="X101" s="9">
        <v>60</v>
      </c>
      <c r="Y101" s="9">
        <v>100</v>
      </c>
      <c r="Z101" s="11" t="s">
        <v>86</v>
      </c>
      <c r="AA101" s="8">
        <v>3</v>
      </c>
      <c r="AB101" s="9">
        <v>100</v>
      </c>
      <c r="AC101" s="9">
        <v>4</v>
      </c>
      <c r="AD101" s="9">
        <v>10</v>
      </c>
      <c r="AE101" s="9">
        <v>100</v>
      </c>
      <c r="AF101" s="9">
        <v>75</v>
      </c>
      <c r="AG101" s="10" t="s">
        <v>87</v>
      </c>
      <c r="AH101" s="8">
        <v>2</v>
      </c>
      <c r="AI101" s="9">
        <v>100</v>
      </c>
      <c r="AJ101" s="9">
        <v>3</v>
      </c>
      <c r="AK101" s="9">
        <v>4</v>
      </c>
      <c r="AL101" s="9">
        <v>2</v>
      </c>
      <c r="AM101" s="9">
        <v>100</v>
      </c>
      <c r="AN101" s="9">
        <v>10</v>
      </c>
      <c r="AO101" s="9">
        <v>30</v>
      </c>
      <c r="AP101" s="11" t="s">
        <v>88</v>
      </c>
      <c r="AQ101" s="8">
        <v>100</v>
      </c>
      <c r="AR101" s="9">
        <v>4</v>
      </c>
      <c r="AS101" s="9">
        <v>2</v>
      </c>
      <c r="AT101" s="9">
        <v>3</v>
      </c>
      <c r="AU101" s="9">
        <v>100</v>
      </c>
      <c r="AV101" s="9">
        <v>33</v>
      </c>
      <c r="AW101" s="9">
        <v>1</v>
      </c>
      <c r="AX101" s="9">
        <v>10</v>
      </c>
      <c r="AY101" s="10"/>
      <c r="AZ101" s="8">
        <v>100</v>
      </c>
      <c r="BA101" s="9">
        <v>4</v>
      </c>
      <c r="BB101" s="9">
        <v>3</v>
      </c>
      <c r="BC101" s="9">
        <v>2</v>
      </c>
      <c r="BD101" s="9">
        <v>100</v>
      </c>
      <c r="BE101" s="9">
        <v>33</v>
      </c>
      <c r="BF101" s="9">
        <v>10</v>
      </c>
      <c r="BG101" s="9">
        <v>10</v>
      </c>
      <c r="BH101" s="10"/>
      <c r="BI101" s="8">
        <v>100</v>
      </c>
      <c r="BJ101" s="9">
        <v>4</v>
      </c>
      <c r="BK101" s="9">
        <v>2</v>
      </c>
      <c r="BL101" s="9">
        <v>3</v>
      </c>
      <c r="BM101" s="9">
        <v>100</v>
      </c>
      <c r="BN101" s="9">
        <v>10</v>
      </c>
      <c r="BO101" s="9">
        <v>1</v>
      </c>
      <c r="BP101" s="9">
        <v>5</v>
      </c>
      <c r="BQ101" s="10"/>
      <c r="BR101" s="8"/>
      <c r="BS101" s="9">
        <v>59.333297729492003</v>
      </c>
      <c r="BT101" s="9">
        <v>18.050003051758001</v>
      </c>
      <c r="BU101" s="10">
        <v>-1</v>
      </c>
    </row>
    <row r="102" spans="1:73" s="13" customFormat="1" ht="15.75" thickBot="1" x14ac:dyDescent="0.3">
      <c r="A102" s="67" t="str">
        <f>"["&amp;IF(MAX($X102:$Y102)=100,"Y","N")&amp;", " &amp; IF(COUNT($X102:$Y102)-COUNTIF($X102:$Y102,0)&gt;1,"Y","N")&amp;"]"</f>
        <v>[Y, Y]</v>
      </c>
      <c r="B102" s="68" t="str">
        <f>"["&amp;IF(MAX($AD102:$AF102)=100,"Y","N")&amp;", " &amp; IF(COUNT($AD102:$AF102)-COUNTIF($AD102:$AF102,0)&gt;1,"Y","N")&amp;"]"</f>
        <v>[Y, Y]</v>
      </c>
      <c r="C102" s="68" t="str">
        <f>"["&amp;IF(MAX($AL102:$AO102)=100,"Y","N")&amp;", " &amp; IF(COUNT($AL102:$AO102)-COUNTIF($AL102:$AO102,0)&gt;1,"Y","N")&amp;"]"</f>
        <v>[Y, Y]</v>
      </c>
      <c r="D102" s="68" t="str">
        <f>"["&amp;IF(MAX($AU102:$AX102)=100,"Y","N")&amp;", " &amp; IF(COUNT($AU102:$AX102)-COUNTIF($AU102:$AX102,0)&gt;1,"Y","N")&amp;"]"</f>
        <v>[Y, Y]</v>
      </c>
      <c r="E102" s="68" t="str">
        <f>"["&amp;IF(MAX($BD102:$BG102)=100,"Y","N")&amp;", " &amp; IF(COUNT($BD102:$BG102)-COUNTIF($BD102:$BG102,0)&gt;1,"Y","N")&amp;"]"</f>
        <v>[Y, Y]</v>
      </c>
      <c r="F102" s="69" t="str">
        <f>"["&amp;IF(MAX($BM102:$BP102)=100,"Y","N")&amp;", " &amp; IF(COUNT($BM102:$BP102)-COUNTIF($BM102:$BP102,0)&gt;1,"Y","N")&amp;"]"</f>
        <v>[Y, Y]</v>
      </c>
      <c r="G102" s="13" t="s">
        <v>89</v>
      </c>
      <c r="J102" s="13" t="s">
        <v>44</v>
      </c>
      <c r="N102" s="13" t="s">
        <v>90</v>
      </c>
      <c r="O102" s="13">
        <v>0</v>
      </c>
      <c r="P102" s="65">
        <v>42152.661782407406</v>
      </c>
      <c r="Q102" s="65">
        <v>42153.453946759262</v>
      </c>
      <c r="R102" s="13">
        <v>1</v>
      </c>
      <c r="S102" s="12">
        <v>3</v>
      </c>
      <c r="T102" s="14" t="s">
        <v>91</v>
      </c>
      <c r="U102" s="13">
        <v>1</v>
      </c>
      <c r="V102" s="12">
        <v>100</v>
      </c>
      <c r="W102" s="13">
        <v>4</v>
      </c>
      <c r="X102" s="13">
        <v>80</v>
      </c>
      <c r="Y102" s="13">
        <v>100</v>
      </c>
      <c r="Z102" s="14" t="s">
        <v>92</v>
      </c>
      <c r="AA102" s="12">
        <v>4</v>
      </c>
      <c r="AB102" s="13">
        <v>100</v>
      </c>
      <c r="AC102" s="13">
        <v>3</v>
      </c>
      <c r="AD102" s="13">
        <v>60</v>
      </c>
      <c r="AE102" s="13">
        <v>100</v>
      </c>
      <c r="AF102" s="13">
        <v>40</v>
      </c>
      <c r="AG102" s="14" t="s">
        <v>93</v>
      </c>
      <c r="AH102" s="12">
        <v>2</v>
      </c>
      <c r="AI102" s="13">
        <v>3</v>
      </c>
      <c r="AJ102" s="13">
        <v>4</v>
      </c>
      <c r="AK102" s="13">
        <v>100</v>
      </c>
      <c r="AL102" s="13">
        <v>21</v>
      </c>
      <c r="AM102" s="13">
        <v>50</v>
      </c>
      <c r="AN102" s="13">
        <v>50</v>
      </c>
      <c r="AO102" s="13">
        <v>100</v>
      </c>
      <c r="AP102" s="66" t="s">
        <v>94</v>
      </c>
      <c r="AQ102" s="12">
        <v>100</v>
      </c>
      <c r="AR102" s="13">
        <v>3</v>
      </c>
      <c r="AS102" s="13">
        <v>2</v>
      </c>
      <c r="AT102" s="13">
        <v>4</v>
      </c>
      <c r="AU102" s="13">
        <v>100</v>
      </c>
      <c r="AV102" s="13">
        <v>20</v>
      </c>
      <c r="AW102" s="13">
        <v>10</v>
      </c>
      <c r="AX102" s="13">
        <v>50</v>
      </c>
      <c r="AY102" s="14" t="s">
        <v>95</v>
      </c>
      <c r="AZ102" s="12">
        <v>100</v>
      </c>
      <c r="BA102" s="13">
        <v>4</v>
      </c>
      <c r="BB102" s="13">
        <v>3</v>
      </c>
      <c r="BC102" s="13">
        <v>2</v>
      </c>
      <c r="BD102" s="13">
        <v>100</v>
      </c>
      <c r="BE102" s="13">
        <v>90</v>
      </c>
      <c r="BF102" s="13">
        <v>80</v>
      </c>
      <c r="BG102" s="13">
        <v>60</v>
      </c>
      <c r="BH102" s="14" t="s">
        <v>96</v>
      </c>
      <c r="BI102" s="12">
        <v>100</v>
      </c>
      <c r="BJ102" s="13">
        <v>3</v>
      </c>
      <c r="BK102" s="13">
        <v>2</v>
      </c>
      <c r="BL102" s="13">
        <v>4</v>
      </c>
      <c r="BM102" s="13">
        <v>100</v>
      </c>
      <c r="BN102" s="13">
        <v>40</v>
      </c>
      <c r="BO102" s="13">
        <v>20</v>
      </c>
      <c r="BP102" s="13">
        <v>70</v>
      </c>
      <c r="BQ102" s="66" t="s">
        <v>97</v>
      </c>
      <c r="BR102" s="12" t="s">
        <v>98</v>
      </c>
      <c r="BS102" s="13">
        <v>45.416702270507997</v>
      </c>
      <c r="BT102" s="13">
        <v>-75.699996948242003</v>
      </c>
      <c r="BU102" s="14">
        <v>-1</v>
      </c>
    </row>
    <row r="103" spans="1:73" s="48" customFormat="1" x14ac:dyDescent="0.25">
      <c r="A103" s="67" t="str">
        <f>"["&amp;IF(MAX($X103:$Y103)=100,"Y","N")&amp;", " &amp; IF(COUNT($X103:$Y103)-COUNTIF($X103:$Y103,0)&gt;1,"Y","N")&amp;"]"</f>
        <v>[N, Y]</v>
      </c>
      <c r="B103" s="68" t="str">
        <f>"["&amp;IF(MAX($AD103:$AF103)=100,"Y","N")&amp;", " &amp; IF(COUNT($AD103:$AF103)-COUNTIF($AD103:$AF103,0)&gt;1,"Y","N")&amp;"]"</f>
        <v>[N, Y]</v>
      </c>
      <c r="C103" s="68" t="str">
        <f>"["&amp;IF(MAX($AL103:$AO103)=100,"Y","N")&amp;", " &amp; IF(COUNT($AL103:$AO103)-COUNTIF($AL103:$AO103,0)&gt;1,"Y","N")&amp;"]"</f>
        <v>[Y, Y]</v>
      </c>
      <c r="D103" s="68" t="str">
        <f>"["&amp;IF(MAX($AU103:$AX103)=100,"Y","N")&amp;", " &amp; IF(COUNT($AU103:$AX103)-COUNTIF($AU103:$AX103,0)&gt;1,"Y","N")&amp;"]"</f>
        <v>[N, Y]</v>
      </c>
      <c r="E103" s="68" t="str">
        <f>"["&amp;IF(MAX($BD103:$BG103)=100,"Y","N")&amp;", " &amp; IF(COUNT($BD103:$BG103)-COUNTIF($BD103:$BG103,0)&gt;1,"Y","N")&amp;"]"</f>
        <v>[N, Y]</v>
      </c>
      <c r="F103" s="69" t="str">
        <f>"["&amp;IF(MAX($BM103:$BP103)=100,"Y","N")&amp;", " &amp; IF(COUNT($BM103:$BP103)-COUNTIF($BM103:$BP103,0)&gt;1,"Y","N")&amp;"]"</f>
        <v>[N, Y]</v>
      </c>
      <c r="G103" s="61" t="s">
        <v>155</v>
      </c>
      <c r="H103" s="61"/>
      <c r="I103" s="61"/>
      <c r="J103" s="48" t="s">
        <v>44</v>
      </c>
      <c r="M103" s="49"/>
      <c r="N103" s="48" t="s">
        <v>156</v>
      </c>
      <c r="O103" s="48">
        <v>0</v>
      </c>
      <c r="P103" s="50">
        <v>42241.68922453704</v>
      </c>
      <c r="Q103" s="50">
        <v>42241.699201388888</v>
      </c>
      <c r="R103" s="48">
        <v>1</v>
      </c>
      <c r="S103" s="51">
        <v>1</v>
      </c>
      <c r="T103" s="52"/>
      <c r="U103" s="48">
        <v>1</v>
      </c>
      <c r="V103" s="51">
        <v>100</v>
      </c>
      <c r="W103" s="49">
        <v>4</v>
      </c>
      <c r="X103" s="60">
        <v>29</v>
      </c>
      <c r="Y103" s="60">
        <v>56</v>
      </c>
      <c r="Z103" s="53" t="s">
        <v>157</v>
      </c>
      <c r="AA103" s="59">
        <v>4</v>
      </c>
      <c r="AB103" s="60">
        <v>100</v>
      </c>
      <c r="AC103" s="60">
        <v>3</v>
      </c>
      <c r="AD103" s="60">
        <v>44</v>
      </c>
      <c r="AE103" s="60">
        <v>80</v>
      </c>
      <c r="AF103" s="60">
        <v>16</v>
      </c>
      <c r="AG103" s="52"/>
      <c r="AH103" s="51">
        <v>2</v>
      </c>
      <c r="AI103" s="49">
        <v>4</v>
      </c>
      <c r="AJ103" s="49">
        <v>3</v>
      </c>
      <c r="AK103" s="49">
        <v>100</v>
      </c>
      <c r="AL103" s="60">
        <v>2</v>
      </c>
      <c r="AM103" s="60">
        <v>7</v>
      </c>
      <c r="AN103" s="60">
        <v>19</v>
      </c>
      <c r="AO103" s="60">
        <v>100</v>
      </c>
      <c r="AP103" s="53"/>
      <c r="AQ103" s="51">
        <v>3</v>
      </c>
      <c r="AR103" s="49">
        <v>4</v>
      </c>
      <c r="AS103" s="49">
        <v>100</v>
      </c>
      <c r="AT103" s="49">
        <v>2</v>
      </c>
      <c r="AU103" s="60">
        <v>40</v>
      </c>
      <c r="AV103" s="60">
        <v>69</v>
      </c>
      <c r="AW103" s="60">
        <v>92</v>
      </c>
      <c r="AX103" s="60">
        <v>37</v>
      </c>
      <c r="AY103" s="52"/>
      <c r="AZ103" s="51">
        <v>3</v>
      </c>
      <c r="BA103" s="49">
        <v>100</v>
      </c>
      <c r="BB103" s="49">
        <v>4</v>
      </c>
      <c r="BC103" s="49">
        <v>2</v>
      </c>
      <c r="BD103" s="60">
        <v>29</v>
      </c>
      <c r="BE103" s="60">
        <v>88</v>
      </c>
      <c r="BF103" s="60">
        <v>79</v>
      </c>
      <c r="BG103" s="60">
        <v>19</v>
      </c>
      <c r="BH103" s="52"/>
      <c r="BI103" s="51">
        <v>100</v>
      </c>
      <c r="BJ103" s="49">
        <v>2</v>
      </c>
      <c r="BK103" s="49">
        <v>3</v>
      </c>
      <c r="BL103" s="49">
        <v>4</v>
      </c>
      <c r="BM103" s="60">
        <v>95</v>
      </c>
      <c r="BN103" s="60">
        <v>57</v>
      </c>
      <c r="BO103" s="60">
        <v>69</v>
      </c>
      <c r="BP103" s="60">
        <v>82</v>
      </c>
      <c r="BQ103" s="52"/>
      <c r="BR103" s="51"/>
      <c r="BS103" s="52">
        <v>35.994003295897997</v>
      </c>
      <c r="BT103" s="48">
        <v>-78.898597717285</v>
      </c>
      <c r="BU103" s="48">
        <v>-1</v>
      </c>
    </row>
    <row r="104" spans="1:73" s="90" customFormat="1" ht="15.75" thickBot="1" x14ac:dyDescent="0.3">
      <c r="A104" s="75" t="str">
        <f t="shared" ref="A104:A127" si="42">"["&amp;IF(MAX($X104:$Y104)=100,"Y","N")&amp;", " &amp; IF(COUNT($X104:$Y104)-COUNTIF($X104:$Y104,0)&gt;1,"Y","N")&amp;"]"</f>
        <v>[Y, N]</v>
      </c>
      <c r="B104" s="76" t="str">
        <f t="shared" ref="B104:B127" si="43">"["&amp;IF(MAX($AD104:$AF104)=100,"Y","N")&amp;", " &amp; IF(COUNT($AD104:$AF104)-COUNTIF($AD104:$AF104,0)&gt;1,"Y","N")&amp;"]"</f>
        <v>[Y, N]</v>
      </c>
      <c r="C104" s="76" t="str">
        <f t="shared" ref="C104:C127" si="44">"["&amp;IF(MAX($AL104:$AO104)=100,"Y","N")&amp;", " &amp; IF(COUNT($AL104:$AO104)-COUNTIF($AL104:$AO104,0)&gt;1,"Y","N")&amp;"]"</f>
        <v>[Y, N]</v>
      </c>
      <c r="D104" s="76" t="str">
        <f t="shared" ref="D104:D127" si="45">"["&amp;IF(MAX($AU104:$AX104)=100,"Y","N")&amp;", " &amp; IF(COUNT($AU104:$AX104)-COUNTIF($AU104:$AX104,0)&gt;1,"Y","N")&amp;"]"</f>
        <v>[Y, N]</v>
      </c>
      <c r="E104" s="76" t="str">
        <f t="shared" ref="E104:E127" si="46">"["&amp;IF(MAX($BD104:$BG104)=100,"Y","N")&amp;", " &amp; IF(COUNT($BD104:$BG104)-COUNTIF($BD104:$BG104,0)&gt;1,"Y","N")&amp;"]"</f>
        <v>[Y, N]</v>
      </c>
      <c r="F104" s="77" t="str">
        <f t="shared" ref="F104:F127" si="47">"["&amp;IF(MAX($BM104:$BP104)=100,"Y","N")&amp;", " &amp; IF(COUNT($BM104:$BP104)-COUNTIF($BM104:$BP104,0)&gt;1,"Y","N")&amp;"]"</f>
        <v>[Y, N]</v>
      </c>
      <c r="G104" s="90" t="s">
        <v>158</v>
      </c>
      <c r="J104" s="90" t="s">
        <v>44</v>
      </c>
      <c r="N104" s="90" t="s">
        <v>277</v>
      </c>
      <c r="O104" s="90">
        <v>0</v>
      </c>
      <c r="P104" s="91">
        <v>42241.711875000001</v>
      </c>
      <c r="Q104" s="91">
        <v>42241.714375000003</v>
      </c>
      <c r="R104" s="90">
        <v>1</v>
      </c>
      <c r="S104" s="92">
        <v>1</v>
      </c>
      <c r="T104" s="93"/>
      <c r="U104" s="90">
        <v>1</v>
      </c>
      <c r="V104" s="92">
        <v>100</v>
      </c>
      <c r="W104" s="90">
        <v>4</v>
      </c>
      <c r="X104" s="90">
        <v>0</v>
      </c>
      <c r="Y104" s="90">
        <v>100</v>
      </c>
      <c r="Z104" s="94"/>
      <c r="AA104" s="92">
        <v>4</v>
      </c>
      <c r="AB104" s="90">
        <v>100</v>
      </c>
      <c r="AC104" s="90">
        <v>3</v>
      </c>
      <c r="AD104" s="90">
        <v>0</v>
      </c>
      <c r="AE104" s="90">
        <v>100</v>
      </c>
      <c r="AF104" s="90">
        <v>0</v>
      </c>
      <c r="AG104" s="93"/>
      <c r="AH104" s="92">
        <v>100</v>
      </c>
      <c r="AI104" s="90">
        <v>2</v>
      </c>
      <c r="AJ104" s="90">
        <v>3</v>
      </c>
      <c r="AK104" s="90">
        <v>4</v>
      </c>
      <c r="AL104" s="90">
        <v>100</v>
      </c>
      <c r="AM104" s="90">
        <v>0</v>
      </c>
      <c r="AN104" s="90">
        <v>0</v>
      </c>
      <c r="AO104" s="90">
        <v>0</v>
      </c>
      <c r="AP104" s="94"/>
      <c r="AQ104" s="92">
        <v>3</v>
      </c>
      <c r="AR104" s="90">
        <v>100</v>
      </c>
      <c r="AS104" s="90">
        <v>4</v>
      </c>
      <c r="AT104" s="90">
        <v>2</v>
      </c>
      <c r="AU104" s="90">
        <v>0</v>
      </c>
      <c r="AV104" s="90">
        <v>100</v>
      </c>
      <c r="AW104" s="90">
        <v>0</v>
      </c>
      <c r="AX104" s="90">
        <v>0</v>
      </c>
      <c r="AY104" s="93"/>
      <c r="AZ104" s="92">
        <v>4</v>
      </c>
      <c r="BA104" s="90">
        <v>100</v>
      </c>
      <c r="BB104" s="90">
        <v>3</v>
      </c>
      <c r="BC104" s="90">
        <v>2</v>
      </c>
      <c r="BD104" s="90">
        <v>0</v>
      </c>
      <c r="BE104" s="90">
        <v>100</v>
      </c>
      <c r="BF104" s="90">
        <v>0</v>
      </c>
      <c r="BG104" s="90">
        <v>0</v>
      </c>
      <c r="BH104" s="93"/>
      <c r="BI104" s="92">
        <v>4</v>
      </c>
      <c r="BJ104" s="90">
        <v>2</v>
      </c>
      <c r="BK104" s="90">
        <v>3</v>
      </c>
      <c r="BL104" s="90">
        <v>100</v>
      </c>
      <c r="BM104" s="90">
        <v>0</v>
      </c>
      <c r="BN104" s="90">
        <v>0</v>
      </c>
      <c r="BO104" s="90">
        <v>0</v>
      </c>
      <c r="BP104" s="90">
        <v>100</v>
      </c>
      <c r="BQ104" s="93"/>
      <c r="BR104" s="92"/>
      <c r="BS104" s="93">
        <v>35.227096557617003</v>
      </c>
      <c r="BT104" s="90">
        <v>-80.843101501465</v>
      </c>
      <c r="BU104" s="90">
        <v>-1</v>
      </c>
    </row>
    <row r="105" spans="1:73" x14ac:dyDescent="0.25">
      <c r="A105" s="67" t="str">
        <f t="shared" si="42"/>
        <v>[Y, Y]</v>
      </c>
      <c r="B105" s="68" t="str">
        <f t="shared" si="43"/>
        <v>[Y, Y]</v>
      </c>
      <c r="C105" s="68" t="str">
        <f t="shared" si="44"/>
        <v>[Y, Y]</v>
      </c>
      <c r="D105" s="68" t="str">
        <f t="shared" si="45"/>
        <v>[Y, Y]</v>
      </c>
      <c r="E105" s="68" t="str">
        <f t="shared" si="46"/>
        <v>[Y, Y]</v>
      </c>
      <c r="F105" s="69" t="str">
        <f t="shared" si="47"/>
        <v>[Y, Y]</v>
      </c>
      <c r="G105" s="62" t="s">
        <v>159</v>
      </c>
      <c r="H105" s="62"/>
      <c r="I105" s="62"/>
      <c r="J105" t="s">
        <v>44</v>
      </c>
      <c r="M105" s="9"/>
      <c r="N105" t="s">
        <v>160</v>
      </c>
      <c r="O105">
        <v>0</v>
      </c>
      <c r="P105" s="2">
        <v>42242.406539351854</v>
      </c>
      <c r="Q105" s="2">
        <v>42242.433298611111</v>
      </c>
      <c r="R105">
        <v>1</v>
      </c>
      <c r="S105" s="8">
        <v>3</v>
      </c>
      <c r="T105" s="10" t="s">
        <v>161</v>
      </c>
      <c r="U105">
        <v>1</v>
      </c>
      <c r="V105" s="8">
        <v>4</v>
      </c>
      <c r="W105" s="9">
        <v>100</v>
      </c>
      <c r="X105" s="9">
        <v>100</v>
      </c>
      <c r="Y105" s="9">
        <v>70</v>
      </c>
      <c r="Z105" s="11" t="s">
        <v>162</v>
      </c>
      <c r="AA105" s="8">
        <v>3</v>
      </c>
      <c r="AB105" s="9">
        <v>100</v>
      </c>
      <c r="AC105" s="9">
        <v>4</v>
      </c>
      <c r="AD105" s="9">
        <v>31</v>
      </c>
      <c r="AE105" s="9">
        <v>100</v>
      </c>
      <c r="AF105" s="9">
        <v>60</v>
      </c>
      <c r="AG105" s="10" t="s">
        <v>163</v>
      </c>
      <c r="AH105" s="8">
        <v>2</v>
      </c>
      <c r="AI105" s="9">
        <v>3</v>
      </c>
      <c r="AJ105" s="9">
        <v>4</v>
      </c>
      <c r="AK105" s="9">
        <v>100</v>
      </c>
      <c r="AL105" s="9">
        <v>50</v>
      </c>
      <c r="AM105" s="9">
        <v>60</v>
      </c>
      <c r="AN105" s="9">
        <v>70</v>
      </c>
      <c r="AO105" s="9">
        <v>100</v>
      </c>
      <c r="AP105" s="11" t="s">
        <v>164</v>
      </c>
      <c r="AQ105" s="8">
        <v>2</v>
      </c>
      <c r="AR105" s="9">
        <v>100</v>
      </c>
      <c r="AS105" s="9">
        <v>4</v>
      </c>
      <c r="AT105" s="9">
        <v>3</v>
      </c>
      <c r="AU105" s="9">
        <v>30</v>
      </c>
      <c r="AV105" s="9">
        <v>100</v>
      </c>
      <c r="AW105" s="9">
        <v>70</v>
      </c>
      <c r="AX105" s="9">
        <v>50</v>
      </c>
      <c r="AY105" s="10" t="s">
        <v>165</v>
      </c>
      <c r="AZ105" s="8">
        <v>2</v>
      </c>
      <c r="BA105" s="9">
        <v>100</v>
      </c>
      <c r="BB105" s="9">
        <v>4</v>
      </c>
      <c r="BC105" s="9">
        <v>3</v>
      </c>
      <c r="BD105" s="9">
        <v>30</v>
      </c>
      <c r="BE105" s="9">
        <v>100</v>
      </c>
      <c r="BF105" s="9">
        <v>70</v>
      </c>
      <c r="BG105" s="9">
        <v>50</v>
      </c>
      <c r="BH105" s="10" t="s">
        <v>166</v>
      </c>
      <c r="BI105" s="8">
        <v>2</v>
      </c>
      <c r="BJ105" s="9">
        <v>100</v>
      </c>
      <c r="BK105" s="9">
        <v>4</v>
      </c>
      <c r="BL105" s="9">
        <v>3</v>
      </c>
      <c r="BM105" s="9">
        <v>30</v>
      </c>
      <c r="BN105" s="9">
        <v>100</v>
      </c>
      <c r="BO105" s="9">
        <v>70</v>
      </c>
      <c r="BP105" s="9">
        <v>50</v>
      </c>
      <c r="BQ105" s="10" t="s">
        <v>167</v>
      </c>
      <c r="BR105" s="8" t="s">
        <v>168</v>
      </c>
      <c r="BS105" s="10">
        <v>35.227096557617003</v>
      </c>
      <c r="BT105">
        <v>-80.843101501465</v>
      </c>
      <c r="BU105">
        <v>-1</v>
      </c>
    </row>
    <row r="106" spans="1:73" x14ac:dyDescent="0.25">
      <c r="A106" s="67" t="str">
        <f t="shared" si="42"/>
        <v>[Y, Y]</v>
      </c>
      <c r="B106" s="68" t="str">
        <f t="shared" si="43"/>
        <v>[Y, Y]</v>
      </c>
      <c r="C106" s="68" t="str">
        <f t="shared" si="44"/>
        <v>[Y, Y]</v>
      </c>
      <c r="D106" s="68" t="str">
        <f t="shared" si="45"/>
        <v>[Y, Y]</v>
      </c>
      <c r="E106" s="68" t="str">
        <f t="shared" si="46"/>
        <v>[Y, Y]</v>
      </c>
      <c r="F106" s="69" t="str">
        <f t="shared" si="47"/>
        <v>[Y, Y]</v>
      </c>
      <c r="G106" s="62" t="s">
        <v>169</v>
      </c>
      <c r="H106" s="62"/>
      <c r="I106" s="62"/>
      <c r="J106" t="s">
        <v>44</v>
      </c>
      <c r="M106" s="9"/>
      <c r="N106" t="s">
        <v>170</v>
      </c>
      <c r="O106">
        <v>0</v>
      </c>
      <c r="P106" s="2">
        <v>42242.653043981481</v>
      </c>
      <c r="Q106" s="2">
        <v>42242.660428240742</v>
      </c>
      <c r="R106">
        <v>1</v>
      </c>
      <c r="S106" s="8">
        <v>2</v>
      </c>
      <c r="T106" s="10"/>
      <c r="U106">
        <v>1</v>
      </c>
      <c r="V106" s="8">
        <v>100</v>
      </c>
      <c r="W106" s="9">
        <v>4</v>
      </c>
      <c r="X106" s="9">
        <v>80</v>
      </c>
      <c r="Y106" s="9">
        <v>100</v>
      </c>
      <c r="Z106" s="11"/>
      <c r="AA106" s="8">
        <v>3</v>
      </c>
      <c r="AB106" s="9">
        <v>100</v>
      </c>
      <c r="AC106" s="9">
        <v>4</v>
      </c>
      <c r="AD106" s="9">
        <v>30</v>
      </c>
      <c r="AE106" s="9">
        <v>100</v>
      </c>
      <c r="AF106" s="9">
        <v>60</v>
      </c>
      <c r="AG106" s="10"/>
      <c r="AH106" s="8">
        <v>2</v>
      </c>
      <c r="AI106" s="9">
        <v>3</v>
      </c>
      <c r="AJ106" s="9">
        <v>100</v>
      </c>
      <c r="AK106" s="9">
        <v>4</v>
      </c>
      <c r="AL106" s="9">
        <v>5</v>
      </c>
      <c r="AM106" s="9">
        <v>50</v>
      </c>
      <c r="AN106" s="9">
        <v>100</v>
      </c>
      <c r="AO106" s="9">
        <v>100</v>
      </c>
      <c r="AP106" s="11"/>
      <c r="AQ106" s="8">
        <v>100</v>
      </c>
      <c r="AR106" s="9">
        <v>3</v>
      </c>
      <c r="AS106" s="9">
        <v>4</v>
      </c>
      <c r="AT106" s="9">
        <v>2</v>
      </c>
      <c r="AU106" s="9">
        <v>100</v>
      </c>
      <c r="AV106" s="9">
        <v>70</v>
      </c>
      <c r="AW106" s="9">
        <v>70</v>
      </c>
      <c r="AX106" s="9">
        <v>50</v>
      </c>
      <c r="AY106" s="10"/>
      <c r="AZ106" s="8">
        <v>4</v>
      </c>
      <c r="BA106" s="9">
        <v>3</v>
      </c>
      <c r="BB106" s="9">
        <v>100</v>
      </c>
      <c r="BC106" s="9">
        <v>2</v>
      </c>
      <c r="BD106" s="9">
        <v>80</v>
      </c>
      <c r="BE106" s="9">
        <v>51</v>
      </c>
      <c r="BF106" s="9">
        <v>100</v>
      </c>
      <c r="BG106" s="9">
        <v>50</v>
      </c>
      <c r="BH106" s="10"/>
      <c r="BI106" s="8">
        <v>4</v>
      </c>
      <c r="BJ106" s="9">
        <v>3</v>
      </c>
      <c r="BK106" s="9">
        <v>2</v>
      </c>
      <c r="BL106" s="9">
        <v>100</v>
      </c>
      <c r="BM106" s="9">
        <v>71</v>
      </c>
      <c r="BN106" s="9">
        <v>71</v>
      </c>
      <c r="BO106" s="9">
        <v>50</v>
      </c>
      <c r="BP106" s="9">
        <v>100</v>
      </c>
      <c r="BQ106" s="10"/>
      <c r="BR106" s="8"/>
      <c r="BS106" s="10">
        <v>35.995407104492003</v>
      </c>
      <c r="BT106">
        <v>-78.901901245117003</v>
      </c>
      <c r="BU106">
        <v>-1</v>
      </c>
    </row>
    <row r="107" spans="1:73" x14ac:dyDescent="0.25">
      <c r="A107" s="67" t="str">
        <f t="shared" si="42"/>
        <v>[Y, Y]</v>
      </c>
      <c r="B107" s="68" t="str">
        <f t="shared" si="43"/>
        <v>[Y, Y]</v>
      </c>
      <c r="C107" s="68" t="str">
        <f t="shared" si="44"/>
        <v>[N, Y]</v>
      </c>
      <c r="D107" s="68" t="str">
        <f t="shared" si="45"/>
        <v>[Y, Y]</v>
      </c>
      <c r="E107" s="68" t="str">
        <f t="shared" si="46"/>
        <v>[Y, Y]</v>
      </c>
      <c r="F107" s="69" t="str">
        <f t="shared" si="47"/>
        <v>[Y, Y]</v>
      </c>
      <c r="G107" t="s">
        <v>171</v>
      </c>
      <c r="J107" t="s">
        <v>44</v>
      </c>
      <c r="M107" s="9"/>
      <c r="N107" t="s">
        <v>172</v>
      </c>
      <c r="O107">
        <v>0</v>
      </c>
      <c r="P107" s="2">
        <v>42242.577731481484</v>
      </c>
      <c r="Q107" s="2">
        <v>42242.72184027778</v>
      </c>
      <c r="R107">
        <v>1</v>
      </c>
      <c r="S107" s="8">
        <v>1</v>
      </c>
      <c r="T107" s="10"/>
      <c r="U107">
        <v>1</v>
      </c>
      <c r="V107" s="8">
        <v>100</v>
      </c>
      <c r="W107" s="9">
        <v>4</v>
      </c>
      <c r="X107" s="9">
        <v>71</v>
      </c>
      <c r="Y107" s="9">
        <v>100</v>
      </c>
      <c r="Z107" s="11" t="s">
        <v>173</v>
      </c>
      <c r="AA107" s="8">
        <v>100</v>
      </c>
      <c r="AB107" s="9">
        <v>100</v>
      </c>
      <c r="AC107" s="9">
        <v>100</v>
      </c>
      <c r="AD107" s="9">
        <v>100</v>
      </c>
      <c r="AE107" s="9">
        <v>100</v>
      </c>
      <c r="AF107" s="9">
        <v>100</v>
      </c>
      <c r="AG107" s="10" t="s">
        <v>174</v>
      </c>
      <c r="AH107" s="8">
        <v>4</v>
      </c>
      <c r="AI107" s="9">
        <v>100</v>
      </c>
      <c r="AJ107" s="9">
        <v>100</v>
      </c>
      <c r="AK107" s="9">
        <v>100</v>
      </c>
      <c r="AL107" s="9">
        <v>29</v>
      </c>
      <c r="AM107" s="9">
        <v>68</v>
      </c>
      <c r="AN107" s="9">
        <v>70</v>
      </c>
      <c r="AO107" s="9">
        <v>55</v>
      </c>
      <c r="AP107" s="11" t="s">
        <v>175</v>
      </c>
      <c r="AQ107" s="8">
        <v>100</v>
      </c>
      <c r="AR107" s="9">
        <v>100</v>
      </c>
      <c r="AS107" s="9">
        <v>100</v>
      </c>
      <c r="AT107" s="9">
        <v>3</v>
      </c>
      <c r="AU107" s="9">
        <v>100</v>
      </c>
      <c r="AV107" s="9">
        <v>100</v>
      </c>
      <c r="AW107" s="9">
        <v>100</v>
      </c>
      <c r="AX107" s="9">
        <v>52</v>
      </c>
      <c r="AY107" s="10" t="s">
        <v>176</v>
      </c>
      <c r="AZ107" s="8">
        <v>100</v>
      </c>
      <c r="BA107" s="9">
        <v>100</v>
      </c>
      <c r="BB107" s="9">
        <v>100</v>
      </c>
      <c r="BC107" s="9">
        <v>4</v>
      </c>
      <c r="BD107" s="9">
        <v>71</v>
      </c>
      <c r="BE107" s="9">
        <v>91</v>
      </c>
      <c r="BF107" s="9">
        <v>100</v>
      </c>
      <c r="BG107" s="9">
        <v>30</v>
      </c>
      <c r="BH107" s="10" t="s">
        <v>177</v>
      </c>
      <c r="BI107" s="8">
        <v>100</v>
      </c>
      <c r="BJ107" s="9">
        <v>4</v>
      </c>
      <c r="BK107" s="9">
        <v>100</v>
      </c>
      <c r="BL107" s="9">
        <v>100</v>
      </c>
      <c r="BM107" s="9">
        <v>100</v>
      </c>
      <c r="BN107" s="9">
        <v>91</v>
      </c>
      <c r="BO107" s="9">
        <v>92</v>
      </c>
      <c r="BP107" s="9">
        <v>100</v>
      </c>
      <c r="BQ107" s="10" t="s">
        <v>178</v>
      </c>
      <c r="BR107" s="8" t="s">
        <v>179</v>
      </c>
      <c r="BS107" s="10">
        <v>35.966598510742003</v>
      </c>
      <c r="BT107">
        <v>-79.041000366210994</v>
      </c>
      <c r="BU107">
        <v>-1</v>
      </c>
    </row>
    <row r="108" spans="1:73" s="13" customFormat="1" ht="15.75" thickBot="1" x14ac:dyDescent="0.3">
      <c r="A108" s="75" t="str">
        <f t="shared" si="42"/>
        <v>[Y, Y]</v>
      </c>
      <c r="B108" s="76" t="str">
        <f t="shared" si="43"/>
        <v>[Y, Y]</v>
      </c>
      <c r="C108" s="76" t="str">
        <f t="shared" si="44"/>
        <v>[Y, Y]</v>
      </c>
      <c r="D108" s="76" t="str">
        <f t="shared" si="45"/>
        <v>[Y, Y]</v>
      </c>
      <c r="E108" s="76" t="str">
        <f t="shared" si="46"/>
        <v>[Y, Y]</v>
      </c>
      <c r="F108" s="77" t="str">
        <f t="shared" si="47"/>
        <v>[Y, Y]</v>
      </c>
      <c r="G108" s="13" t="s">
        <v>180</v>
      </c>
      <c r="J108" s="13" t="s">
        <v>44</v>
      </c>
      <c r="N108" s="13" t="s">
        <v>181</v>
      </c>
      <c r="O108" s="13">
        <v>0</v>
      </c>
      <c r="P108" s="65">
        <v>42243.378298611111</v>
      </c>
      <c r="Q108" s="65">
        <v>42243.383159722223</v>
      </c>
      <c r="R108" s="13">
        <v>1</v>
      </c>
      <c r="S108" s="12">
        <v>3</v>
      </c>
      <c r="T108" s="14" t="s">
        <v>182</v>
      </c>
      <c r="U108" s="13">
        <v>1</v>
      </c>
      <c r="V108" s="12">
        <v>100</v>
      </c>
      <c r="W108" s="13">
        <v>4</v>
      </c>
      <c r="X108" s="13">
        <v>31</v>
      </c>
      <c r="Y108" s="13">
        <v>100</v>
      </c>
      <c r="Z108" s="66"/>
      <c r="AA108" s="12">
        <v>3</v>
      </c>
      <c r="AB108" s="13">
        <v>100</v>
      </c>
      <c r="AC108" s="13">
        <v>4</v>
      </c>
      <c r="AD108" s="13">
        <v>23</v>
      </c>
      <c r="AE108" s="13">
        <v>100</v>
      </c>
      <c r="AF108" s="13">
        <v>19</v>
      </c>
      <c r="AG108" s="14"/>
      <c r="AH108" s="12">
        <v>3</v>
      </c>
      <c r="AI108" s="13">
        <v>4</v>
      </c>
      <c r="AJ108" s="13">
        <v>4</v>
      </c>
      <c r="AK108" s="13">
        <v>100</v>
      </c>
      <c r="AL108" s="13">
        <v>32</v>
      </c>
      <c r="AM108" s="13">
        <v>70</v>
      </c>
      <c r="AN108" s="13">
        <v>70</v>
      </c>
      <c r="AO108" s="13">
        <v>100</v>
      </c>
      <c r="AP108" s="66"/>
      <c r="AQ108" s="12">
        <v>100</v>
      </c>
      <c r="AR108" s="13">
        <v>3</v>
      </c>
      <c r="AS108" s="13">
        <v>3</v>
      </c>
      <c r="AT108" s="13">
        <v>100</v>
      </c>
      <c r="AU108" s="13">
        <v>100</v>
      </c>
      <c r="AV108" s="13">
        <v>50</v>
      </c>
      <c r="AW108" s="13">
        <v>50</v>
      </c>
      <c r="AX108" s="13">
        <v>100</v>
      </c>
      <c r="AY108" s="14"/>
      <c r="AZ108" s="12">
        <v>100</v>
      </c>
      <c r="BA108" s="13">
        <v>4</v>
      </c>
      <c r="BB108" s="13">
        <v>3</v>
      </c>
      <c r="BC108" s="13">
        <v>4</v>
      </c>
      <c r="BD108" s="13">
        <v>100</v>
      </c>
      <c r="BE108" s="13">
        <v>41</v>
      </c>
      <c r="BF108" s="13">
        <v>22</v>
      </c>
      <c r="BG108" s="13">
        <v>41</v>
      </c>
      <c r="BH108" s="14"/>
      <c r="BI108" s="12">
        <v>100</v>
      </c>
      <c r="BJ108" s="13">
        <v>4</v>
      </c>
      <c r="BK108" s="13">
        <v>3</v>
      </c>
      <c r="BL108" s="13">
        <v>4</v>
      </c>
      <c r="BM108" s="13">
        <v>100</v>
      </c>
      <c r="BN108" s="13">
        <v>23</v>
      </c>
      <c r="BO108" s="13">
        <v>13</v>
      </c>
      <c r="BP108" s="13">
        <v>23</v>
      </c>
      <c r="BQ108" s="14"/>
      <c r="BR108" s="12"/>
      <c r="BS108" s="14">
        <v>35.994003295897997</v>
      </c>
      <c r="BT108" s="13">
        <v>-78.898597717285</v>
      </c>
      <c r="BU108" s="13">
        <v>-1</v>
      </c>
    </row>
    <row r="109" spans="1:73" x14ac:dyDescent="0.25">
      <c r="A109" s="67" t="str">
        <f t="shared" si="42"/>
        <v>[Y, Y]</v>
      </c>
      <c r="B109" s="68" t="str">
        <f t="shared" si="43"/>
        <v>[Y, Y]</v>
      </c>
      <c r="C109" s="68" t="str">
        <f t="shared" si="44"/>
        <v>[Y, Y]</v>
      </c>
      <c r="D109" s="68" t="str">
        <f t="shared" si="45"/>
        <v>[Y, Y]</v>
      </c>
      <c r="E109" s="68" t="str">
        <f t="shared" si="46"/>
        <v>[Y, Y]</v>
      </c>
      <c r="F109" s="69" t="str">
        <f t="shared" si="47"/>
        <v>[Y, Y]</v>
      </c>
      <c r="G109" t="s">
        <v>183</v>
      </c>
      <c r="J109" t="s">
        <v>44</v>
      </c>
      <c r="M109" s="9"/>
      <c r="N109" t="s">
        <v>184</v>
      </c>
      <c r="O109">
        <v>0</v>
      </c>
      <c r="P109" s="2">
        <v>42243.384710648148</v>
      </c>
      <c r="Q109" s="2">
        <v>42243.40552083333</v>
      </c>
      <c r="R109">
        <v>1</v>
      </c>
      <c r="S109" s="8">
        <v>1</v>
      </c>
      <c r="T109" s="10"/>
      <c r="U109">
        <v>1</v>
      </c>
      <c r="V109" s="8">
        <v>4</v>
      </c>
      <c r="W109" s="9">
        <v>100</v>
      </c>
      <c r="X109" s="9">
        <v>100</v>
      </c>
      <c r="Y109" s="9">
        <v>80</v>
      </c>
      <c r="Z109" s="11" t="s">
        <v>185</v>
      </c>
      <c r="AA109" s="8">
        <v>4</v>
      </c>
      <c r="AB109" s="9">
        <v>100</v>
      </c>
      <c r="AC109" s="9">
        <v>3</v>
      </c>
      <c r="AD109" s="9">
        <v>82</v>
      </c>
      <c r="AE109" s="9">
        <v>100</v>
      </c>
      <c r="AF109" s="9">
        <v>61</v>
      </c>
      <c r="AG109" s="10" t="s">
        <v>186</v>
      </c>
      <c r="AH109" s="8">
        <v>100</v>
      </c>
      <c r="AI109" s="9">
        <v>3</v>
      </c>
      <c r="AJ109" s="9">
        <v>4</v>
      </c>
      <c r="AK109" s="9">
        <v>3</v>
      </c>
      <c r="AL109" s="9">
        <v>100</v>
      </c>
      <c r="AM109" s="9">
        <v>75</v>
      </c>
      <c r="AN109" s="9">
        <v>79</v>
      </c>
      <c r="AO109" s="9">
        <v>75</v>
      </c>
      <c r="AP109" s="11"/>
      <c r="AQ109" s="8">
        <v>3</v>
      </c>
      <c r="AR109" s="9">
        <v>100</v>
      </c>
      <c r="AS109" s="9">
        <v>100</v>
      </c>
      <c r="AT109" s="9">
        <v>4</v>
      </c>
      <c r="AU109" s="9">
        <v>50</v>
      </c>
      <c r="AV109" s="9">
        <v>100</v>
      </c>
      <c r="AW109" s="9">
        <v>99</v>
      </c>
      <c r="AX109" s="9">
        <v>75</v>
      </c>
      <c r="AY109" s="10"/>
      <c r="AZ109" s="8">
        <v>100</v>
      </c>
      <c r="BA109" s="9">
        <v>4</v>
      </c>
      <c r="BB109" s="9">
        <v>3</v>
      </c>
      <c r="BC109" s="9">
        <v>3</v>
      </c>
      <c r="BD109" s="9">
        <v>100</v>
      </c>
      <c r="BE109" s="9">
        <v>80</v>
      </c>
      <c r="BF109" s="9">
        <v>70</v>
      </c>
      <c r="BG109" s="9">
        <v>70</v>
      </c>
      <c r="BH109" s="10"/>
      <c r="BI109" s="8">
        <v>4</v>
      </c>
      <c r="BJ109" s="9">
        <v>3</v>
      </c>
      <c r="BK109" s="9">
        <v>2</v>
      </c>
      <c r="BL109" s="9">
        <v>100</v>
      </c>
      <c r="BM109" s="9">
        <v>80</v>
      </c>
      <c r="BN109" s="9">
        <v>70</v>
      </c>
      <c r="BO109" s="9">
        <v>60</v>
      </c>
      <c r="BP109" s="9">
        <v>100</v>
      </c>
      <c r="BQ109" s="10"/>
      <c r="BR109" s="8"/>
      <c r="BS109" s="10">
        <v>35.860107421875</v>
      </c>
      <c r="BT109">
        <v>-78.83260345459</v>
      </c>
      <c r="BU109">
        <v>-1</v>
      </c>
    </row>
    <row r="110" spans="1:73" x14ac:dyDescent="0.25">
      <c r="A110" s="67" t="str">
        <f t="shared" si="42"/>
        <v>[Y, Y]</v>
      </c>
      <c r="B110" s="68" t="str">
        <f t="shared" si="43"/>
        <v>[Y, Y]</v>
      </c>
      <c r="C110" s="68" t="str">
        <f t="shared" si="44"/>
        <v>[Y, Y]</v>
      </c>
      <c r="D110" s="68" t="str">
        <f t="shared" si="45"/>
        <v>[Y, Y]</v>
      </c>
      <c r="E110" s="68" t="str">
        <f t="shared" si="46"/>
        <v>[Y, Y]</v>
      </c>
      <c r="F110" s="69" t="str">
        <f t="shared" si="47"/>
        <v>[Y, Y]</v>
      </c>
      <c r="G110" t="s">
        <v>187</v>
      </c>
      <c r="J110" t="s">
        <v>44</v>
      </c>
      <c r="M110" s="9"/>
      <c r="N110" t="s">
        <v>188</v>
      </c>
      <c r="O110">
        <v>0</v>
      </c>
      <c r="P110" s="2">
        <v>42244.370069444441</v>
      </c>
      <c r="Q110" s="2">
        <v>42244.374247685184</v>
      </c>
      <c r="R110">
        <v>1</v>
      </c>
      <c r="S110" s="8">
        <v>1</v>
      </c>
      <c r="T110" s="10"/>
      <c r="U110">
        <v>1</v>
      </c>
      <c r="V110" s="8">
        <v>4</v>
      </c>
      <c r="W110" s="9">
        <v>100</v>
      </c>
      <c r="X110" s="9">
        <v>100</v>
      </c>
      <c r="Y110" s="9">
        <v>82</v>
      </c>
      <c r="Z110" s="11"/>
      <c r="AA110" s="8">
        <v>3</v>
      </c>
      <c r="AB110" s="9">
        <v>100</v>
      </c>
      <c r="AC110" s="9">
        <v>4</v>
      </c>
      <c r="AD110" s="9">
        <v>78</v>
      </c>
      <c r="AE110" s="9">
        <v>100</v>
      </c>
      <c r="AF110" s="9">
        <v>80</v>
      </c>
      <c r="AG110" s="10" t="s">
        <v>189</v>
      </c>
      <c r="AH110" s="8">
        <v>2</v>
      </c>
      <c r="AI110" s="9">
        <v>4</v>
      </c>
      <c r="AJ110" s="9">
        <v>3</v>
      </c>
      <c r="AK110" s="9">
        <v>100</v>
      </c>
      <c r="AL110" s="9">
        <v>60</v>
      </c>
      <c r="AM110" s="9">
        <v>80</v>
      </c>
      <c r="AN110" s="9">
        <v>75</v>
      </c>
      <c r="AO110" s="9">
        <v>100</v>
      </c>
      <c r="AP110" s="11"/>
      <c r="AQ110" s="8">
        <v>4</v>
      </c>
      <c r="AR110" s="9">
        <v>100</v>
      </c>
      <c r="AS110" s="9">
        <v>3</v>
      </c>
      <c r="AT110" s="9">
        <v>2</v>
      </c>
      <c r="AU110" s="9">
        <v>90</v>
      </c>
      <c r="AV110" s="9">
        <v>100</v>
      </c>
      <c r="AW110" s="9">
        <v>80</v>
      </c>
      <c r="AX110" s="9">
        <v>70</v>
      </c>
      <c r="AY110" s="10"/>
      <c r="AZ110" s="8">
        <v>2</v>
      </c>
      <c r="BA110" s="9">
        <v>4</v>
      </c>
      <c r="BB110" s="9">
        <v>100</v>
      </c>
      <c r="BC110" s="9">
        <v>3</v>
      </c>
      <c r="BD110" s="9">
        <v>75</v>
      </c>
      <c r="BE110" s="9">
        <v>95</v>
      </c>
      <c r="BF110" s="9">
        <v>100</v>
      </c>
      <c r="BG110" s="9">
        <v>80</v>
      </c>
      <c r="BH110" s="10"/>
      <c r="BI110" s="8">
        <v>4</v>
      </c>
      <c r="BJ110" s="9">
        <v>2</v>
      </c>
      <c r="BK110" s="9">
        <v>3</v>
      </c>
      <c r="BL110" s="9">
        <v>100</v>
      </c>
      <c r="BM110" s="9">
        <v>90</v>
      </c>
      <c r="BN110" s="9">
        <v>79</v>
      </c>
      <c r="BO110" s="9">
        <v>80</v>
      </c>
      <c r="BP110" s="9">
        <v>100</v>
      </c>
      <c r="BQ110" s="10"/>
      <c r="BR110" s="8"/>
      <c r="BS110" s="10">
        <v>35.994003295897997</v>
      </c>
      <c r="BT110">
        <v>-78.898597717285</v>
      </c>
      <c r="BU110">
        <v>-1</v>
      </c>
    </row>
    <row r="111" spans="1:73" x14ac:dyDescent="0.25">
      <c r="A111" s="67" t="str">
        <f t="shared" si="42"/>
        <v>[Y, Y]</v>
      </c>
      <c r="B111" s="68" t="str">
        <f t="shared" si="43"/>
        <v>[Y, Y]</v>
      </c>
      <c r="C111" s="68" t="str">
        <f t="shared" si="44"/>
        <v>[Y, Y]</v>
      </c>
      <c r="D111" s="68" t="str">
        <f t="shared" si="45"/>
        <v>[Y, Y]</v>
      </c>
      <c r="E111" s="68" t="str">
        <f t="shared" si="46"/>
        <v>[Y, Y]</v>
      </c>
      <c r="F111" s="69" t="str">
        <f t="shared" si="47"/>
        <v>[Y, Y]</v>
      </c>
      <c r="G111" t="s">
        <v>190</v>
      </c>
      <c r="J111" t="s">
        <v>44</v>
      </c>
      <c r="M111" s="9"/>
      <c r="N111" t="s">
        <v>191</v>
      </c>
      <c r="O111">
        <v>0</v>
      </c>
      <c r="P111" s="2">
        <v>42244.490451388891</v>
      </c>
      <c r="Q111" s="2">
        <v>42244.558449074073</v>
      </c>
      <c r="R111">
        <v>1</v>
      </c>
      <c r="S111" s="8">
        <v>1</v>
      </c>
      <c r="T111" s="10"/>
      <c r="U111">
        <v>1</v>
      </c>
      <c r="V111" s="8">
        <v>100</v>
      </c>
      <c r="W111" s="9">
        <v>4</v>
      </c>
      <c r="X111" s="9">
        <v>75</v>
      </c>
      <c r="Y111" s="9">
        <v>100</v>
      </c>
      <c r="Z111" s="11" t="s">
        <v>192</v>
      </c>
      <c r="AA111" s="8">
        <v>4</v>
      </c>
      <c r="AB111" s="9">
        <v>100</v>
      </c>
      <c r="AC111" s="9">
        <v>3</v>
      </c>
      <c r="AD111" s="9">
        <v>70</v>
      </c>
      <c r="AE111" s="9">
        <v>100</v>
      </c>
      <c r="AF111" s="9">
        <v>70</v>
      </c>
      <c r="AG111" s="10" t="s">
        <v>193</v>
      </c>
      <c r="AH111" s="8">
        <v>2</v>
      </c>
      <c r="AI111" s="9">
        <v>4</v>
      </c>
      <c r="AJ111" s="9">
        <v>100</v>
      </c>
      <c r="AK111" s="9">
        <v>3</v>
      </c>
      <c r="AL111" s="9">
        <v>30</v>
      </c>
      <c r="AM111" s="9">
        <v>95</v>
      </c>
      <c r="AN111" s="9">
        <v>100</v>
      </c>
      <c r="AO111" s="9">
        <v>50</v>
      </c>
      <c r="AP111" s="11" t="s">
        <v>194</v>
      </c>
      <c r="AQ111" s="8">
        <v>4</v>
      </c>
      <c r="AR111" s="9">
        <v>100</v>
      </c>
      <c r="AS111" s="9">
        <v>2</v>
      </c>
      <c r="AT111" s="9">
        <v>3</v>
      </c>
      <c r="AU111" s="9">
        <v>90</v>
      </c>
      <c r="AV111" s="9">
        <v>100</v>
      </c>
      <c r="AW111" s="9">
        <v>60</v>
      </c>
      <c r="AX111" s="9">
        <v>80</v>
      </c>
      <c r="AY111" s="10" t="s">
        <v>195</v>
      </c>
      <c r="AZ111" s="8">
        <v>4</v>
      </c>
      <c r="BA111" s="9">
        <v>100</v>
      </c>
      <c r="BB111" s="9">
        <v>3</v>
      </c>
      <c r="BC111" s="9">
        <v>2</v>
      </c>
      <c r="BD111" s="9">
        <v>90</v>
      </c>
      <c r="BE111" s="9">
        <v>100</v>
      </c>
      <c r="BF111" s="9">
        <v>90</v>
      </c>
      <c r="BG111" s="9">
        <v>75</v>
      </c>
      <c r="BH111" s="10" t="s">
        <v>196</v>
      </c>
      <c r="BI111" s="8">
        <v>4</v>
      </c>
      <c r="BJ111" s="9">
        <v>100</v>
      </c>
      <c r="BK111" s="9">
        <v>3</v>
      </c>
      <c r="BL111" s="9">
        <v>2</v>
      </c>
      <c r="BM111" s="9">
        <v>90</v>
      </c>
      <c r="BN111" s="9">
        <v>100</v>
      </c>
      <c r="BO111" s="9">
        <v>80</v>
      </c>
      <c r="BP111" s="9">
        <v>75</v>
      </c>
      <c r="BQ111" s="10" t="s">
        <v>197</v>
      </c>
      <c r="BR111" s="8" t="s">
        <v>198</v>
      </c>
      <c r="BS111" s="10">
        <v>39.712600708007997</v>
      </c>
      <c r="BT111">
        <v>-84.166198730469006</v>
      </c>
      <c r="BU111">
        <v>-1</v>
      </c>
    </row>
    <row r="112" spans="1:73" s="13" customFormat="1" ht="15.75" thickBot="1" x14ac:dyDescent="0.3">
      <c r="A112" s="75" t="str">
        <f t="shared" si="42"/>
        <v>[Y, Y]</v>
      </c>
      <c r="B112" s="76" t="str">
        <f t="shared" si="43"/>
        <v>[Y, Y]</v>
      </c>
      <c r="C112" s="76" t="str">
        <f t="shared" si="44"/>
        <v>[Y, Y]</v>
      </c>
      <c r="D112" s="76" t="str">
        <f t="shared" si="45"/>
        <v>[Y, Y]</v>
      </c>
      <c r="E112" s="76" t="str">
        <f t="shared" si="46"/>
        <v>[Y, Y]</v>
      </c>
      <c r="F112" s="77" t="str">
        <f t="shared" si="47"/>
        <v>[Y, Y]</v>
      </c>
      <c r="G112" s="13" t="s">
        <v>199</v>
      </c>
      <c r="J112" s="13" t="s">
        <v>44</v>
      </c>
      <c r="N112" s="13" t="s">
        <v>200</v>
      </c>
      <c r="O112" s="13">
        <v>0</v>
      </c>
      <c r="P112" s="65">
        <v>42244.692407407405</v>
      </c>
      <c r="Q112" s="65">
        <v>42244.707638888889</v>
      </c>
      <c r="R112" s="13">
        <v>1</v>
      </c>
      <c r="S112" s="12"/>
      <c r="T112" s="14"/>
      <c r="U112" s="13">
        <v>1</v>
      </c>
      <c r="V112" s="12">
        <v>100</v>
      </c>
      <c r="W112" s="13">
        <v>4</v>
      </c>
      <c r="X112" s="13">
        <v>35</v>
      </c>
      <c r="Y112" s="13">
        <v>100</v>
      </c>
      <c r="Z112" s="66" t="s">
        <v>201</v>
      </c>
      <c r="AA112" s="12">
        <v>3</v>
      </c>
      <c r="AB112" s="13">
        <v>100</v>
      </c>
      <c r="AC112" s="13">
        <v>4</v>
      </c>
      <c r="AD112" s="13">
        <v>10</v>
      </c>
      <c r="AE112" s="13">
        <v>100</v>
      </c>
      <c r="AF112" s="13">
        <v>30</v>
      </c>
      <c r="AG112" s="14" t="s">
        <v>202</v>
      </c>
      <c r="AH112" s="12">
        <v>100</v>
      </c>
      <c r="AI112" s="13">
        <v>4</v>
      </c>
      <c r="AJ112" s="13">
        <v>4</v>
      </c>
      <c r="AK112" s="13">
        <v>3</v>
      </c>
      <c r="AL112" s="13">
        <v>100</v>
      </c>
      <c r="AM112" s="13">
        <v>60</v>
      </c>
      <c r="AN112" s="13">
        <v>60</v>
      </c>
      <c r="AO112" s="13">
        <v>20</v>
      </c>
      <c r="AP112" s="66" t="s">
        <v>203</v>
      </c>
      <c r="AQ112" s="12">
        <v>2</v>
      </c>
      <c r="AR112" s="13">
        <v>100</v>
      </c>
      <c r="AS112" s="13">
        <v>4</v>
      </c>
      <c r="AT112" s="13">
        <v>3</v>
      </c>
      <c r="AU112" s="13">
        <v>10</v>
      </c>
      <c r="AV112" s="13">
        <v>100</v>
      </c>
      <c r="AW112" s="13">
        <v>80</v>
      </c>
      <c r="AX112" s="13">
        <v>10</v>
      </c>
      <c r="AY112" s="14" t="s">
        <v>204</v>
      </c>
      <c r="AZ112" s="12">
        <v>3</v>
      </c>
      <c r="BA112" s="13">
        <v>100</v>
      </c>
      <c r="BB112" s="13">
        <v>4</v>
      </c>
      <c r="BC112" s="13">
        <v>2</v>
      </c>
      <c r="BD112" s="13">
        <v>20</v>
      </c>
      <c r="BE112" s="13">
        <v>100</v>
      </c>
      <c r="BF112" s="13">
        <v>80</v>
      </c>
      <c r="BG112" s="13">
        <v>20</v>
      </c>
      <c r="BH112" s="14"/>
      <c r="BI112" s="12">
        <v>4</v>
      </c>
      <c r="BJ112" s="13">
        <v>100</v>
      </c>
      <c r="BK112" s="13">
        <v>3</v>
      </c>
      <c r="BL112" s="13">
        <v>2</v>
      </c>
      <c r="BM112" s="13">
        <v>40</v>
      </c>
      <c r="BN112" s="13">
        <v>100</v>
      </c>
      <c r="BO112" s="13">
        <v>40</v>
      </c>
      <c r="BP112" s="13">
        <v>20</v>
      </c>
      <c r="BQ112" s="14" t="s">
        <v>205</v>
      </c>
      <c r="BR112" s="12"/>
      <c r="BS112" s="14">
        <v>35.889602661132997</v>
      </c>
      <c r="BT112" s="13">
        <v>-78.92440032959</v>
      </c>
      <c r="BU112" s="13">
        <v>-1</v>
      </c>
    </row>
    <row r="113" spans="1:73" x14ac:dyDescent="0.25">
      <c r="A113" s="67" t="str">
        <f t="shared" si="42"/>
        <v>[Y, N]</v>
      </c>
      <c r="B113" s="68" t="str">
        <f t="shared" si="43"/>
        <v>[Y, N]</v>
      </c>
      <c r="C113" s="68" t="str">
        <f t="shared" si="44"/>
        <v>[Y, N]</v>
      </c>
      <c r="D113" s="68" t="str">
        <f t="shared" si="45"/>
        <v>[Y, N]</v>
      </c>
      <c r="E113" s="68" t="str">
        <f t="shared" si="46"/>
        <v>[Y, Y]</v>
      </c>
      <c r="F113" s="69" t="str">
        <f t="shared" si="47"/>
        <v>[Y, Y]</v>
      </c>
      <c r="G113" t="s">
        <v>206</v>
      </c>
      <c r="J113" t="s">
        <v>44</v>
      </c>
      <c r="M113" s="9"/>
      <c r="N113" t="s">
        <v>207</v>
      </c>
      <c r="O113">
        <v>0</v>
      </c>
      <c r="P113" s="2">
        <v>42244.867164351854</v>
      </c>
      <c r="Q113" s="2">
        <v>42244.872002314813</v>
      </c>
      <c r="R113">
        <v>1</v>
      </c>
      <c r="S113" s="8">
        <v>1</v>
      </c>
      <c r="T113" s="10"/>
      <c r="U113">
        <v>1</v>
      </c>
      <c r="V113" s="8">
        <v>4</v>
      </c>
      <c r="W113" s="9">
        <v>100</v>
      </c>
      <c r="X113" s="9">
        <v>100</v>
      </c>
      <c r="Y113" s="9">
        <v>0</v>
      </c>
      <c r="Z113" s="11" t="s">
        <v>208</v>
      </c>
      <c r="AA113" s="8">
        <v>3</v>
      </c>
      <c r="AB113" s="9">
        <v>100</v>
      </c>
      <c r="AC113" s="9">
        <v>4</v>
      </c>
      <c r="AD113" s="9">
        <v>0</v>
      </c>
      <c r="AE113" s="9">
        <v>100</v>
      </c>
      <c r="AF113" s="9">
        <v>0</v>
      </c>
      <c r="AG113" s="10" t="s">
        <v>209</v>
      </c>
      <c r="AH113" s="8">
        <v>2</v>
      </c>
      <c r="AI113" s="9">
        <v>3</v>
      </c>
      <c r="AJ113" s="9">
        <v>4</v>
      </c>
      <c r="AK113" s="9">
        <v>100</v>
      </c>
      <c r="AL113" s="9">
        <v>0</v>
      </c>
      <c r="AM113" s="9">
        <v>0</v>
      </c>
      <c r="AN113" s="9">
        <v>0</v>
      </c>
      <c r="AO113" s="9">
        <v>100</v>
      </c>
      <c r="AP113" s="11" t="s">
        <v>210</v>
      </c>
      <c r="AQ113" s="8">
        <v>2</v>
      </c>
      <c r="AR113" s="9">
        <v>100</v>
      </c>
      <c r="AS113" s="9">
        <v>4</v>
      </c>
      <c r="AT113" s="9">
        <v>3</v>
      </c>
      <c r="AU113" s="9">
        <v>0</v>
      </c>
      <c r="AV113" s="9">
        <v>100</v>
      </c>
      <c r="AW113" s="9">
        <v>0</v>
      </c>
      <c r="AX113" s="9">
        <v>0</v>
      </c>
      <c r="AY113" s="10"/>
      <c r="AZ113" s="8">
        <v>3</v>
      </c>
      <c r="BA113" s="9">
        <v>100</v>
      </c>
      <c r="BB113" s="9">
        <v>4</v>
      </c>
      <c r="BC113" s="9">
        <v>2</v>
      </c>
      <c r="BD113" s="9">
        <v>0</v>
      </c>
      <c r="BE113" s="9">
        <v>100</v>
      </c>
      <c r="BF113" s="9">
        <v>0</v>
      </c>
      <c r="BG113" s="9">
        <v>17</v>
      </c>
      <c r="BH113" s="10"/>
      <c r="BI113" s="8">
        <v>100</v>
      </c>
      <c r="BJ113" s="9">
        <v>2</v>
      </c>
      <c r="BK113" s="9">
        <v>4</v>
      </c>
      <c r="BL113" s="9">
        <v>100</v>
      </c>
      <c r="BM113" s="9">
        <v>100</v>
      </c>
      <c r="BN113" s="9">
        <v>0</v>
      </c>
      <c r="BO113" s="9">
        <v>0</v>
      </c>
      <c r="BP113" s="9">
        <v>100</v>
      </c>
      <c r="BQ113" s="10"/>
      <c r="BR113" s="8"/>
      <c r="BS113" s="10">
        <v>45.5</v>
      </c>
      <c r="BT113">
        <v>-73.583297729492003</v>
      </c>
      <c r="BU113">
        <v>-1</v>
      </c>
    </row>
    <row r="114" spans="1:73" x14ac:dyDescent="0.25">
      <c r="A114" s="67" t="str">
        <f t="shared" si="42"/>
        <v>[N, Y]</v>
      </c>
      <c r="B114" s="68" t="str">
        <f t="shared" si="43"/>
        <v>[N, Y]</v>
      </c>
      <c r="C114" s="68" t="str">
        <f t="shared" si="44"/>
        <v>[N, Y]</v>
      </c>
      <c r="D114" s="68" t="str">
        <f t="shared" si="45"/>
        <v>[N, Y]</v>
      </c>
      <c r="E114" s="68" t="str">
        <f t="shared" si="46"/>
        <v>[N, Y]</v>
      </c>
      <c r="F114" s="69" t="str">
        <f t="shared" si="47"/>
        <v>[N, Y]</v>
      </c>
      <c r="G114" t="s">
        <v>211</v>
      </c>
      <c r="J114" t="s">
        <v>44</v>
      </c>
      <c r="M114" s="9"/>
      <c r="N114" t="s">
        <v>212</v>
      </c>
      <c r="O114">
        <v>0</v>
      </c>
      <c r="P114" s="2">
        <v>42247.310532407406</v>
      </c>
      <c r="Q114" s="2">
        <v>42247.314699074072</v>
      </c>
      <c r="R114">
        <v>1</v>
      </c>
      <c r="S114" s="8">
        <v>1</v>
      </c>
      <c r="T114" s="10"/>
      <c r="U114">
        <v>1</v>
      </c>
      <c r="V114" s="8">
        <v>4</v>
      </c>
      <c r="W114" s="9">
        <v>100</v>
      </c>
      <c r="X114" s="9">
        <v>81</v>
      </c>
      <c r="Y114" s="9">
        <v>18</v>
      </c>
      <c r="Z114" s="11"/>
      <c r="AA114" s="8">
        <v>100</v>
      </c>
      <c r="AB114" s="9">
        <v>3</v>
      </c>
      <c r="AC114" s="9">
        <v>4</v>
      </c>
      <c r="AD114" s="9">
        <v>50</v>
      </c>
      <c r="AE114" s="9">
        <v>20</v>
      </c>
      <c r="AF114" s="9">
        <v>30</v>
      </c>
      <c r="AG114" s="10"/>
      <c r="AH114" s="8">
        <v>4</v>
      </c>
      <c r="AI114" s="9">
        <v>100</v>
      </c>
      <c r="AJ114" s="9">
        <v>3</v>
      </c>
      <c r="AK114" s="9">
        <v>2</v>
      </c>
      <c r="AL114" s="9">
        <v>30</v>
      </c>
      <c r="AM114" s="9">
        <v>50</v>
      </c>
      <c r="AN114" s="9">
        <v>14</v>
      </c>
      <c r="AO114" s="9">
        <v>6</v>
      </c>
      <c r="AP114" s="11"/>
      <c r="AQ114" s="8">
        <v>100</v>
      </c>
      <c r="AR114" s="9">
        <v>3</v>
      </c>
      <c r="AS114" s="9">
        <v>2</v>
      </c>
      <c r="AT114" s="9">
        <v>4</v>
      </c>
      <c r="AU114" s="9">
        <v>40</v>
      </c>
      <c r="AV114" s="9">
        <v>20</v>
      </c>
      <c r="AW114" s="9">
        <v>10</v>
      </c>
      <c r="AX114" s="9">
        <v>30</v>
      </c>
      <c r="AY114" s="10"/>
      <c r="AZ114" s="8">
        <v>2</v>
      </c>
      <c r="BA114" s="9">
        <v>4</v>
      </c>
      <c r="BB114" s="9">
        <v>100</v>
      </c>
      <c r="BC114" s="9">
        <v>3</v>
      </c>
      <c r="BD114" s="9">
        <v>13</v>
      </c>
      <c r="BE114" s="9">
        <v>24</v>
      </c>
      <c r="BF114" s="9">
        <v>40</v>
      </c>
      <c r="BG114" s="9">
        <v>18</v>
      </c>
      <c r="BH114" s="10"/>
      <c r="BI114" s="8">
        <v>100</v>
      </c>
      <c r="BJ114" s="9">
        <v>3</v>
      </c>
      <c r="BK114" s="9">
        <v>2</v>
      </c>
      <c r="BL114" s="9">
        <v>4</v>
      </c>
      <c r="BM114" s="9">
        <v>30</v>
      </c>
      <c r="BN114" s="9">
        <v>20</v>
      </c>
      <c r="BO114" s="9">
        <v>10</v>
      </c>
      <c r="BP114" s="9">
        <v>40</v>
      </c>
      <c r="BQ114" s="10"/>
      <c r="BR114" s="8"/>
      <c r="BS114" s="10">
        <v>35.889602661132997</v>
      </c>
      <c r="BT114">
        <v>-78.92440032959</v>
      </c>
      <c r="BU114">
        <v>-1</v>
      </c>
    </row>
    <row r="115" spans="1:73" x14ac:dyDescent="0.25">
      <c r="A115" s="67" t="str">
        <f t="shared" si="42"/>
        <v>[Y, Y]</v>
      </c>
      <c r="B115" s="68" t="str">
        <f t="shared" si="43"/>
        <v>[Y, Y]</v>
      </c>
      <c r="C115" s="68" t="str">
        <f t="shared" si="44"/>
        <v>[Y, Y]</v>
      </c>
      <c r="D115" s="68" t="str">
        <f t="shared" si="45"/>
        <v>[Y, Y]</v>
      </c>
      <c r="E115" s="68" t="str">
        <f t="shared" si="46"/>
        <v>[Y, Y]</v>
      </c>
      <c r="F115" s="69" t="str">
        <f t="shared" si="47"/>
        <v>[Y, Y]</v>
      </c>
      <c r="G115" t="s">
        <v>213</v>
      </c>
      <c r="J115" t="s">
        <v>44</v>
      </c>
      <c r="M115" s="9"/>
      <c r="N115" t="s">
        <v>160</v>
      </c>
      <c r="O115">
        <v>0</v>
      </c>
      <c r="P115" s="2">
        <v>42247.612187500003</v>
      </c>
      <c r="Q115" s="2">
        <v>42247.644305555557</v>
      </c>
      <c r="R115">
        <v>1</v>
      </c>
      <c r="S115" s="8">
        <v>3</v>
      </c>
      <c r="T115" s="10" t="s">
        <v>214</v>
      </c>
      <c r="U115">
        <v>1</v>
      </c>
      <c r="V115" s="8">
        <v>100</v>
      </c>
      <c r="W115" s="9">
        <v>4</v>
      </c>
      <c r="X115" s="9">
        <v>70</v>
      </c>
      <c r="Y115" s="9">
        <v>100</v>
      </c>
      <c r="Z115" s="11" t="s">
        <v>215</v>
      </c>
      <c r="AA115" s="8">
        <v>100</v>
      </c>
      <c r="AB115" s="9">
        <v>4</v>
      </c>
      <c r="AC115" s="9">
        <v>3</v>
      </c>
      <c r="AD115" s="9">
        <v>100</v>
      </c>
      <c r="AE115" s="9">
        <v>70</v>
      </c>
      <c r="AF115" s="9">
        <v>40</v>
      </c>
      <c r="AG115" s="10" t="s">
        <v>216</v>
      </c>
      <c r="AH115" s="8">
        <v>100</v>
      </c>
      <c r="AI115" s="9">
        <v>3</v>
      </c>
      <c r="AJ115" s="9">
        <v>4</v>
      </c>
      <c r="AK115" s="9">
        <v>2</v>
      </c>
      <c r="AL115" s="9">
        <v>100</v>
      </c>
      <c r="AM115" s="9">
        <v>90</v>
      </c>
      <c r="AN115" s="9">
        <v>85</v>
      </c>
      <c r="AO115" s="9">
        <v>60</v>
      </c>
      <c r="AP115" s="11"/>
      <c r="AQ115" s="8">
        <v>100</v>
      </c>
      <c r="AR115" s="9">
        <v>4</v>
      </c>
      <c r="AS115" s="9">
        <v>2</v>
      </c>
      <c r="AT115" s="9">
        <v>3</v>
      </c>
      <c r="AU115" s="9">
        <v>100</v>
      </c>
      <c r="AV115" s="9">
        <v>85</v>
      </c>
      <c r="AW115" s="9">
        <v>70</v>
      </c>
      <c r="AX115" s="9">
        <v>75</v>
      </c>
      <c r="AY115" s="10" t="s">
        <v>217</v>
      </c>
      <c r="AZ115" s="8">
        <v>100</v>
      </c>
      <c r="BA115" s="9">
        <v>3</v>
      </c>
      <c r="BB115" s="9">
        <v>4</v>
      </c>
      <c r="BC115" s="9">
        <v>2</v>
      </c>
      <c r="BD115" s="9">
        <v>100</v>
      </c>
      <c r="BE115" s="9">
        <v>85</v>
      </c>
      <c r="BF115" s="9">
        <v>90</v>
      </c>
      <c r="BG115" s="9">
        <v>80</v>
      </c>
      <c r="BH115" s="10" t="s">
        <v>218</v>
      </c>
      <c r="BI115" s="8">
        <v>100</v>
      </c>
      <c r="BJ115" s="9">
        <v>2</v>
      </c>
      <c r="BK115" s="9">
        <v>3</v>
      </c>
      <c r="BL115" s="9">
        <v>4</v>
      </c>
      <c r="BM115" s="9">
        <v>100</v>
      </c>
      <c r="BN115" s="9">
        <v>75</v>
      </c>
      <c r="BO115" s="9">
        <v>80</v>
      </c>
      <c r="BP115" s="9">
        <v>90</v>
      </c>
      <c r="BQ115" s="10"/>
      <c r="BR115" s="8"/>
      <c r="BS115" s="10">
        <v>35.227096557617003</v>
      </c>
      <c r="BT115">
        <v>-80.843101501465</v>
      </c>
      <c r="BU115">
        <v>-1</v>
      </c>
    </row>
    <row r="116" spans="1:73" s="13" customFormat="1" ht="15.75" thickBot="1" x14ac:dyDescent="0.3">
      <c r="A116" s="75" t="str">
        <f t="shared" si="42"/>
        <v>[Y, Y]</v>
      </c>
      <c r="B116" s="76" t="str">
        <f t="shared" si="43"/>
        <v>[Y, Y]</v>
      </c>
      <c r="C116" s="76" t="str">
        <f t="shared" si="44"/>
        <v>[Y, Y]</v>
      </c>
      <c r="D116" s="76" t="str">
        <f t="shared" si="45"/>
        <v>[N, N]</v>
      </c>
      <c r="E116" s="76" t="str">
        <f t="shared" si="46"/>
        <v>[N, N]</v>
      </c>
      <c r="F116" s="77" t="str">
        <f t="shared" si="47"/>
        <v>[N, N]</v>
      </c>
      <c r="G116" s="13" t="s">
        <v>219</v>
      </c>
      <c r="J116" s="13" t="s">
        <v>44</v>
      </c>
      <c r="N116" s="13" t="s">
        <v>220</v>
      </c>
      <c r="O116" s="13">
        <v>0</v>
      </c>
      <c r="P116" s="65">
        <v>42242.655532407407</v>
      </c>
      <c r="Q116" s="65">
        <v>42242.659201388888</v>
      </c>
      <c r="R116" s="13">
        <v>0</v>
      </c>
      <c r="S116" s="12">
        <v>1</v>
      </c>
      <c r="T116" s="14"/>
      <c r="U116" s="13">
        <v>1</v>
      </c>
      <c r="V116" s="12">
        <v>4</v>
      </c>
      <c r="W116" s="13">
        <v>100</v>
      </c>
      <c r="X116" s="13">
        <v>100</v>
      </c>
      <c r="Y116" s="13">
        <v>53</v>
      </c>
      <c r="Z116" s="66"/>
      <c r="AA116" s="12">
        <v>4</v>
      </c>
      <c r="AB116" s="13">
        <v>100</v>
      </c>
      <c r="AC116" s="13">
        <v>3</v>
      </c>
      <c r="AD116" s="13">
        <v>60</v>
      </c>
      <c r="AE116" s="13">
        <v>100</v>
      </c>
      <c r="AF116" s="13">
        <v>43</v>
      </c>
      <c r="AG116" s="14"/>
      <c r="AH116" s="12">
        <v>100</v>
      </c>
      <c r="AI116" s="13">
        <v>2</v>
      </c>
      <c r="AJ116" s="13">
        <v>4</v>
      </c>
      <c r="AK116" s="13">
        <v>3</v>
      </c>
      <c r="AL116" s="13">
        <v>100</v>
      </c>
      <c r="AM116" s="13">
        <v>55</v>
      </c>
      <c r="AN116" s="13">
        <v>83</v>
      </c>
      <c r="AO116" s="13">
        <v>66</v>
      </c>
      <c r="AP116" s="66"/>
      <c r="AQ116" s="12"/>
      <c r="AY116" s="14"/>
      <c r="AZ116" s="12"/>
      <c r="BH116" s="14"/>
      <c r="BI116" s="12"/>
      <c r="BQ116" s="14"/>
      <c r="BR116" s="12"/>
      <c r="BS116" s="14"/>
      <c r="BU116" s="13">
        <v>-1</v>
      </c>
    </row>
    <row r="117" spans="1:73" x14ac:dyDescent="0.25">
      <c r="A117" s="67" t="str">
        <f t="shared" si="42"/>
        <v>[Y, Y]</v>
      </c>
      <c r="B117" s="68" t="str">
        <f t="shared" si="43"/>
        <v>[Y, Y]</v>
      </c>
      <c r="C117" s="68" t="str">
        <f t="shared" si="44"/>
        <v>[Y, Y]</v>
      </c>
      <c r="D117" s="68" t="str">
        <f t="shared" si="45"/>
        <v>[Y, Y]</v>
      </c>
      <c r="E117" s="68" t="str">
        <f t="shared" si="46"/>
        <v>[Y, Y]</v>
      </c>
      <c r="F117" s="69" t="str">
        <f t="shared" si="47"/>
        <v>[Y, Y]</v>
      </c>
      <c r="G117" t="s">
        <v>221</v>
      </c>
      <c r="J117" t="s">
        <v>44</v>
      </c>
      <c r="M117" s="9"/>
      <c r="N117" t="s">
        <v>222</v>
      </c>
      <c r="O117">
        <v>0</v>
      </c>
      <c r="P117" s="2">
        <v>42249.673148148147</v>
      </c>
      <c r="Q117" s="2">
        <v>42249.703275462962</v>
      </c>
      <c r="R117">
        <v>1</v>
      </c>
      <c r="S117" s="8">
        <v>1</v>
      </c>
      <c r="T117" s="10"/>
      <c r="U117">
        <v>1</v>
      </c>
      <c r="V117" s="8">
        <v>100</v>
      </c>
      <c r="W117" s="9">
        <v>4</v>
      </c>
      <c r="X117" s="9">
        <v>70</v>
      </c>
      <c r="Y117" s="9">
        <v>100</v>
      </c>
      <c r="Z117" s="11" t="s">
        <v>223</v>
      </c>
      <c r="AA117" s="8">
        <v>3</v>
      </c>
      <c r="AB117" s="9">
        <v>100</v>
      </c>
      <c r="AC117" s="9">
        <v>4</v>
      </c>
      <c r="AD117" s="9">
        <v>60</v>
      </c>
      <c r="AE117" s="9">
        <v>100</v>
      </c>
      <c r="AF117" s="9">
        <v>80</v>
      </c>
      <c r="AG117" s="10"/>
      <c r="AH117" s="8">
        <v>2</v>
      </c>
      <c r="AI117" s="9">
        <v>4</v>
      </c>
      <c r="AJ117" s="9">
        <v>100</v>
      </c>
      <c r="AK117" s="9">
        <v>3</v>
      </c>
      <c r="AL117" s="9">
        <v>0</v>
      </c>
      <c r="AM117" s="9">
        <v>90</v>
      </c>
      <c r="AN117" s="9">
        <v>100</v>
      </c>
      <c r="AO117" s="9">
        <v>10</v>
      </c>
      <c r="AP117" s="11" t="s">
        <v>224</v>
      </c>
      <c r="AQ117" s="8">
        <v>100</v>
      </c>
      <c r="AR117" s="9">
        <v>4</v>
      </c>
      <c r="AS117" s="9">
        <v>2</v>
      </c>
      <c r="AT117" s="9">
        <v>3</v>
      </c>
      <c r="AU117" s="9">
        <v>100</v>
      </c>
      <c r="AV117" s="9">
        <v>90</v>
      </c>
      <c r="AW117" s="9">
        <v>20</v>
      </c>
      <c r="AX117" s="9">
        <v>50</v>
      </c>
      <c r="AY117" s="10"/>
      <c r="AZ117" s="8">
        <v>4</v>
      </c>
      <c r="BA117" s="9">
        <v>3</v>
      </c>
      <c r="BB117" s="9">
        <v>100</v>
      </c>
      <c r="BC117" s="9">
        <v>2</v>
      </c>
      <c r="BD117" s="9">
        <v>90</v>
      </c>
      <c r="BE117" s="9">
        <v>70</v>
      </c>
      <c r="BF117" s="9">
        <v>100</v>
      </c>
      <c r="BG117" s="9">
        <v>20</v>
      </c>
      <c r="BH117" s="10"/>
      <c r="BI117" s="8">
        <v>4</v>
      </c>
      <c r="BJ117" s="9">
        <v>3</v>
      </c>
      <c r="BK117" s="9">
        <v>2</v>
      </c>
      <c r="BL117" s="9">
        <v>100</v>
      </c>
      <c r="BM117" s="9">
        <v>90</v>
      </c>
      <c r="BN117" s="9">
        <v>50</v>
      </c>
      <c r="BO117" s="9">
        <v>50</v>
      </c>
      <c r="BP117" s="9">
        <v>100</v>
      </c>
      <c r="BQ117" s="10"/>
      <c r="BR117" s="8"/>
      <c r="BS117" s="10">
        <v>35.889602661132997</v>
      </c>
      <c r="BT117">
        <v>-78.92440032959</v>
      </c>
      <c r="BU117">
        <v>-1</v>
      </c>
    </row>
    <row r="118" spans="1:73" x14ac:dyDescent="0.25">
      <c r="A118" s="67" t="str">
        <f t="shared" si="42"/>
        <v>[Y, Y]</v>
      </c>
      <c r="B118" s="68" t="str">
        <f t="shared" si="43"/>
        <v>[Y, N]</v>
      </c>
      <c r="C118" s="68" t="str">
        <f t="shared" si="44"/>
        <v>[Y, N]</v>
      </c>
      <c r="D118" s="68" t="str">
        <f t="shared" si="45"/>
        <v>[Y, N]</v>
      </c>
      <c r="E118" s="68" t="str">
        <f t="shared" si="46"/>
        <v>[Y, Y]</v>
      </c>
      <c r="F118" s="69" t="str">
        <f t="shared" si="47"/>
        <v>[Y, N]</v>
      </c>
      <c r="G118" t="s">
        <v>225</v>
      </c>
      <c r="J118" t="s">
        <v>44</v>
      </c>
      <c r="M118" s="9"/>
      <c r="N118" t="s">
        <v>226</v>
      </c>
      <c r="O118">
        <v>0</v>
      </c>
      <c r="P118" s="2">
        <v>42250.230729166666</v>
      </c>
      <c r="Q118" s="2">
        <v>42250.248240740744</v>
      </c>
      <c r="R118">
        <v>1</v>
      </c>
      <c r="S118" s="8">
        <v>1</v>
      </c>
      <c r="T118" s="10"/>
      <c r="U118">
        <v>1</v>
      </c>
      <c r="V118" s="8">
        <v>100</v>
      </c>
      <c r="W118" s="9">
        <v>100</v>
      </c>
      <c r="X118" s="9">
        <v>100</v>
      </c>
      <c r="Y118" s="9">
        <v>100</v>
      </c>
      <c r="Z118" s="11" t="s">
        <v>227</v>
      </c>
      <c r="AA118" s="8">
        <v>4</v>
      </c>
      <c r="AB118" s="9">
        <v>100</v>
      </c>
      <c r="AC118" s="9">
        <v>3</v>
      </c>
      <c r="AD118" s="9">
        <v>0</v>
      </c>
      <c r="AE118" s="9">
        <v>100</v>
      </c>
      <c r="AF118" s="9">
        <v>0</v>
      </c>
      <c r="AG118" s="10" t="s">
        <v>228</v>
      </c>
      <c r="AH118" s="8">
        <v>2</v>
      </c>
      <c r="AI118" s="9">
        <v>3</v>
      </c>
      <c r="AJ118" s="9">
        <v>4</v>
      </c>
      <c r="AK118" s="9">
        <v>100</v>
      </c>
      <c r="AL118" s="9">
        <v>0</v>
      </c>
      <c r="AM118" s="9">
        <v>0</v>
      </c>
      <c r="AN118" s="9">
        <v>0</v>
      </c>
      <c r="AO118" s="9">
        <v>100</v>
      </c>
      <c r="AP118" s="11" t="s">
        <v>229</v>
      </c>
      <c r="AQ118" s="8">
        <v>4</v>
      </c>
      <c r="AR118" s="9">
        <v>100</v>
      </c>
      <c r="AS118" s="9">
        <v>3</v>
      </c>
      <c r="AT118" s="9">
        <v>3</v>
      </c>
      <c r="AU118" s="9">
        <v>0</v>
      </c>
      <c r="AV118" s="9">
        <v>100</v>
      </c>
      <c r="AW118" s="9">
        <v>0</v>
      </c>
      <c r="AX118" s="9">
        <v>0</v>
      </c>
      <c r="AY118" s="10" t="s">
        <v>230</v>
      </c>
      <c r="AZ118" s="8">
        <v>4</v>
      </c>
      <c r="BA118" s="9">
        <v>100</v>
      </c>
      <c r="BB118" s="9">
        <v>3</v>
      </c>
      <c r="BC118" s="9">
        <v>2</v>
      </c>
      <c r="BD118" s="9">
        <v>100</v>
      </c>
      <c r="BE118" s="9">
        <v>100</v>
      </c>
      <c r="BF118" s="9">
        <v>0</v>
      </c>
      <c r="BG118" s="9">
        <v>0</v>
      </c>
      <c r="BH118" s="10" t="s">
        <v>231</v>
      </c>
      <c r="BI118" s="8">
        <v>100</v>
      </c>
      <c r="BJ118" s="9">
        <v>4</v>
      </c>
      <c r="BK118" s="9">
        <v>2</v>
      </c>
      <c r="BL118" s="9">
        <v>4</v>
      </c>
      <c r="BM118" s="9">
        <v>100</v>
      </c>
      <c r="BN118" s="9">
        <v>0</v>
      </c>
      <c r="BO118" s="9">
        <v>0</v>
      </c>
      <c r="BP118" s="9">
        <v>0</v>
      </c>
      <c r="BQ118" s="10" t="s">
        <v>232</v>
      </c>
      <c r="BR118" s="8" t="s">
        <v>233</v>
      </c>
      <c r="BS118" s="10">
        <v>50.633895874022997</v>
      </c>
      <c r="BT118">
        <v>-4.3643951416015998</v>
      </c>
      <c r="BU118">
        <v>-1</v>
      </c>
    </row>
    <row r="119" spans="1:73" x14ac:dyDescent="0.25">
      <c r="A119" s="67" t="str">
        <f t="shared" si="42"/>
        <v>[Y, Y]</v>
      </c>
      <c r="B119" s="68" t="str">
        <f t="shared" si="43"/>
        <v>[Y, Y]</v>
      </c>
      <c r="C119" s="68" t="str">
        <f t="shared" si="44"/>
        <v>[Y, Y]</v>
      </c>
      <c r="D119" s="68" t="str">
        <f t="shared" si="45"/>
        <v>[N, N]</v>
      </c>
      <c r="E119" s="68" t="str">
        <f t="shared" si="46"/>
        <v>[N, N]</v>
      </c>
      <c r="F119" s="69" t="str">
        <f t="shared" si="47"/>
        <v>[N, N]</v>
      </c>
      <c r="G119" t="s">
        <v>234</v>
      </c>
      <c r="J119" t="s">
        <v>44</v>
      </c>
      <c r="M119" s="9"/>
      <c r="N119" t="s">
        <v>235</v>
      </c>
      <c r="O119">
        <v>0</v>
      </c>
      <c r="P119" s="2">
        <v>42243.508113425924</v>
      </c>
      <c r="Q119" s="2">
        <v>42243.582361111112</v>
      </c>
      <c r="R119">
        <v>0</v>
      </c>
      <c r="S119" s="8">
        <v>1</v>
      </c>
      <c r="T119" s="10"/>
      <c r="U119">
        <v>1</v>
      </c>
      <c r="V119" s="8">
        <v>100</v>
      </c>
      <c r="W119" s="9">
        <v>4</v>
      </c>
      <c r="X119" s="9">
        <v>75</v>
      </c>
      <c r="Y119" s="9">
        <v>100</v>
      </c>
      <c r="Z119" s="11" t="s">
        <v>236</v>
      </c>
      <c r="AA119" s="8">
        <v>3</v>
      </c>
      <c r="AB119" s="9">
        <v>100</v>
      </c>
      <c r="AC119" s="9">
        <v>4</v>
      </c>
      <c r="AD119" s="9">
        <v>50</v>
      </c>
      <c r="AE119" s="9">
        <v>100</v>
      </c>
      <c r="AF119" s="9">
        <v>51</v>
      </c>
      <c r="AG119" s="10" t="s">
        <v>237</v>
      </c>
      <c r="AH119" s="8">
        <v>3</v>
      </c>
      <c r="AI119" s="9">
        <v>4</v>
      </c>
      <c r="AJ119" s="9">
        <v>100</v>
      </c>
      <c r="AK119" s="9">
        <v>2</v>
      </c>
      <c r="AL119" s="9">
        <v>50</v>
      </c>
      <c r="AM119" s="9">
        <v>90</v>
      </c>
      <c r="AN119" s="9">
        <v>100</v>
      </c>
      <c r="AO119" s="9">
        <v>50</v>
      </c>
      <c r="AP119" s="11"/>
      <c r="AQ119" s="8"/>
      <c r="AR119" s="9"/>
      <c r="AS119" s="9"/>
      <c r="AT119" s="9"/>
      <c r="AU119" s="9"/>
      <c r="AV119" s="9"/>
      <c r="AW119" s="9"/>
      <c r="AX119" s="9"/>
      <c r="AY119" s="10"/>
      <c r="AZ119" s="8"/>
      <c r="BA119" s="9"/>
      <c r="BB119" s="9"/>
      <c r="BC119" s="9"/>
      <c r="BD119" s="9"/>
      <c r="BE119" s="9"/>
      <c r="BF119" s="9"/>
      <c r="BG119" s="9"/>
      <c r="BH119" s="10"/>
      <c r="BI119" s="8"/>
      <c r="BJ119" s="9"/>
      <c r="BK119" s="9"/>
      <c r="BL119" s="9"/>
      <c r="BM119" s="9"/>
      <c r="BN119" s="9"/>
      <c r="BO119" s="9"/>
      <c r="BP119" s="9"/>
      <c r="BQ119" s="10"/>
      <c r="BR119" s="8"/>
      <c r="BS119" s="10"/>
      <c r="BU119">
        <v>-1</v>
      </c>
    </row>
    <row r="120" spans="1:73" s="13" customFormat="1" ht="15.75" thickBot="1" x14ac:dyDescent="0.3">
      <c r="A120" s="75" t="str">
        <f t="shared" si="42"/>
        <v>[Y, Y]</v>
      </c>
      <c r="B120" s="76" t="str">
        <f t="shared" si="43"/>
        <v>[Y, Y]</v>
      </c>
      <c r="C120" s="76" t="str">
        <f t="shared" si="44"/>
        <v>[Y, Y]</v>
      </c>
      <c r="D120" s="76" t="str">
        <f t="shared" si="45"/>
        <v>[Y, Y]</v>
      </c>
      <c r="E120" s="76" t="str">
        <f t="shared" si="46"/>
        <v>[Y, Y]</v>
      </c>
      <c r="F120" s="77" t="str">
        <f t="shared" si="47"/>
        <v>[Y, Y]</v>
      </c>
      <c r="G120" s="13" t="s">
        <v>238</v>
      </c>
      <c r="J120" s="13" t="s">
        <v>44</v>
      </c>
      <c r="N120" s="13" t="s">
        <v>239</v>
      </c>
      <c r="O120" s="13">
        <v>0</v>
      </c>
      <c r="P120" s="65">
        <v>42251.42460648148</v>
      </c>
      <c r="Q120" s="65">
        <v>42251.435648148145</v>
      </c>
      <c r="R120" s="13">
        <v>1</v>
      </c>
      <c r="S120" s="12">
        <v>1</v>
      </c>
      <c r="T120" s="14"/>
      <c r="U120" s="13">
        <v>1</v>
      </c>
      <c r="V120" s="12">
        <v>100</v>
      </c>
      <c r="W120" s="13">
        <v>4</v>
      </c>
      <c r="X120" s="13">
        <v>75</v>
      </c>
      <c r="Y120" s="13">
        <v>100</v>
      </c>
      <c r="Z120" s="66" t="s">
        <v>240</v>
      </c>
      <c r="AA120" s="12">
        <v>4</v>
      </c>
      <c r="AB120" s="13">
        <v>3</v>
      </c>
      <c r="AC120" s="13">
        <v>100</v>
      </c>
      <c r="AD120" s="13">
        <v>50</v>
      </c>
      <c r="AE120" s="13">
        <v>10</v>
      </c>
      <c r="AF120" s="13">
        <v>100</v>
      </c>
      <c r="AG120" s="14" t="s">
        <v>241</v>
      </c>
      <c r="AH120" s="12">
        <v>2</v>
      </c>
      <c r="AI120" s="13">
        <v>100</v>
      </c>
      <c r="AJ120" s="13">
        <v>4</v>
      </c>
      <c r="AK120" s="13">
        <v>3</v>
      </c>
      <c r="AL120" s="13">
        <v>25</v>
      </c>
      <c r="AM120" s="13">
        <v>100</v>
      </c>
      <c r="AN120" s="13">
        <v>75</v>
      </c>
      <c r="AO120" s="13">
        <v>50</v>
      </c>
      <c r="AP120" s="66" t="s">
        <v>242</v>
      </c>
      <c r="AQ120" s="12">
        <v>4</v>
      </c>
      <c r="AR120" s="13">
        <v>100</v>
      </c>
      <c r="AS120" s="13">
        <v>3</v>
      </c>
      <c r="AT120" s="13">
        <v>2</v>
      </c>
      <c r="AU120" s="13">
        <v>75</v>
      </c>
      <c r="AV120" s="13">
        <v>100</v>
      </c>
      <c r="AW120" s="13">
        <v>51</v>
      </c>
      <c r="AX120" s="13">
        <v>10</v>
      </c>
      <c r="AY120" s="14" t="s">
        <v>243</v>
      </c>
      <c r="AZ120" s="12">
        <v>4</v>
      </c>
      <c r="BA120" s="13">
        <v>100</v>
      </c>
      <c r="BB120" s="13">
        <v>3</v>
      </c>
      <c r="BC120" s="13">
        <v>2</v>
      </c>
      <c r="BD120" s="13">
        <v>75</v>
      </c>
      <c r="BE120" s="13">
        <v>100</v>
      </c>
      <c r="BF120" s="13">
        <v>50</v>
      </c>
      <c r="BG120" s="13">
        <v>10</v>
      </c>
      <c r="BH120" s="14" t="s">
        <v>244</v>
      </c>
      <c r="BI120" s="12">
        <v>4</v>
      </c>
      <c r="BJ120" s="13">
        <v>100</v>
      </c>
      <c r="BK120" s="13">
        <v>3</v>
      </c>
      <c r="BL120" s="13">
        <v>2</v>
      </c>
      <c r="BM120" s="13">
        <v>75</v>
      </c>
      <c r="BN120" s="13">
        <v>100</v>
      </c>
      <c r="BO120" s="13">
        <v>50</v>
      </c>
      <c r="BP120" s="13">
        <v>10</v>
      </c>
      <c r="BQ120" s="14" t="s">
        <v>245</v>
      </c>
      <c r="BR120" s="12"/>
      <c r="BS120" s="14">
        <v>55.949996948242003</v>
      </c>
      <c r="BT120" s="13">
        <v>-3.1999969482421999</v>
      </c>
      <c r="BU120" s="13">
        <v>-1</v>
      </c>
    </row>
    <row r="121" spans="1:73" x14ac:dyDescent="0.25">
      <c r="A121" s="67" t="str">
        <f t="shared" si="42"/>
        <v>[N, Y]</v>
      </c>
      <c r="B121" s="68" t="str">
        <f t="shared" si="43"/>
        <v>[N, Y]</v>
      </c>
      <c r="C121" s="68" t="str">
        <f t="shared" si="44"/>
        <v>[Y, Y]</v>
      </c>
      <c r="D121" s="68" t="str">
        <f t="shared" si="45"/>
        <v>[Y, Y]</v>
      </c>
      <c r="E121" s="68" t="str">
        <f t="shared" si="46"/>
        <v>[Y, Y]</v>
      </c>
      <c r="F121" s="69" t="str">
        <f t="shared" si="47"/>
        <v>[Y, Y]</v>
      </c>
      <c r="G121" t="s">
        <v>246</v>
      </c>
      <c r="J121" t="s">
        <v>44</v>
      </c>
      <c r="M121" s="9"/>
      <c r="N121" t="s">
        <v>247</v>
      </c>
      <c r="O121">
        <v>0</v>
      </c>
      <c r="P121" s="2">
        <v>42253.481226851851</v>
      </c>
      <c r="Q121" s="2">
        <v>42253.488368055558</v>
      </c>
      <c r="R121">
        <v>1</v>
      </c>
      <c r="S121" s="8">
        <v>3</v>
      </c>
      <c r="T121" s="10" t="s">
        <v>248</v>
      </c>
      <c r="U121">
        <v>1</v>
      </c>
      <c r="V121" s="8">
        <v>4</v>
      </c>
      <c r="W121" s="9">
        <v>100</v>
      </c>
      <c r="X121" s="9">
        <v>59</v>
      </c>
      <c r="Y121" s="9">
        <v>40</v>
      </c>
      <c r="Z121" s="11" t="s">
        <v>249</v>
      </c>
      <c r="AA121" s="8">
        <v>4</v>
      </c>
      <c r="AB121" s="9">
        <v>100</v>
      </c>
      <c r="AC121" s="9">
        <v>3</v>
      </c>
      <c r="AD121" s="9">
        <v>59</v>
      </c>
      <c r="AE121" s="9">
        <v>80</v>
      </c>
      <c r="AF121" s="9">
        <v>29</v>
      </c>
      <c r="AG121" s="10" t="s">
        <v>250</v>
      </c>
      <c r="AH121" s="8">
        <v>100</v>
      </c>
      <c r="AI121" s="9">
        <v>100</v>
      </c>
      <c r="AJ121" s="9">
        <v>100</v>
      </c>
      <c r="AK121" s="9">
        <v>4</v>
      </c>
      <c r="AL121" s="9">
        <v>100</v>
      </c>
      <c r="AM121" s="9">
        <v>100</v>
      </c>
      <c r="AN121" s="9">
        <v>100</v>
      </c>
      <c r="AO121" s="9">
        <v>71</v>
      </c>
      <c r="AP121" s="11" t="s">
        <v>251</v>
      </c>
      <c r="AQ121" s="8">
        <v>100</v>
      </c>
      <c r="AR121" s="9">
        <v>4</v>
      </c>
      <c r="AS121" s="9">
        <v>3</v>
      </c>
      <c r="AT121" s="9">
        <v>4</v>
      </c>
      <c r="AU121" s="9">
        <v>100</v>
      </c>
      <c r="AV121" s="9">
        <v>79</v>
      </c>
      <c r="AW121" s="9">
        <v>50</v>
      </c>
      <c r="AX121" s="9">
        <v>90</v>
      </c>
      <c r="AY121" s="10"/>
      <c r="AZ121" s="8">
        <v>100</v>
      </c>
      <c r="BA121" s="9">
        <v>4</v>
      </c>
      <c r="BB121" s="9">
        <v>3</v>
      </c>
      <c r="BC121" s="9">
        <v>4</v>
      </c>
      <c r="BD121" s="9">
        <v>100</v>
      </c>
      <c r="BE121" s="9">
        <v>80</v>
      </c>
      <c r="BF121" s="9">
        <v>60</v>
      </c>
      <c r="BG121" s="9">
        <v>80</v>
      </c>
      <c r="BH121" s="10"/>
      <c r="BI121" s="8">
        <v>4</v>
      </c>
      <c r="BJ121" s="9">
        <v>100</v>
      </c>
      <c r="BK121" s="9">
        <v>3</v>
      </c>
      <c r="BL121" s="9">
        <v>100</v>
      </c>
      <c r="BM121" s="9">
        <v>80</v>
      </c>
      <c r="BN121" s="9">
        <v>90</v>
      </c>
      <c r="BO121" s="9">
        <v>60</v>
      </c>
      <c r="BP121" s="9">
        <v>100</v>
      </c>
      <c r="BQ121" s="10"/>
      <c r="BR121" s="8"/>
      <c r="BS121" s="10">
        <v>55.675903320312003</v>
      </c>
      <c r="BT121">
        <v>12.565505981445</v>
      </c>
      <c r="BU121">
        <v>-1</v>
      </c>
    </row>
    <row r="122" spans="1:73" x14ac:dyDescent="0.25">
      <c r="A122" s="67" t="str">
        <f t="shared" si="42"/>
        <v>[Y, N]</v>
      </c>
      <c r="B122" s="68" t="str">
        <f t="shared" si="43"/>
        <v>[Y, N]</v>
      </c>
      <c r="C122" s="68" t="str">
        <f t="shared" si="44"/>
        <v>[Y, N]</v>
      </c>
      <c r="D122" s="68" t="str">
        <f t="shared" si="45"/>
        <v>[Y, N]</v>
      </c>
      <c r="E122" s="68" t="str">
        <f t="shared" si="46"/>
        <v>[Y, N]</v>
      </c>
      <c r="F122" s="69" t="str">
        <f t="shared" si="47"/>
        <v>[Y, N]</v>
      </c>
      <c r="G122" t="s">
        <v>252</v>
      </c>
      <c r="J122" t="s">
        <v>44</v>
      </c>
      <c r="M122" s="9"/>
      <c r="N122" t="s">
        <v>253</v>
      </c>
      <c r="O122">
        <v>0</v>
      </c>
      <c r="P122" s="2">
        <v>42253.669027777774</v>
      </c>
      <c r="Q122" s="2">
        <v>42253.679328703707</v>
      </c>
      <c r="R122">
        <v>1</v>
      </c>
      <c r="S122" s="8">
        <v>3</v>
      </c>
      <c r="T122" s="10" t="s">
        <v>254</v>
      </c>
      <c r="U122">
        <v>1</v>
      </c>
      <c r="V122" s="8">
        <v>100</v>
      </c>
      <c r="W122" s="9">
        <v>4</v>
      </c>
      <c r="X122" s="9">
        <v>0</v>
      </c>
      <c r="Y122" s="9">
        <v>100</v>
      </c>
      <c r="Z122" s="11" t="s">
        <v>255</v>
      </c>
      <c r="AA122" s="8">
        <v>3</v>
      </c>
      <c r="AB122" s="9">
        <v>4</v>
      </c>
      <c r="AC122" s="9">
        <v>100</v>
      </c>
      <c r="AD122" s="9">
        <v>0</v>
      </c>
      <c r="AE122" s="9">
        <v>100</v>
      </c>
      <c r="AF122" s="9">
        <v>0</v>
      </c>
      <c r="AG122" s="10" t="s">
        <v>256</v>
      </c>
      <c r="AH122" s="8">
        <v>2</v>
      </c>
      <c r="AI122" s="9">
        <v>100</v>
      </c>
      <c r="AJ122" s="9">
        <v>4</v>
      </c>
      <c r="AK122" s="9">
        <v>3</v>
      </c>
      <c r="AL122" s="9">
        <v>0</v>
      </c>
      <c r="AM122" s="9">
        <v>100</v>
      </c>
      <c r="AN122" s="9">
        <v>0</v>
      </c>
      <c r="AO122" s="9">
        <v>0</v>
      </c>
      <c r="AP122" s="11" t="s">
        <v>257</v>
      </c>
      <c r="AQ122" s="8">
        <v>3</v>
      </c>
      <c r="AR122" s="9">
        <v>100</v>
      </c>
      <c r="AS122" s="9">
        <v>2</v>
      </c>
      <c r="AT122" s="9">
        <v>4</v>
      </c>
      <c r="AU122" s="9">
        <v>0</v>
      </c>
      <c r="AV122" s="9">
        <v>100</v>
      </c>
      <c r="AW122" s="9">
        <v>0</v>
      </c>
      <c r="AX122" s="9">
        <v>0</v>
      </c>
      <c r="AY122" s="10" t="s">
        <v>258</v>
      </c>
      <c r="AZ122" s="8">
        <v>2</v>
      </c>
      <c r="BA122" s="9">
        <v>100</v>
      </c>
      <c r="BB122" s="9">
        <v>3</v>
      </c>
      <c r="BC122" s="9">
        <v>4</v>
      </c>
      <c r="BD122" s="9">
        <v>0</v>
      </c>
      <c r="BE122" s="9">
        <v>100</v>
      </c>
      <c r="BF122" s="9">
        <v>0</v>
      </c>
      <c r="BG122" s="9">
        <v>0</v>
      </c>
      <c r="BH122" s="10" t="s">
        <v>259</v>
      </c>
      <c r="BI122" s="8">
        <v>2</v>
      </c>
      <c r="BJ122" s="9">
        <v>100</v>
      </c>
      <c r="BK122" s="9">
        <v>3</v>
      </c>
      <c r="BL122" s="9">
        <v>4</v>
      </c>
      <c r="BM122" s="9">
        <v>0</v>
      </c>
      <c r="BN122" s="9">
        <v>100</v>
      </c>
      <c r="BO122" s="9">
        <v>0</v>
      </c>
      <c r="BP122" s="9">
        <v>0</v>
      </c>
      <c r="BQ122" s="10" t="s">
        <v>259</v>
      </c>
      <c r="BR122" s="8" t="s">
        <v>260</v>
      </c>
      <c r="BS122" s="10">
        <v>52.36669921875</v>
      </c>
      <c r="BT122">
        <v>4.8999938964843999</v>
      </c>
      <c r="BU122">
        <v>-1</v>
      </c>
    </row>
    <row r="123" spans="1:73" x14ac:dyDescent="0.25">
      <c r="A123" s="67" t="str">
        <f t="shared" si="42"/>
        <v>[Y, Y]</v>
      </c>
      <c r="B123" s="68" t="str">
        <f t="shared" si="43"/>
        <v>[Y, Y]</v>
      </c>
      <c r="C123" s="68" t="str">
        <f t="shared" si="44"/>
        <v>[Y, Y]</v>
      </c>
      <c r="D123" s="68" t="str">
        <f t="shared" si="45"/>
        <v>[Y, Y]</v>
      </c>
      <c r="E123" s="68" t="str">
        <f t="shared" si="46"/>
        <v>[Y, Y]</v>
      </c>
      <c r="F123" s="69" t="str">
        <f t="shared" si="47"/>
        <v>[Y, Y]</v>
      </c>
      <c r="G123" t="s">
        <v>261</v>
      </c>
      <c r="J123" t="s">
        <v>44</v>
      </c>
      <c r="M123" s="9"/>
      <c r="N123" t="s">
        <v>262</v>
      </c>
      <c r="O123">
        <v>0</v>
      </c>
      <c r="P123" s="2">
        <v>42261.19332175926</v>
      </c>
      <c r="Q123" s="2">
        <v>42261.205347222225</v>
      </c>
      <c r="R123">
        <v>1</v>
      </c>
      <c r="S123" s="8">
        <v>1</v>
      </c>
      <c r="T123" s="10"/>
      <c r="U123">
        <v>1</v>
      </c>
      <c r="V123" s="8">
        <v>100</v>
      </c>
      <c r="W123" s="9">
        <v>100</v>
      </c>
      <c r="X123" s="9">
        <v>100</v>
      </c>
      <c r="Y123" s="9">
        <v>100</v>
      </c>
      <c r="Z123" s="11" t="s">
        <v>263</v>
      </c>
      <c r="AA123" s="8">
        <v>4</v>
      </c>
      <c r="AB123" s="9">
        <v>100</v>
      </c>
      <c r="AC123" s="9">
        <v>4</v>
      </c>
      <c r="AD123" s="9">
        <v>60</v>
      </c>
      <c r="AE123" s="9">
        <v>100</v>
      </c>
      <c r="AF123" s="9">
        <v>60</v>
      </c>
      <c r="AG123" s="10"/>
      <c r="AH123" s="8">
        <v>4</v>
      </c>
      <c r="AI123" s="9">
        <v>100</v>
      </c>
      <c r="AJ123" s="9">
        <v>4</v>
      </c>
      <c r="AK123" s="9">
        <v>100</v>
      </c>
      <c r="AL123" s="9">
        <v>60</v>
      </c>
      <c r="AM123" s="9">
        <v>100</v>
      </c>
      <c r="AN123" s="9">
        <v>60</v>
      </c>
      <c r="AO123" s="9">
        <v>100</v>
      </c>
      <c r="AP123" s="11"/>
      <c r="AQ123" s="8">
        <v>100</v>
      </c>
      <c r="AR123" s="9">
        <v>100</v>
      </c>
      <c r="AS123" s="9">
        <v>2</v>
      </c>
      <c r="AT123" s="9">
        <v>3</v>
      </c>
      <c r="AU123" s="9">
        <v>100</v>
      </c>
      <c r="AV123" s="9">
        <v>100</v>
      </c>
      <c r="AW123" s="9">
        <v>40</v>
      </c>
      <c r="AX123" s="9">
        <v>80</v>
      </c>
      <c r="AY123" s="10"/>
      <c r="AZ123" s="8">
        <v>100</v>
      </c>
      <c r="BA123" s="9">
        <v>4</v>
      </c>
      <c r="BB123" s="9">
        <v>3</v>
      </c>
      <c r="BC123" s="9">
        <v>4</v>
      </c>
      <c r="BD123" s="9">
        <v>100</v>
      </c>
      <c r="BE123" s="9">
        <v>70</v>
      </c>
      <c r="BF123" s="9">
        <v>40</v>
      </c>
      <c r="BG123" s="9">
        <v>70</v>
      </c>
      <c r="BH123" s="10"/>
      <c r="BI123" s="8">
        <v>100</v>
      </c>
      <c r="BJ123" s="9">
        <v>4</v>
      </c>
      <c r="BK123" s="9">
        <v>3</v>
      </c>
      <c r="BL123" s="9">
        <v>3</v>
      </c>
      <c r="BM123" s="9">
        <v>100</v>
      </c>
      <c r="BN123" s="9">
        <v>60</v>
      </c>
      <c r="BO123" s="9">
        <v>40</v>
      </c>
      <c r="BP123" s="9">
        <v>40</v>
      </c>
      <c r="BQ123" s="10"/>
      <c r="BR123" s="8"/>
      <c r="BS123" s="10">
        <v>55.77180480957</v>
      </c>
      <c r="BT123">
        <v>12.505996704101999</v>
      </c>
      <c r="BU123">
        <v>-1</v>
      </c>
    </row>
    <row r="124" spans="1:73" s="13" customFormat="1" ht="15.75" thickBot="1" x14ac:dyDescent="0.3">
      <c r="A124" s="75" t="str">
        <f t="shared" si="42"/>
        <v>[Y, Y]</v>
      </c>
      <c r="B124" s="76" t="str">
        <f t="shared" si="43"/>
        <v>[Y, Y]</v>
      </c>
      <c r="C124" s="76" t="str">
        <f t="shared" si="44"/>
        <v>[Y, Y]</v>
      </c>
      <c r="D124" s="76" t="str">
        <f t="shared" si="45"/>
        <v>[Y, Y]</v>
      </c>
      <c r="E124" s="76" t="str">
        <f t="shared" si="46"/>
        <v>[Y, Y]</v>
      </c>
      <c r="F124" s="77" t="str">
        <f t="shared" si="47"/>
        <v>[Y, Y]</v>
      </c>
      <c r="G124" s="13" t="s">
        <v>264</v>
      </c>
      <c r="J124" s="13" t="s">
        <v>44</v>
      </c>
      <c r="N124" s="13" t="s">
        <v>265</v>
      </c>
      <c r="O124" s="13">
        <v>0</v>
      </c>
      <c r="P124" s="65">
        <v>42263.654305555552</v>
      </c>
      <c r="Q124" s="65">
        <v>42263.658634259256</v>
      </c>
      <c r="R124" s="13">
        <v>1</v>
      </c>
      <c r="S124" s="12">
        <v>1</v>
      </c>
      <c r="T124" s="14"/>
      <c r="U124" s="13">
        <v>1</v>
      </c>
      <c r="V124" s="12">
        <v>100</v>
      </c>
      <c r="W124" s="13">
        <v>4</v>
      </c>
      <c r="X124" s="13">
        <v>80</v>
      </c>
      <c r="Y124" s="13">
        <v>100</v>
      </c>
      <c r="Z124" s="66"/>
      <c r="AA124" s="12">
        <v>100</v>
      </c>
      <c r="AB124" s="13">
        <v>4</v>
      </c>
      <c r="AC124" s="13">
        <v>3</v>
      </c>
      <c r="AD124" s="13">
        <v>100</v>
      </c>
      <c r="AE124" s="13">
        <v>81</v>
      </c>
      <c r="AF124" s="13">
        <v>72</v>
      </c>
      <c r="AG124" s="14"/>
      <c r="AH124" s="12">
        <v>100</v>
      </c>
      <c r="AI124" s="13">
        <v>3</v>
      </c>
      <c r="AJ124" s="13">
        <v>2</v>
      </c>
      <c r="AK124" s="13">
        <v>4</v>
      </c>
      <c r="AL124" s="13">
        <v>100</v>
      </c>
      <c r="AM124" s="13">
        <v>70</v>
      </c>
      <c r="AN124" s="13">
        <v>51</v>
      </c>
      <c r="AO124" s="13">
        <v>80</v>
      </c>
      <c r="AP124" s="66"/>
      <c r="AQ124" s="12">
        <v>3</v>
      </c>
      <c r="AR124" s="13">
        <v>100</v>
      </c>
      <c r="AS124" s="13">
        <v>2</v>
      </c>
      <c r="AT124" s="13">
        <v>4</v>
      </c>
      <c r="AU124" s="13">
        <v>63</v>
      </c>
      <c r="AV124" s="13">
        <v>100</v>
      </c>
      <c r="AW124" s="13">
        <v>43</v>
      </c>
      <c r="AX124" s="13">
        <v>82</v>
      </c>
      <c r="AY124" s="14"/>
      <c r="AZ124" s="12">
        <v>4</v>
      </c>
      <c r="BA124" s="13">
        <v>100</v>
      </c>
      <c r="BB124" s="13">
        <v>2</v>
      </c>
      <c r="BC124" s="13">
        <v>3</v>
      </c>
      <c r="BD124" s="13">
        <v>82</v>
      </c>
      <c r="BE124" s="13">
        <v>100</v>
      </c>
      <c r="BF124" s="13">
        <v>52</v>
      </c>
      <c r="BG124" s="13">
        <v>72</v>
      </c>
      <c r="BH124" s="14"/>
      <c r="BI124" s="12">
        <v>100</v>
      </c>
      <c r="BJ124" s="13">
        <v>4</v>
      </c>
      <c r="BK124" s="13">
        <v>2</v>
      </c>
      <c r="BL124" s="13">
        <v>3</v>
      </c>
      <c r="BM124" s="13">
        <v>100</v>
      </c>
      <c r="BN124" s="13">
        <v>90</v>
      </c>
      <c r="BO124" s="13">
        <v>52</v>
      </c>
      <c r="BP124" s="13">
        <v>71</v>
      </c>
      <c r="BQ124" s="14"/>
      <c r="BR124" s="12"/>
      <c r="BS124" s="14">
        <v>55.884399414062003</v>
      </c>
      <c r="BT124" s="13">
        <v>-3.3397979736328001</v>
      </c>
      <c r="BU124" s="13">
        <v>-1</v>
      </c>
    </row>
    <row r="125" spans="1:73" x14ac:dyDescent="0.25">
      <c r="A125" s="67" t="str">
        <f t="shared" si="42"/>
        <v>[Y, Y]</v>
      </c>
      <c r="B125" s="68" t="str">
        <f t="shared" si="43"/>
        <v>[Y, Y]</v>
      </c>
      <c r="C125" s="68" t="str">
        <f t="shared" si="44"/>
        <v>[Y, Y]</v>
      </c>
      <c r="D125" s="68" t="str">
        <f t="shared" si="45"/>
        <v>[Y, Y]</v>
      </c>
      <c r="E125" s="68" t="str">
        <f t="shared" si="46"/>
        <v>[Y, Y]</v>
      </c>
      <c r="F125" s="69" t="str">
        <f t="shared" si="47"/>
        <v>[Y, Y]</v>
      </c>
      <c r="G125" t="s">
        <v>266</v>
      </c>
      <c r="J125" t="s">
        <v>44</v>
      </c>
      <c r="M125" s="9"/>
      <c r="N125" t="s">
        <v>267</v>
      </c>
      <c r="O125">
        <v>0</v>
      </c>
      <c r="P125" s="2">
        <v>42268.313402777778</v>
      </c>
      <c r="Q125" s="2">
        <v>42268.319386574076</v>
      </c>
      <c r="R125">
        <v>1</v>
      </c>
      <c r="S125" s="8">
        <v>1</v>
      </c>
      <c r="T125" s="10"/>
      <c r="U125">
        <v>1</v>
      </c>
      <c r="V125" s="8">
        <v>100</v>
      </c>
      <c r="W125" s="9">
        <v>100</v>
      </c>
      <c r="X125" s="9">
        <v>100</v>
      </c>
      <c r="Y125" s="9">
        <v>100</v>
      </c>
      <c r="Z125" s="11" t="s">
        <v>268</v>
      </c>
      <c r="AA125" s="8">
        <v>4</v>
      </c>
      <c r="AB125" s="9">
        <v>3</v>
      </c>
      <c r="AC125" s="9">
        <v>100</v>
      </c>
      <c r="AD125" s="9">
        <v>90</v>
      </c>
      <c r="AE125" s="9">
        <v>50</v>
      </c>
      <c r="AF125" s="9">
        <v>100</v>
      </c>
      <c r="AG125" s="10"/>
      <c r="AH125" s="8">
        <v>2</v>
      </c>
      <c r="AI125" s="9">
        <v>4</v>
      </c>
      <c r="AJ125" s="9">
        <v>100</v>
      </c>
      <c r="AK125" s="9">
        <v>3</v>
      </c>
      <c r="AL125" s="9">
        <v>20</v>
      </c>
      <c r="AM125" s="9">
        <v>90</v>
      </c>
      <c r="AN125" s="9">
        <v>100</v>
      </c>
      <c r="AO125" s="9">
        <v>50</v>
      </c>
      <c r="AP125" s="11" t="s">
        <v>269</v>
      </c>
      <c r="AQ125" s="8">
        <v>100</v>
      </c>
      <c r="AR125" s="9">
        <v>100</v>
      </c>
      <c r="AS125" s="9">
        <v>3</v>
      </c>
      <c r="AT125" s="9">
        <v>4</v>
      </c>
      <c r="AU125" s="9">
        <v>100</v>
      </c>
      <c r="AV125" s="9">
        <v>100</v>
      </c>
      <c r="AW125" s="9">
        <v>70</v>
      </c>
      <c r="AX125" s="9">
        <v>60</v>
      </c>
      <c r="AY125" s="10"/>
      <c r="AZ125" s="8">
        <v>100</v>
      </c>
      <c r="BA125" s="9">
        <v>100</v>
      </c>
      <c r="BB125" s="9">
        <v>4</v>
      </c>
      <c r="BC125" s="9">
        <v>3</v>
      </c>
      <c r="BD125" s="9">
        <v>100</v>
      </c>
      <c r="BE125" s="9">
        <v>100</v>
      </c>
      <c r="BF125" s="9">
        <v>60</v>
      </c>
      <c r="BG125" s="9">
        <v>50</v>
      </c>
      <c r="BH125" s="10"/>
      <c r="BI125" s="8">
        <v>100</v>
      </c>
      <c r="BJ125" s="9">
        <v>3</v>
      </c>
      <c r="BK125" s="9">
        <v>4</v>
      </c>
      <c r="BL125" s="9">
        <v>4</v>
      </c>
      <c r="BM125" s="9">
        <v>100</v>
      </c>
      <c r="BN125" s="9">
        <v>50</v>
      </c>
      <c r="BO125" s="9">
        <v>80</v>
      </c>
      <c r="BP125" s="9">
        <v>80</v>
      </c>
      <c r="BQ125" s="10"/>
      <c r="BR125" s="8"/>
      <c r="BS125" s="10">
        <v>39.479202270507997</v>
      </c>
      <c r="BT125">
        <v>-84.712997436522997</v>
      </c>
      <c r="BU125">
        <v>-1</v>
      </c>
    </row>
    <row r="126" spans="1:73" x14ac:dyDescent="0.25">
      <c r="A126" s="67" t="str">
        <f t="shared" si="42"/>
        <v>[N, Y]</v>
      </c>
      <c r="B126" s="68" t="str">
        <f t="shared" si="43"/>
        <v>[N, Y]</v>
      </c>
      <c r="C126" s="68" t="str">
        <f t="shared" si="44"/>
        <v>[N, Y]</v>
      </c>
      <c r="D126" s="68" t="str">
        <f t="shared" si="45"/>
        <v>[N, Y]</v>
      </c>
      <c r="E126" s="68" t="str">
        <f t="shared" si="46"/>
        <v>[N, Y]</v>
      </c>
      <c r="F126" s="69" t="str">
        <f t="shared" si="47"/>
        <v>[N, Y]</v>
      </c>
      <c r="G126" t="s">
        <v>270</v>
      </c>
      <c r="J126" t="s">
        <v>44</v>
      </c>
      <c r="M126" s="9"/>
      <c r="N126">
        <v>71.124408000000003</v>
      </c>
      <c r="O126">
        <v>0</v>
      </c>
      <c r="P126" s="2">
        <v>42269.427453703705</v>
      </c>
      <c r="Q126" s="2">
        <v>42269.43141203704</v>
      </c>
      <c r="R126">
        <v>1</v>
      </c>
      <c r="S126" s="8">
        <v>2</v>
      </c>
      <c r="T126" s="10"/>
      <c r="U126">
        <v>1</v>
      </c>
      <c r="V126" s="8">
        <v>4</v>
      </c>
      <c r="W126" s="9">
        <v>100</v>
      </c>
      <c r="X126" s="9">
        <v>72</v>
      </c>
      <c r="Y126" s="9">
        <v>46</v>
      </c>
      <c r="Z126" s="11"/>
      <c r="AA126" s="8">
        <v>100</v>
      </c>
      <c r="AB126" s="9">
        <v>4</v>
      </c>
      <c r="AC126" s="9">
        <v>100</v>
      </c>
      <c r="AD126" s="9">
        <v>63</v>
      </c>
      <c r="AE126" s="9">
        <v>42</v>
      </c>
      <c r="AF126" s="9">
        <v>94</v>
      </c>
      <c r="AG126" s="10"/>
      <c r="AH126" s="8">
        <v>4</v>
      </c>
      <c r="AI126" s="9">
        <v>3</v>
      </c>
      <c r="AJ126" s="9">
        <v>100</v>
      </c>
      <c r="AK126" s="9">
        <v>4</v>
      </c>
      <c r="AL126" s="9">
        <v>76</v>
      </c>
      <c r="AM126" s="9">
        <v>54</v>
      </c>
      <c r="AN126" s="9">
        <v>76</v>
      </c>
      <c r="AO126" s="9">
        <v>62</v>
      </c>
      <c r="AP126" s="11"/>
      <c r="AQ126" s="8">
        <v>3</v>
      </c>
      <c r="AR126" s="9">
        <v>4</v>
      </c>
      <c r="AS126" s="9">
        <v>3</v>
      </c>
      <c r="AT126" s="9">
        <v>100</v>
      </c>
      <c r="AU126" s="9">
        <v>41</v>
      </c>
      <c r="AV126" s="9">
        <v>55</v>
      </c>
      <c r="AW126" s="9">
        <v>46</v>
      </c>
      <c r="AX126" s="9">
        <v>65</v>
      </c>
      <c r="AY126" s="10"/>
      <c r="AZ126" s="8">
        <v>3</v>
      </c>
      <c r="BA126" s="9">
        <v>100</v>
      </c>
      <c r="BB126" s="9">
        <v>4</v>
      </c>
      <c r="BC126" s="9">
        <v>3</v>
      </c>
      <c r="BD126" s="9">
        <v>53</v>
      </c>
      <c r="BE126" s="9">
        <v>72</v>
      </c>
      <c r="BF126" s="9">
        <v>63</v>
      </c>
      <c r="BG126" s="9">
        <v>54</v>
      </c>
      <c r="BH126" s="10"/>
      <c r="BI126" s="8">
        <v>3</v>
      </c>
      <c r="BJ126" s="9">
        <v>4</v>
      </c>
      <c r="BK126" s="9">
        <v>100</v>
      </c>
      <c r="BL126" s="9">
        <v>100</v>
      </c>
      <c r="BM126" s="9">
        <v>63</v>
      </c>
      <c r="BN126" s="9">
        <v>55</v>
      </c>
      <c r="BO126" s="9">
        <v>83</v>
      </c>
      <c r="BP126" s="9">
        <v>80</v>
      </c>
      <c r="BQ126" s="10"/>
      <c r="BR126" s="8"/>
      <c r="BS126" s="10">
        <v>38.992401123047003</v>
      </c>
      <c r="BT126">
        <v>-76.790100097655994</v>
      </c>
      <c r="BU126">
        <v>-1</v>
      </c>
    </row>
    <row r="127" spans="1:73" x14ac:dyDescent="0.25">
      <c r="A127" s="67" t="str">
        <f t="shared" si="42"/>
        <v>[N, Y]</v>
      </c>
      <c r="B127" s="68" t="str">
        <f t="shared" si="43"/>
        <v>[N, Y]</v>
      </c>
      <c r="C127" s="68" t="str">
        <f t="shared" si="44"/>
        <v>[N, Y]</v>
      </c>
      <c r="D127" s="68" t="str">
        <f t="shared" si="45"/>
        <v>[N, Y]</v>
      </c>
      <c r="E127" s="68" t="str">
        <f t="shared" si="46"/>
        <v>[N, Y]</v>
      </c>
      <c r="F127" s="69" t="str">
        <f t="shared" si="47"/>
        <v>[N, Y]</v>
      </c>
      <c r="G127" t="s">
        <v>271</v>
      </c>
      <c r="J127" t="s">
        <v>44</v>
      </c>
      <c r="M127" s="9"/>
      <c r="N127" t="s">
        <v>278</v>
      </c>
      <c r="O127">
        <v>0</v>
      </c>
      <c r="P127" s="2">
        <v>42271.510601851849</v>
      </c>
      <c r="Q127" s="2">
        <v>42271.517743055556</v>
      </c>
      <c r="R127">
        <v>1</v>
      </c>
      <c r="S127" s="8">
        <v>1</v>
      </c>
      <c r="T127" s="10"/>
      <c r="U127">
        <v>1</v>
      </c>
      <c r="V127" s="8">
        <v>4</v>
      </c>
      <c r="W127" s="9">
        <v>100</v>
      </c>
      <c r="X127" s="9">
        <v>61</v>
      </c>
      <c r="Y127" s="9">
        <v>41</v>
      </c>
      <c r="Z127" s="11" t="s">
        <v>272</v>
      </c>
      <c r="AA127" s="8">
        <v>3</v>
      </c>
      <c r="AB127" s="9">
        <v>100</v>
      </c>
      <c r="AC127" s="9">
        <v>4</v>
      </c>
      <c r="AD127" s="9">
        <v>15</v>
      </c>
      <c r="AE127" s="9">
        <v>80</v>
      </c>
      <c r="AF127" s="9">
        <v>21</v>
      </c>
      <c r="AG127" s="10"/>
      <c r="AH127" s="8">
        <v>3</v>
      </c>
      <c r="AI127" s="9">
        <v>100</v>
      </c>
      <c r="AJ127" s="9">
        <v>2</v>
      </c>
      <c r="AK127" s="9">
        <v>4</v>
      </c>
      <c r="AL127" s="9">
        <v>32</v>
      </c>
      <c r="AM127" s="9">
        <v>70</v>
      </c>
      <c r="AN127" s="9">
        <v>10</v>
      </c>
      <c r="AO127" s="9">
        <v>51</v>
      </c>
      <c r="AP127" s="11" t="s">
        <v>273</v>
      </c>
      <c r="AQ127" s="8">
        <v>4</v>
      </c>
      <c r="AR127" s="9">
        <v>2</v>
      </c>
      <c r="AS127" s="9">
        <v>100</v>
      </c>
      <c r="AT127" s="9">
        <v>3</v>
      </c>
      <c r="AU127" s="9">
        <v>51</v>
      </c>
      <c r="AV127" s="9">
        <v>1</v>
      </c>
      <c r="AW127" s="9">
        <v>50</v>
      </c>
      <c r="AX127" s="9">
        <v>27</v>
      </c>
      <c r="AY127" s="10" t="s">
        <v>274</v>
      </c>
      <c r="AZ127" s="8">
        <v>4</v>
      </c>
      <c r="BA127" s="9">
        <v>2</v>
      </c>
      <c r="BB127" s="9">
        <v>100</v>
      </c>
      <c r="BC127" s="9">
        <v>3</v>
      </c>
      <c r="BD127" s="9">
        <v>51</v>
      </c>
      <c r="BE127" s="9">
        <v>1</v>
      </c>
      <c r="BF127" s="9">
        <v>60</v>
      </c>
      <c r="BG127" s="9">
        <v>38</v>
      </c>
      <c r="BH127" s="10" t="s">
        <v>275</v>
      </c>
      <c r="BI127" s="8">
        <v>100</v>
      </c>
      <c r="BJ127" s="9">
        <v>2</v>
      </c>
      <c r="BK127" s="9">
        <v>4</v>
      </c>
      <c r="BL127" s="9">
        <v>3</v>
      </c>
      <c r="BM127" s="9">
        <v>80</v>
      </c>
      <c r="BN127" s="9">
        <v>12</v>
      </c>
      <c r="BO127" s="9">
        <v>60</v>
      </c>
      <c r="BP127" s="9">
        <v>18</v>
      </c>
      <c r="BQ127" s="10" t="s">
        <v>276</v>
      </c>
      <c r="BR127" s="8"/>
      <c r="BS127" s="10">
        <v>39.746704101562003</v>
      </c>
      <c r="BT127">
        <v>-104.83840179443</v>
      </c>
      <c r="BU127">
        <v>-1</v>
      </c>
    </row>
    <row r="128" spans="1:73" s="70" customFormat="1" x14ac:dyDescent="0.25">
      <c r="A128" s="96"/>
      <c r="B128" s="96"/>
      <c r="C128" s="96"/>
      <c r="D128" s="96"/>
      <c r="E128" s="96"/>
      <c r="F128" s="96"/>
      <c r="P128" s="97"/>
      <c r="Q128" s="97"/>
      <c r="S128" s="87"/>
      <c r="T128" s="87"/>
      <c r="V128" s="87"/>
      <c r="W128" s="87"/>
      <c r="X128" s="87"/>
      <c r="Y128" s="87"/>
      <c r="Z128" s="98"/>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99"/>
    </row>
    <row r="129" spans="1:68" x14ac:dyDescent="0.25">
      <c r="V129" s="3" t="s">
        <v>115</v>
      </c>
    </row>
    <row r="130" spans="1:68" x14ac:dyDescent="0.25">
      <c r="V130" s="30" t="s">
        <v>116</v>
      </c>
      <c r="W130" s="30" t="s">
        <v>117</v>
      </c>
      <c r="X130" s="30" t="s">
        <v>118</v>
      </c>
      <c r="Y130" s="30" t="s">
        <v>119</v>
      </c>
      <c r="AA130" s="30" t="s">
        <v>120</v>
      </c>
      <c r="AB130" s="30" t="s">
        <v>121</v>
      </c>
      <c r="AC130" s="30" t="s">
        <v>122</v>
      </c>
      <c r="AD130" s="30" t="s">
        <v>123</v>
      </c>
      <c r="AE130" s="30" t="s">
        <v>124</v>
      </c>
      <c r="AF130" s="30" t="s">
        <v>125</v>
      </c>
      <c r="AG130" s="30"/>
      <c r="AH130" s="30" t="str">
        <f>AH1&amp;"_R"</f>
        <v>Q3_1_R</v>
      </c>
      <c r="AI130" s="30" t="str">
        <f>AI1&amp;"_R"</f>
        <v>Q3_2_R</v>
      </c>
      <c r="AJ130" s="30" t="str">
        <f>AJ1&amp;"_R"</f>
        <v>Q3_3_R</v>
      </c>
      <c r="AK130" s="30" t="str">
        <f>AK1&amp;"_R"</f>
        <v>Q3_4_R</v>
      </c>
      <c r="AL130" s="30" t="str">
        <f>AL1&amp;"_S"</f>
        <v>Q3_1_S</v>
      </c>
      <c r="AM130" s="30" t="str">
        <f>AM1&amp;"_S"</f>
        <v>Q3_2_S</v>
      </c>
      <c r="AN130" s="30" t="str">
        <f>AN1&amp;"_S"</f>
        <v>Q3_3_S</v>
      </c>
      <c r="AO130" s="30" t="str">
        <f>AO1&amp;"_S"</f>
        <v>Q3_4_S</v>
      </c>
      <c r="AQ130" s="30" t="str">
        <f>AQ1&amp;"_R"</f>
        <v>Q4_1_R</v>
      </c>
      <c r="AR130" s="30" t="str">
        <f>AR1&amp;"_R"</f>
        <v>Q4_2_R</v>
      </c>
      <c r="AS130" s="30" t="str">
        <f>AS1&amp;"_R"</f>
        <v>Q4_3_R</v>
      </c>
      <c r="AT130" s="30" t="str">
        <f>AT1&amp;"_R"</f>
        <v>Q4_4_R</v>
      </c>
      <c r="AU130" s="30" t="str">
        <f>AU1&amp;"_S"</f>
        <v>Q4_1_S</v>
      </c>
      <c r="AV130" s="30" t="str">
        <f>AV1&amp;"_S"</f>
        <v>Q4_2_S</v>
      </c>
      <c r="AW130" s="30" t="str">
        <f>AW1&amp;"_S"</f>
        <v>Q4_3_S</v>
      </c>
      <c r="AX130" s="30" t="str">
        <f>AX1&amp;"_S"</f>
        <v>Q4_4_S</v>
      </c>
      <c r="AZ130" s="30" t="str">
        <f>AZ1&amp;"_R"</f>
        <v>Q5_1_R</v>
      </c>
      <c r="BA130" s="30" t="str">
        <f>BA1&amp;"_R"</f>
        <v>Q5_2_R</v>
      </c>
      <c r="BB130" s="30" t="str">
        <f>BB1&amp;"_R"</f>
        <v>Q5_3_R</v>
      </c>
      <c r="BC130" s="30" t="str">
        <f>BC1&amp;"_R"</f>
        <v>Q5_4_R</v>
      </c>
      <c r="BD130" s="30" t="str">
        <f>BD1&amp;"_S"</f>
        <v>Q5_1_S</v>
      </c>
      <c r="BE130" s="30" t="str">
        <f>BE1&amp;"_S"</f>
        <v>Q5_2_S</v>
      </c>
      <c r="BF130" s="30" t="str">
        <f>BF1&amp;"_S"</f>
        <v>Q5_3_S</v>
      </c>
      <c r="BG130" s="30" t="str">
        <f>BG1&amp;"_S"</f>
        <v>Q5_4_S</v>
      </c>
      <c r="BI130" s="30" t="str">
        <f>BI1&amp;"_R"</f>
        <v>Q6_1_R</v>
      </c>
      <c r="BJ130" s="30" t="str">
        <f>BJ1&amp;"_R"</f>
        <v>Q6_2_R</v>
      </c>
      <c r="BK130" s="30" t="str">
        <f>BK1&amp;"_R"</f>
        <v>Q6_3_R</v>
      </c>
      <c r="BL130" s="30" t="str">
        <f>BL1&amp;"_R"</f>
        <v>Q6_4_R</v>
      </c>
      <c r="BM130" s="30" t="str">
        <f>BM1&amp;"_S"</f>
        <v>Q6_1_S</v>
      </c>
      <c r="BN130" s="30" t="str">
        <f>BN1&amp;"_S"</f>
        <v>Q6_2_S</v>
      </c>
      <c r="BO130" s="30" t="str">
        <f>BO1&amp;"_S"</f>
        <v>Q6_3_S</v>
      </c>
      <c r="BP130" s="30" t="str">
        <f>BP1&amp;"_S"</f>
        <v>Q6_4_S</v>
      </c>
    </row>
    <row r="131" spans="1:68" x14ac:dyDescent="0.25">
      <c r="O131" s="67" t="s">
        <v>279</v>
      </c>
      <c r="P131" s="68" t="s">
        <v>279</v>
      </c>
      <c r="Q131" s="68" t="s">
        <v>279</v>
      </c>
      <c r="R131" s="68" t="s">
        <v>279</v>
      </c>
      <c r="S131" s="68" t="s">
        <v>279</v>
      </c>
      <c r="T131" s="69" t="s">
        <v>279</v>
      </c>
      <c r="U131" s="70" t="s">
        <v>45</v>
      </c>
      <c r="V131" s="28">
        <f t="shared" ref="V131:V137" si="48">RANK(W2,V2:W2)</f>
        <v>1</v>
      </c>
      <c r="W131" s="28">
        <f t="shared" ref="W131:W137" si="49">RANK(X2,X2:Y2)</f>
        <v>1</v>
      </c>
      <c r="X131" s="28">
        <f t="shared" ref="X131:X137" si="50">RANK(V2,V2:W2)</f>
        <v>2</v>
      </c>
      <c r="Y131" s="28">
        <f t="shared" ref="Y131:Y137" si="51">RANK(Y2,X2:Y2)</f>
        <v>2</v>
      </c>
      <c r="AA131" s="28">
        <f t="shared" ref="AA131:AC137" si="52">RANK(AA2,$AA2:$AC2)</f>
        <v>3</v>
      </c>
      <c r="AB131" s="28">
        <f t="shared" si="52"/>
        <v>1</v>
      </c>
      <c r="AC131" s="28">
        <f t="shared" si="52"/>
        <v>2</v>
      </c>
      <c r="AD131" s="28">
        <f t="shared" ref="AD131:AF137" si="53">RANK(AD2,$AD2:$AF2)</f>
        <v>3</v>
      </c>
      <c r="AE131" s="28">
        <f t="shared" si="53"/>
        <v>1</v>
      </c>
      <c r="AF131" s="28">
        <f t="shared" si="53"/>
        <v>2</v>
      </c>
      <c r="AH131">
        <f t="shared" ref="AH131:AK137" si="54">RANK(AH2,$AH2:$AK2)</f>
        <v>1</v>
      </c>
      <c r="AI131">
        <f t="shared" si="54"/>
        <v>3</v>
      </c>
      <c r="AJ131">
        <f t="shared" si="54"/>
        <v>4</v>
      </c>
      <c r="AK131">
        <f t="shared" si="54"/>
        <v>2</v>
      </c>
      <c r="AL131">
        <f t="shared" ref="AL131:AO137" si="55">RANK(AL2,$AL2:$AO2)</f>
        <v>1</v>
      </c>
      <c r="AM131">
        <f t="shared" si="55"/>
        <v>3</v>
      </c>
      <c r="AN131">
        <f t="shared" si="55"/>
        <v>4</v>
      </c>
      <c r="AO131">
        <f t="shared" si="55"/>
        <v>2</v>
      </c>
      <c r="AQ131">
        <f t="shared" ref="AQ131:AT137" si="56">RANK(AQ2,$AQ2:$AT2)</f>
        <v>1</v>
      </c>
      <c r="AR131">
        <f t="shared" si="56"/>
        <v>2</v>
      </c>
      <c r="AS131">
        <f t="shared" si="56"/>
        <v>4</v>
      </c>
      <c r="AT131">
        <f t="shared" si="56"/>
        <v>3</v>
      </c>
      <c r="AU131">
        <f t="shared" ref="AU131:AX137" si="57">RANK(AU2,$AU2:$AX2)</f>
        <v>1</v>
      </c>
      <c r="AV131">
        <f t="shared" si="57"/>
        <v>2</v>
      </c>
      <c r="AW131">
        <f t="shared" si="57"/>
        <v>4</v>
      </c>
      <c r="AX131">
        <f t="shared" si="57"/>
        <v>3</v>
      </c>
      <c r="AZ131">
        <f t="shared" ref="AZ131:BC137" si="58">RANK(AZ2,$AZ2:$BC2)</f>
        <v>1</v>
      </c>
      <c r="BA131">
        <f t="shared" si="58"/>
        <v>2</v>
      </c>
      <c r="BB131">
        <f t="shared" si="58"/>
        <v>4</v>
      </c>
      <c r="BC131">
        <f t="shared" si="58"/>
        <v>3</v>
      </c>
      <c r="BD131">
        <f t="shared" ref="BD131:BG137" si="59">RANK(BD2,$BD2:$BG2)</f>
        <v>1</v>
      </c>
      <c r="BE131">
        <f t="shared" si="59"/>
        <v>2</v>
      </c>
      <c r="BF131">
        <f t="shared" si="59"/>
        <v>4</v>
      </c>
      <c r="BG131">
        <f t="shared" si="59"/>
        <v>3</v>
      </c>
      <c r="BI131">
        <f t="shared" ref="BI131:BL137" si="60">RANK(BI2,$BI2:$BL2)</f>
        <v>1</v>
      </c>
      <c r="BJ131">
        <f t="shared" si="60"/>
        <v>2</v>
      </c>
      <c r="BK131">
        <f t="shared" si="60"/>
        <v>4</v>
      </c>
      <c r="BL131">
        <f t="shared" si="60"/>
        <v>3</v>
      </c>
      <c r="BM131">
        <f t="shared" ref="BM131:BP137" si="61">RANK(BM2,$BM2:$BP2)</f>
        <v>1</v>
      </c>
      <c r="BN131">
        <f t="shared" si="61"/>
        <v>2</v>
      </c>
      <c r="BO131">
        <f t="shared" si="61"/>
        <v>4</v>
      </c>
      <c r="BP131">
        <f t="shared" si="61"/>
        <v>3</v>
      </c>
    </row>
    <row r="132" spans="1:68" x14ac:dyDescent="0.25">
      <c r="G132" s="3" t="s">
        <v>126</v>
      </c>
      <c r="H132" s="3"/>
      <c r="I132" s="3"/>
      <c r="O132" s="67" t="s">
        <v>279</v>
      </c>
      <c r="P132" s="68" t="s">
        <v>279</v>
      </c>
      <c r="Q132" s="68" t="s">
        <v>279</v>
      </c>
      <c r="R132" s="68" t="s">
        <v>279</v>
      </c>
      <c r="S132" s="68" t="s">
        <v>279</v>
      </c>
      <c r="T132" s="69" t="s">
        <v>279</v>
      </c>
      <c r="U132" s="70" t="s">
        <v>52</v>
      </c>
      <c r="V132" s="28">
        <f t="shared" si="48"/>
        <v>2</v>
      </c>
      <c r="W132" s="28">
        <f t="shared" si="49"/>
        <v>2</v>
      </c>
      <c r="X132" s="28">
        <f t="shared" si="50"/>
        <v>1</v>
      </c>
      <c r="Y132" s="28">
        <f t="shared" si="51"/>
        <v>1</v>
      </c>
      <c r="AA132" s="28">
        <f t="shared" si="52"/>
        <v>1</v>
      </c>
      <c r="AB132" s="28">
        <f t="shared" si="52"/>
        <v>2</v>
      </c>
      <c r="AC132" s="28">
        <f t="shared" si="52"/>
        <v>3</v>
      </c>
      <c r="AD132" s="28">
        <f t="shared" si="53"/>
        <v>1</v>
      </c>
      <c r="AE132" s="28">
        <f t="shared" si="53"/>
        <v>2</v>
      </c>
      <c r="AF132" s="28">
        <f t="shared" si="53"/>
        <v>3</v>
      </c>
      <c r="AH132">
        <f t="shared" si="54"/>
        <v>4</v>
      </c>
      <c r="AI132">
        <f t="shared" si="54"/>
        <v>3</v>
      </c>
      <c r="AJ132">
        <f t="shared" si="54"/>
        <v>2</v>
      </c>
      <c r="AK132">
        <f t="shared" si="54"/>
        <v>1</v>
      </c>
      <c r="AL132">
        <f t="shared" si="55"/>
        <v>4</v>
      </c>
      <c r="AM132">
        <f t="shared" si="55"/>
        <v>3</v>
      </c>
      <c r="AN132">
        <f t="shared" si="55"/>
        <v>2</v>
      </c>
      <c r="AO132">
        <f t="shared" si="55"/>
        <v>1</v>
      </c>
      <c r="AQ132">
        <f t="shared" si="56"/>
        <v>1</v>
      </c>
      <c r="AR132">
        <f t="shared" si="56"/>
        <v>2</v>
      </c>
      <c r="AS132">
        <f t="shared" si="56"/>
        <v>3</v>
      </c>
      <c r="AT132">
        <f t="shared" si="56"/>
        <v>4</v>
      </c>
      <c r="AU132">
        <f t="shared" si="57"/>
        <v>1</v>
      </c>
      <c r="AV132">
        <f t="shared" si="57"/>
        <v>2</v>
      </c>
      <c r="AW132">
        <f t="shared" si="57"/>
        <v>3</v>
      </c>
      <c r="AX132">
        <f t="shared" si="57"/>
        <v>4</v>
      </c>
      <c r="AZ132">
        <f t="shared" si="58"/>
        <v>1</v>
      </c>
      <c r="BA132">
        <f t="shared" si="58"/>
        <v>2</v>
      </c>
      <c r="BB132">
        <f t="shared" si="58"/>
        <v>3</v>
      </c>
      <c r="BC132">
        <f t="shared" si="58"/>
        <v>4</v>
      </c>
      <c r="BD132">
        <f t="shared" si="59"/>
        <v>1</v>
      </c>
      <c r="BE132">
        <f t="shared" si="59"/>
        <v>2</v>
      </c>
      <c r="BF132">
        <f t="shared" si="59"/>
        <v>3</v>
      </c>
      <c r="BG132">
        <f t="shared" si="59"/>
        <v>4</v>
      </c>
      <c r="BI132">
        <f t="shared" si="60"/>
        <v>1</v>
      </c>
      <c r="BJ132">
        <f t="shared" si="60"/>
        <v>3</v>
      </c>
      <c r="BK132">
        <f t="shared" si="60"/>
        <v>4</v>
      </c>
      <c r="BL132">
        <f t="shared" si="60"/>
        <v>2</v>
      </c>
      <c r="BM132">
        <f t="shared" si="61"/>
        <v>1</v>
      </c>
      <c r="BN132">
        <f t="shared" si="61"/>
        <v>3</v>
      </c>
      <c r="BO132">
        <f t="shared" si="61"/>
        <v>4</v>
      </c>
      <c r="BP132">
        <f t="shared" si="61"/>
        <v>2</v>
      </c>
    </row>
    <row r="133" spans="1:68" ht="15.75" x14ac:dyDescent="0.25">
      <c r="G133" s="31" t="s">
        <v>127</v>
      </c>
      <c r="H133" s="31"/>
      <c r="I133" s="31"/>
      <c r="J133" s="31" t="s">
        <v>128</v>
      </c>
      <c r="K133" s="31" t="s">
        <v>129</v>
      </c>
      <c r="O133" s="67" t="s">
        <v>279</v>
      </c>
      <c r="P133" s="68" t="s">
        <v>279</v>
      </c>
      <c r="Q133" s="68" t="s">
        <v>279</v>
      </c>
      <c r="R133" s="68" t="s">
        <v>279</v>
      </c>
      <c r="S133" s="68" t="s">
        <v>279</v>
      </c>
      <c r="T133" s="69" t="s">
        <v>280</v>
      </c>
      <c r="U133" s="70" t="s">
        <v>60</v>
      </c>
      <c r="V133" s="28">
        <f t="shared" si="48"/>
        <v>1</v>
      </c>
      <c r="W133" s="28">
        <f t="shared" si="49"/>
        <v>1</v>
      </c>
      <c r="X133" s="28">
        <f t="shared" si="50"/>
        <v>2</v>
      </c>
      <c r="Y133" s="28">
        <f t="shared" si="51"/>
        <v>2</v>
      </c>
      <c r="AA133" s="28">
        <f t="shared" si="52"/>
        <v>3</v>
      </c>
      <c r="AB133" s="28">
        <f t="shared" si="52"/>
        <v>1</v>
      </c>
      <c r="AC133" s="28">
        <f t="shared" si="52"/>
        <v>2</v>
      </c>
      <c r="AD133" s="28">
        <f t="shared" si="53"/>
        <v>3</v>
      </c>
      <c r="AE133" s="28">
        <f t="shared" si="53"/>
        <v>1</v>
      </c>
      <c r="AF133" s="28">
        <f t="shared" si="53"/>
        <v>2</v>
      </c>
      <c r="AH133" s="34">
        <f t="shared" si="54"/>
        <v>2</v>
      </c>
      <c r="AI133" s="35">
        <f t="shared" si="54"/>
        <v>3</v>
      </c>
      <c r="AJ133" s="35">
        <f t="shared" si="54"/>
        <v>4</v>
      </c>
      <c r="AK133">
        <f t="shared" si="54"/>
        <v>1</v>
      </c>
      <c r="AL133">
        <f t="shared" si="55"/>
        <v>4</v>
      </c>
      <c r="AM133">
        <f t="shared" si="55"/>
        <v>2</v>
      </c>
      <c r="AN133">
        <f t="shared" si="55"/>
        <v>2</v>
      </c>
      <c r="AO133">
        <f t="shared" si="55"/>
        <v>1</v>
      </c>
      <c r="AQ133">
        <f t="shared" si="56"/>
        <v>1</v>
      </c>
      <c r="AR133">
        <f t="shared" si="56"/>
        <v>4</v>
      </c>
      <c r="AS133">
        <f t="shared" si="56"/>
        <v>2</v>
      </c>
      <c r="AT133" s="35">
        <f t="shared" si="56"/>
        <v>3</v>
      </c>
      <c r="AU133">
        <f t="shared" si="57"/>
        <v>1</v>
      </c>
      <c r="AV133">
        <f t="shared" si="57"/>
        <v>4</v>
      </c>
      <c r="AW133">
        <f t="shared" si="57"/>
        <v>2</v>
      </c>
      <c r="AX133">
        <f t="shared" si="57"/>
        <v>2</v>
      </c>
      <c r="AZ133">
        <f t="shared" si="58"/>
        <v>1</v>
      </c>
      <c r="BA133" s="34">
        <f t="shared" si="58"/>
        <v>2</v>
      </c>
      <c r="BB133" s="34">
        <f t="shared" si="58"/>
        <v>3</v>
      </c>
      <c r="BC133" s="35">
        <f t="shared" si="58"/>
        <v>4</v>
      </c>
      <c r="BD133">
        <f t="shared" si="59"/>
        <v>1</v>
      </c>
      <c r="BE133">
        <f t="shared" si="59"/>
        <v>3</v>
      </c>
      <c r="BF133">
        <f t="shared" si="59"/>
        <v>2</v>
      </c>
      <c r="BG133">
        <f t="shared" si="59"/>
        <v>3</v>
      </c>
      <c r="BI133">
        <f t="shared" si="60"/>
        <v>1</v>
      </c>
      <c r="BJ133">
        <f t="shared" si="60"/>
        <v>2</v>
      </c>
      <c r="BK133" s="35">
        <f t="shared" si="60"/>
        <v>3</v>
      </c>
      <c r="BL133" s="35">
        <f t="shared" si="60"/>
        <v>4</v>
      </c>
      <c r="BM133">
        <f t="shared" si="61"/>
        <v>1</v>
      </c>
      <c r="BN133">
        <f t="shared" si="61"/>
        <v>2</v>
      </c>
      <c r="BO133">
        <f t="shared" si="61"/>
        <v>2</v>
      </c>
      <c r="BP133">
        <f t="shared" si="61"/>
        <v>2</v>
      </c>
    </row>
    <row r="134" spans="1:68" ht="15.75" x14ac:dyDescent="0.25">
      <c r="G134">
        <v>0.1</v>
      </c>
      <c r="J134">
        <v>4</v>
      </c>
      <c r="K134" t="s">
        <v>130</v>
      </c>
      <c r="O134" s="67" t="s">
        <v>279</v>
      </c>
      <c r="P134" s="68" t="s">
        <v>279</v>
      </c>
      <c r="Q134" s="68" t="s">
        <v>279</v>
      </c>
      <c r="R134" s="68" t="s">
        <v>279</v>
      </c>
      <c r="S134" s="68" t="s">
        <v>279</v>
      </c>
      <c r="T134" s="69" t="s">
        <v>279</v>
      </c>
      <c r="U134" s="70" t="s">
        <v>69</v>
      </c>
      <c r="V134" s="28">
        <f t="shared" si="48"/>
        <v>2</v>
      </c>
      <c r="W134" s="28">
        <f t="shared" si="49"/>
        <v>2</v>
      </c>
      <c r="X134" s="28">
        <f t="shared" si="50"/>
        <v>1</v>
      </c>
      <c r="Y134" s="28">
        <f t="shared" si="51"/>
        <v>1</v>
      </c>
      <c r="AA134" s="28">
        <f t="shared" si="52"/>
        <v>2</v>
      </c>
      <c r="AB134" s="28">
        <f t="shared" si="52"/>
        <v>1</v>
      </c>
      <c r="AC134" s="28">
        <f t="shared" si="52"/>
        <v>3</v>
      </c>
      <c r="AD134" s="28">
        <f t="shared" si="53"/>
        <v>2</v>
      </c>
      <c r="AE134" s="28">
        <f t="shared" si="53"/>
        <v>1</v>
      </c>
      <c r="AF134" s="28">
        <f t="shared" si="53"/>
        <v>3</v>
      </c>
      <c r="AH134">
        <f t="shared" si="54"/>
        <v>4</v>
      </c>
      <c r="AI134">
        <f t="shared" si="54"/>
        <v>2</v>
      </c>
      <c r="AJ134">
        <f t="shared" si="54"/>
        <v>2</v>
      </c>
      <c r="AK134">
        <f t="shared" si="54"/>
        <v>1</v>
      </c>
      <c r="AL134">
        <f t="shared" si="55"/>
        <v>4</v>
      </c>
      <c r="AM134">
        <f t="shared" si="55"/>
        <v>2</v>
      </c>
      <c r="AN134">
        <f t="shared" si="55"/>
        <v>2</v>
      </c>
      <c r="AO134">
        <f t="shared" si="55"/>
        <v>1</v>
      </c>
      <c r="AQ134">
        <f t="shared" si="56"/>
        <v>4</v>
      </c>
      <c r="AR134">
        <f t="shared" si="56"/>
        <v>1</v>
      </c>
      <c r="AS134">
        <f t="shared" si="56"/>
        <v>3</v>
      </c>
      <c r="AT134">
        <f t="shared" si="56"/>
        <v>2</v>
      </c>
      <c r="AU134">
        <f t="shared" si="57"/>
        <v>4</v>
      </c>
      <c r="AV134">
        <f t="shared" si="57"/>
        <v>1</v>
      </c>
      <c r="AW134">
        <f t="shared" si="57"/>
        <v>3</v>
      </c>
      <c r="AX134">
        <f t="shared" si="57"/>
        <v>2</v>
      </c>
      <c r="AZ134" s="35">
        <f t="shared" si="58"/>
        <v>4</v>
      </c>
      <c r="BA134">
        <f t="shared" si="58"/>
        <v>1</v>
      </c>
      <c r="BB134" s="35">
        <f t="shared" si="58"/>
        <v>3</v>
      </c>
      <c r="BC134">
        <f t="shared" si="58"/>
        <v>2</v>
      </c>
      <c r="BD134">
        <f t="shared" si="59"/>
        <v>2</v>
      </c>
      <c r="BE134">
        <f t="shared" si="59"/>
        <v>1</v>
      </c>
      <c r="BF134">
        <f t="shared" si="59"/>
        <v>2</v>
      </c>
      <c r="BG134">
        <f t="shared" si="59"/>
        <v>2</v>
      </c>
      <c r="BI134">
        <f t="shared" si="60"/>
        <v>2</v>
      </c>
      <c r="BJ134" s="35">
        <f t="shared" si="60"/>
        <v>3</v>
      </c>
      <c r="BK134">
        <f t="shared" si="60"/>
        <v>4</v>
      </c>
      <c r="BL134">
        <f t="shared" si="60"/>
        <v>1</v>
      </c>
      <c r="BM134">
        <f t="shared" si="61"/>
        <v>2</v>
      </c>
      <c r="BN134">
        <f t="shared" si="61"/>
        <v>2</v>
      </c>
      <c r="BO134">
        <f t="shared" si="61"/>
        <v>4</v>
      </c>
      <c r="BP134">
        <f t="shared" si="61"/>
        <v>1</v>
      </c>
    </row>
    <row r="135" spans="1:68" ht="15.75" x14ac:dyDescent="0.25">
      <c r="G135">
        <v>0.2</v>
      </c>
      <c r="J135">
        <v>3</v>
      </c>
      <c r="K135" t="s">
        <v>131</v>
      </c>
      <c r="O135" s="67" t="s">
        <v>279</v>
      </c>
      <c r="P135" s="68" t="s">
        <v>279</v>
      </c>
      <c r="Q135" s="68" t="s">
        <v>279</v>
      </c>
      <c r="R135" s="68" t="s">
        <v>279</v>
      </c>
      <c r="S135" s="68" t="s">
        <v>279</v>
      </c>
      <c r="T135" s="69" t="s">
        <v>279</v>
      </c>
      <c r="U135" s="70" t="s">
        <v>78</v>
      </c>
      <c r="V135" s="28">
        <f t="shared" si="48"/>
        <v>2</v>
      </c>
      <c r="W135" s="28">
        <f t="shared" si="49"/>
        <v>2</v>
      </c>
      <c r="X135" s="28">
        <f t="shared" si="50"/>
        <v>1</v>
      </c>
      <c r="Y135" s="28">
        <f t="shared" si="51"/>
        <v>1</v>
      </c>
      <c r="AA135" s="28">
        <f t="shared" si="52"/>
        <v>3</v>
      </c>
      <c r="AB135" s="28">
        <f t="shared" si="52"/>
        <v>1</v>
      </c>
      <c r="AC135" s="28">
        <f t="shared" si="52"/>
        <v>2</v>
      </c>
      <c r="AD135" s="28">
        <f t="shared" si="53"/>
        <v>3</v>
      </c>
      <c r="AE135" s="28">
        <f t="shared" si="53"/>
        <v>1</v>
      </c>
      <c r="AF135" s="28">
        <f t="shared" si="53"/>
        <v>2</v>
      </c>
      <c r="AH135">
        <f t="shared" si="54"/>
        <v>4</v>
      </c>
      <c r="AI135">
        <f t="shared" si="54"/>
        <v>1</v>
      </c>
      <c r="AJ135" s="35">
        <f t="shared" si="54"/>
        <v>3</v>
      </c>
      <c r="AK135" s="35">
        <f t="shared" si="54"/>
        <v>2</v>
      </c>
      <c r="AL135">
        <f t="shared" si="55"/>
        <v>4</v>
      </c>
      <c r="AM135">
        <f t="shared" si="55"/>
        <v>1</v>
      </c>
      <c r="AN135">
        <f t="shared" si="55"/>
        <v>1</v>
      </c>
      <c r="AO135">
        <f t="shared" si="55"/>
        <v>1</v>
      </c>
      <c r="AQ135">
        <f t="shared" si="56"/>
        <v>3</v>
      </c>
      <c r="AR135">
        <f t="shared" si="56"/>
        <v>1</v>
      </c>
      <c r="AS135">
        <f t="shared" si="56"/>
        <v>4</v>
      </c>
      <c r="AT135">
        <f t="shared" si="56"/>
        <v>2</v>
      </c>
      <c r="AU135">
        <f t="shared" si="57"/>
        <v>3</v>
      </c>
      <c r="AV135">
        <f t="shared" si="57"/>
        <v>1</v>
      </c>
      <c r="AW135">
        <f t="shared" si="57"/>
        <v>4</v>
      </c>
      <c r="AX135">
        <f t="shared" si="57"/>
        <v>2</v>
      </c>
      <c r="AZ135" s="35">
        <f t="shared" si="58"/>
        <v>2</v>
      </c>
      <c r="BA135">
        <f t="shared" si="58"/>
        <v>1</v>
      </c>
      <c r="BB135" s="35">
        <f t="shared" si="58"/>
        <v>3</v>
      </c>
      <c r="BC135">
        <f t="shared" si="58"/>
        <v>4</v>
      </c>
      <c r="BD135">
        <f t="shared" si="59"/>
        <v>1</v>
      </c>
      <c r="BE135">
        <f t="shared" si="59"/>
        <v>1</v>
      </c>
      <c r="BF135">
        <f t="shared" si="59"/>
        <v>1</v>
      </c>
      <c r="BG135">
        <f t="shared" si="59"/>
        <v>4</v>
      </c>
      <c r="BI135">
        <f t="shared" si="60"/>
        <v>1</v>
      </c>
      <c r="BJ135">
        <f t="shared" si="60"/>
        <v>2</v>
      </c>
      <c r="BK135">
        <f t="shared" si="60"/>
        <v>4</v>
      </c>
      <c r="BL135" s="35">
        <f t="shared" si="60"/>
        <v>3</v>
      </c>
      <c r="BM135">
        <f t="shared" si="61"/>
        <v>1</v>
      </c>
      <c r="BN135">
        <f t="shared" si="61"/>
        <v>2</v>
      </c>
      <c r="BO135">
        <f t="shared" si="61"/>
        <v>4</v>
      </c>
      <c r="BP135">
        <f t="shared" si="61"/>
        <v>2</v>
      </c>
    </row>
    <row r="136" spans="1:68" ht="15.75" x14ac:dyDescent="0.25">
      <c r="G136">
        <v>2</v>
      </c>
      <c r="J136">
        <v>2</v>
      </c>
      <c r="K136" t="s">
        <v>132</v>
      </c>
      <c r="O136" s="67" t="s">
        <v>279</v>
      </c>
      <c r="P136" s="68" t="s">
        <v>279</v>
      </c>
      <c r="Q136" s="68" t="s">
        <v>279</v>
      </c>
      <c r="R136" s="68" t="s">
        <v>279</v>
      </c>
      <c r="S136" s="68" t="s">
        <v>279</v>
      </c>
      <c r="T136" s="69" t="s">
        <v>279</v>
      </c>
      <c r="U136" s="70" t="s">
        <v>84</v>
      </c>
      <c r="V136" s="28">
        <f t="shared" si="48"/>
        <v>2</v>
      </c>
      <c r="W136" s="28">
        <f t="shared" si="49"/>
        <v>2</v>
      </c>
      <c r="X136" s="28">
        <f t="shared" si="50"/>
        <v>1</v>
      </c>
      <c r="Y136" s="28">
        <f t="shared" si="51"/>
        <v>1</v>
      </c>
      <c r="AA136" s="28">
        <f t="shared" si="52"/>
        <v>3</v>
      </c>
      <c r="AB136" s="28">
        <f t="shared" si="52"/>
        <v>1</v>
      </c>
      <c r="AC136" s="28">
        <f t="shared" si="52"/>
        <v>2</v>
      </c>
      <c r="AD136" s="28">
        <f t="shared" si="53"/>
        <v>3</v>
      </c>
      <c r="AE136" s="28">
        <f t="shared" si="53"/>
        <v>1</v>
      </c>
      <c r="AF136" s="28">
        <f t="shared" si="53"/>
        <v>2</v>
      </c>
      <c r="AH136">
        <f t="shared" si="54"/>
        <v>4</v>
      </c>
      <c r="AI136">
        <f t="shared" si="54"/>
        <v>1</v>
      </c>
      <c r="AJ136">
        <f t="shared" si="54"/>
        <v>3</v>
      </c>
      <c r="AK136">
        <f t="shared" si="54"/>
        <v>2</v>
      </c>
      <c r="AL136">
        <f t="shared" si="55"/>
        <v>4</v>
      </c>
      <c r="AM136">
        <f t="shared" si="55"/>
        <v>1</v>
      </c>
      <c r="AN136">
        <f t="shared" si="55"/>
        <v>3</v>
      </c>
      <c r="AO136">
        <f t="shared" si="55"/>
        <v>2</v>
      </c>
      <c r="AQ136">
        <f t="shared" si="56"/>
        <v>1</v>
      </c>
      <c r="AR136">
        <f t="shared" si="56"/>
        <v>2</v>
      </c>
      <c r="AS136">
        <f t="shared" si="56"/>
        <v>4</v>
      </c>
      <c r="AT136">
        <f t="shared" si="56"/>
        <v>3</v>
      </c>
      <c r="AU136">
        <f t="shared" si="57"/>
        <v>1</v>
      </c>
      <c r="AV136">
        <f t="shared" si="57"/>
        <v>2</v>
      </c>
      <c r="AW136">
        <f t="shared" si="57"/>
        <v>4</v>
      </c>
      <c r="AX136">
        <f t="shared" si="57"/>
        <v>3</v>
      </c>
      <c r="AZ136">
        <f t="shared" si="58"/>
        <v>1</v>
      </c>
      <c r="BA136">
        <f t="shared" si="58"/>
        <v>2</v>
      </c>
      <c r="BB136">
        <f t="shared" si="58"/>
        <v>3</v>
      </c>
      <c r="BC136" s="35">
        <f t="shared" si="58"/>
        <v>4</v>
      </c>
      <c r="BD136">
        <f t="shared" si="59"/>
        <v>1</v>
      </c>
      <c r="BE136">
        <f t="shared" si="59"/>
        <v>2</v>
      </c>
      <c r="BF136">
        <f t="shared" si="59"/>
        <v>3</v>
      </c>
      <c r="BG136">
        <f t="shared" si="59"/>
        <v>3</v>
      </c>
      <c r="BI136">
        <f t="shared" si="60"/>
        <v>1</v>
      </c>
      <c r="BJ136">
        <f t="shared" si="60"/>
        <v>2</v>
      </c>
      <c r="BK136">
        <f t="shared" si="60"/>
        <v>4</v>
      </c>
      <c r="BL136">
        <f t="shared" si="60"/>
        <v>3</v>
      </c>
      <c r="BM136">
        <f t="shared" si="61"/>
        <v>1</v>
      </c>
      <c r="BN136">
        <f t="shared" si="61"/>
        <v>2</v>
      </c>
      <c r="BO136">
        <f t="shared" si="61"/>
        <v>4</v>
      </c>
      <c r="BP136">
        <f t="shared" si="61"/>
        <v>3</v>
      </c>
    </row>
    <row r="137" spans="1:68" ht="16.5" thickBot="1" x14ac:dyDescent="0.3">
      <c r="O137" s="67" t="s">
        <v>279</v>
      </c>
      <c r="P137" s="68" t="s">
        <v>279</v>
      </c>
      <c r="Q137" s="68" t="s">
        <v>279</v>
      </c>
      <c r="R137" s="68" t="s">
        <v>279</v>
      </c>
      <c r="S137" s="68" t="s">
        <v>279</v>
      </c>
      <c r="T137" s="69" t="s">
        <v>279</v>
      </c>
      <c r="U137" s="71" t="s">
        <v>89</v>
      </c>
      <c r="V137" s="28">
        <f t="shared" si="48"/>
        <v>2</v>
      </c>
      <c r="W137" s="28">
        <f t="shared" si="49"/>
        <v>2</v>
      </c>
      <c r="X137" s="28">
        <f t="shared" si="50"/>
        <v>1</v>
      </c>
      <c r="Y137" s="28">
        <f t="shared" si="51"/>
        <v>1</v>
      </c>
      <c r="AA137" s="28">
        <f t="shared" si="52"/>
        <v>2</v>
      </c>
      <c r="AB137" s="28">
        <f t="shared" si="52"/>
        <v>1</v>
      </c>
      <c r="AC137" s="28">
        <f t="shared" si="52"/>
        <v>3</v>
      </c>
      <c r="AD137" s="28">
        <f t="shared" si="53"/>
        <v>2</v>
      </c>
      <c r="AE137" s="28">
        <f t="shared" si="53"/>
        <v>1</v>
      </c>
      <c r="AF137" s="28">
        <f t="shared" si="53"/>
        <v>3</v>
      </c>
      <c r="AH137">
        <f t="shared" si="54"/>
        <v>4</v>
      </c>
      <c r="AI137" s="35">
        <f t="shared" si="54"/>
        <v>3</v>
      </c>
      <c r="AJ137">
        <f t="shared" si="54"/>
        <v>2</v>
      </c>
      <c r="AK137">
        <f t="shared" si="54"/>
        <v>1</v>
      </c>
      <c r="AL137">
        <f t="shared" si="55"/>
        <v>4</v>
      </c>
      <c r="AM137">
        <f t="shared" si="55"/>
        <v>2</v>
      </c>
      <c r="AN137">
        <f t="shared" si="55"/>
        <v>2</v>
      </c>
      <c r="AO137">
        <f t="shared" si="55"/>
        <v>1</v>
      </c>
      <c r="AQ137">
        <f t="shared" si="56"/>
        <v>1</v>
      </c>
      <c r="AR137">
        <f t="shared" si="56"/>
        <v>3</v>
      </c>
      <c r="AS137">
        <f t="shared" si="56"/>
        <v>4</v>
      </c>
      <c r="AT137">
        <f t="shared" si="56"/>
        <v>2</v>
      </c>
      <c r="AU137">
        <f t="shared" si="57"/>
        <v>1</v>
      </c>
      <c r="AV137">
        <f t="shared" si="57"/>
        <v>3</v>
      </c>
      <c r="AW137">
        <f t="shared" si="57"/>
        <v>4</v>
      </c>
      <c r="AX137">
        <f t="shared" si="57"/>
        <v>2</v>
      </c>
      <c r="AZ137">
        <f t="shared" si="58"/>
        <v>1</v>
      </c>
      <c r="BA137">
        <f t="shared" si="58"/>
        <v>2</v>
      </c>
      <c r="BB137">
        <f t="shared" si="58"/>
        <v>3</v>
      </c>
      <c r="BC137">
        <f t="shared" si="58"/>
        <v>4</v>
      </c>
      <c r="BD137">
        <f t="shared" si="59"/>
        <v>1</v>
      </c>
      <c r="BE137">
        <f t="shared" si="59"/>
        <v>2</v>
      </c>
      <c r="BF137">
        <f t="shared" si="59"/>
        <v>3</v>
      </c>
      <c r="BG137">
        <f t="shared" si="59"/>
        <v>4</v>
      </c>
      <c r="BI137">
        <f t="shared" si="60"/>
        <v>1</v>
      </c>
      <c r="BJ137">
        <f t="shared" si="60"/>
        <v>3</v>
      </c>
      <c r="BK137">
        <f t="shared" si="60"/>
        <v>4</v>
      </c>
      <c r="BL137">
        <f t="shared" si="60"/>
        <v>2</v>
      </c>
      <c r="BM137">
        <f t="shared" si="61"/>
        <v>1</v>
      </c>
      <c r="BN137">
        <f t="shared" si="61"/>
        <v>3</v>
      </c>
      <c r="BO137">
        <f t="shared" si="61"/>
        <v>4</v>
      </c>
      <c r="BP137">
        <f t="shared" si="61"/>
        <v>2</v>
      </c>
    </row>
    <row r="138" spans="1:68" s="48" customFormat="1" ht="15.75" x14ac:dyDescent="0.25">
      <c r="A138" s="63"/>
      <c r="B138" s="63"/>
      <c r="C138" s="63"/>
      <c r="D138" s="63"/>
      <c r="E138" s="63"/>
      <c r="F138" s="63"/>
      <c r="O138" s="67" t="s">
        <v>281</v>
      </c>
      <c r="P138" s="68" t="s">
        <v>281</v>
      </c>
      <c r="Q138" s="68" t="s">
        <v>279</v>
      </c>
      <c r="R138" s="68" t="s">
        <v>281</v>
      </c>
      <c r="S138" s="68" t="s">
        <v>281</v>
      </c>
      <c r="T138" s="69" t="s">
        <v>281</v>
      </c>
      <c r="U138" s="70" t="s">
        <v>155</v>
      </c>
      <c r="V138" s="56">
        <f t="shared" ref="V138:V162" si="62">RANK(W9,V9:W9)</f>
        <v>2</v>
      </c>
      <c r="W138" s="56">
        <f t="shared" ref="W138:W162" si="63">RANK(X9,X9:Y9)</f>
        <v>2</v>
      </c>
      <c r="X138" s="56">
        <f t="shared" ref="X138:X162" si="64">RANK(V9,V9:W9)</f>
        <v>1</v>
      </c>
      <c r="Y138" s="56">
        <f t="shared" ref="Y138:Y162" si="65">RANK(Y9,X9:Y9)</f>
        <v>1</v>
      </c>
      <c r="Z138" s="57"/>
      <c r="AA138" s="56">
        <f t="shared" ref="AA138:AC162" si="66">RANK(AA9,$AA9:$AC9)</f>
        <v>2</v>
      </c>
      <c r="AB138" s="56">
        <f t="shared" si="66"/>
        <v>1</v>
      </c>
      <c r="AC138" s="56">
        <f t="shared" si="66"/>
        <v>3</v>
      </c>
      <c r="AD138" s="56">
        <f t="shared" ref="AD138:AF162" si="67">RANK(AD9,$AD9:$AF9)</f>
        <v>2</v>
      </c>
      <c r="AE138" s="56">
        <f t="shared" si="67"/>
        <v>1</v>
      </c>
      <c r="AF138" s="56">
        <f t="shared" si="67"/>
        <v>3</v>
      </c>
      <c r="AG138" s="57"/>
      <c r="AH138" s="57">
        <f t="shared" ref="AH138:AK139" si="68">RANK(AH9,$AH9:$AK9)</f>
        <v>4</v>
      </c>
      <c r="AI138" s="58">
        <f t="shared" si="68"/>
        <v>2</v>
      </c>
      <c r="AJ138" s="57">
        <f t="shared" si="68"/>
        <v>3</v>
      </c>
      <c r="AK138" s="57">
        <f t="shared" si="68"/>
        <v>1</v>
      </c>
      <c r="AL138" s="57">
        <f t="shared" ref="AL138:AO162" si="69">RANK(AL9,$AL9:$AO9)</f>
        <v>4</v>
      </c>
      <c r="AM138" s="57">
        <f t="shared" si="69"/>
        <v>3</v>
      </c>
      <c r="AN138" s="57">
        <f t="shared" si="69"/>
        <v>2</v>
      </c>
      <c r="AO138" s="57">
        <f t="shared" si="69"/>
        <v>1</v>
      </c>
      <c r="AP138" s="57"/>
      <c r="AQ138" s="57">
        <f t="shared" ref="AQ138:AT162" si="70">RANK(AQ9,$AQ9:$AT9)</f>
        <v>3</v>
      </c>
      <c r="AR138" s="57">
        <f t="shared" si="70"/>
        <v>2</v>
      </c>
      <c r="AS138" s="57">
        <f t="shared" si="70"/>
        <v>1</v>
      </c>
      <c r="AT138" s="57">
        <f t="shared" si="70"/>
        <v>4</v>
      </c>
      <c r="AU138" s="57">
        <f t="shared" ref="AU138:AX162" si="71">RANK(AU9,$AU9:$AX9)</f>
        <v>3</v>
      </c>
      <c r="AV138" s="57">
        <f t="shared" si="71"/>
        <v>2</v>
      </c>
      <c r="AW138" s="57">
        <f t="shared" si="71"/>
        <v>1</v>
      </c>
      <c r="AX138" s="57">
        <f t="shared" si="71"/>
        <v>4</v>
      </c>
      <c r="AY138" s="57"/>
      <c r="AZ138" s="57">
        <f t="shared" ref="AZ138:BC162" si="72">RANK(AZ9,$AZ9:$BC9)</f>
        <v>3</v>
      </c>
      <c r="BA138" s="57">
        <f t="shared" si="72"/>
        <v>1</v>
      </c>
      <c r="BB138" s="57">
        <f t="shared" si="72"/>
        <v>2</v>
      </c>
      <c r="BC138" s="57">
        <f t="shared" si="72"/>
        <v>4</v>
      </c>
      <c r="BD138" s="57">
        <f t="shared" ref="BD138:BG162" si="73">RANK(BD9,$BD9:$BG9)</f>
        <v>3</v>
      </c>
      <c r="BE138" s="57">
        <f t="shared" si="73"/>
        <v>1</v>
      </c>
      <c r="BF138" s="57">
        <f t="shared" si="73"/>
        <v>2</v>
      </c>
      <c r="BG138" s="57">
        <f t="shared" si="73"/>
        <v>4</v>
      </c>
      <c r="BH138" s="57"/>
      <c r="BI138" s="57">
        <f t="shared" ref="BI138:BL162" si="74">RANK(BI9,$BI9:$BL9)</f>
        <v>1</v>
      </c>
      <c r="BJ138" s="57">
        <f t="shared" si="74"/>
        <v>4</v>
      </c>
      <c r="BK138" s="57">
        <f t="shared" si="74"/>
        <v>3</v>
      </c>
      <c r="BL138" s="57">
        <f t="shared" si="74"/>
        <v>2</v>
      </c>
      <c r="BM138" s="57">
        <f t="shared" ref="BM138:BP162" si="75">RANK(BM9,$BM9:$BP9)</f>
        <v>1</v>
      </c>
      <c r="BN138" s="57">
        <f t="shared" si="75"/>
        <v>4</v>
      </c>
      <c r="BO138" s="57">
        <f t="shared" si="75"/>
        <v>3</v>
      </c>
      <c r="BP138" s="57">
        <f t="shared" si="75"/>
        <v>2</v>
      </c>
    </row>
    <row r="139" spans="1:68" s="83" customFormat="1" ht="16.5" thickBot="1" x14ac:dyDescent="0.3">
      <c r="A139" s="74"/>
      <c r="B139" s="74"/>
      <c r="C139" s="74"/>
      <c r="D139" s="74"/>
      <c r="E139" s="74"/>
      <c r="F139" s="74"/>
      <c r="G139" s="13"/>
      <c r="H139" s="13"/>
      <c r="I139" s="13"/>
      <c r="J139" s="13"/>
      <c r="K139" s="13"/>
      <c r="L139" s="13"/>
      <c r="M139" s="13"/>
      <c r="N139" s="13" t="s">
        <v>283</v>
      </c>
      <c r="O139" s="75" t="s">
        <v>280</v>
      </c>
      <c r="P139" s="76" t="s">
        <v>280</v>
      </c>
      <c r="Q139" s="76" t="s">
        <v>280</v>
      </c>
      <c r="R139" s="76" t="s">
        <v>280</v>
      </c>
      <c r="S139" s="76" t="s">
        <v>280</v>
      </c>
      <c r="T139" s="77" t="s">
        <v>280</v>
      </c>
      <c r="U139" s="71" t="s">
        <v>158</v>
      </c>
      <c r="V139" s="78">
        <f t="shared" si="62"/>
        <v>2</v>
      </c>
      <c r="W139" s="78" t="e">
        <f t="shared" si="63"/>
        <v>#N/A</v>
      </c>
      <c r="X139" s="78">
        <f t="shared" si="64"/>
        <v>1</v>
      </c>
      <c r="Y139" s="78" t="e">
        <f t="shared" si="65"/>
        <v>#N/A</v>
      </c>
      <c r="Z139" s="79"/>
      <c r="AA139" s="78">
        <f t="shared" si="66"/>
        <v>2</v>
      </c>
      <c r="AB139" s="78">
        <f t="shared" si="66"/>
        <v>1</v>
      </c>
      <c r="AC139" s="80">
        <f t="shared" si="66"/>
        <v>3</v>
      </c>
      <c r="AD139" s="78" t="e">
        <f t="shared" si="67"/>
        <v>#N/A</v>
      </c>
      <c r="AE139" s="78" t="e">
        <f t="shared" si="67"/>
        <v>#N/A</v>
      </c>
      <c r="AF139" s="78" t="e">
        <f t="shared" si="67"/>
        <v>#N/A</v>
      </c>
      <c r="AG139" s="79"/>
      <c r="AH139" s="79">
        <f>RANK(AH10,$AH10:$AK10)</f>
        <v>1</v>
      </c>
      <c r="AI139" s="81">
        <f t="shared" si="68"/>
        <v>4</v>
      </c>
      <c r="AJ139" s="81">
        <f t="shared" si="68"/>
        <v>3</v>
      </c>
      <c r="AK139" s="79">
        <f>RANK(AK10,$AH10:$AK10)</f>
        <v>2</v>
      </c>
      <c r="AL139" s="79" t="e">
        <f t="shared" si="69"/>
        <v>#N/A</v>
      </c>
      <c r="AM139" s="79" t="e">
        <f t="shared" si="69"/>
        <v>#N/A</v>
      </c>
      <c r="AN139" s="79" t="e">
        <f t="shared" si="69"/>
        <v>#N/A</v>
      </c>
      <c r="AO139" s="79" t="e">
        <f t="shared" si="69"/>
        <v>#N/A</v>
      </c>
      <c r="AP139" s="79"/>
      <c r="AQ139" s="82">
        <f t="shared" si="70"/>
        <v>3</v>
      </c>
      <c r="AR139" s="79">
        <f t="shared" si="70"/>
        <v>1</v>
      </c>
      <c r="AS139" s="79">
        <f t="shared" si="70"/>
        <v>2</v>
      </c>
      <c r="AT139" s="82">
        <f t="shared" si="70"/>
        <v>4</v>
      </c>
      <c r="AU139" s="79" t="e">
        <f t="shared" si="71"/>
        <v>#N/A</v>
      </c>
      <c r="AV139" s="79" t="e">
        <f t="shared" si="71"/>
        <v>#N/A</v>
      </c>
      <c r="AW139" s="79" t="e">
        <f t="shared" si="71"/>
        <v>#N/A</v>
      </c>
      <c r="AX139" s="79" t="e">
        <f t="shared" si="71"/>
        <v>#N/A</v>
      </c>
      <c r="AY139" s="79"/>
      <c r="AZ139" s="79">
        <f t="shared" si="72"/>
        <v>2</v>
      </c>
      <c r="BA139" s="79">
        <f t="shared" si="72"/>
        <v>1</v>
      </c>
      <c r="BB139" s="82">
        <f t="shared" si="72"/>
        <v>3</v>
      </c>
      <c r="BC139" s="82">
        <f t="shared" si="72"/>
        <v>4</v>
      </c>
      <c r="BD139" s="79" t="e">
        <f t="shared" si="73"/>
        <v>#N/A</v>
      </c>
      <c r="BE139" s="79" t="e">
        <f t="shared" si="73"/>
        <v>#N/A</v>
      </c>
      <c r="BF139" s="79" t="e">
        <f t="shared" si="73"/>
        <v>#N/A</v>
      </c>
      <c r="BG139" s="79" t="e">
        <f t="shared" si="73"/>
        <v>#N/A</v>
      </c>
      <c r="BH139" s="79"/>
      <c r="BI139" s="79">
        <f t="shared" si="74"/>
        <v>2</v>
      </c>
      <c r="BJ139" s="82">
        <f t="shared" si="74"/>
        <v>4</v>
      </c>
      <c r="BK139" s="82">
        <f t="shared" si="74"/>
        <v>3</v>
      </c>
      <c r="BL139" s="79">
        <f t="shared" si="74"/>
        <v>1</v>
      </c>
      <c r="BM139" s="79" t="e">
        <f t="shared" si="75"/>
        <v>#N/A</v>
      </c>
      <c r="BN139" s="79" t="e">
        <f t="shared" si="75"/>
        <v>#N/A</v>
      </c>
      <c r="BO139" s="79" t="e">
        <f t="shared" si="75"/>
        <v>#N/A</v>
      </c>
      <c r="BP139" s="79" t="e">
        <f t="shared" si="75"/>
        <v>#N/A</v>
      </c>
    </row>
    <row r="140" spans="1:68" s="55" customFormat="1" x14ac:dyDescent="0.25">
      <c r="A140" s="28"/>
      <c r="B140" s="28"/>
      <c r="C140" s="28"/>
      <c r="D140" s="28"/>
      <c r="E140" s="28"/>
      <c r="F140" s="28"/>
      <c r="G140"/>
      <c r="H140"/>
      <c r="I140"/>
      <c r="J140"/>
      <c r="K140"/>
      <c r="L140"/>
      <c r="M140"/>
      <c r="N140" t="s">
        <v>284</v>
      </c>
      <c r="O140" s="67" t="s">
        <v>279</v>
      </c>
      <c r="P140" s="68" t="s">
        <v>279</v>
      </c>
      <c r="Q140" s="68" t="s">
        <v>279</v>
      </c>
      <c r="R140" s="68" t="s">
        <v>279</v>
      </c>
      <c r="S140" s="68" t="s">
        <v>279</v>
      </c>
      <c r="T140" s="69" t="s">
        <v>279</v>
      </c>
      <c r="U140" s="70" t="s">
        <v>159</v>
      </c>
      <c r="V140" s="54">
        <f t="shared" si="62"/>
        <v>1</v>
      </c>
      <c r="W140" s="54">
        <f>RANK(X11,X11:Y11)</f>
        <v>1</v>
      </c>
      <c r="X140" s="54">
        <f t="shared" si="64"/>
        <v>2</v>
      </c>
      <c r="Y140" s="54">
        <f t="shared" si="65"/>
        <v>2</v>
      </c>
      <c r="AA140" s="54">
        <f t="shared" si="66"/>
        <v>3</v>
      </c>
      <c r="AB140" s="54">
        <f t="shared" si="66"/>
        <v>1</v>
      </c>
      <c r="AC140" s="54">
        <f t="shared" si="66"/>
        <v>2</v>
      </c>
      <c r="AD140" s="54">
        <f t="shared" si="67"/>
        <v>3</v>
      </c>
      <c r="AE140" s="54">
        <f t="shared" si="67"/>
        <v>1</v>
      </c>
      <c r="AF140" s="54">
        <f t="shared" si="67"/>
        <v>2</v>
      </c>
      <c r="AH140" s="55">
        <f t="shared" ref="AH140:AK141" si="76">RANK(AH11,$AH11:$AK11)</f>
        <v>4</v>
      </c>
      <c r="AI140" s="55">
        <f t="shared" si="76"/>
        <v>3</v>
      </c>
      <c r="AJ140" s="55">
        <f t="shared" si="76"/>
        <v>2</v>
      </c>
      <c r="AK140" s="55">
        <f t="shared" si="76"/>
        <v>1</v>
      </c>
      <c r="AL140" s="55">
        <f t="shared" si="69"/>
        <v>4</v>
      </c>
      <c r="AM140" s="55">
        <f t="shared" si="69"/>
        <v>3</v>
      </c>
      <c r="AN140" s="55">
        <f t="shared" si="69"/>
        <v>2</v>
      </c>
      <c r="AO140" s="55">
        <f t="shared" si="69"/>
        <v>1</v>
      </c>
      <c r="AQ140" s="55">
        <f t="shared" si="70"/>
        <v>4</v>
      </c>
      <c r="AR140" s="55">
        <f t="shared" si="70"/>
        <v>1</v>
      </c>
      <c r="AS140" s="55">
        <f t="shared" si="70"/>
        <v>2</v>
      </c>
      <c r="AT140" s="55">
        <f t="shared" si="70"/>
        <v>3</v>
      </c>
      <c r="AU140" s="55">
        <f t="shared" si="71"/>
        <v>4</v>
      </c>
      <c r="AV140" s="55">
        <f t="shared" si="71"/>
        <v>1</v>
      </c>
      <c r="AW140" s="55">
        <f t="shared" si="71"/>
        <v>2</v>
      </c>
      <c r="AX140" s="55">
        <f t="shared" si="71"/>
        <v>3</v>
      </c>
      <c r="AZ140" s="55">
        <f t="shared" si="72"/>
        <v>4</v>
      </c>
      <c r="BA140" s="55">
        <f t="shared" si="72"/>
        <v>1</v>
      </c>
      <c r="BB140" s="55">
        <f t="shared" si="72"/>
        <v>2</v>
      </c>
      <c r="BC140" s="55">
        <f t="shared" si="72"/>
        <v>3</v>
      </c>
      <c r="BD140" s="55">
        <f t="shared" si="73"/>
        <v>4</v>
      </c>
      <c r="BE140" s="55">
        <f t="shared" si="73"/>
        <v>1</v>
      </c>
      <c r="BF140" s="55">
        <f t="shared" si="73"/>
        <v>2</v>
      </c>
      <c r="BG140" s="55">
        <f t="shared" si="73"/>
        <v>3</v>
      </c>
      <c r="BI140" s="55">
        <f t="shared" si="74"/>
        <v>4</v>
      </c>
      <c r="BJ140" s="55">
        <f t="shared" si="74"/>
        <v>1</v>
      </c>
      <c r="BK140" s="55">
        <f t="shared" si="74"/>
        <v>2</v>
      </c>
      <c r="BL140" s="55">
        <f t="shared" si="74"/>
        <v>3</v>
      </c>
      <c r="BM140" s="55">
        <f t="shared" si="75"/>
        <v>4</v>
      </c>
      <c r="BN140" s="55">
        <f t="shared" si="75"/>
        <v>1</v>
      </c>
      <c r="BO140" s="55">
        <f t="shared" si="75"/>
        <v>2</v>
      </c>
      <c r="BP140" s="55">
        <f t="shared" si="75"/>
        <v>3</v>
      </c>
    </row>
    <row r="141" spans="1:68" s="55" customFormat="1" ht="15.75" x14ac:dyDescent="0.25">
      <c r="A141" s="28"/>
      <c r="B141" s="28"/>
      <c r="C141" s="28"/>
      <c r="D141" s="28"/>
      <c r="E141" s="28"/>
      <c r="F141" s="28"/>
      <c r="G141"/>
      <c r="H141"/>
      <c r="I141"/>
      <c r="J141"/>
      <c r="K141"/>
      <c r="L141"/>
      <c r="M141"/>
      <c r="N141" t="s">
        <v>284</v>
      </c>
      <c r="O141" s="67" t="s">
        <v>279</v>
      </c>
      <c r="P141" s="68" t="s">
        <v>279</v>
      </c>
      <c r="Q141" s="68" t="s">
        <v>279</v>
      </c>
      <c r="R141" s="68" t="s">
        <v>279</v>
      </c>
      <c r="S141" s="68" t="s">
        <v>279</v>
      </c>
      <c r="T141" s="69" t="s">
        <v>279</v>
      </c>
      <c r="U141" s="70" t="s">
        <v>169</v>
      </c>
      <c r="V141" s="54">
        <f t="shared" si="62"/>
        <v>2</v>
      </c>
      <c r="W141" s="54">
        <f t="shared" si="63"/>
        <v>2</v>
      </c>
      <c r="X141" s="54">
        <f t="shared" si="64"/>
        <v>1</v>
      </c>
      <c r="Y141" s="54">
        <f t="shared" si="65"/>
        <v>1</v>
      </c>
      <c r="AA141" s="54">
        <f t="shared" si="66"/>
        <v>3</v>
      </c>
      <c r="AB141" s="54">
        <f t="shared" si="66"/>
        <v>1</v>
      </c>
      <c r="AC141" s="54">
        <f t="shared" si="66"/>
        <v>2</v>
      </c>
      <c r="AD141" s="54">
        <f t="shared" si="67"/>
        <v>3</v>
      </c>
      <c r="AE141" s="54">
        <f t="shared" si="67"/>
        <v>1</v>
      </c>
      <c r="AF141" s="54">
        <f t="shared" si="67"/>
        <v>2</v>
      </c>
      <c r="AH141" s="55">
        <f t="shared" ref="AH141:AJ162" si="77">RANK(AH12,$AH12:$AK12)</f>
        <v>4</v>
      </c>
      <c r="AI141" s="55">
        <f t="shared" si="77"/>
        <v>3</v>
      </c>
      <c r="AJ141" s="55">
        <f t="shared" si="77"/>
        <v>1</v>
      </c>
      <c r="AK141" s="35">
        <f t="shared" si="76"/>
        <v>2</v>
      </c>
      <c r="AL141" s="55">
        <f t="shared" si="69"/>
        <v>4</v>
      </c>
      <c r="AM141" s="55">
        <f t="shared" si="69"/>
        <v>3</v>
      </c>
      <c r="AN141" s="55">
        <f t="shared" si="69"/>
        <v>1</v>
      </c>
      <c r="AO141" s="55">
        <f t="shared" si="69"/>
        <v>1</v>
      </c>
      <c r="AQ141" s="55">
        <f t="shared" si="70"/>
        <v>1</v>
      </c>
      <c r="AR141" s="35">
        <f t="shared" si="70"/>
        <v>3</v>
      </c>
      <c r="AS141" s="55">
        <f t="shared" si="70"/>
        <v>2</v>
      </c>
      <c r="AT141" s="55">
        <f t="shared" si="70"/>
        <v>4</v>
      </c>
      <c r="AU141" s="55">
        <f t="shared" si="71"/>
        <v>1</v>
      </c>
      <c r="AV141" s="55">
        <f t="shared" si="71"/>
        <v>2</v>
      </c>
      <c r="AW141" s="55">
        <f t="shared" si="71"/>
        <v>2</v>
      </c>
      <c r="AX141" s="55">
        <f t="shared" si="71"/>
        <v>4</v>
      </c>
      <c r="AZ141" s="55">
        <f t="shared" si="72"/>
        <v>2</v>
      </c>
      <c r="BA141" s="55">
        <f t="shared" si="72"/>
        <v>3</v>
      </c>
      <c r="BB141" s="55">
        <f t="shared" si="72"/>
        <v>1</v>
      </c>
      <c r="BC141" s="55">
        <f t="shared" si="72"/>
        <v>4</v>
      </c>
      <c r="BD141" s="55">
        <f t="shared" si="73"/>
        <v>2</v>
      </c>
      <c r="BE141" s="55">
        <f t="shared" si="73"/>
        <v>3</v>
      </c>
      <c r="BF141" s="55">
        <f t="shared" si="73"/>
        <v>1</v>
      </c>
      <c r="BG141" s="55">
        <f t="shared" si="73"/>
        <v>4</v>
      </c>
      <c r="BI141" s="55">
        <f t="shared" si="74"/>
        <v>2</v>
      </c>
      <c r="BJ141" s="35">
        <f t="shared" si="74"/>
        <v>3</v>
      </c>
      <c r="BK141" s="55">
        <f t="shared" si="74"/>
        <v>4</v>
      </c>
      <c r="BL141" s="55">
        <f t="shared" si="74"/>
        <v>1</v>
      </c>
      <c r="BM141" s="55">
        <f t="shared" si="75"/>
        <v>2</v>
      </c>
      <c r="BN141" s="55">
        <f t="shared" si="75"/>
        <v>2</v>
      </c>
      <c r="BO141" s="55">
        <f t="shared" si="75"/>
        <v>4</v>
      </c>
      <c r="BP141" s="55">
        <f t="shared" si="75"/>
        <v>1</v>
      </c>
    </row>
    <row r="142" spans="1:68" s="55" customFormat="1" ht="15.75" x14ac:dyDescent="0.25">
      <c r="A142" s="28"/>
      <c r="B142" s="28"/>
      <c r="C142" s="28"/>
      <c r="D142" s="28"/>
      <c r="E142" s="28"/>
      <c r="F142" s="28"/>
      <c r="G142"/>
      <c r="H142"/>
      <c r="I142"/>
      <c r="J142"/>
      <c r="K142"/>
      <c r="L142"/>
      <c r="M142"/>
      <c r="N142" t="s">
        <v>285</v>
      </c>
      <c r="O142" s="67" t="s">
        <v>279</v>
      </c>
      <c r="P142" s="68" t="s">
        <v>279</v>
      </c>
      <c r="Q142" s="68" t="s">
        <v>281</v>
      </c>
      <c r="R142" s="68" t="s">
        <v>279</v>
      </c>
      <c r="S142" s="68" t="s">
        <v>279</v>
      </c>
      <c r="T142" s="69" t="s">
        <v>279</v>
      </c>
      <c r="U142" s="70" t="s">
        <v>171</v>
      </c>
      <c r="V142" s="54">
        <f t="shared" si="62"/>
        <v>2</v>
      </c>
      <c r="W142" s="54">
        <f t="shared" si="63"/>
        <v>2</v>
      </c>
      <c r="X142" s="54">
        <f t="shared" si="64"/>
        <v>1</v>
      </c>
      <c r="Y142" s="54">
        <f t="shared" si="65"/>
        <v>1</v>
      </c>
      <c r="AA142" s="54">
        <f t="shared" si="66"/>
        <v>1</v>
      </c>
      <c r="AB142" s="54">
        <f t="shared" si="66"/>
        <v>1</v>
      </c>
      <c r="AC142" s="54">
        <f t="shared" si="66"/>
        <v>1</v>
      </c>
      <c r="AD142" s="54">
        <f t="shared" si="67"/>
        <v>1</v>
      </c>
      <c r="AE142" s="54">
        <f t="shared" si="67"/>
        <v>1</v>
      </c>
      <c r="AF142" s="54">
        <f t="shared" si="67"/>
        <v>1</v>
      </c>
      <c r="AH142" s="55">
        <f t="shared" si="77"/>
        <v>4</v>
      </c>
      <c r="AI142" s="35">
        <f t="shared" si="77"/>
        <v>1</v>
      </c>
      <c r="AJ142" s="55">
        <f t="shared" si="77"/>
        <v>1</v>
      </c>
      <c r="AK142" s="35">
        <f t="shared" ref="AK142:AK162" si="78">RANK(AK13,$AH13:$AK13)</f>
        <v>1</v>
      </c>
      <c r="AL142" s="55">
        <f t="shared" si="69"/>
        <v>4</v>
      </c>
      <c r="AM142" s="55">
        <f t="shared" si="69"/>
        <v>3</v>
      </c>
      <c r="AN142" s="55">
        <f t="shared" si="69"/>
        <v>1</v>
      </c>
      <c r="AO142" s="55">
        <f t="shared" si="69"/>
        <v>2</v>
      </c>
      <c r="AQ142" s="55">
        <f t="shared" si="70"/>
        <v>1</v>
      </c>
      <c r="AR142" s="55">
        <f t="shared" si="70"/>
        <v>1</v>
      </c>
      <c r="AS142" s="55">
        <f t="shared" si="70"/>
        <v>1</v>
      </c>
      <c r="AT142" s="55">
        <f t="shared" si="70"/>
        <v>4</v>
      </c>
      <c r="AU142" s="55">
        <f t="shared" si="71"/>
        <v>1</v>
      </c>
      <c r="AV142" s="55">
        <f t="shared" si="71"/>
        <v>1</v>
      </c>
      <c r="AW142" s="55">
        <f t="shared" si="71"/>
        <v>1</v>
      </c>
      <c r="AX142" s="55">
        <f t="shared" si="71"/>
        <v>4</v>
      </c>
      <c r="AZ142" s="55">
        <f t="shared" si="72"/>
        <v>1</v>
      </c>
      <c r="BA142" s="55">
        <f t="shared" si="72"/>
        <v>1</v>
      </c>
      <c r="BB142" s="72">
        <f t="shared" si="72"/>
        <v>1</v>
      </c>
      <c r="BC142" s="55">
        <f t="shared" si="72"/>
        <v>4</v>
      </c>
      <c r="BD142" s="55">
        <f t="shared" si="73"/>
        <v>3</v>
      </c>
      <c r="BE142" s="55">
        <f t="shared" si="73"/>
        <v>2</v>
      </c>
      <c r="BF142" s="55">
        <f t="shared" si="73"/>
        <v>1</v>
      </c>
      <c r="BG142" s="55">
        <f t="shared" si="73"/>
        <v>4</v>
      </c>
      <c r="BI142" s="55">
        <f t="shared" si="74"/>
        <v>1</v>
      </c>
      <c r="BJ142" s="55">
        <f t="shared" si="74"/>
        <v>4</v>
      </c>
      <c r="BK142" s="55">
        <f t="shared" si="74"/>
        <v>1</v>
      </c>
      <c r="BL142" s="55">
        <f t="shared" si="74"/>
        <v>1</v>
      </c>
      <c r="BM142" s="55">
        <f t="shared" si="75"/>
        <v>1</v>
      </c>
      <c r="BN142" s="55">
        <f t="shared" si="75"/>
        <v>4</v>
      </c>
      <c r="BO142" s="55">
        <f t="shared" si="75"/>
        <v>3</v>
      </c>
      <c r="BP142" s="55">
        <f t="shared" si="75"/>
        <v>1</v>
      </c>
    </row>
    <row r="143" spans="1:68" s="83" customFormat="1" ht="15.75" thickBot="1" x14ac:dyDescent="0.3">
      <c r="A143" s="74"/>
      <c r="B143" s="74"/>
      <c r="C143" s="74"/>
      <c r="D143" s="74"/>
      <c r="E143" s="74"/>
      <c r="F143" s="74"/>
      <c r="G143" s="13"/>
      <c r="H143" s="13"/>
      <c r="I143" s="13"/>
      <c r="J143" s="13"/>
      <c r="K143" s="13"/>
      <c r="L143" s="13"/>
      <c r="M143" s="13"/>
      <c r="N143" s="13" t="s">
        <v>19</v>
      </c>
      <c r="O143" s="75" t="s">
        <v>279</v>
      </c>
      <c r="P143" s="76" t="s">
        <v>279</v>
      </c>
      <c r="Q143" s="76" t="s">
        <v>279</v>
      </c>
      <c r="R143" s="76" t="s">
        <v>279</v>
      </c>
      <c r="S143" s="76" t="s">
        <v>279</v>
      </c>
      <c r="T143" s="77" t="s">
        <v>279</v>
      </c>
      <c r="U143" s="71" t="s">
        <v>180</v>
      </c>
      <c r="V143" s="84">
        <f t="shared" si="62"/>
        <v>2</v>
      </c>
      <c r="W143" s="84">
        <f t="shared" si="63"/>
        <v>2</v>
      </c>
      <c r="X143" s="84">
        <f t="shared" si="64"/>
        <v>1</v>
      </c>
      <c r="Y143" s="84">
        <f t="shared" si="65"/>
        <v>1</v>
      </c>
      <c r="AA143" s="84">
        <f t="shared" si="66"/>
        <v>3</v>
      </c>
      <c r="AB143" s="84">
        <f t="shared" si="66"/>
        <v>1</v>
      </c>
      <c r="AC143" s="84">
        <f t="shared" si="66"/>
        <v>2</v>
      </c>
      <c r="AD143" s="84">
        <f t="shared" si="67"/>
        <v>2</v>
      </c>
      <c r="AE143" s="84">
        <f t="shared" si="67"/>
        <v>1</v>
      </c>
      <c r="AF143" s="84">
        <f t="shared" si="67"/>
        <v>3</v>
      </c>
      <c r="AH143" s="83">
        <f t="shared" si="77"/>
        <v>4</v>
      </c>
      <c r="AI143" s="83">
        <f t="shared" si="77"/>
        <v>2</v>
      </c>
      <c r="AJ143" s="83">
        <f t="shared" si="77"/>
        <v>2</v>
      </c>
      <c r="AK143" s="83">
        <f t="shared" si="78"/>
        <v>1</v>
      </c>
      <c r="AL143" s="83">
        <f t="shared" si="69"/>
        <v>4</v>
      </c>
      <c r="AM143" s="83">
        <f t="shared" si="69"/>
        <v>2</v>
      </c>
      <c r="AN143" s="83">
        <f t="shared" si="69"/>
        <v>2</v>
      </c>
      <c r="AO143" s="83">
        <f t="shared" si="69"/>
        <v>1</v>
      </c>
      <c r="AQ143" s="83">
        <f t="shared" si="70"/>
        <v>1</v>
      </c>
      <c r="AR143" s="83">
        <f t="shared" si="70"/>
        <v>3</v>
      </c>
      <c r="AS143" s="83">
        <f t="shared" si="70"/>
        <v>3</v>
      </c>
      <c r="AT143" s="83">
        <f t="shared" si="70"/>
        <v>1</v>
      </c>
      <c r="AU143" s="83">
        <f t="shared" si="71"/>
        <v>1</v>
      </c>
      <c r="AV143" s="83">
        <f t="shared" si="71"/>
        <v>3</v>
      </c>
      <c r="AW143" s="83">
        <f t="shared" si="71"/>
        <v>3</v>
      </c>
      <c r="AX143" s="83">
        <f t="shared" si="71"/>
        <v>1</v>
      </c>
      <c r="AZ143" s="83">
        <f t="shared" si="72"/>
        <v>1</v>
      </c>
      <c r="BA143" s="83">
        <f t="shared" si="72"/>
        <v>2</v>
      </c>
      <c r="BB143" s="83">
        <f t="shared" si="72"/>
        <v>4</v>
      </c>
      <c r="BC143" s="83">
        <f t="shared" si="72"/>
        <v>2</v>
      </c>
      <c r="BD143" s="83">
        <f t="shared" si="73"/>
        <v>1</v>
      </c>
      <c r="BE143" s="83">
        <f t="shared" si="73"/>
        <v>2</v>
      </c>
      <c r="BF143" s="83">
        <f t="shared" si="73"/>
        <v>4</v>
      </c>
      <c r="BG143" s="83">
        <f t="shared" si="73"/>
        <v>2</v>
      </c>
      <c r="BI143" s="83">
        <f t="shared" si="74"/>
        <v>1</v>
      </c>
      <c r="BJ143" s="83">
        <f t="shared" si="74"/>
        <v>2</v>
      </c>
      <c r="BK143" s="83">
        <f t="shared" si="74"/>
        <v>4</v>
      </c>
      <c r="BL143" s="83">
        <f t="shared" si="74"/>
        <v>2</v>
      </c>
      <c r="BM143" s="83">
        <f t="shared" si="75"/>
        <v>1</v>
      </c>
      <c r="BN143" s="83">
        <f t="shared" si="75"/>
        <v>2</v>
      </c>
      <c r="BO143" s="83">
        <f t="shared" si="75"/>
        <v>4</v>
      </c>
      <c r="BP143" s="83">
        <f t="shared" si="75"/>
        <v>2</v>
      </c>
    </row>
    <row r="144" spans="1:68" s="55" customFormat="1" ht="15.75" x14ac:dyDescent="0.25">
      <c r="A144" s="28"/>
      <c r="B144" s="28"/>
      <c r="C144" s="28"/>
      <c r="D144" s="28"/>
      <c r="E144" s="28"/>
      <c r="F144" s="28"/>
      <c r="G144"/>
      <c r="H144"/>
      <c r="I144"/>
      <c r="J144"/>
      <c r="K144"/>
      <c r="L144"/>
      <c r="M144"/>
      <c r="N144" t="s">
        <v>284</v>
      </c>
      <c r="O144" s="67" t="s">
        <v>279</v>
      </c>
      <c r="P144" s="68" t="s">
        <v>279</v>
      </c>
      <c r="Q144" s="68" t="s">
        <v>279</v>
      </c>
      <c r="R144" s="68" t="s">
        <v>279</v>
      </c>
      <c r="S144" s="68" t="s">
        <v>279</v>
      </c>
      <c r="T144" s="69" t="s">
        <v>279</v>
      </c>
      <c r="U144" s="70" t="s">
        <v>183</v>
      </c>
      <c r="V144" s="54">
        <f t="shared" si="62"/>
        <v>1</v>
      </c>
      <c r="W144" s="54">
        <f t="shared" si="63"/>
        <v>1</v>
      </c>
      <c r="X144" s="54">
        <f t="shared" si="64"/>
        <v>2</v>
      </c>
      <c r="Y144" s="54">
        <f t="shared" si="65"/>
        <v>2</v>
      </c>
      <c r="AA144" s="54">
        <f t="shared" si="66"/>
        <v>2</v>
      </c>
      <c r="AB144" s="54">
        <f t="shared" si="66"/>
        <v>1</v>
      </c>
      <c r="AC144" s="54">
        <f t="shared" si="66"/>
        <v>3</v>
      </c>
      <c r="AD144" s="54">
        <f t="shared" si="67"/>
        <v>2</v>
      </c>
      <c r="AE144" s="54">
        <f t="shared" si="67"/>
        <v>1</v>
      </c>
      <c r="AF144" s="54">
        <f t="shared" si="67"/>
        <v>3</v>
      </c>
      <c r="AH144" s="55">
        <f t="shared" si="77"/>
        <v>1</v>
      </c>
      <c r="AI144" s="55">
        <f t="shared" si="77"/>
        <v>3</v>
      </c>
      <c r="AJ144" s="55">
        <f t="shared" si="77"/>
        <v>2</v>
      </c>
      <c r="AK144" s="55">
        <f t="shared" si="78"/>
        <v>3</v>
      </c>
      <c r="AL144" s="55">
        <f t="shared" si="69"/>
        <v>1</v>
      </c>
      <c r="AM144" s="55">
        <f t="shared" si="69"/>
        <v>3</v>
      </c>
      <c r="AN144" s="55">
        <f t="shared" si="69"/>
        <v>2</v>
      </c>
      <c r="AO144" s="55">
        <f t="shared" si="69"/>
        <v>3</v>
      </c>
      <c r="AQ144" s="55">
        <f t="shared" si="70"/>
        <v>4</v>
      </c>
      <c r="AR144" s="55">
        <f t="shared" si="70"/>
        <v>1</v>
      </c>
      <c r="AS144" s="35">
        <f t="shared" si="70"/>
        <v>1</v>
      </c>
      <c r="AT144" s="55">
        <f t="shared" si="70"/>
        <v>3</v>
      </c>
      <c r="AU144" s="55">
        <f t="shared" si="71"/>
        <v>4</v>
      </c>
      <c r="AV144" s="55">
        <f t="shared" si="71"/>
        <v>1</v>
      </c>
      <c r="AW144" s="55">
        <f t="shared" si="71"/>
        <v>2</v>
      </c>
      <c r="AX144" s="55">
        <f t="shared" si="71"/>
        <v>3</v>
      </c>
      <c r="AZ144" s="55">
        <f t="shared" si="72"/>
        <v>1</v>
      </c>
      <c r="BA144" s="55">
        <f t="shared" si="72"/>
        <v>2</v>
      </c>
      <c r="BB144" s="55">
        <f t="shared" si="72"/>
        <v>3</v>
      </c>
      <c r="BC144" s="55">
        <f t="shared" si="72"/>
        <v>3</v>
      </c>
      <c r="BD144" s="55">
        <f t="shared" si="73"/>
        <v>1</v>
      </c>
      <c r="BE144" s="55">
        <f t="shared" si="73"/>
        <v>2</v>
      </c>
      <c r="BF144" s="55">
        <f t="shared" si="73"/>
        <v>3</v>
      </c>
      <c r="BG144" s="55">
        <f t="shared" si="73"/>
        <v>3</v>
      </c>
      <c r="BI144" s="55">
        <f t="shared" si="74"/>
        <v>2</v>
      </c>
      <c r="BJ144" s="55">
        <f t="shared" si="74"/>
        <v>3</v>
      </c>
      <c r="BK144" s="55">
        <f t="shared" si="74"/>
        <v>4</v>
      </c>
      <c r="BL144" s="55">
        <f t="shared" si="74"/>
        <v>1</v>
      </c>
      <c r="BM144" s="55">
        <f t="shared" si="75"/>
        <v>2</v>
      </c>
      <c r="BN144" s="55">
        <f t="shared" si="75"/>
        <v>3</v>
      </c>
      <c r="BO144" s="55">
        <f t="shared" si="75"/>
        <v>4</v>
      </c>
      <c r="BP144" s="55">
        <f t="shared" si="75"/>
        <v>1</v>
      </c>
    </row>
    <row r="145" spans="1:68" s="55" customFormat="1" x14ac:dyDescent="0.25">
      <c r="A145" s="28"/>
      <c r="B145" s="28"/>
      <c r="C145" s="28"/>
      <c r="D145" s="28"/>
      <c r="E145" s="28"/>
      <c r="F145" s="28"/>
      <c r="G145"/>
      <c r="H145"/>
      <c r="I145"/>
      <c r="J145"/>
      <c r="K145"/>
      <c r="L145"/>
      <c r="M145"/>
      <c r="N145" t="s">
        <v>284</v>
      </c>
      <c r="O145" s="67" t="s">
        <v>279</v>
      </c>
      <c r="P145" s="68" t="s">
        <v>279</v>
      </c>
      <c r="Q145" s="68" t="s">
        <v>279</v>
      </c>
      <c r="R145" s="68" t="s">
        <v>279</v>
      </c>
      <c r="S145" s="68" t="s">
        <v>279</v>
      </c>
      <c r="T145" s="69" t="s">
        <v>279</v>
      </c>
      <c r="U145" s="70" t="s">
        <v>187</v>
      </c>
      <c r="V145" s="54">
        <f t="shared" si="62"/>
        <v>1</v>
      </c>
      <c r="W145" s="54">
        <f t="shared" si="63"/>
        <v>1</v>
      </c>
      <c r="X145" s="54">
        <f t="shared" si="64"/>
        <v>2</v>
      </c>
      <c r="Y145" s="54">
        <f t="shared" si="65"/>
        <v>2</v>
      </c>
      <c r="AA145" s="54">
        <f t="shared" si="66"/>
        <v>3</v>
      </c>
      <c r="AB145" s="54">
        <f t="shared" si="66"/>
        <v>1</v>
      </c>
      <c r="AC145" s="54">
        <f t="shared" si="66"/>
        <v>2</v>
      </c>
      <c r="AD145" s="54">
        <f t="shared" si="67"/>
        <v>3</v>
      </c>
      <c r="AE145" s="54">
        <f t="shared" si="67"/>
        <v>1</v>
      </c>
      <c r="AF145" s="54">
        <f t="shared" si="67"/>
        <v>2</v>
      </c>
      <c r="AH145" s="55">
        <f t="shared" si="77"/>
        <v>4</v>
      </c>
      <c r="AI145" s="55">
        <f t="shared" si="77"/>
        <v>2</v>
      </c>
      <c r="AJ145" s="55">
        <f t="shared" si="77"/>
        <v>3</v>
      </c>
      <c r="AK145" s="55">
        <f t="shared" si="78"/>
        <v>1</v>
      </c>
      <c r="AL145" s="55">
        <f t="shared" si="69"/>
        <v>4</v>
      </c>
      <c r="AM145" s="55">
        <f t="shared" si="69"/>
        <v>2</v>
      </c>
      <c r="AN145" s="55">
        <f t="shared" si="69"/>
        <v>3</v>
      </c>
      <c r="AO145" s="55">
        <f t="shared" si="69"/>
        <v>1</v>
      </c>
      <c r="AQ145" s="55">
        <f t="shared" si="70"/>
        <v>2</v>
      </c>
      <c r="AR145" s="55">
        <f t="shared" si="70"/>
        <v>1</v>
      </c>
      <c r="AS145" s="55">
        <f t="shared" si="70"/>
        <v>3</v>
      </c>
      <c r="AT145" s="55">
        <f t="shared" si="70"/>
        <v>4</v>
      </c>
      <c r="AU145" s="55">
        <f t="shared" si="71"/>
        <v>2</v>
      </c>
      <c r="AV145" s="55">
        <f t="shared" si="71"/>
        <v>1</v>
      </c>
      <c r="AW145" s="55">
        <f t="shared" si="71"/>
        <v>3</v>
      </c>
      <c r="AX145" s="55">
        <f t="shared" si="71"/>
        <v>4</v>
      </c>
      <c r="AZ145" s="55">
        <f t="shared" si="72"/>
        <v>4</v>
      </c>
      <c r="BA145" s="55">
        <f t="shared" si="72"/>
        <v>2</v>
      </c>
      <c r="BB145" s="55">
        <f t="shared" si="72"/>
        <v>1</v>
      </c>
      <c r="BC145" s="55">
        <f t="shared" si="72"/>
        <v>3</v>
      </c>
      <c r="BD145" s="55">
        <f t="shared" si="73"/>
        <v>4</v>
      </c>
      <c r="BE145" s="55">
        <f t="shared" si="73"/>
        <v>2</v>
      </c>
      <c r="BF145" s="55">
        <f t="shared" si="73"/>
        <v>1</v>
      </c>
      <c r="BG145" s="55">
        <f t="shared" si="73"/>
        <v>3</v>
      </c>
      <c r="BI145" s="55">
        <f t="shared" si="74"/>
        <v>2</v>
      </c>
      <c r="BJ145" s="55">
        <f t="shared" si="74"/>
        <v>4</v>
      </c>
      <c r="BK145" s="55">
        <f t="shared" si="74"/>
        <v>3</v>
      </c>
      <c r="BL145" s="55">
        <f t="shared" si="74"/>
        <v>1</v>
      </c>
      <c r="BM145" s="55">
        <f t="shared" si="75"/>
        <v>2</v>
      </c>
      <c r="BN145" s="55">
        <f t="shared" si="75"/>
        <v>4</v>
      </c>
      <c r="BO145" s="55">
        <f t="shared" si="75"/>
        <v>3</v>
      </c>
      <c r="BP145" s="55">
        <f t="shared" si="75"/>
        <v>1</v>
      </c>
    </row>
    <row r="146" spans="1:68" s="55" customFormat="1" ht="15.75" x14ac:dyDescent="0.25">
      <c r="A146" s="28"/>
      <c r="B146" s="28"/>
      <c r="C146" s="28"/>
      <c r="D146" s="28"/>
      <c r="E146" s="28"/>
      <c r="F146" s="28"/>
      <c r="G146"/>
      <c r="H146"/>
      <c r="I146"/>
      <c r="J146"/>
      <c r="K146"/>
      <c r="L146"/>
      <c r="M146"/>
      <c r="N146" t="s">
        <v>284</v>
      </c>
      <c r="O146" s="67" t="s">
        <v>279</v>
      </c>
      <c r="P146" s="68" t="s">
        <v>279</v>
      </c>
      <c r="Q146" s="68" t="s">
        <v>279</v>
      </c>
      <c r="R146" s="68" t="s">
        <v>279</v>
      </c>
      <c r="S146" s="68" t="s">
        <v>279</v>
      </c>
      <c r="T146" s="69" t="s">
        <v>279</v>
      </c>
      <c r="U146" s="70" t="s">
        <v>190</v>
      </c>
      <c r="V146" s="54">
        <f t="shared" si="62"/>
        <v>2</v>
      </c>
      <c r="W146" s="54">
        <f t="shared" si="63"/>
        <v>2</v>
      </c>
      <c r="X146" s="54">
        <f t="shared" si="64"/>
        <v>1</v>
      </c>
      <c r="Y146" s="54">
        <f t="shared" si="65"/>
        <v>1</v>
      </c>
      <c r="AA146" s="54">
        <f t="shared" si="66"/>
        <v>2</v>
      </c>
      <c r="AB146" s="54">
        <f t="shared" si="66"/>
        <v>1</v>
      </c>
      <c r="AC146" s="73">
        <f t="shared" si="66"/>
        <v>3</v>
      </c>
      <c r="AD146" s="54">
        <f t="shared" si="67"/>
        <v>2</v>
      </c>
      <c r="AE146" s="54">
        <f t="shared" si="67"/>
        <v>1</v>
      </c>
      <c r="AF146" s="54">
        <f t="shared" si="67"/>
        <v>2</v>
      </c>
      <c r="AH146" s="55">
        <f t="shared" si="77"/>
        <v>4</v>
      </c>
      <c r="AI146" s="55">
        <f t="shared" si="77"/>
        <v>2</v>
      </c>
      <c r="AJ146" s="55">
        <f t="shared" si="77"/>
        <v>1</v>
      </c>
      <c r="AK146" s="55">
        <f t="shared" si="78"/>
        <v>3</v>
      </c>
      <c r="AL146" s="55">
        <f t="shared" si="69"/>
        <v>4</v>
      </c>
      <c r="AM146" s="55">
        <f t="shared" si="69"/>
        <v>2</v>
      </c>
      <c r="AN146" s="55">
        <f t="shared" si="69"/>
        <v>1</v>
      </c>
      <c r="AO146" s="55">
        <f t="shared" si="69"/>
        <v>3</v>
      </c>
      <c r="AQ146" s="55">
        <f t="shared" si="70"/>
        <v>2</v>
      </c>
      <c r="AR146" s="55">
        <f t="shared" si="70"/>
        <v>1</v>
      </c>
      <c r="AS146" s="55">
        <f t="shared" si="70"/>
        <v>4</v>
      </c>
      <c r="AT146" s="55">
        <f t="shared" si="70"/>
        <v>3</v>
      </c>
      <c r="AU146" s="55">
        <f t="shared" si="71"/>
        <v>2</v>
      </c>
      <c r="AV146" s="55">
        <f t="shared" si="71"/>
        <v>1</v>
      </c>
      <c r="AW146" s="55">
        <f t="shared" si="71"/>
        <v>4</v>
      </c>
      <c r="AX146" s="55">
        <f t="shared" si="71"/>
        <v>3</v>
      </c>
      <c r="AZ146" s="55">
        <f t="shared" si="72"/>
        <v>2</v>
      </c>
      <c r="BA146" s="55">
        <f t="shared" si="72"/>
        <v>1</v>
      </c>
      <c r="BB146" s="35">
        <f t="shared" si="72"/>
        <v>3</v>
      </c>
      <c r="BC146" s="55">
        <f t="shared" si="72"/>
        <v>4</v>
      </c>
      <c r="BD146" s="55">
        <f t="shared" si="73"/>
        <v>2</v>
      </c>
      <c r="BE146" s="55">
        <f t="shared" si="73"/>
        <v>1</v>
      </c>
      <c r="BF146" s="55">
        <f t="shared" si="73"/>
        <v>2</v>
      </c>
      <c r="BG146" s="55">
        <f t="shared" si="73"/>
        <v>4</v>
      </c>
      <c r="BI146" s="55">
        <f t="shared" si="74"/>
        <v>2</v>
      </c>
      <c r="BJ146" s="55">
        <f t="shared" si="74"/>
        <v>1</v>
      </c>
      <c r="BK146" s="55">
        <f t="shared" si="74"/>
        <v>3</v>
      </c>
      <c r="BL146" s="55">
        <f t="shared" si="74"/>
        <v>4</v>
      </c>
      <c r="BM146" s="55">
        <f t="shared" si="75"/>
        <v>2</v>
      </c>
      <c r="BN146" s="55">
        <f t="shared" si="75"/>
        <v>1</v>
      </c>
      <c r="BO146" s="55">
        <f t="shared" si="75"/>
        <v>3</v>
      </c>
      <c r="BP146" s="55">
        <f t="shared" si="75"/>
        <v>4</v>
      </c>
    </row>
    <row r="147" spans="1:68" s="83" customFormat="1" ht="16.5" thickBot="1" x14ac:dyDescent="0.3">
      <c r="A147" s="74"/>
      <c r="B147" s="74"/>
      <c r="C147" s="74"/>
      <c r="D147" s="74"/>
      <c r="E147" s="74"/>
      <c r="F147" s="74"/>
      <c r="G147" s="13"/>
      <c r="H147" s="13"/>
      <c r="I147" s="13"/>
      <c r="J147" s="13"/>
      <c r="K147" s="13"/>
      <c r="L147" s="13"/>
      <c r="M147" s="13"/>
      <c r="N147" s="13" t="s">
        <v>284</v>
      </c>
      <c r="O147" s="75" t="s">
        <v>279</v>
      </c>
      <c r="P147" s="76" t="s">
        <v>279</v>
      </c>
      <c r="Q147" s="76" t="s">
        <v>279</v>
      </c>
      <c r="R147" s="76" t="s">
        <v>279</v>
      </c>
      <c r="S147" s="76" t="s">
        <v>279</v>
      </c>
      <c r="T147" s="77" t="s">
        <v>279</v>
      </c>
      <c r="U147" s="71" t="s">
        <v>199</v>
      </c>
      <c r="V147" s="84">
        <f t="shared" si="62"/>
        <v>2</v>
      </c>
      <c r="W147" s="84">
        <f t="shared" si="63"/>
        <v>2</v>
      </c>
      <c r="X147" s="84">
        <f t="shared" si="64"/>
        <v>1</v>
      </c>
      <c r="Y147" s="84">
        <f t="shared" si="65"/>
        <v>1</v>
      </c>
      <c r="AA147" s="84">
        <f t="shared" si="66"/>
        <v>3</v>
      </c>
      <c r="AB147" s="84">
        <f t="shared" si="66"/>
        <v>1</v>
      </c>
      <c r="AC147" s="84">
        <f t="shared" si="66"/>
        <v>2</v>
      </c>
      <c r="AD147" s="84">
        <f t="shared" si="67"/>
        <v>3</v>
      </c>
      <c r="AE147" s="84">
        <f t="shared" si="67"/>
        <v>1</v>
      </c>
      <c r="AF147" s="84">
        <f t="shared" si="67"/>
        <v>2</v>
      </c>
      <c r="AH147" s="83">
        <f t="shared" si="77"/>
        <v>1</v>
      </c>
      <c r="AI147" s="83">
        <f t="shared" si="77"/>
        <v>2</v>
      </c>
      <c r="AJ147" s="83">
        <f t="shared" si="77"/>
        <v>2</v>
      </c>
      <c r="AK147" s="83">
        <f t="shared" si="78"/>
        <v>4</v>
      </c>
      <c r="AL147" s="83">
        <f t="shared" si="69"/>
        <v>1</v>
      </c>
      <c r="AM147" s="83">
        <f t="shared" si="69"/>
        <v>2</v>
      </c>
      <c r="AN147" s="83">
        <f t="shared" si="69"/>
        <v>2</v>
      </c>
      <c r="AO147" s="83">
        <f t="shared" si="69"/>
        <v>4</v>
      </c>
      <c r="AQ147" s="85">
        <f t="shared" si="70"/>
        <v>4</v>
      </c>
      <c r="AR147" s="83">
        <f t="shared" si="70"/>
        <v>1</v>
      </c>
      <c r="AS147" s="83">
        <f t="shared" si="70"/>
        <v>2</v>
      </c>
      <c r="AT147" s="83">
        <f t="shared" si="70"/>
        <v>3</v>
      </c>
      <c r="AU147" s="83">
        <f t="shared" si="71"/>
        <v>3</v>
      </c>
      <c r="AV147" s="83">
        <f t="shared" si="71"/>
        <v>1</v>
      </c>
      <c r="AW147" s="83">
        <f t="shared" si="71"/>
        <v>2</v>
      </c>
      <c r="AX147" s="83">
        <f t="shared" si="71"/>
        <v>3</v>
      </c>
      <c r="AZ147" s="83">
        <f t="shared" si="72"/>
        <v>3</v>
      </c>
      <c r="BA147" s="83">
        <f t="shared" si="72"/>
        <v>1</v>
      </c>
      <c r="BB147" s="83">
        <f t="shared" si="72"/>
        <v>2</v>
      </c>
      <c r="BC147" s="85">
        <f t="shared" si="72"/>
        <v>4</v>
      </c>
      <c r="BD147" s="83">
        <f t="shared" si="73"/>
        <v>3</v>
      </c>
      <c r="BE147" s="83">
        <f t="shared" si="73"/>
        <v>1</v>
      </c>
      <c r="BF147" s="83">
        <f t="shared" si="73"/>
        <v>2</v>
      </c>
      <c r="BG147" s="83">
        <f t="shared" si="73"/>
        <v>3</v>
      </c>
      <c r="BI147" s="83">
        <f t="shared" si="74"/>
        <v>2</v>
      </c>
      <c r="BJ147" s="83">
        <f t="shared" si="74"/>
        <v>1</v>
      </c>
      <c r="BK147" s="85">
        <f t="shared" si="74"/>
        <v>3</v>
      </c>
      <c r="BL147" s="83">
        <f t="shared" si="74"/>
        <v>4</v>
      </c>
      <c r="BM147" s="83">
        <f t="shared" si="75"/>
        <v>2</v>
      </c>
      <c r="BN147" s="83">
        <f t="shared" si="75"/>
        <v>1</v>
      </c>
      <c r="BO147" s="83">
        <f t="shared" si="75"/>
        <v>2</v>
      </c>
      <c r="BP147" s="83">
        <f t="shared" si="75"/>
        <v>4</v>
      </c>
    </row>
    <row r="148" spans="1:68" s="55" customFormat="1" ht="15.75" x14ac:dyDescent="0.25">
      <c r="A148" s="28"/>
      <c r="B148" s="28"/>
      <c r="C148" s="28"/>
      <c r="D148" s="28"/>
      <c r="E148" s="28"/>
      <c r="F148" s="28"/>
      <c r="G148"/>
      <c r="H148"/>
      <c r="I148"/>
      <c r="J148"/>
      <c r="K148"/>
      <c r="L148"/>
      <c r="M148"/>
      <c r="N148" s="87" t="s">
        <v>34</v>
      </c>
      <c r="O148" s="67" t="s">
        <v>280</v>
      </c>
      <c r="P148" s="68" t="s">
        <v>280</v>
      </c>
      <c r="Q148" s="68" t="s">
        <v>280</v>
      </c>
      <c r="R148" s="68" t="s">
        <v>280</v>
      </c>
      <c r="S148" s="68" t="s">
        <v>279</v>
      </c>
      <c r="T148" s="69" t="s">
        <v>279</v>
      </c>
      <c r="U148" s="70" t="s">
        <v>206</v>
      </c>
      <c r="V148" s="54">
        <f t="shared" si="62"/>
        <v>1</v>
      </c>
      <c r="W148" s="54">
        <f t="shared" si="63"/>
        <v>1</v>
      </c>
      <c r="X148" s="54">
        <f t="shared" si="64"/>
        <v>2</v>
      </c>
      <c r="Y148" s="54">
        <f t="shared" si="65"/>
        <v>2</v>
      </c>
      <c r="AA148" s="54">
        <f t="shared" si="66"/>
        <v>3</v>
      </c>
      <c r="AB148" s="54">
        <f t="shared" si="66"/>
        <v>1</v>
      </c>
      <c r="AC148" s="54">
        <f t="shared" si="66"/>
        <v>2</v>
      </c>
      <c r="AD148" s="54">
        <f t="shared" si="67"/>
        <v>2</v>
      </c>
      <c r="AE148" s="54">
        <f t="shared" si="67"/>
        <v>1</v>
      </c>
      <c r="AF148" s="54">
        <f t="shared" si="67"/>
        <v>2</v>
      </c>
      <c r="AH148" s="55">
        <f t="shared" si="77"/>
        <v>4</v>
      </c>
      <c r="AI148" s="55">
        <f t="shared" si="77"/>
        <v>3</v>
      </c>
      <c r="AJ148" s="55">
        <f t="shared" si="77"/>
        <v>2</v>
      </c>
      <c r="AK148" s="55">
        <f t="shared" si="78"/>
        <v>1</v>
      </c>
      <c r="AL148" s="55">
        <f t="shared" si="69"/>
        <v>2</v>
      </c>
      <c r="AM148" s="55">
        <f t="shared" si="69"/>
        <v>2</v>
      </c>
      <c r="AN148" s="55">
        <f t="shared" si="69"/>
        <v>2</v>
      </c>
      <c r="AO148" s="55">
        <f t="shared" si="69"/>
        <v>1</v>
      </c>
      <c r="AQ148" s="55">
        <f t="shared" si="70"/>
        <v>4</v>
      </c>
      <c r="AR148" s="55">
        <f t="shared" si="70"/>
        <v>1</v>
      </c>
      <c r="AS148" s="55">
        <f t="shared" si="70"/>
        <v>2</v>
      </c>
      <c r="AT148" s="55">
        <f t="shared" si="70"/>
        <v>3</v>
      </c>
      <c r="AU148" s="55">
        <f t="shared" si="71"/>
        <v>2</v>
      </c>
      <c r="AV148" s="55">
        <f t="shared" si="71"/>
        <v>1</v>
      </c>
      <c r="AW148" s="55">
        <f t="shared" si="71"/>
        <v>2</v>
      </c>
      <c r="AX148" s="55">
        <f t="shared" si="71"/>
        <v>2</v>
      </c>
      <c r="AZ148" s="55">
        <f t="shared" si="72"/>
        <v>3</v>
      </c>
      <c r="BA148" s="55">
        <f t="shared" si="72"/>
        <v>1</v>
      </c>
      <c r="BB148" s="55">
        <f t="shared" si="72"/>
        <v>2</v>
      </c>
      <c r="BC148" s="55">
        <f t="shared" si="72"/>
        <v>4</v>
      </c>
      <c r="BD148" s="55">
        <f t="shared" si="73"/>
        <v>3</v>
      </c>
      <c r="BE148" s="55">
        <f t="shared" si="73"/>
        <v>1</v>
      </c>
      <c r="BF148" s="55">
        <f t="shared" si="73"/>
        <v>3</v>
      </c>
      <c r="BG148" s="55">
        <f t="shared" si="73"/>
        <v>2</v>
      </c>
      <c r="BI148" s="55">
        <f t="shared" si="74"/>
        <v>1</v>
      </c>
      <c r="BJ148" s="35">
        <f t="shared" si="74"/>
        <v>4</v>
      </c>
      <c r="BK148" s="55">
        <f t="shared" si="74"/>
        <v>3</v>
      </c>
      <c r="BL148" s="55">
        <f t="shared" si="74"/>
        <v>1</v>
      </c>
      <c r="BM148" s="55">
        <f t="shared" si="75"/>
        <v>1</v>
      </c>
      <c r="BN148" s="55">
        <f t="shared" si="75"/>
        <v>3</v>
      </c>
      <c r="BO148" s="55">
        <f t="shared" si="75"/>
        <v>3</v>
      </c>
      <c r="BP148" s="55">
        <f t="shared" si="75"/>
        <v>1</v>
      </c>
    </row>
    <row r="149" spans="1:68" s="55" customFormat="1" ht="15.75" x14ac:dyDescent="0.25">
      <c r="A149" s="28"/>
      <c r="B149" s="28"/>
      <c r="C149" s="28"/>
      <c r="D149" s="28"/>
      <c r="E149" s="28"/>
      <c r="F149" s="28"/>
      <c r="G149"/>
      <c r="H149"/>
      <c r="I149"/>
      <c r="J149"/>
      <c r="K149"/>
      <c r="L149"/>
      <c r="M149"/>
      <c r="N149" s="87" t="s">
        <v>284</v>
      </c>
      <c r="O149" s="67" t="s">
        <v>281</v>
      </c>
      <c r="P149" s="68" t="s">
        <v>281</v>
      </c>
      <c r="Q149" s="68" t="s">
        <v>281</v>
      </c>
      <c r="R149" s="68" t="s">
        <v>281</v>
      </c>
      <c r="S149" s="68" t="s">
        <v>281</v>
      </c>
      <c r="T149" s="69" t="s">
        <v>281</v>
      </c>
      <c r="U149" s="70" t="s">
        <v>211</v>
      </c>
      <c r="V149" s="54">
        <f t="shared" si="62"/>
        <v>1</v>
      </c>
      <c r="W149" s="54">
        <f t="shared" si="63"/>
        <v>1</v>
      </c>
      <c r="X149" s="54">
        <f t="shared" si="64"/>
        <v>2</v>
      </c>
      <c r="Y149" s="54">
        <f t="shared" si="65"/>
        <v>2</v>
      </c>
      <c r="AA149" s="54">
        <f t="shared" si="66"/>
        <v>1</v>
      </c>
      <c r="AB149" s="54">
        <f t="shared" si="66"/>
        <v>3</v>
      </c>
      <c r="AC149" s="54">
        <f t="shared" si="66"/>
        <v>2</v>
      </c>
      <c r="AD149" s="54">
        <f t="shared" si="67"/>
        <v>1</v>
      </c>
      <c r="AE149" s="54">
        <f t="shared" si="67"/>
        <v>3</v>
      </c>
      <c r="AF149" s="54">
        <f t="shared" si="67"/>
        <v>2</v>
      </c>
      <c r="AH149" s="55">
        <f t="shared" si="77"/>
        <v>2</v>
      </c>
      <c r="AI149" s="55">
        <f t="shared" si="77"/>
        <v>1</v>
      </c>
      <c r="AJ149" s="55">
        <f t="shared" si="77"/>
        <v>3</v>
      </c>
      <c r="AK149" s="55">
        <f t="shared" si="78"/>
        <v>4</v>
      </c>
      <c r="AL149" s="55">
        <f t="shared" si="69"/>
        <v>2</v>
      </c>
      <c r="AM149" s="55">
        <f t="shared" si="69"/>
        <v>1</v>
      </c>
      <c r="AN149" s="55">
        <f t="shared" si="69"/>
        <v>3</v>
      </c>
      <c r="AO149" s="55">
        <f t="shared" si="69"/>
        <v>4</v>
      </c>
      <c r="AQ149" s="55">
        <f t="shared" si="70"/>
        <v>1</v>
      </c>
      <c r="AR149" s="55">
        <f t="shared" si="70"/>
        <v>3</v>
      </c>
      <c r="AS149" s="55">
        <f t="shared" si="70"/>
        <v>4</v>
      </c>
      <c r="AT149" s="55">
        <f t="shared" si="70"/>
        <v>2</v>
      </c>
      <c r="AU149" s="55">
        <f t="shared" si="71"/>
        <v>1</v>
      </c>
      <c r="AV149" s="55">
        <f t="shared" si="71"/>
        <v>3</v>
      </c>
      <c r="AW149" s="55">
        <f t="shared" si="71"/>
        <v>4</v>
      </c>
      <c r="AX149" s="55">
        <f t="shared" si="71"/>
        <v>2</v>
      </c>
      <c r="AZ149" s="55">
        <f t="shared" si="72"/>
        <v>4</v>
      </c>
      <c r="BA149" s="55">
        <f t="shared" si="72"/>
        <v>2</v>
      </c>
      <c r="BB149" s="55">
        <f t="shared" si="72"/>
        <v>1</v>
      </c>
      <c r="BC149" s="55">
        <f t="shared" si="72"/>
        <v>3</v>
      </c>
      <c r="BD149" s="55">
        <f t="shared" si="73"/>
        <v>4</v>
      </c>
      <c r="BE149" s="55">
        <f t="shared" si="73"/>
        <v>2</v>
      </c>
      <c r="BF149" s="55">
        <f t="shared" si="73"/>
        <v>1</v>
      </c>
      <c r="BG149" s="55">
        <f t="shared" si="73"/>
        <v>3</v>
      </c>
      <c r="BI149" s="35">
        <f t="shared" si="74"/>
        <v>1</v>
      </c>
      <c r="BJ149" s="55">
        <f t="shared" si="74"/>
        <v>3</v>
      </c>
      <c r="BK149" s="55">
        <f t="shared" si="74"/>
        <v>4</v>
      </c>
      <c r="BL149" s="35">
        <f t="shared" si="74"/>
        <v>2</v>
      </c>
      <c r="BM149" s="55">
        <f t="shared" si="75"/>
        <v>2</v>
      </c>
      <c r="BN149" s="55">
        <f t="shared" si="75"/>
        <v>3</v>
      </c>
      <c r="BO149" s="55">
        <f t="shared" si="75"/>
        <v>4</v>
      </c>
      <c r="BP149" s="55">
        <f t="shared" si="75"/>
        <v>1</v>
      </c>
    </row>
    <row r="150" spans="1:68" s="55" customFormat="1" x14ac:dyDescent="0.25">
      <c r="A150" s="28"/>
      <c r="B150" s="28"/>
      <c r="C150" s="28"/>
      <c r="D150" s="28"/>
      <c r="E150" s="28"/>
      <c r="F150" s="28"/>
      <c r="G150"/>
      <c r="H150"/>
      <c r="I150"/>
      <c r="J150"/>
      <c r="K150"/>
      <c r="L150"/>
      <c r="M150"/>
      <c r="N150" s="87" t="s">
        <v>24</v>
      </c>
      <c r="O150" s="67" t="s">
        <v>279</v>
      </c>
      <c r="P150" s="68" t="s">
        <v>279</v>
      </c>
      <c r="Q150" s="68" t="s">
        <v>279</v>
      </c>
      <c r="R150" s="68" t="s">
        <v>279</v>
      </c>
      <c r="S150" s="68" t="s">
        <v>279</v>
      </c>
      <c r="T150" s="69" t="s">
        <v>279</v>
      </c>
      <c r="U150" s="70" t="s">
        <v>213</v>
      </c>
      <c r="V150" s="54">
        <f t="shared" si="62"/>
        <v>2</v>
      </c>
      <c r="W150" s="54">
        <f t="shared" si="63"/>
        <v>2</v>
      </c>
      <c r="X150" s="54">
        <f t="shared" si="64"/>
        <v>1</v>
      </c>
      <c r="Y150" s="54">
        <f t="shared" si="65"/>
        <v>1</v>
      </c>
      <c r="AA150" s="54">
        <f t="shared" si="66"/>
        <v>1</v>
      </c>
      <c r="AB150" s="54">
        <f t="shared" si="66"/>
        <v>2</v>
      </c>
      <c r="AC150" s="54">
        <f t="shared" si="66"/>
        <v>3</v>
      </c>
      <c r="AD150" s="54">
        <f t="shared" si="67"/>
        <v>1</v>
      </c>
      <c r="AE150" s="54">
        <f t="shared" si="67"/>
        <v>2</v>
      </c>
      <c r="AF150" s="54">
        <f t="shared" si="67"/>
        <v>3</v>
      </c>
      <c r="AH150" s="55">
        <f t="shared" si="77"/>
        <v>1</v>
      </c>
      <c r="AI150" s="55">
        <f t="shared" si="77"/>
        <v>3</v>
      </c>
      <c r="AJ150" s="55">
        <f t="shared" si="77"/>
        <v>2</v>
      </c>
      <c r="AK150" s="55">
        <f t="shared" si="78"/>
        <v>4</v>
      </c>
      <c r="AL150" s="55">
        <f t="shared" si="69"/>
        <v>1</v>
      </c>
      <c r="AM150" s="55">
        <f t="shared" si="69"/>
        <v>2</v>
      </c>
      <c r="AN150" s="55">
        <f t="shared" si="69"/>
        <v>3</v>
      </c>
      <c r="AO150" s="55">
        <f t="shared" si="69"/>
        <v>4</v>
      </c>
      <c r="AQ150" s="55">
        <f t="shared" si="70"/>
        <v>1</v>
      </c>
      <c r="AR150" s="55">
        <f t="shared" si="70"/>
        <v>2</v>
      </c>
      <c r="AS150" s="55">
        <f t="shared" si="70"/>
        <v>4</v>
      </c>
      <c r="AT150" s="55">
        <f t="shared" si="70"/>
        <v>3</v>
      </c>
      <c r="AU150" s="55">
        <f t="shared" si="71"/>
        <v>1</v>
      </c>
      <c r="AV150" s="55">
        <f t="shared" si="71"/>
        <v>2</v>
      </c>
      <c r="AW150" s="55">
        <f t="shared" si="71"/>
        <v>4</v>
      </c>
      <c r="AX150" s="55">
        <f t="shared" si="71"/>
        <v>3</v>
      </c>
      <c r="AZ150" s="55">
        <f t="shared" si="72"/>
        <v>1</v>
      </c>
      <c r="BA150" s="55">
        <f t="shared" si="72"/>
        <v>3</v>
      </c>
      <c r="BB150" s="55">
        <f t="shared" si="72"/>
        <v>2</v>
      </c>
      <c r="BC150" s="55">
        <f t="shared" si="72"/>
        <v>4</v>
      </c>
      <c r="BD150" s="55">
        <f t="shared" si="73"/>
        <v>1</v>
      </c>
      <c r="BE150" s="55">
        <f t="shared" si="73"/>
        <v>3</v>
      </c>
      <c r="BF150" s="55">
        <f t="shared" si="73"/>
        <v>2</v>
      </c>
      <c r="BG150" s="55">
        <f t="shared" si="73"/>
        <v>4</v>
      </c>
      <c r="BI150" s="55">
        <f t="shared" si="74"/>
        <v>1</v>
      </c>
      <c r="BJ150" s="55">
        <f t="shared" si="74"/>
        <v>4</v>
      </c>
      <c r="BK150" s="55">
        <f t="shared" si="74"/>
        <v>3</v>
      </c>
      <c r="BL150" s="55">
        <f t="shared" si="74"/>
        <v>2</v>
      </c>
      <c r="BM150" s="55">
        <f t="shared" si="75"/>
        <v>1</v>
      </c>
      <c r="BN150" s="55">
        <f t="shared" si="75"/>
        <v>4</v>
      </c>
      <c r="BO150" s="55">
        <f t="shared" si="75"/>
        <v>3</v>
      </c>
      <c r="BP150" s="55">
        <f t="shared" si="75"/>
        <v>2</v>
      </c>
    </row>
    <row r="151" spans="1:68" s="83" customFormat="1" ht="15.75" thickBot="1" x14ac:dyDescent="0.3">
      <c r="A151" s="74"/>
      <c r="B151" s="74"/>
      <c r="C151" s="74"/>
      <c r="D151" s="74"/>
      <c r="E151" s="74"/>
      <c r="F151" s="74"/>
      <c r="G151" s="13"/>
      <c r="H151" s="13"/>
      <c r="I151" s="13"/>
      <c r="J151" s="13"/>
      <c r="K151" s="13"/>
      <c r="L151" s="13"/>
      <c r="M151" s="13"/>
      <c r="N151" s="13" t="s">
        <v>286</v>
      </c>
      <c r="O151" s="75" t="s">
        <v>279</v>
      </c>
      <c r="P151" s="76" t="s">
        <v>279</v>
      </c>
      <c r="Q151" s="76" t="s">
        <v>279</v>
      </c>
      <c r="R151" s="76" t="s">
        <v>282</v>
      </c>
      <c r="S151" s="76" t="s">
        <v>282</v>
      </c>
      <c r="T151" s="77" t="s">
        <v>282</v>
      </c>
      <c r="U151" s="71" t="s">
        <v>219</v>
      </c>
      <c r="V151" s="84">
        <f t="shared" si="62"/>
        <v>1</v>
      </c>
      <c r="W151" s="84">
        <f t="shared" si="63"/>
        <v>1</v>
      </c>
      <c r="X151" s="84">
        <f t="shared" si="64"/>
        <v>2</v>
      </c>
      <c r="Y151" s="84">
        <f t="shared" si="65"/>
        <v>2</v>
      </c>
      <c r="AA151" s="84">
        <f t="shared" si="66"/>
        <v>2</v>
      </c>
      <c r="AB151" s="84">
        <f t="shared" si="66"/>
        <v>1</v>
      </c>
      <c r="AC151" s="84">
        <f t="shared" si="66"/>
        <v>3</v>
      </c>
      <c r="AD151" s="84">
        <f t="shared" si="67"/>
        <v>2</v>
      </c>
      <c r="AE151" s="84">
        <f t="shared" si="67"/>
        <v>1</v>
      </c>
      <c r="AF151" s="84">
        <f t="shared" si="67"/>
        <v>3</v>
      </c>
      <c r="AH151" s="83">
        <f t="shared" si="77"/>
        <v>1</v>
      </c>
      <c r="AI151" s="83">
        <f t="shared" si="77"/>
        <v>4</v>
      </c>
      <c r="AJ151" s="83">
        <f t="shared" si="77"/>
        <v>2</v>
      </c>
      <c r="AK151" s="83">
        <f t="shared" si="78"/>
        <v>3</v>
      </c>
      <c r="AL151" s="83">
        <f t="shared" si="69"/>
        <v>1</v>
      </c>
      <c r="AM151" s="83">
        <f t="shared" si="69"/>
        <v>4</v>
      </c>
      <c r="AN151" s="83">
        <f t="shared" si="69"/>
        <v>2</v>
      </c>
      <c r="AO151" s="83">
        <f t="shared" si="69"/>
        <v>3</v>
      </c>
      <c r="AQ151" s="83" t="e">
        <f t="shared" si="70"/>
        <v>#N/A</v>
      </c>
      <c r="AR151" s="83" t="e">
        <f t="shared" si="70"/>
        <v>#N/A</v>
      </c>
      <c r="AS151" s="83" t="e">
        <f t="shared" si="70"/>
        <v>#N/A</v>
      </c>
      <c r="AT151" s="83" t="e">
        <f t="shared" si="70"/>
        <v>#N/A</v>
      </c>
      <c r="AU151" s="83" t="e">
        <f t="shared" si="71"/>
        <v>#N/A</v>
      </c>
      <c r="AV151" s="83" t="e">
        <f t="shared" si="71"/>
        <v>#N/A</v>
      </c>
      <c r="AW151" s="83" t="e">
        <f t="shared" si="71"/>
        <v>#N/A</v>
      </c>
      <c r="AX151" s="83" t="e">
        <f t="shared" si="71"/>
        <v>#N/A</v>
      </c>
      <c r="AZ151" s="83" t="e">
        <f t="shared" si="72"/>
        <v>#N/A</v>
      </c>
      <c r="BA151" s="83" t="e">
        <f t="shared" si="72"/>
        <v>#N/A</v>
      </c>
      <c r="BB151" s="83" t="e">
        <f t="shared" si="72"/>
        <v>#N/A</v>
      </c>
      <c r="BC151" s="83" t="e">
        <f t="shared" si="72"/>
        <v>#N/A</v>
      </c>
      <c r="BD151" s="83" t="e">
        <f t="shared" si="73"/>
        <v>#N/A</v>
      </c>
      <c r="BE151" s="83" t="e">
        <f t="shared" si="73"/>
        <v>#N/A</v>
      </c>
      <c r="BF151" s="83" t="e">
        <f t="shared" si="73"/>
        <v>#N/A</v>
      </c>
      <c r="BG151" s="83" t="e">
        <f t="shared" si="73"/>
        <v>#N/A</v>
      </c>
      <c r="BI151" s="83" t="e">
        <f t="shared" si="74"/>
        <v>#N/A</v>
      </c>
      <c r="BJ151" s="83" t="e">
        <f t="shared" si="74"/>
        <v>#N/A</v>
      </c>
      <c r="BK151" s="83" t="e">
        <f t="shared" si="74"/>
        <v>#N/A</v>
      </c>
      <c r="BL151" s="83" t="e">
        <f t="shared" si="74"/>
        <v>#N/A</v>
      </c>
      <c r="BM151" s="83" t="e">
        <f t="shared" si="75"/>
        <v>#N/A</v>
      </c>
      <c r="BN151" s="83" t="e">
        <f t="shared" si="75"/>
        <v>#N/A</v>
      </c>
      <c r="BO151" s="83" t="e">
        <f t="shared" si="75"/>
        <v>#N/A</v>
      </c>
      <c r="BP151" s="83" t="e">
        <f t="shared" si="75"/>
        <v>#N/A</v>
      </c>
    </row>
    <row r="152" spans="1:68" s="89" customFormat="1" ht="15.75" x14ac:dyDescent="0.25">
      <c r="A152" s="86"/>
      <c r="B152" s="86"/>
      <c r="C152" s="86"/>
      <c r="D152" s="86"/>
      <c r="E152" s="86"/>
      <c r="F152" s="86"/>
      <c r="G152" s="9"/>
      <c r="H152" s="9"/>
      <c r="I152" s="9"/>
      <c r="J152" s="9"/>
      <c r="K152" s="9"/>
      <c r="L152" s="9"/>
      <c r="M152" s="9"/>
      <c r="N152" s="87" t="s">
        <v>284</v>
      </c>
      <c r="O152" s="67" t="s">
        <v>279</v>
      </c>
      <c r="P152" s="68" t="s">
        <v>279</v>
      </c>
      <c r="Q152" s="68" t="s">
        <v>279</v>
      </c>
      <c r="R152" s="68" t="s">
        <v>279</v>
      </c>
      <c r="S152" s="68" t="s">
        <v>279</v>
      </c>
      <c r="T152" s="69" t="s">
        <v>279</v>
      </c>
      <c r="U152" s="87" t="s">
        <v>221</v>
      </c>
      <c r="V152" s="88">
        <f t="shared" si="62"/>
        <v>2</v>
      </c>
      <c r="W152" s="88">
        <f t="shared" si="63"/>
        <v>2</v>
      </c>
      <c r="X152" s="88">
        <f t="shared" si="64"/>
        <v>1</v>
      </c>
      <c r="Y152" s="88">
        <f t="shared" si="65"/>
        <v>1</v>
      </c>
      <c r="AA152" s="88">
        <f t="shared" si="66"/>
        <v>3</v>
      </c>
      <c r="AB152" s="88">
        <f t="shared" si="66"/>
        <v>1</v>
      </c>
      <c r="AC152" s="88">
        <f t="shared" si="66"/>
        <v>2</v>
      </c>
      <c r="AD152" s="88">
        <f t="shared" si="67"/>
        <v>3</v>
      </c>
      <c r="AE152" s="88">
        <f t="shared" si="67"/>
        <v>1</v>
      </c>
      <c r="AF152" s="88">
        <f t="shared" si="67"/>
        <v>2</v>
      </c>
      <c r="AH152" s="89">
        <f t="shared" si="77"/>
        <v>4</v>
      </c>
      <c r="AI152" s="89">
        <f t="shared" si="77"/>
        <v>2</v>
      </c>
      <c r="AJ152" s="89">
        <f t="shared" si="77"/>
        <v>1</v>
      </c>
      <c r="AK152" s="89">
        <f t="shared" si="78"/>
        <v>3</v>
      </c>
      <c r="AL152" s="89">
        <f t="shared" si="69"/>
        <v>4</v>
      </c>
      <c r="AM152" s="89">
        <f t="shared" si="69"/>
        <v>2</v>
      </c>
      <c r="AN152" s="89">
        <f t="shared" si="69"/>
        <v>1</v>
      </c>
      <c r="AO152" s="89">
        <f t="shared" si="69"/>
        <v>3</v>
      </c>
      <c r="AQ152" s="89">
        <f t="shared" si="70"/>
        <v>1</v>
      </c>
      <c r="AR152" s="89">
        <f t="shared" si="70"/>
        <v>2</v>
      </c>
      <c r="AS152" s="89">
        <f t="shared" si="70"/>
        <v>4</v>
      </c>
      <c r="AT152" s="89">
        <f t="shared" si="70"/>
        <v>3</v>
      </c>
      <c r="AU152" s="89">
        <f t="shared" si="71"/>
        <v>1</v>
      </c>
      <c r="AV152" s="89">
        <f t="shared" si="71"/>
        <v>2</v>
      </c>
      <c r="AW152" s="89">
        <f t="shared" si="71"/>
        <v>4</v>
      </c>
      <c r="AX152" s="89">
        <f t="shared" si="71"/>
        <v>3</v>
      </c>
      <c r="AZ152" s="89">
        <f t="shared" si="72"/>
        <v>2</v>
      </c>
      <c r="BA152" s="89">
        <f t="shared" si="72"/>
        <v>3</v>
      </c>
      <c r="BB152" s="89">
        <f t="shared" si="72"/>
        <v>1</v>
      </c>
      <c r="BC152" s="89">
        <f t="shared" si="72"/>
        <v>4</v>
      </c>
      <c r="BD152" s="89">
        <f t="shared" si="73"/>
        <v>2</v>
      </c>
      <c r="BE152" s="89">
        <f t="shared" si="73"/>
        <v>3</v>
      </c>
      <c r="BF152" s="89">
        <f t="shared" si="73"/>
        <v>1</v>
      </c>
      <c r="BG152" s="89">
        <f t="shared" si="73"/>
        <v>4</v>
      </c>
      <c r="BI152" s="89">
        <f t="shared" si="74"/>
        <v>2</v>
      </c>
      <c r="BJ152" s="89">
        <f t="shared" si="74"/>
        <v>3</v>
      </c>
      <c r="BK152" s="95">
        <f t="shared" si="74"/>
        <v>4</v>
      </c>
      <c r="BL152" s="89">
        <f t="shared" si="74"/>
        <v>1</v>
      </c>
      <c r="BM152" s="89">
        <f t="shared" si="75"/>
        <v>2</v>
      </c>
      <c r="BN152" s="89">
        <f t="shared" si="75"/>
        <v>3</v>
      </c>
      <c r="BO152" s="89">
        <f t="shared" si="75"/>
        <v>3</v>
      </c>
      <c r="BP152" s="89">
        <f t="shared" si="75"/>
        <v>1</v>
      </c>
    </row>
    <row r="153" spans="1:68" s="55" customFormat="1" ht="15.75" x14ac:dyDescent="0.25">
      <c r="A153" s="28"/>
      <c r="B153" s="28"/>
      <c r="C153" s="28"/>
      <c r="D153" s="28"/>
      <c r="E153" s="28"/>
      <c r="F153" s="28"/>
      <c r="G153"/>
      <c r="H153"/>
      <c r="I153"/>
      <c r="J153"/>
      <c r="K153"/>
      <c r="L153"/>
      <c r="M153"/>
      <c r="N153" s="87" t="s">
        <v>287</v>
      </c>
      <c r="O153" s="67" t="s">
        <v>279</v>
      </c>
      <c r="P153" s="68" t="s">
        <v>280</v>
      </c>
      <c r="Q153" s="68" t="s">
        <v>280</v>
      </c>
      <c r="R153" s="68" t="s">
        <v>280</v>
      </c>
      <c r="S153" s="68" t="s">
        <v>279</v>
      </c>
      <c r="T153" s="69" t="s">
        <v>280</v>
      </c>
      <c r="U153" s="70" t="s">
        <v>225</v>
      </c>
      <c r="V153" s="54">
        <f t="shared" si="62"/>
        <v>1</v>
      </c>
      <c r="W153" s="54">
        <f t="shared" si="63"/>
        <v>1</v>
      </c>
      <c r="X153" s="54">
        <f t="shared" si="64"/>
        <v>1</v>
      </c>
      <c r="Y153" s="54">
        <f t="shared" si="65"/>
        <v>1</v>
      </c>
      <c r="AA153" s="54">
        <f t="shared" si="66"/>
        <v>2</v>
      </c>
      <c r="AB153" s="54">
        <f t="shared" si="66"/>
        <v>1</v>
      </c>
      <c r="AC153" s="73">
        <f t="shared" si="66"/>
        <v>3</v>
      </c>
      <c r="AD153" s="54">
        <f t="shared" si="67"/>
        <v>2</v>
      </c>
      <c r="AE153" s="54">
        <f t="shared" si="67"/>
        <v>1</v>
      </c>
      <c r="AF153" s="54">
        <f t="shared" si="67"/>
        <v>2</v>
      </c>
      <c r="AH153" s="35">
        <f t="shared" si="77"/>
        <v>4</v>
      </c>
      <c r="AI153" s="35">
        <f t="shared" si="77"/>
        <v>3</v>
      </c>
      <c r="AJ153" s="55">
        <f t="shared" si="77"/>
        <v>2</v>
      </c>
      <c r="AK153" s="55">
        <f t="shared" si="78"/>
        <v>1</v>
      </c>
      <c r="AL153" s="55">
        <f t="shared" si="69"/>
        <v>2</v>
      </c>
      <c r="AM153" s="55">
        <f t="shared" si="69"/>
        <v>2</v>
      </c>
      <c r="AN153" s="55">
        <f t="shared" si="69"/>
        <v>2</v>
      </c>
      <c r="AO153" s="55">
        <f t="shared" si="69"/>
        <v>1</v>
      </c>
      <c r="AQ153" s="55">
        <f t="shared" si="70"/>
        <v>2</v>
      </c>
      <c r="AR153" s="55">
        <f t="shared" si="70"/>
        <v>1</v>
      </c>
      <c r="AS153" s="55">
        <f t="shared" si="70"/>
        <v>3</v>
      </c>
      <c r="AT153" s="55">
        <f t="shared" si="70"/>
        <v>3</v>
      </c>
      <c r="AU153" s="55">
        <f t="shared" si="71"/>
        <v>2</v>
      </c>
      <c r="AV153" s="55">
        <f t="shared" si="71"/>
        <v>1</v>
      </c>
      <c r="AW153" s="55">
        <f t="shared" si="71"/>
        <v>2</v>
      </c>
      <c r="AX153" s="55">
        <f t="shared" si="71"/>
        <v>2</v>
      </c>
      <c r="AZ153" s="35">
        <f t="shared" si="72"/>
        <v>2</v>
      </c>
      <c r="BA153" s="55">
        <f t="shared" si="72"/>
        <v>1</v>
      </c>
      <c r="BB153" s="55">
        <f t="shared" si="72"/>
        <v>3</v>
      </c>
      <c r="BC153" s="35">
        <f t="shared" si="72"/>
        <v>4</v>
      </c>
      <c r="BD153" s="55">
        <f t="shared" si="73"/>
        <v>1</v>
      </c>
      <c r="BE153" s="55">
        <f t="shared" si="73"/>
        <v>1</v>
      </c>
      <c r="BF153" s="55">
        <f t="shared" si="73"/>
        <v>3</v>
      </c>
      <c r="BG153" s="55">
        <f t="shared" si="73"/>
        <v>3</v>
      </c>
      <c r="BI153" s="55">
        <f t="shared" si="74"/>
        <v>1</v>
      </c>
      <c r="BJ153" s="55">
        <f t="shared" si="74"/>
        <v>2</v>
      </c>
      <c r="BK153" s="55">
        <f t="shared" si="74"/>
        <v>4</v>
      </c>
      <c r="BL153" s="55">
        <f t="shared" si="74"/>
        <v>2</v>
      </c>
      <c r="BM153" s="55">
        <f t="shared" si="75"/>
        <v>1</v>
      </c>
      <c r="BN153" s="55">
        <f t="shared" si="75"/>
        <v>2</v>
      </c>
      <c r="BO153" s="55">
        <f t="shared" si="75"/>
        <v>2</v>
      </c>
      <c r="BP153" s="55">
        <f t="shared" si="75"/>
        <v>2</v>
      </c>
    </row>
    <row r="154" spans="1:68" s="55" customFormat="1" ht="15.75" x14ac:dyDescent="0.25">
      <c r="A154" s="28"/>
      <c r="B154" s="28"/>
      <c r="C154" s="28"/>
      <c r="D154" s="28"/>
      <c r="E154" s="28"/>
      <c r="F154" s="28"/>
      <c r="G154"/>
      <c r="H154"/>
      <c r="I154"/>
      <c r="J154"/>
      <c r="K154"/>
      <c r="L154"/>
      <c r="M154"/>
      <c r="N154" s="87" t="s">
        <v>286</v>
      </c>
      <c r="O154" s="67" t="s">
        <v>279</v>
      </c>
      <c r="P154" s="68" t="s">
        <v>279</v>
      </c>
      <c r="Q154" s="68" t="s">
        <v>279</v>
      </c>
      <c r="R154" s="68" t="s">
        <v>282</v>
      </c>
      <c r="S154" s="68" t="s">
        <v>282</v>
      </c>
      <c r="T154" s="69" t="s">
        <v>282</v>
      </c>
      <c r="U154" s="70" t="s">
        <v>234</v>
      </c>
      <c r="V154" s="54">
        <f t="shared" si="62"/>
        <v>2</v>
      </c>
      <c r="W154" s="54">
        <f t="shared" si="63"/>
        <v>2</v>
      </c>
      <c r="X154" s="54">
        <f t="shared" si="64"/>
        <v>1</v>
      </c>
      <c r="Y154" s="54">
        <f t="shared" si="65"/>
        <v>1</v>
      </c>
      <c r="AA154" s="54">
        <f t="shared" si="66"/>
        <v>3</v>
      </c>
      <c r="AB154" s="54">
        <f t="shared" si="66"/>
        <v>1</v>
      </c>
      <c r="AC154" s="54">
        <f t="shared" si="66"/>
        <v>2</v>
      </c>
      <c r="AD154" s="54">
        <f t="shared" si="67"/>
        <v>3</v>
      </c>
      <c r="AE154" s="54">
        <f t="shared" si="67"/>
        <v>1</v>
      </c>
      <c r="AF154" s="54">
        <f t="shared" si="67"/>
        <v>2</v>
      </c>
      <c r="AH154" s="55">
        <f t="shared" si="77"/>
        <v>3</v>
      </c>
      <c r="AI154" s="55">
        <f t="shared" si="77"/>
        <v>2</v>
      </c>
      <c r="AJ154" s="55">
        <f t="shared" si="77"/>
        <v>1</v>
      </c>
      <c r="AK154" s="35">
        <f t="shared" si="78"/>
        <v>4</v>
      </c>
      <c r="AL154" s="55">
        <f t="shared" si="69"/>
        <v>3</v>
      </c>
      <c r="AM154" s="55">
        <f t="shared" si="69"/>
        <v>2</v>
      </c>
      <c r="AN154" s="55">
        <f t="shared" si="69"/>
        <v>1</v>
      </c>
      <c r="AO154" s="55">
        <f t="shared" si="69"/>
        <v>3</v>
      </c>
      <c r="AQ154" s="55" t="e">
        <f t="shared" si="70"/>
        <v>#N/A</v>
      </c>
      <c r="AR154" s="55" t="e">
        <f t="shared" si="70"/>
        <v>#N/A</v>
      </c>
      <c r="AS154" s="55" t="e">
        <f t="shared" si="70"/>
        <v>#N/A</v>
      </c>
      <c r="AT154" s="55" t="e">
        <f t="shared" si="70"/>
        <v>#N/A</v>
      </c>
      <c r="AU154" s="55" t="e">
        <f t="shared" si="71"/>
        <v>#N/A</v>
      </c>
      <c r="AV154" s="55" t="e">
        <f t="shared" si="71"/>
        <v>#N/A</v>
      </c>
      <c r="AW154" s="55" t="e">
        <f t="shared" si="71"/>
        <v>#N/A</v>
      </c>
      <c r="AX154" s="55" t="e">
        <f t="shared" si="71"/>
        <v>#N/A</v>
      </c>
      <c r="AZ154" s="55" t="e">
        <f t="shared" si="72"/>
        <v>#N/A</v>
      </c>
      <c r="BA154" s="55" t="e">
        <f t="shared" si="72"/>
        <v>#N/A</v>
      </c>
      <c r="BB154" s="55" t="e">
        <f t="shared" si="72"/>
        <v>#N/A</v>
      </c>
      <c r="BC154" s="55" t="e">
        <f t="shared" si="72"/>
        <v>#N/A</v>
      </c>
      <c r="BD154" s="55" t="e">
        <f t="shared" si="73"/>
        <v>#N/A</v>
      </c>
      <c r="BE154" s="55" t="e">
        <f t="shared" si="73"/>
        <v>#N/A</v>
      </c>
      <c r="BF154" s="55" t="e">
        <f t="shared" si="73"/>
        <v>#N/A</v>
      </c>
      <c r="BG154" s="55" t="e">
        <f t="shared" si="73"/>
        <v>#N/A</v>
      </c>
      <c r="BI154" s="55" t="e">
        <f t="shared" si="74"/>
        <v>#N/A</v>
      </c>
      <c r="BJ154" s="55" t="e">
        <f t="shared" si="74"/>
        <v>#N/A</v>
      </c>
      <c r="BK154" s="55" t="e">
        <f t="shared" si="74"/>
        <v>#N/A</v>
      </c>
      <c r="BL154" s="55" t="e">
        <f t="shared" si="74"/>
        <v>#N/A</v>
      </c>
      <c r="BM154" s="55" t="e">
        <f t="shared" si="75"/>
        <v>#N/A</v>
      </c>
      <c r="BN154" s="55" t="e">
        <f t="shared" si="75"/>
        <v>#N/A</v>
      </c>
      <c r="BO154" s="55" t="e">
        <f t="shared" si="75"/>
        <v>#N/A</v>
      </c>
      <c r="BP154" s="55" t="e">
        <f t="shared" si="75"/>
        <v>#N/A</v>
      </c>
    </row>
    <row r="155" spans="1:68" s="83" customFormat="1" ht="15.75" thickBot="1" x14ac:dyDescent="0.3">
      <c r="A155" s="74"/>
      <c r="B155" s="74"/>
      <c r="C155" s="74"/>
      <c r="D155" s="74"/>
      <c r="E155" s="74"/>
      <c r="F155" s="74"/>
      <c r="G155" s="13"/>
      <c r="H155" s="13"/>
      <c r="I155" s="13"/>
      <c r="J155" s="13"/>
      <c r="K155" s="13"/>
      <c r="L155" s="13"/>
      <c r="M155" s="13"/>
      <c r="N155" s="13" t="s">
        <v>284</v>
      </c>
      <c r="O155" s="75" t="s">
        <v>279</v>
      </c>
      <c r="P155" s="76" t="s">
        <v>279</v>
      </c>
      <c r="Q155" s="76" t="s">
        <v>279</v>
      </c>
      <c r="R155" s="76" t="s">
        <v>279</v>
      </c>
      <c r="S155" s="76" t="s">
        <v>279</v>
      </c>
      <c r="T155" s="77" t="s">
        <v>279</v>
      </c>
      <c r="U155" s="71" t="s">
        <v>238</v>
      </c>
      <c r="V155" s="84">
        <f t="shared" si="62"/>
        <v>2</v>
      </c>
      <c r="W155" s="84">
        <f t="shared" si="63"/>
        <v>2</v>
      </c>
      <c r="X155" s="84">
        <f t="shared" si="64"/>
        <v>1</v>
      </c>
      <c r="Y155" s="84">
        <f t="shared" si="65"/>
        <v>1</v>
      </c>
      <c r="AA155" s="84">
        <f t="shared" si="66"/>
        <v>2</v>
      </c>
      <c r="AB155" s="84">
        <f t="shared" si="66"/>
        <v>3</v>
      </c>
      <c r="AC155" s="84">
        <f t="shared" si="66"/>
        <v>1</v>
      </c>
      <c r="AD155" s="84">
        <f t="shared" si="67"/>
        <v>2</v>
      </c>
      <c r="AE155" s="84">
        <f t="shared" si="67"/>
        <v>3</v>
      </c>
      <c r="AF155" s="84">
        <f t="shared" si="67"/>
        <v>1</v>
      </c>
      <c r="AH155" s="83">
        <f t="shared" si="77"/>
        <v>4</v>
      </c>
      <c r="AI155" s="83">
        <f t="shared" si="77"/>
        <v>1</v>
      </c>
      <c r="AJ155" s="83">
        <f t="shared" si="77"/>
        <v>2</v>
      </c>
      <c r="AK155" s="83">
        <f t="shared" si="78"/>
        <v>3</v>
      </c>
      <c r="AL155" s="83">
        <f t="shared" si="69"/>
        <v>4</v>
      </c>
      <c r="AM155" s="83">
        <f t="shared" si="69"/>
        <v>1</v>
      </c>
      <c r="AN155" s="83">
        <f t="shared" si="69"/>
        <v>2</v>
      </c>
      <c r="AO155" s="83">
        <f t="shared" si="69"/>
        <v>3</v>
      </c>
      <c r="AQ155" s="83">
        <f t="shared" si="70"/>
        <v>2</v>
      </c>
      <c r="AR155" s="83">
        <f t="shared" si="70"/>
        <v>1</v>
      </c>
      <c r="AS155" s="83">
        <f t="shared" si="70"/>
        <v>3</v>
      </c>
      <c r="AT155" s="83">
        <f t="shared" si="70"/>
        <v>4</v>
      </c>
      <c r="AU155" s="83">
        <f t="shared" si="71"/>
        <v>2</v>
      </c>
      <c r="AV155" s="83">
        <f t="shared" si="71"/>
        <v>1</v>
      </c>
      <c r="AW155" s="83">
        <f t="shared" si="71"/>
        <v>3</v>
      </c>
      <c r="AX155" s="83">
        <f t="shared" si="71"/>
        <v>4</v>
      </c>
      <c r="AZ155" s="83">
        <f t="shared" si="72"/>
        <v>2</v>
      </c>
      <c r="BA155" s="83">
        <f t="shared" si="72"/>
        <v>1</v>
      </c>
      <c r="BB155" s="83">
        <f t="shared" si="72"/>
        <v>3</v>
      </c>
      <c r="BC155" s="83">
        <f t="shared" si="72"/>
        <v>4</v>
      </c>
      <c r="BD155" s="83">
        <f t="shared" si="73"/>
        <v>2</v>
      </c>
      <c r="BE155" s="83">
        <f t="shared" si="73"/>
        <v>1</v>
      </c>
      <c r="BF155" s="83">
        <f t="shared" si="73"/>
        <v>3</v>
      </c>
      <c r="BG155" s="83">
        <f t="shared" si="73"/>
        <v>4</v>
      </c>
      <c r="BI155" s="83">
        <f t="shared" si="74"/>
        <v>2</v>
      </c>
      <c r="BJ155" s="83">
        <f t="shared" si="74"/>
        <v>1</v>
      </c>
      <c r="BK155" s="83">
        <f t="shared" si="74"/>
        <v>3</v>
      </c>
      <c r="BL155" s="83">
        <f t="shared" si="74"/>
        <v>4</v>
      </c>
      <c r="BM155" s="83">
        <f t="shared" si="75"/>
        <v>2</v>
      </c>
      <c r="BN155" s="83">
        <f t="shared" si="75"/>
        <v>1</v>
      </c>
      <c r="BO155" s="83">
        <f t="shared" si="75"/>
        <v>3</v>
      </c>
      <c r="BP155" s="83">
        <f t="shared" si="75"/>
        <v>4</v>
      </c>
    </row>
    <row r="156" spans="1:68" s="55" customFormat="1" x14ac:dyDescent="0.25">
      <c r="A156" s="28"/>
      <c r="B156" s="28"/>
      <c r="C156" s="28"/>
      <c r="D156" s="28"/>
      <c r="E156" s="28"/>
      <c r="F156" s="28"/>
      <c r="G156"/>
      <c r="H156"/>
      <c r="I156"/>
      <c r="J156"/>
      <c r="K156"/>
      <c r="L156"/>
      <c r="M156"/>
      <c r="N156" s="87" t="s">
        <v>287</v>
      </c>
      <c r="O156" s="67" t="s">
        <v>281</v>
      </c>
      <c r="P156" s="68" t="s">
        <v>281</v>
      </c>
      <c r="Q156" s="68" t="s">
        <v>279</v>
      </c>
      <c r="R156" s="68" t="s">
        <v>279</v>
      </c>
      <c r="S156" s="68" t="s">
        <v>279</v>
      </c>
      <c r="T156" s="69" t="s">
        <v>279</v>
      </c>
      <c r="U156" s="70" t="s">
        <v>246</v>
      </c>
      <c r="V156" s="54">
        <f t="shared" si="62"/>
        <v>1</v>
      </c>
      <c r="W156" s="54">
        <f t="shared" si="63"/>
        <v>1</v>
      </c>
      <c r="X156" s="54">
        <f t="shared" si="64"/>
        <v>2</v>
      </c>
      <c r="Y156" s="54">
        <f t="shared" si="65"/>
        <v>2</v>
      </c>
      <c r="AA156" s="54">
        <f t="shared" si="66"/>
        <v>2</v>
      </c>
      <c r="AB156" s="54">
        <f t="shared" si="66"/>
        <v>1</v>
      </c>
      <c r="AC156" s="54">
        <f t="shared" si="66"/>
        <v>3</v>
      </c>
      <c r="AD156" s="54">
        <f t="shared" si="67"/>
        <v>2</v>
      </c>
      <c r="AE156" s="54">
        <f t="shared" si="67"/>
        <v>1</v>
      </c>
      <c r="AF156" s="54">
        <f t="shared" si="67"/>
        <v>3</v>
      </c>
      <c r="AH156" s="55">
        <f t="shared" si="77"/>
        <v>1</v>
      </c>
      <c r="AI156" s="55">
        <f t="shared" si="77"/>
        <v>1</v>
      </c>
      <c r="AJ156" s="55">
        <f t="shared" si="77"/>
        <v>1</v>
      </c>
      <c r="AK156" s="55">
        <f t="shared" si="78"/>
        <v>4</v>
      </c>
      <c r="AL156" s="55">
        <f t="shared" si="69"/>
        <v>1</v>
      </c>
      <c r="AM156" s="55">
        <f t="shared" si="69"/>
        <v>1</v>
      </c>
      <c r="AN156" s="55">
        <f t="shared" si="69"/>
        <v>1</v>
      </c>
      <c r="AO156" s="55">
        <f t="shared" si="69"/>
        <v>4</v>
      </c>
      <c r="AQ156" s="55">
        <f t="shared" si="70"/>
        <v>1</v>
      </c>
      <c r="AR156" s="55">
        <f t="shared" si="70"/>
        <v>2</v>
      </c>
      <c r="AS156" s="55">
        <f t="shared" si="70"/>
        <v>4</v>
      </c>
      <c r="AT156" s="55">
        <f t="shared" si="70"/>
        <v>2</v>
      </c>
      <c r="AU156" s="55">
        <f t="shared" si="71"/>
        <v>1</v>
      </c>
      <c r="AV156" s="55">
        <f t="shared" si="71"/>
        <v>3</v>
      </c>
      <c r="AW156" s="55">
        <f t="shared" si="71"/>
        <v>4</v>
      </c>
      <c r="AX156" s="55">
        <f t="shared" si="71"/>
        <v>2</v>
      </c>
      <c r="AZ156" s="55">
        <f t="shared" si="72"/>
        <v>1</v>
      </c>
      <c r="BA156" s="55">
        <f t="shared" si="72"/>
        <v>2</v>
      </c>
      <c r="BB156" s="55">
        <f t="shared" si="72"/>
        <v>4</v>
      </c>
      <c r="BC156" s="55">
        <f t="shared" si="72"/>
        <v>2</v>
      </c>
      <c r="BD156" s="55">
        <f t="shared" si="73"/>
        <v>1</v>
      </c>
      <c r="BE156" s="55">
        <f t="shared" si="73"/>
        <v>2</v>
      </c>
      <c r="BF156" s="55">
        <f t="shared" si="73"/>
        <v>4</v>
      </c>
      <c r="BG156" s="55">
        <f t="shared" si="73"/>
        <v>2</v>
      </c>
      <c r="BI156" s="55">
        <f t="shared" si="74"/>
        <v>3</v>
      </c>
      <c r="BJ156" s="55">
        <f t="shared" si="74"/>
        <v>1</v>
      </c>
      <c r="BK156" s="55">
        <f t="shared" si="74"/>
        <v>4</v>
      </c>
      <c r="BL156" s="55">
        <f t="shared" si="74"/>
        <v>1</v>
      </c>
      <c r="BM156" s="55">
        <f t="shared" si="75"/>
        <v>3</v>
      </c>
      <c r="BN156" s="55">
        <f t="shared" si="75"/>
        <v>2</v>
      </c>
      <c r="BO156" s="55">
        <f t="shared" si="75"/>
        <v>4</v>
      </c>
      <c r="BP156" s="55">
        <f t="shared" si="75"/>
        <v>1</v>
      </c>
    </row>
    <row r="157" spans="1:68" s="55" customFormat="1" x14ac:dyDescent="0.25">
      <c r="A157" s="28"/>
      <c r="B157" s="28"/>
      <c r="C157" s="28"/>
      <c r="D157" s="28"/>
      <c r="E157" s="28"/>
      <c r="F157" s="28"/>
      <c r="G157"/>
      <c r="H157"/>
      <c r="I157"/>
      <c r="J157"/>
      <c r="K157"/>
      <c r="L157"/>
      <c r="M157"/>
      <c r="N157" s="87" t="s">
        <v>283</v>
      </c>
      <c r="O157" s="67" t="s">
        <v>280</v>
      </c>
      <c r="P157" s="68" t="s">
        <v>280</v>
      </c>
      <c r="Q157" s="68" t="s">
        <v>280</v>
      </c>
      <c r="R157" s="68" t="s">
        <v>280</v>
      </c>
      <c r="S157" s="68" t="s">
        <v>280</v>
      </c>
      <c r="T157" s="69" t="s">
        <v>280</v>
      </c>
      <c r="U157" s="70" t="s">
        <v>252</v>
      </c>
      <c r="V157" s="54">
        <f t="shared" si="62"/>
        <v>2</v>
      </c>
      <c r="W157" s="54" t="e">
        <f t="shared" si="63"/>
        <v>#N/A</v>
      </c>
      <c r="X157" s="54">
        <f t="shared" si="64"/>
        <v>1</v>
      </c>
      <c r="Y157" s="54" t="e">
        <f t="shared" si="65"/>
        <v>#N/A</v>
      </c>
      <c r="AA157" s="54">
        <f t="shared" si="66"/>
        <v>3</v>
      </c>
      <c r="AB157" s="54">
        <f t="shared" si="66"/>
        <v>2</v>
      </c>
      <c r="AC157" s="54">
        <f t="shared" si="66"/>
        <v>1</v>
      </c>
      <c r="AD157" s="54" t="e">
        <f t="shared" si="67"/>
        <v>#N/A</v>
      </c>
      <c r="AE157" s="54" t="e">
        <f t="shared" si="67"/>
        <v>#N/A</v>
      </c>
      <c r="AF157" s="54" t="e">
        <f t="shared" si="67"/>
        <v>#N/A</v>
      </c>
      <c r="AH157" s="55">
        <f t="shared" si="77"/>
        <v>4</v>
      </c>
      <c r="AI157" s="55">
        <f t="shared" si="77"/>
        <v>1</v>
      </c>
      <c r="AJ157" s="55">
        <f t="shared" si="77"/>
        <v>2</v>
      </c>
      <c r="AK157" s="55">
        <f t="shared" si="78"/>
        <v>3</v>
      </c>
      <c r="AL157" s="55" t="e">
        <f t="shared" si="69"/>
        <v>#N/A</v>
      </c>
      <c r="AM157" s="55" t="e">
        <f t="shared" si="69"/>
        <v>#N/A</v>
      </c>
      <c r="AN157" s="55" t="e">
        <f t="shared" si="69"/>
        <v>#N/A</v>
      </c>
      <c r="AO157" s="55" t="e">
        <f t="shared" si="69"/>
        <v>#N/A</v>
      </c>
      <c r="AQ157" s="55">
        <f t="shared" si="70"/>
        <v>3</v>
      </c>
      <c r="AR157" s="55">
        <f t="shared" si="70"/>
        <v>1</v>
      </c>
      <c r="AS157" s="55">
        <f t="shared" si="70"/>
        <v>4</v>
      </c>
      <c r="AT157" s="55">
        <f t="shared" si="70"/>
        <v>2</v>
      </c>
      <c r="AU157" s="55" t="e">
        <f t="shared" si="71"/>
        <v>#N/A</v>
      </c>
      <c r="AV157" s="55" t="e">
        <f t="shared" si="71"/>
        <v>#N/A</v>
      </c>
      <c r="AW157" s="55" t="e">
        <f t="shared" si="71"/>
        <v>#N/A</v>
      </c>
      <c r="AX157" s="55" t="e">
        <f t="shared" si="71"/>
        <v>#N/A</v>
      </c>
      <c r="AZ157" s="55">
        <f t="shared" si="72"/>
        <v>4</v>
      </c>
      <c r="BA157" s="55">
        <f t="shared" si="72"/>
        <v>1</v>
      </c>
      <c r="BB157" s="55">
        <f t="shared" si="72"/>
        <v>3</v>
      </c>
      <c r="BC157" s="55">
        <f t="shared" si="72"/>
        <v>2</v>
      </c>
      <c r="BD157" s="55" t="e">
        <f t="shared" si="73"/>
        <v>#N/A</v>
      </c>
      <c r="BE157" s="55" t="e">
        <f t="shared" si="73"/>
        <v>#N/A</v>
      </c>
      <c r="BF157" s="55" t="e">
        <f t="shared" si="73"/>
        <v>#N/A</v>
      </c>
      <c r="BG157" s="55" t="e">
        <f t="shared" si="73"/>
        <v>#N/A</v>
      </c>
      <c r="BI157" s="55">
        <f t="shared" si="74"/>
        <v>4</v>
      </c>
      <c r="BJ157" s="55">
        <f t="shared" si="74"/>
        <v>1</v>
      </c>
      <c r="BK157" s="55">
        <f t="shared" si="74"/>
        <v>3</v>
      </c>
      <c r="BL157" s="55">
        <f t="shared" si="74"/>
        <v>2</v>
      </c>
      <c r="BM157" s="55" t="e">
        <f t="shared" si="75"/>
        <v>#N/A</v>
      </c>
      <c r="BN157" s="55" t="e">
        <f t="shared" si="75"/>
        <v>#N/A</v>
      </c>
      <c r="BO157" s="55" t="e">
        <f t="shared" si="75"/>
        <v>#N/A</v>
      </c>
      <c r="BP157" s="55" t="e">
        <f t="shared" si="75"/>
        <v>#N/A</v>
      </c>
    </row>
    <row r="158" spans="1:68" s="55" customFormat="1" x14ac:dyDescent="0.25">
      <c r="A158" s="28"/>
      <c r="B158" s="28"/>
      <c r="C158" s="28"/>
      <c r="D158" s="28"/>
      <c r="E158" s="28"/>
      <c r="F158" s="28"/>
      <c r="G158"/>
      <c r="H158"/>
      <c r="I158"/>
      <c r="J158"/>
      <c r="K158"/>
      <c r="L158"/>
      <c r="M158"/>
      <c r="N158" s="87" t="s">
        <v>284</v>
      </c>
      <c r="O158" s="67" t="s">
        <v>279</v>
      </c>
      <c r="P158" s="68" t="s">
        <v>279</v>
      </c>
      <c r="Q158" s="68" t="s">
        <v>279</v>
      </c>
      <c r="R158" s="68" t="s">
        <v>279</v>
      </c>
      <c r="S158" s="68" t="s">
        <v>279</v>
      </c>
      <c r="T158" s="69" t="s">
        <v>279</v>
      </c>
      <c r="U158" s="70" t="s">
        <v>261</v>
      </c>
      <c r="V158" s="54">
        <f t="shared" si="62"/>
        <v>1</v>
      </c>
      <c r="W158" s="54">
        <f t="shared" si="63"/>
        <v>1</v>
      </c>
      <c r="X158" s="54">
        <f t="shared" si="64"/>
        <v>1</v>
      </c>
      <c r="Y158" s="54">
        <f t="shared" si="65"/>
        <v>1</v>
      </c>
      <c r="AA158" s="54">
        <f t="shared" si="66"/>
        <v>2</v>
      </c>
      <c r="AB158" s="54">
        <f t="shared" si="66"/>
        <v>1</v>
      </c>
      <c r="AC158" s="54">
        <f t="shared" si="66"/>
        <v>2</v>
      </c>
      <c r="AD158" s="54">
        <f t="shared" si="67"/>
        <v>2</v>
      </c>
      <c r="AE158" s="54">
        <f t="shared" si="67"/>
        <v>1</v>
      </c>
      <c r="AF158" s="54">
        <f t="shared" si="67"/>
        <v>2</v>
      </c>
      <c r="AH158" s="55">
        <f t="shared" si="77"/>
        <v>3</v>
      </c>
      <c r="AI158" s="55">
        <f t="shared" si="77"/>
        <v>1</v>
      </c>
      <c r="AJ158" s="55">
        <f t="shared" si="77"/>
        <v>3</v>
      </c>
      <c r="AK158" s="55">
        <f t="shared" si="78"/>
        <v>1</v>
      </c>
      <c r="AL158" s="55">
        <f t="shared" si="69"/>
        <v>3</v>
      </c>
      <c r="AM158" s="55">
        <f t="shared" si="69"/>
        <v>1</v>
      </c>
      <c r="AN158" s="55">
        <f t="shared" si="69"/>
        <v>3</v>
      </c>
      <c r="AO158" s="55">
        <f t="shared" si="69"/>
        <v>1</v>
      </c>
      <c r="AQ158" s="55">
        <f t="shared" si="70"/>
        <v>1</v>
      </c>
      <c r="AR158" s="55">
        <f t="shared" si="70"/>
        <v>1</v>
      </c>
      <c r="AS158" s="55">
        <f t="shared" si="70"/>
        <v>4</v>
      </c>
      <c r="AT158" s="55">
        <f t="shared" si="70"/>
        <v>3</v>
      </c>
      <c r="AU158" s="55">
        <f t="shared" si="71"/>
        <v>1</v>
      </c>
      <c r="AV158" s="55">
        <f t="shared" si="71"/>
        <v>1</v>
      </c>
      <c r="AW158" s="55">
        <f t="shared" si="71"/>
        <v>4</v>
      </c>
      <c r="AX158" s="55">
        <f t="shared" si="71"/>
        <v>3</v>
      </c>
      <c r="AZ158" s="55">
        <f t="shared" si="72"/>
        <v>1</v>
      </c>
      <c r="BA158" s="55">
        <f t="shared" si="72"/>
        <v>2</v>
      </c>
      <c r="BB158" s="55">
        <f t="shared" si="72"/>
        <v>4</v>
      </c>
      <c r="BC158" s="55">
        <f t="shared" si="72"/>
        <v>2</v>
      </c>
      <c r="BD158" s="55">
        <f t="shared" si="73"/>
        <v>1</v>
      </c>
      <c r="BE158" s="55">
        <f t="shared" si="73"/>
        <v>2</v>
      </c>
      <c r="BF158" s="55">
        <f t="shared" si="73"/>
        <v>4</v>
      </c>
      <c r="BG158" s="55">
        <f t="shared" si="73"/>
        <v>2</v>
      </c>
      <c r="BI158" s="55">
        <f t="shared" si="74"/>
        <v>1</v>
      </c>
      <c r="BJ158" s="55">
        <f t="shared" si="74"/>
        <v>2</v>
      </c>
      <c r="BK158" s="55">
        <f t="shared" si="74"/>
        <v>3</v>
      </c>
      <c r="BL158" s="55">
        <f t="shared" si="74"/>
        <v>3</v>
      </c>
      <c r="BM158" s="55">
        <f t="shared" si="75"/>
        <v>1</v>
      </c>
      <c r="BN158" s="55">
        <f t="shared" si="75"/>
        <v>2</v>
      </c>
      <c r="BO158" s="55">
        <f t="shared" si="75"/>
        <v>3</v>
      </c>
      <c r="BP158" s="55">
        <f t="shared" si="75"/>
        <v>3</v>
      </c>
    </row>
    <row r="159" spans="1:68" s="83" customFormat="1" ht="15.75" thickBot="1" x14ac:dyDescent="0.3">
      <c r="A159" s="74"/>
      <c r="B159" s="74"/>
      <c r="C159" s="74"/>
      <c r="D159" s="74"/>
      <c r="E159" s="74"/>
      <c r="F159" s="74"/>
      <c r="G159" s="13"/>
      <c r="H159" s="13"/>
      <c r="I159" s="13"/>
      <c r="J159" s="13"/>
      <c r="K159" s="13"/>
      <c r="L159" s="13"/>
      <c r="M159" s="13"/>
      <c r="N159" s="13" t="s">
        <v>284</v>
      </c>
      <c r="O159" s="75" t="s">
        <v>279</v>
      </c>
      <c r="P159" s="76" t="s">
        <v>279</v>
      </c>
      <c r="Q159" s="76" t="s">
        <v>279</v>
      </c>
      <c r="R159" s="76" t="s">
        <v>279</v>
      </c>
      <c r="S159" s="76" t="s">
        <v>279</v>
      </c>
      <c r="T159" s="77" t="s">
        <v>279</v>
      </c>
      <c r="U159" s="71" t="s">
        <v>264</v>
      </c>
      <c r="V159" s="84">
        <f t="shared" si="62"/>
        <v>2</v>
      </c>
      <c r="W159" s="84">
        <f t="shared" si="63"/>
        <v>2</v>
      </c>
      <c r="X159" s="84">
        <f t="shared" si="64"/>
        <v>1</v>
      </c>
      <c r="Y159" s="84">
        <f t="shared" si="65"/>
        <v>1</v>
      </c>
      <c r="AA159" s="84">
        <f t="shared" si="66"/>
        <v>1</v>
      </c>
      <c r="AB159" s="84">
        <f t="shared" si="66"/>
        <v>2</v>
      </c>
      <c r="AC159" s="84">
        <f t="shared" si="66"/>
        <v>3</v>
      </c>
      <c r="AD159" s="84">
        <f t="shared" si="67"/>
        <v>1</v>
      </c>
      <c r="AE159" s="84">
        <f t="shared" si="67"/>
        <v>2</v>
      </c>
      <c r="AF159" s="84">
        <f t="shared" si="67"/>
        <v>3</v>
      </c>
      <c r="AH159" s="83">
        <f t="shared" si="77"/>
        <v>1</v>
      </c>
      <c r="AI159" s="83">
        <f t="shared" si="77"/>
        <v>3</v>
      </c>
      <c r="AJ159" s="83">
        <f t="shared" si="77"/>
        <v>4</v>
      </c>
      <c r="AK159" s="83">
        <f t="shared" si="78"/>
        <v>2</v>
      </c>
      <c r="AL159" s="83">
        <f t="shared" si="69"/>
        <v>1</v>
      </c>
      <c r="AM159" s="83">
        <f t="shared" si="69"/>
        <v>3</v>
      </c>
      <c r="AN159" s="83">
        <f t="shared" si="69"/>
        <v>4</v>
      </c>
      <c r="AO159" s="83">
        <f t="shared" si="69"/>
        <v>2</v>
      </c>
      <c r="AQ159" s="83">
        <f t="shared" si="70"/>
        <v>3</v>
      </c>
      <c r="AR159" s="83">
        <f t="shared" si="70"/>
        <v>1</v>
      </c>
      <c r="AS159" s="83">
        <f t="shared" si="70"/>
        <v>4</v>
      </c>
      <c r="AT159" s="83">
        <f t="shared" si="70"/>
        <v>2</v>
      </c>
      <c r="AU159" s="83">
        <f t="shared" si="71"/>
        <v>3</v>
      </c>
      <c r="AV159" s="83">
        <f t="shared" si="71"/>
        <v>1</v>
      </c>
      <c r="AW159" s="83">
        <f t="shared" si="71"/>
        <v>4</v>
      </c>
      <c r="AX159" s="83">
        <f t="shared" si="71"/>
        <v>2</v>
      </c>
      <c r="AZ159" s="83">
        <f t="shared" si="72"/>
        <v>2</v>
      </c>
      <c r="BA159" s="83">
        <f t="shared" si="72"/>
        <v>1</v>
      </c>
      <c r="BB159" s="83">
        <f t="shared" si="72"/>
        <v>4</v>
      </c>
      <c r="BC159" s="83">
        <f t="shared" si="72"/>
        <v>3</v>
      </c>
      <c r="BD159" s="83">
        <f t="shared" si="73"/>
        <v>2</v>
      </c>
      <c r="BE159" s="83">
        <f t="shared" si="73"/>
        <v>1</v>
      </c>
      <c r="BF159" s="83">
        <f t="shared" si="73"/>
        <v>4</v>
      </c>
      <c r="BG159" s="83">
        <f t="shared" si="73"/>
        <v>3</v>
      </c>
      <c r="BI159" s="83">
        <f t="shared" si="74"/>
        <v>1</v>
      </c>
      <c r="BJ159" s="83">
        <f t="shared" si="74"/>
        <v>2</v>
      </c>
      <c r="BK159" s="83">
        <f t="shared" si="74"/>
        <v>4</v>
      </c>
      <c r="BL159" s="83">
        <f t="shared" si="74"/>
        <v>3</v>
      </c>
      <c r="BM159" s="83">
        <f t="shared" si="75"/>
        <v>1</v>
      </c>
      <c r="BN159" s="83">
        <f t="shared" si="75"/>
        <v>2</v>
      </c>
      <c r="BO159" s="83">
        <f t="shared" si="75"/>
        <v>4</v>
      </c>
      <c r="BP159" s="83">
        <f t="shared" si="75"/>
        <v>3</v>
      </c>
    </row>
    <row r="160" spans="1:68" s="55" customFormat="1" x14ac:dyDescent="0.25">
      <c r="A160" s="28"/>
      <c r="B160" s="28"/>
      <c r="C160" s="28"/>
      <c r="D160" s="28"/>
      <c r="E160" s="28"/>
      <c r="F160" s="28"/>
      <c r="G160"/>
      <c r="H160"/>
      <c r="I160"/>
      <c r="J160"/>
      <c r="K160"/>
      <c r="L160"/>
      <c r="M160"/>
      <c r="N160" s="87" t="s">
        <v>29</v>
      </c>
      <c r="O160" s="67" t="s">
        <v>279</v>
      </c>
      <c r="P160" s="68" t="s">
        <v>279</v>
      </c>
      <c r="Q160" s="68" t="s">
        <v>279</v>
      </c>
      <c r="R160" s="68" t="s">
        <v>279</v>
      </c>
      <c r="S160" s="68" t="s">
        <v>279</v>
      </c>
      <c r="T160" s="69" t="s">
        <v>279</v>
      </c>
      <c r="U160" s="70" t="s">
        <v>266</v>
      </c>
      <c r="V160" s="54">
        <f t="shared" si="62"/>
        <v>1</v>
      </c>
      <c r="W160" s="54">
        <f t="shared" si="63"/>
        <v>1</v>
      </c>
      <c r="X160" s="54">
        <f t="shared" si="64"/>
        <v>1</v>
      </c>
      <c r="Y160" s="54">
        <f t="shared" si="65"/>
        <v>1</v>
      </c>
      <c r="AA160" s="54">
        <f t="shared" si="66"/>
        <v>2</v>
      </c>
      <c r="AB160" s="54">
        <f t="shared" si="66"/>
        <v>3</v>
      </c>
      <c r="AC160" s="54">
        <f t="shared" si="66"/>
        <v>1</v>
      </c>
      <c r="AD160" s="54">
        <f t="shared" si="67"/>
        <v>2</v>
      </c>
      <c r="AE160" s="54">
        <f t="shared" si="67"/>
        <v>3</v>
      </c>
      <c r="AF160" s="54">
        <f t="shared" si="67"/>
        <v>1</v>
      </c>
      <c r="AH160" s="55">
        <f t="shared" si="77"/>
        <v>4</v>
      </c>
      <c r="AI160" s="55">
        <f t="shared" si="77"/>
        <v>2</v>
      </c>
      <c r="AJ160" s="55">
        <f t="shared" si="77"/>
        <v>1</v>
      </c>
      <c r="AK160" s="55">
        <f t="shared" si="78"/>
        <v>3</v>
      </c>
      <c r="AL160" s="55">
        <f t="shared" si="69"/>
        <v>4</v>
      </c>
      <c r="AM160" s="55">
        <f t="shared" si="69"/>
        <v>2</v>
      </c>
      <c r="AN160" s="55">
        <f t="shared" si="69"/>
        <v>1</v>
      </c>
      <c r="AO160" s="55">
        <f t="shared" si="69"/>
        <v>3</v>
      </c>
      <c r="AQ160" s="55">
        <f t="shared" si="70"/>
        <v>1</v>
      </c>
      <c r="AR160" s="55">
        <f t="shared" si="70"/>
        <v>1</v>
      </c>
      <c r="AS160" s="55">
        <f t="shared" si="70"/>
        <v>4</v>
      </c>
      <c r="AT160" s="55">
        <f t="shared" si="70"/>
        <v>3</v>
      </c>
      <c r="AU160" s="55">
        <f t="shared" si="71"/>
        <v>1</v>
      </c>
      <c r="AV160" s="55">
        <f t="shared" si="71"/>
        <v>1</v>
      </c>
      <c r="AW160" s="55">
        <f t="shared" si="71"/>
        <v>3</v>
      </c>
      <c r="AX160" s="55">
        <f t="shared" si="71"/>
        <v>4</v>
      </c>
      <c r="AZ160" s="55">
        <f t="shared" si="72"/>
        <v>1</v>
      </c>
      <c r="BA160" s="55">
        <f t="shared" si="72"/>
        <v>1</v>
      </c>
      <c r="BB160" s="55">
        <f t="shared" si="72"/>
        <v>3</v>
      </c>
      <c r="BC160" s="55">
        <f t="shared" si="72"/>
        <v>4</v>
      </c>
      <c r="BD160" s="55">
        <f t="shared" si="73"/>
        <v>1</v>
      </c>
      <c r="BE160" s="55">
        <f t="shared" si="73"/>
        <v>1</v>
      </c>
      <c r="BF160" s="55">
        <f t="shared" si="73"/>
        <v>3</v>
      </c>
      <c r="BG160" s="55">
        <f t="shared" si="73"/>
        <v>4</v>
      </c>
      <c r="BI160" s="55">
        <f t="shared" si="74"/>
        <v>1</v>
      </c>
      <c r="BJ160" s="55">
        <f t="shared" si="74"/>
        <v>4</v>
      </c>
      <c r="BK160" s="55">
        <f t="shared" si="74"/>
        <v>2</v>
      </c>
      <c r="BL160" s="55">
        <f t="shared" si="74"/>
        <v>2</v>
      </c>
      <c r="BM160" s="55">
        <f t="shared" si="75"/>
        <v>1</v>
      </c>
      <c r="BN160" s="55">
        <f t="shared" si="75"/>
        <v>4</v>
      </c>
      <c r="BO160" s="55">
        <f t="shared" si="75"/>
        <v>2</v>
      </c>
      <c r="BP160" s="55">
        <f t="shared" si="75"/>
        <v>2</v>
      </c>
    </row>
    <row r="161" spans="1:68" s="55" customFormat="1" ht="15.75" x14ac:dyDescent="0.25">
      <c r="A161" s="28"/>
      <c r="B161" s="28"/>
      <c r="C161" s="28"/>
      <c r="D161" s="28"/>
      <c r="E161" s="28"/>
      <c r="F161" s="28"/>
      <c r="G161"/>
      <c r="H161"/>
      <c r="I161"/>
      <c r="J161"/>
      <c r="K161"/>
      <c r="L161"/>
      <c r="M161"/>
      <c r="N161" s="87" t="s">
        <v>288</v>
      </c>
      <c r="O161" s="67" t="s">
        <v>281</v>
      </c>
      <c r="P161" s="68" t="s">
        <v>281</v>
      </c>
      <c r="Q161" s="68" t="s">
        <v>281</v>
      </c>
      <c r="R161" s="68" t="s">
        <v>281</v>
      </c>
      <c r="S161" s="68" t="s">
        <v>281</v>
      </c>
      <c r="T161" s="69" t="s">
        <v>281</v>
      </c>
      <c r="U161" s="70" t="s">
        <v>270</v>
      </c>
      <c r="V161" s="54">
        <f t="shared" si="62"/>
        <v>1</v>
      </c>
      <c r="W161" s="54">
        <f t="shared" si="63"/>
        <v>1</v>
      </c>
      <c r="X161" s="54">
        <f t="shared" si="64"/>
        <v>2</v>
      </c>
      <c r="Y161" s="54">
        <f t="shared" si="65"/>
        <v>2</v>
      </c>
      <c r="AA161" s="54">
        <f t="shared" si="66"/>
        <v>1</v>
      </c>
      <c r="AB161" s="54">
        <f t="shared" si="66"/>
        <v>3</v>
      </c>
      <c r="AC161" s="54">
        <f t="shared" si="66"/>
        <v>1</v>
      </c>
      <c r="AD161" s="54">
        <f t="shared" si="67"/>
        <v>2</v>
      </c>
      <c r="AE161" s="54">
        <f t="shared" si="67"/>
        <v>3</v>
      </c>
      <c r="AF161" s="54">
        <f t="shared" si="67"/>
        <v>1</v>
      </c>
      <c r="AH161" s="55">
        <f t="shared" si="77"/>
        <v>2</v>
      </c>
      <c r="AI161" s="55">
        <f t="shared" si="77"/>
        <v>4</v>
      </c>
      <c r="AJ161" s="55">
        <f t="shared" si="77"/>
        <v>1</v>
      </c>
      <c r="AK161" s="55">
        <f t="shared" si="78"/>
        <v>2</v>
      </c>
      <c r="AL161" s="55">
        <f t="shared" si="69"/>
        <v>1</v>
      </c>
      <c r="AM161" s="55">
        <f t="shared" si="69"/>
        <v>4</v>
      </c>
      <c r="AN161" s="55">
        <f t="shared" si="69"/>
        <v>1</v>
      </c>
      <c r="AO161" s="55">
        <f t="shared" si="69"/>
        <v>3</v>
      </c>
      <c r="AQ161" s="55">
        <f t="shared" si="70"/>
        <v>3</v>
      </c>
      <c r="AR161" s="55">
        <f t="shared" si="70"/>
        <v>2</v>
      </c>
      <c r="AS161" s="55">
        <f t="shared" si="70"/>
        <v>3</v>
      </c>
      <c r="AT161" s="55">
        <f t="shared" si="70"/>
        <v>1</v>
      </c>
      <c r="AU161" s="55">
        <f t="shared" si="71"/>
        <v>4</v>
      </c>
      <c r="AV161" s="55">
        <f t="shared" si="71"/>
        <v>2</v>
      </c>
      <c r="AW161" s="55">
        <f t="shared" si="71"/>
        <v>3</v>
      </c>
      <c r="AX161" s="55">
        <f t="shared" si="71"/>
        <v>1</v>
      </c>
      <c r="AZ161" s="35">
        <f t="shared" si="72"/>
        <v>3</v>
      </c>
      <c r="BA161" s="55">
        <f t="shared" si="72"/>
        <v>1</v>
      </c>
      <c r="BB161" s="55">
        <f t="shared" si="72"/>
        <v>2</v>
      </c>
      <c r="BC161" s="55">
        <f t="shared" si="72"/>
        <v>3</v>
      </c>
      <c r="BD161" s="55">
        <f t="shared" si="73"/>
        <v>4</v>
      </c>
      <c r="BE161" s="55">
        <f t="shared" si="73"/>
        <v>1</v>
      </c>
      <c r="BF161" s="55">
        <f t="shared" si="73"/>
        <v>2</v>
      </c>
      <c r="BG161" s="55">
        <f t="shared" si="73"/>
        <v>3</v>
      </c>
      <c r="BI161" s="55">
        <f t="shared" si="74"/>
        <v>4</v>
      </c>
      <c r="BJ161" s="55">
        <f t="shared" si="74"/>
        <v>3</v>
      </c>
      <c r="BK161" s="55">
        <f t="shared" si="74"/>
        <v>1</v>
      </c>
      <c r="BL161" s="55">
        <f t="shared" si="74"/>
        <v>1</v>
      </c>
      <c r="BM161" s="55">
        <f t="shared" si="75"/>
        <v>3</v>
      </c>
      <c r="BN161" s="55">
        <f t="shared" si="75"/>
        <v>4</v>
      </c>
      <c r="BO161" s="55">
        <f t="shared" si="75"/>
        <v>1</v>
      </c>
      <c r="BP161" s="55">
        <f t="shared" si="75"/>
        <v>2</v>
      </c>
    </row>
    <row r="162" spans="1:68" s="55" customFormat="1" x14ac:dyDescent="0.25">
      <c r="A162" s="28"/>
      <c r="B162" s="28"/>
      <c r="C162" s="28"/>
      <c r="D162" s="28"/>
      <c r="E162" s="28"/>
      <c r="F162" s="28"/>
      <c r="G162"/>
      <c r="H162"/>
      <c r="I162"/>
      <c r="J162"/>
      <c r="K162"/>
      <c r="L162"/>
      <c r="M162"/>
      <c r="N162" s="87" t="s">
        <v>29</v>
      </c>
      <c r="O162" s="67" t="s">
        <v>281</v>
      </c>
      <c r="P162" s="68" t="s">
        <v>281</v>
      </c>
      <c r="Q162" s="68" t="s">
        <v>281</v>
      </c>
      <c r="R162" s="68" t="s">
        <v>281</v>
      </c>
      <c r="S162" s="68" t="s">
        <v>281</v>
      </c>
      <c r="T162" s="69" t="s">
        <v>281</v>
      </c>
      <c r="U162" s="70" t="s">
        <v>271</v>
      </c>
      <c r="V162" s="54">
        <f t="shared" si="62"/>
        <v>1</v>
      </c>
      <c r="W162" s="54">
        <f t="shared" si="63"/>
        <v>1</v>
      </c>
      <c r="X162" s="54">
        <f t="shared" si="64"/>
        <v>2</v>
      </c>
      <c r="Y162" s="54">
        <f t="shared" si="65"/>
        <v>2</v>
      </c>
      <c r="AA162" s="54">
        <f t="shared" si="66"/>
        <v>3</v>
      </c>
      <c r="AB162" s="54">
        <f t="shared" si="66"/>
        <v>1</v>
      </c>
      <c r="AC162" s="54">
        <f t="shared" si="66"/>
        <v>2</v>
      </c>
      <c r="AD162" s="54">
        <f t="shared" si="67"/>
        <v>3</v>
      </c>
      <c r="AE162" s="54">
        <f t="shared" si="67"/>
        <v>1</v>
      </c>
      <c r="AF162" s="54">
        <f t="shared" si="67"/>
        <v>2</v>
      </c>
      <c r="AH162" s="55">
        <f t="shared" si="77"/>
        <v>3</v>
      </c>
      <c r="AI162" s="55">
        <f t="shared" si="77"/>
        <v>1</v>
      </c>
      <c r="AJ162" s="55">
        <f t="shared" si="77"/>
        <v>4</v>
      </c>
      <c r="AK162" s="55">
        <f t="shared" si="78"/>
        <v>2</v>
      </c>
      <c r="AL162" s="55">
        <f t="shared" si="69"/>
        <v>3</v>
      </c>
      <c r="AM162" s="55">
        <f t="shared" si="69"/>
        <v>1</v>
      </c>
      <c r="AN162" s="55">
        <f t="shared" si="69"/>
        <v>4</v>
      </c>
      <c r="AO162" s="55">
        <f t="shared" si="69"/>
        <v>2</v>
      </c>
      <c r="AQ162" s="55">
        <f t="shared" si="70"/>
        <v>2</v>
      </c>
      <c r="AR162" s="55">
        <f t="shared" si="70"/>
        <v>4</v>
      </c>
      <c r="AS162" s="55">
        <f t="shared" si="70"/>
        <v>1</v>
      </c>
      <c r="AT162" s="55">
        <f t="shared" si="70"/>
        <v>3</v>
      </c>
      <c r="AU162" s="55">
        <f t="shared" si="71"/>
        <v>1</v>
      </c>
      <c r="AV162" s="55">
        <f t="shared" si="71"/>
        <v>4</v>
      </c>
      <c r="AW162" s="55">
        <f t="shared" si="71"/>
        <v>2</v>
      </c>
      <c r="AX162" s="55">
        <f t="shared" si="71"/>
        <v>3</v>
      </c>
      <c r="AZ162" s="55">
        <f t="shared" si="72"/>
        <v>2</v>
      </c>
      <c r="BA162" s="55">
        <f t="shared" si="72"/>
        <v>4</v>
      </c>
      <c r="BB162" s="55">
        <f t="shared" si="72"/>
        <v>1</v>
      </c>
      <c r="BC162" s="55">
        <f t="shared" si="72"/>
        <v>3</v>
      </c>
      <c r="BD162" s="55">
        <f t="shared" si="73"/>
        <v>2</v>
      </c>
      <c r="BE162" s="55">
        <f t="shared" si="73"/>
        <v>4</v>
      </c>
      <c r="BF162" s="55">
        <f t="shared" si="73"/>
        <v>1</v>
      </c>
      <c r="BG162" s="55">
        <f t="shared" si="73"/>
        <v>3</v>
      </c>
      <c r="BI162" s="55">
        <f t="shared" si="74"/>
        <v>1</v>
      </c>
      <c r="BJ162" s="55">
        <f t="shared" si="74"/>
        <v>4</v>
      </c>
      <c r="BK162" s="55">
        <f t="shared" si="74"/>
        <v>2</v>
      </c>
      <c r="BL162" s="55">
        <f t="shared" si="74"/>
        <v>3</v>
      </c>
      <c r="BM162" s="55">
        <f t="shared" si="75"/>
        <v>1</v>
      </c>
      <c r="BN162" s="55">
        <f t="shared" si="75"/>
        <v>4</v>
      </c>
      <c r="BO162" s="55">
        <f t="shared" si="75"/>
        <v>2</v>
      </c>
      <c r="BP162" s="55">
        <f t="shared" si="75"/>
        <v>3</v>
      </c>
    </row>
    <row r="163" spans="1:68" x14ac:dyDescent="0.25">
      <c r="V163" s="28"/>
      <c r="W163" s="28"/>
      <c r="X163" s="28"/>
      <c r="Y163" s="28"/>
    </row>
    <row r="164" spans="1:68" x14ac:dyDescent="0.25">
      <c r="V164" s="28"/>
      <c r="W164" s="28"/>
      <c r="X164" s="28"/>
      <c r="Y164" s="28"/>
    </row>
    <row r="165" spans="1:68" x14ac:dyDescent="0.25">
      <c r="V165" s="28"/>
      <c r="W165" s="28"/>
      <c r="X165" s="28"/>
      <c r="Y165" s="28"/>
    </row>
    <row r="166" spans="1:68" x14ac:dyDescent="0.25">
      <c r="V166" s="28"/>
      <c r="W166" s="28"/>
      <c r="X166" s="28"/>
      <c r="Y166" s="28"/>
    </row>
  </sheetData>
  <conditionalFormatting sqref="AA131:AC162">
    <cfRule type="cellIs" dxfId="11" priority="36" operator="notEqual">
      <formula>AD131</formula>
    </cfRule>
  </conditionalFormatting>
  <conditionalFormatting sqref="AH131:AK162">
    <cfRule type="cellIs" dxfId="10" priority="35" operator="notEqual">
      <formula>AL131</formula>
    </cfRule>
  </conditionalFormatting>
  <conditionalFormatting sqref="AQ131:AT162">
    <cfRule type="cellIs" dxfId="9" priority="34" operator="notEqual">
      <formula>AU131</formula>
    </cfRule>
  </conditionalFormatting>
  <conditionalFormatting sqref="AZ131:BC162">
    <cfRule type="cellIs" dxfId="8" priority="33" operator="notEqual">
      <formula>BD131</formula>
    </cfRule>
  </conditionalFormatting>
  <conditionalFormatting sqref="BI131:BL162">
    <cfRule type="cellIs" dxfId="7" priority="31" operator="notEqual">
      <formula>BM131</formula>
    </cfRule>
  </conditionalFormatting>
  <conditionalFormatting sqref="O131:T162 A2:F33">
    <cfRule type="containsText" dxfId="6" priority="28" operator="containsText" text="[N, N]">
      <formula>NOT(ISERROR(SEARCH("[N, N]",A2)))</formula>
    </cfRule>
    <cfRule type="containsText" dxfId="5" priority="29" operator="containsText" text="[N, Y]">
      <formula>NOT(ISERROR(SEARCH("[N, Y]",A2)))</formula>
    </cfRule>
    <cfRule type="containsText" dxfId="4" priority="30" operator="containsText" text="[Y, N]">
      <formula>NOT(ISERROR(SEARCH("[Y, N]",A2)))</formula>
    </cfRule>
  </conditionalFormatting>
  <conditionalFormatting sqref="A99:F127">
    <cfRule type="containsText" dxfId="3" priority="1" operator="containsText" text="[N, N]">
      <formula>NOT(ISERROR(SEARCH("[N, N]",A99)))</formula>
    </cfRule>
    <cfRule type="containsText" dxfId="2" priority="2" operator="containsText" text="[N, Y]">
      <formula>NOT(ISERROR(SEARCH("[N, Y]",A99)))</formula>
    </cfRule>
    <cfRule type="containsText" dxfId="1" priority="3" operator="containsText" text="[Y, N]">
      <formula>NOT(ISERROR(SEARCH("[Y, N]",A99)))</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I81"/>
  <sheetViews>
    <sheetView topLeftCell="A52" zoomScaleNormal="100" workbookViewId="0">
      <selection activeCell="B70" sqref="B70"/>
    </sheetView>
  </sheetViews>
  <sheetFormatPr defaultRowHeight="15" x14ac:dyDescent="0.25"/>
  <cols>
    <col min="1" max="1" width="9.140625" style="19"/>
    <col min="2" max="2" width="21.28515625" customWidth="1"/>
    <col min="11" max="11" width="3.7109375" style="36" customWidth="1"/>
    <col min="22" max="22" width="3.7109375" style="36" customWidth="1"/>
    <col min="33" max="33" width="3.7109375" style="36" customWidth="1"/>
    <col min="44" max="44" width="3.7109375" style="36" customWidth="1"/>
    <col min="55" max="55" width="3.7109375" style="36" customWidth="1"/>
    <col min="66" max="66" width="3.7109375" style="36" customWidth="1"/>
    <col min="77" max="77" width="3.7109375" style="36" customWidth="1"/>
  </cols>
  <sheetData>
    <row r="1" spans="1:85" x14ac:dyDescent="0.25">
      <c r="B1" s="3" t="s">
        <v>99</v>
      </c>
      <c r="C1" s="3" t="s">
        <v>103</v>
      </c>
      <c r="O1" s="3" t="s">
        <v>304</v>
      </c>
    </row>
    <row r="2" spans="1:85" ht="75" x14ac:dyDescent="0.25">
      <c r="A2" s="19">
        <v>1</v>
      </c>
      <c r="B2" t="s">
        <v>100</v>
      </c>
      <c r="C2" s="4">
        <f>COUNTIF(Results!$S2:$S94,A2)</f>
        <v>20</v>
      </c>
      <c r="O2" s="105" t="s">
        <v>302</v>
      </c>
      <c r="P2" s="105" t="s">
        <v>301</v>
      </c>
    </row>
    <row r="3" spans="1:85" x14ac:dyDescent="0.25">
      <c r="A3" s="19">
        <v>2</v>
      </c>
      <c r="B3" t="s">
        <v>101</v>
      </c>
      <c r="C3" s="4">
        <f>COUNTIF(Results!$S3:$S95,A3)</f>
        <v>3</v>
      </c>
    </row>
    <row r="4" spans="1:85" x14ac:dyDescent="0.25">
      <c r="A4" s="19">
        <v>3</v>
      </c>
      <c r="B4" t="s">
        <v>153</v>
      </c>
      <c r="C4" s="4">
        <f>COUNTIF(Results!$S4:$S96,A4)</f>
        <v>7</v>
      </c>
    </row>
    <row r="5" spans="1:85" x14ac:dyDescent="0.25">
      <c r="B5" t="s">
        <v>102</v>
      </c>
      <c r="C5" s="4">
        <f>COUNTA(Results!G2:G94)-SUM(C2:C4)</f>
        <v>2</v>
      </c>
    </row>
    <row r="6" spans="1:85" x14ac:dyDescent="0.25">
      <c r="C6" s="4"/>
      <c r="K6" s="107"/>
      <c r="V6" s="107"/>
      <c r="AG6" s="107"/>
      <c r="AR6" s="107"/>
      <c r="BC6" s="107"/>
      <c r="BN6" s="107"/>
      <c r="BY6" s="107"/>
    </row>
    <row r="7" spans="1:85" x14ac:dyDescent="0.25">
      <c r="A7" s="21"/>
      <c r="C7" s="22">
        <v>100</v>
      </c>
      <c r="D7" s="23">
        <v>4</v>
      </c>
      <c r="L7" s="21"/>
      <c r="N7" s="22">
        <v>100</v>
      </c>
      <c r="O7" s="23">
        <v>4</v>
      </c>
      <c r="W7" s="21"/>
      <c r="Y7" s="22">
        <v>100</v>
      </c>
      <c r="Z7" s="23">
        <v>4</v>
      </c>
      <c r="AH7" s="21"/>
      <c r="AJ7" s="22">
        <v>100</v>
      </c>
      <c r="AK7" s="23">
        <v>4</v>
      </c>
      <c r="AS7" s="21"/>
      <c r="AU7" s="22">
        <v>100</v>
      </c>
      <c r="AV7" s="23">
        <v>4</v>
      </c>
      <c r="BD7" s="21"/>
      <c r="BF7" s="22">
        <v>100</v>
      </c>
      <c r="BG7" s="23">
        <v>4</v>
      </c>
      <c r="BO7" s="21"/>
      <c r="BQ7" s="22">
        <v>100</v>
      </c>
      <c r="BR7" s="23">
        <v>4</v>
      </c>
      <c r="BZ7" s="140"/>
      <c r="CB7" s="22"/>
      <c r="CC7" s="23"/>
    </row>
    <row r="8" spans="1:85" x14ac:dyDescent="0.25">
      <c r="C8" s="3" t="s">
        <v>106</v>
      </c>
      <c r="D8" s="3" t="s">
        <v>107</v>
      </c>
      <c r="E8" s="24" t="s">
        <v>108</v>
      </c>
      <c r="F8" s="24" t="s">
        <v>109</v>
      </c>
      <c r="G8" s="24" t="s">
        <v>110</v>
      </c>
      <c r="L8" s="19">
        <v>1</v>
      </c>
      <c r="N8" s="3" t="s">
        <v>106</v>
      </c>
      <c r="O8" s="3" t="s">
        <v>107</v>
      </c>
      <c r="P8" s="24" t="s">
        <v>108</v>
      </c>
      <c r="Q8" s="24" t="s">
        <v>109</v>
      </c>
      <c r="R8" s="24" t="s">
        <v>110</v>
      </c>
      <c r="W8" s="19">
        <v>2</v>
      </c>
      <c r="Y8" s="3" t="s">
        <v>106</v>
      </c>
      <c r="Z8" s="3" t="s">
        <v>107</v>
      </c>
      <c r="AA8" s="24" t="s">
        <v>108</v>
      </c>
      <c r="AB8" s="24" t="s">
        <v>109</v>
      </c>
      <c r="AC8" s="24" t="s">
        <v>110</v>
      </c>
      <c r="AH8" s="19">
        <v>3</v>
      </c>
      <c r="AJ8" s="3" t="s">
        <v>106</v>
      </c>
      <c r="AK8" s="3" t="s">
        <v>107</v>
      </c>
      <c r="AL8" s="24" t="s">
        <v>108</v>
      </c>
      <c r="AM8" s="24" t="s">
        <v>109</v>
      </c>
      <c r="AN8" s="24" t="s">
        <v>110</v>
      </c>
      <c r="AS8" s="19">
        <v>1</v>
      </c>
      <c r="AU8" s="3" t="s">
        <v>106</v>
      </c>
      <c r="AV8" s="3" t="s">
        <v>107</v>
      </c>
      <c r="AW8" s="24" t="s">
        <v>108</v>
      </c>
      <c r="AX8" s="24" t="s">
        <v>109</v>
      </c>
      <c r="AY8" s="24" t="s">
        <v>110</v>
      </c>
      <c r="BD8" s="19">
        <v>2</v>
      </c>
      <c r="BF8" s="3" t="s">
        <v>106</v>
      </c>
      <c r="BG8" s="3" t="s">
        <v>107</v>
      </c>
      <c r="BH8" s="24" t="s">
        <v>108</v>
      </c>
      <c r="BI8" s="24" t="s">
        <v>109</v>
      </c>
      <c r="BJ8" s="24" t="s">
        <v>110</v>
      </c>
      <c r="BO8" s="19">
        <v>3</v>
      </c>
      <c r="BQ8" s="3" t="s">
        <v>106</v>
      </c>
      <c r="BR8" s="3" t="s">
        <v>107</v>
      </c>
      <c r="BS8" s="24" t="s">
        <v>108</v>
      </c>
      <c r="BT8" s="24" t="s">
        <v>109</v>
      </c>
      <c r="BU8" s="24" t="s">
        <v>110</v>
      </c>
      <c r="BZ8" s="19"/>
      <c r="CB8" s="3"/>
      <c r="CC8" s="3"/>
      <c r="CD8" s="24"/>
      <c r="CE8" s="24"/>
      <c r="CF8" s="24"/>
    </row>
    <row r="9" spans="1:85" s="16" customFormat="1" ht="24.95" customHeight="1" x14ac:dyDescent="0.25">
      <c r="A9" s="20" t="s">
        <v>15</v>
      </c>
      <c r="B9" s="17" t="s">
        <v>104</v>
      </c>
      <c r="C9" s="18">
        <f>COUNTIF(Results!$W$2:$W$94,Summary!C7)</f>
        <v>14</v>
      </c>
      <c r="D9" s="18">
        <f>COUNTIF(Results!$W$2:$W$94,Summary!D7)</f>
        <v>18</v>
      </c>
      <c r="E9" s="25">
        <f>MIN(Results!$X$2:$X$94)</f>
        <v>31</v>
      </c>
      <c r="F9" s="25">
        <f>MAX(Results!$X$2:$X$94)</f>
        <v>100</v>
      </c>
      <c r="G9" s="127">
        <f>AVERAGE(NrmQ1_1)</f>
        <v>0.49976804894832477</v>
      </c>
      <c r="K9" s="108"/>
      <c r="L9" s="20" t="s">
        <v>15</v>
      </c>
      <c r="M9" s="17" t="s">
        <v>104</v>
      </c>
      <c r="N9" s="18">
        <f>COUNTIFS(Results!$W$2:$W$94,Summary!N7,EPA,L8)</f>
        <v>2</v>
      </c>
      <c r="O9" s="18">
        <f>COUNTIFS(Results!$W$2:$W$94,Summary!O7,EPA,L8)</f>
        <v>4</v>
      </c>
      <c r="P9" s="25">
        <f t="array" ref="P9">MIN(IF(EPA=L8,Results!$X$2:$X$94))</f>
        <v>0</v>
      </c>
      <c r="Q9" s="25">
        <f t="array" ref="Q9">MAX(IF(EPA=L8,Results!$X$2:$X$94))</f>
        <v>100</v>
      </c>
      <c r="R9" s="127">
        <f>AVERAGEIF(EPA,L8,NrmQ1_1)</f>
        <v>0.49667889362545853</v>
      </c>
      <c r="V9" s="108"/>
      <c r="W9" s="20" t="s">
        <v>15</v>
      </c>
      <c r="X9" s="17" t="s">
        <v>104</v>
      </c>
      <c r="Y9" s="18">
        <f>COUNTIFS(Results!$W$2:$W$94,Summary!Y7,EPA,W8)</f>
        <v>6</v>
      </c>
      <c r="Z9" s="18">
        <f>COUNTIFS(Results!$W$2:$W$94,Summary!Z7,EPA,W8)</f>
        <v>8</v>
      </c>
      <c r="AA9" s="25">
        <f t="array" ref="AA9">MIN(IF(EPA=W8,Results!$X$2:$X$94))</f>
        <v>0</v>
      </c>
      <c r="AB9" s="25">
        <f t="array" ref="AB9">MAX(IF(EPA=W8,Results!$X$2:$X$94))</f>
        <v>100</v>
      </c>
      <c r="AC9" s="127">
        <f>AVERAGEIF(EPA,W8,NrmQ1_1)</f>
        <v>0.52728196469281741</v>
      </c>
      <c r="AG9" s="108"/>
      <c r="AH9" s="20" t="s">
        <v>15</v>
      </c>
      <c r="AI9" s="17" t="s">
        <v>104</v>
      </c>
      <c r="AJ9" s="18">
        <f>COUNTIFS(Results!$W$2:$W$94,Summary!AJ7,EPA,AH8)</f>
        <v>6</v>
      </c>
      <c r="AK9" s="18">
        <f>COUNTIFS(Results!$W$2:$W$94,Summary!AK7,EPA,AH8)</f>
        <v>6</v>
      </c>
      <c r="AL9" s="25">
        <f t="array" ref="AL9">MIN(IF(EPA=AH8,Results!$X$2:$X$94))</f>
        <v>35</v>
      </c>
      <c r="AM9" s="25">
        <f t="array" ref="AM9">MAX(IF(EPA=AH8,Results!$X$2:$X$94))</f>
        <v>100</v>
      </c>
      <c r="AN9" s="127">
        <f>AVERAGEIF(EPA,AH8,NrmQ1_1)</f>
        <v>0.4712484549429854</v>
      </c>
      <c r="AR9" s="108"/>
      <c r="AS9" s="20" t="s">
        <v>15</v>
      </c>
      <c r="AT9" s="17" t="s">
        <v>104</v>
      </c>
      <c r="AU9" s="18">
        <f>COUNTIFS(Results!$W$2:$W$94,Summary!AU7,Bkg,AS8)</f>
        <v>10</v>
      </c>
      <c r="AV9" s="18">
        <f>COUNTIFS(Results!$W$2:$W$94,Summary!AV7,Bkg,AS8)</f>
        <v>10</v>
      </c>
      <c r="AW9" s="25">
        <f t="array" ref="AW9">MIN(IF(Bkg=AS8,Results!$X$2:$X$94))</f>
        <v>0</v>
      </c>
      <c r="AX9" s="25">
        <f t="array" ref="AX9">MAX(IF(Bkg=AS8,Results!$X$2:$X$94))</f>
        <v>100</v>
      </c>
      <c r="AY9" s="127">
        <f>AVERAGEIF(Bkg,AS8,NrmQ1_1)</f>
        <v>0.52342405933671943</v>
      </c>
      <c r="BC9" s="108"/>
      <c r="BD9" s="20" t="s">
        <v>15</v>
      </c>
      <c r="BE9" s="17" t="s">
        <v>104</v>
      </c>
      <c r="BF9" s="18">
        <f>COUNTIFS(Results!$W$2:$W$94,Summary!BF7,Bkg,BD8)</f>
        <v>1</v>
      </c>
      <c r="BG9" s="18">
        <f>COUNTIFS(Results!$W$2:$W$94,Summary!BG7,Bkg,BD8)</f>
        <v>4</v>
      </c>
      <c r="BH9" s="25">
        <f t="array" ref="BH9">MIN(IF(Bkg=BD8,Results!$X$2:$X$94))</f>
        <v>31</v>
      </c>
      <c r="BI9" s="25">
        <f t="array" ref="BI9">MAX(IF(Bkg=BD8,Results!$X$2:$X$94))</f>
        <v>100</v>
      </c>
      <c r="BJ9" s="127">
        <f>AVERAGEIF(Bkg,BD8,NrmQ1_1)</f>
        <v>0.42887212906983441</v>
      </c>
      <c r="BN9" s="108"/>
      <c r="BO9" s="20" t="s">
        <v>15</v>
      </c>
      <c r="BP9" s="17" t="s">
        <v>104</v>
      </c>
      <c r="BQ9" s="18">
        <f>COUNTIFS(Results!$W$2:$W$94,Summary!BQ7,Bkg,BO8)</f>
        <v>3</v>
      </c>
      <c r="BR9" s="18">
        <f>COUNTIFS(Results!$W$2:$W$94,Summary!BR7,Bkg,BO8)</f>
        <v>4</v>
      </c>
      <c r="BS9" s="25">
        <f t="array" ref="BS9">MIN(IF(Bkg=BO8,Results!$X$2:$X$94))</f>
        <v>0</v>
      </c>
      <c r="BT9" s="25">
        <f t="array" ref="BT9">MAX(IF(Bkg=BO8,Results!$X$2:$X$94))</f>
        <v>100</v>
      </c>
      <c r="BU9" s="127">
        <f>AVERAGEIF(Bkg,BO8,NrmQ1_1)</f>
        <v>0.48393728261715063</v>
      </c>
      <c r="BY9" s="108"/>
      <c r="BZ9" s="20"/>
      <c r="CA9" s="17"/>
      <c r="CB9" s="18"/>
      <c r="CC9" s="18"/>
      <c r="CD9" s="25"/>
      <c r="CE9" s="25"/>
      <c r="CF9" s="127"/>
    </row>
    <row r="10" spans="1:85" s="16" customFormat="1" ht="24.95" customHeight="1" x14ac:dyDescent="0.25">
      <c r="A10" s="20" t="s">
        <v>305</v>
      </c>
      <c r="B10" s="17" t="s">
        <v>105</v>
      </c>
      <c r="C10" s="18">
        <f>COUNTIF(Results!$V$2:$V$94,Summary!C7)</f>
        <v>21</v>
      </c>
      <c r="D10" s="18">
        <f>COUNTIF(Results!$V$2:$V$94,Summary!D7)</f>
        <v>11</v>
      </c>
      <c r="E10" s="25">
        <f>MIN(Results!$Y$2:$Y$94)</f>
        <v>0</v>
      </c>
      <c r="F10" s="25">
        <f>MAX(Results!$Y$2:$Y$94)</f>
        <v>100</v>
      </c>
      <c r="G10" s="127">
        <f>AVERAGE(NrmQ1_2)</f>
        <v>0.50023195105167528</v>
      </c>
      <c r="K10" s="108"/>
      <c r="L10" s="20" t="s">
        <v>290</v>
      </c>
      <c r="M10" s="17" t="s">
        <v>105</v>
      </c>
      <c r="N10" s="18">
        <f>COUNTIFS(Results!$V$2:$V$94,Summary!N7,EPA,L8)</f>
        <v>4</v>
      </c>
      <c r="O10" s="18">
        <f>COUNTIFS(Results!$V$2:$V$94,Summary!O7,EPA,L8)</f>
        <v>2</v>
      </c>
      <c r="P10" s="25">
        <f t="array" ref="P10">MIN(IF(EPA=L8,Results!$Y$2:$Y$94))</f>
        <v>0</v>
      </c>
      <c r="Q10" s="25">
        <f t="array" ref="Q10">MAX(IF(EPA=L8,Results!$Y$2:$Y$94))</f>
        <v>100</v>
      </c>
      <c r="R10" s="127">
        <f>AVERAGEIF(EPA,L8,NrmQ1_2)</f>
        <v>0.50332110637454153</v>
      </c>
      <c r="V10" s="108"/>
      <c r="W10" s="20" t="s">
        <v>291</v>
      </c>
      <c r="X10" s="17" t="s">
        <v>105</v>
      </c>
      <c r="Y10" s="18">
        <f>COUNTIFS(Results!$V$2:$V$94,Summary!Y7,EPA,W8)</f>
        <v>9</v>
      </c>
      <c r="Z10" s="18">
        <f>COUNTIFS(Results!$V$2:$V$94,Summary!Z7,EPA,W8)</f>
        <v>5</v>
      </c>
      <c r="AA10" s="25">
        <f t="array" ref="AA10">MIN(IF(EPA=W8,Results!$Y$2:$Y$94))</f>
        <v>0</v>
      </c>
      <c r="AB10" s="25">
        <f t="array" ref="AB10">MAX(IF(EPA=W8,Results!$Y$2:$Y$94))</f>
        <v>100</v>
      </c>
      <c r="AC10" s="127">
        <f>AVERAGEIF(EPA,W8,NrmQ1_2)</f>
        <v>0.47271803530718259</v>
      </c>
      <c r="AG10" s="108"/>
      <c r="AH10" s="20" t="s">
        <v>347</v>
      </c>
      <c r="AI10" s="17" t="s">
        <v>105</v>
      </c>
      <c r="AJ10" s="18">
        <f>COUNTIFS(Results!$V$2:$V$94,Summary!AJ7,EPA,AH8)</f>
        <v>8</v>
      </c>
      <c r="AK10" s="18">
        <f>COUNTIFS(Results!$V$2:$V$94,Summary!AK7,EPA,AH8)</f>
        <v>4</v>
      </c>
      <c r="AL10" s="25">
        <f t="array" ref="AL10">MIN(IF(EPA=AH8,Results!$Y$2:$Y$94))</f>
        <v>53</v>
      </c>
      <c r="AM10" s="25">
        <f t="array" ref="AM10">MAX(IF(EPA=AH8,Results!$Y$2:$Y$94))</f>
        <v>100</v>
      </c>
      <c r="AN10" s="127">
        <f>AVERAGEIF(EPA,AH8,NrmQ1_2)</f>
        <v>0.52875154505701449</v>
      </c>
      <c r="AR10" s="108"/>
      <c r="AS10" s="20" t="s">
        <v>375</v>
      </c>
      <c r="AT10" s="17" t="s">
        <v>105</v>
      </c>
      <c r="AU10" s="18">
        <f>COUNTIFS(Results!$V$2:$V$94,Summary!AU7,Bkg,AS8)</f>
        <v>13</v>
      </c>
      <c r="AV10" s="18">
        <f>COUNTIFS(Results!$V$2:$V$94,Summary!AV7,Bkg,AS8)</f>
        <v>7</v>
      </c>
      <c r="AW10" s="25">
        <f t="array" ref="AW10">MIN(IF(Bkg=AS8,Results!$Y$2:$Y$94))</f>
        <v>0</v>
      </c>
      <c r="AX10" s="25">
        <f t="array" ref="AX10">MAX(IF(Bkg=AS8,Results!$Y$2:$Y$94))</f>
        <v>100</v>
      </c>
      <c r="AY10" s="127">
        <f>AVERAGEIF(Bkg,AS8,NrmQ1_2)</f>
        <v>0.47657594066328063</v>
      </c>
      <c r="BC10" s="108"/>
      <c r="BD10" s="20" t="s">
        <v>376</v>
      </c>
      <c r="BE10" s="17" t="s">
        <v>105</v>
      </c>
      <c r="BF10" s="18">
        <f>COUNTIFS(Results!$V$2:$V$94,Summary!BF7,Bkg,BD8)</f>
        <v>4</v>
      </c>
      <c r="BG10" s="18">
        <f>COUNTIFS(Results!$V$2:$V$94,Summary!BG7,Bkg,BD8)</f>
        <v>1</v>
      </c>
      <c r="BH10" s="25">
        <f t="array" ref="BH10">MIN(IF(Bkg=BD8,Results!$Y$2:$Y$94))</f>
        <v>63.888888888888886</v>
      </c>
      <c r="BI10" s="25">
        <f t="array" ref="BI10">MAX(IF(Bkg=BD8,Results!$Y$2:$Y$94))</f>
        <v>100</v>
      </c>
      <c r="BJ10" s="127">
        <f>AVERAGEIF(Bkg,BD8,NrmQ1_2)</f>
        <v>0.57112787093016559</v>
      </c>
      <c r="BN10" s="108"/>
      <c r="BO10" s="20" t="s">
        <v>377</v>
      </c>
      <c r="BP10" s="17" t="s">
        <v>105</v>
      </c>
      <c r="BQ10" s="18">
        <f>COUNTIFS(Results!$V$2:$V$94,Summary!BQ7,Bkg,BO8)</f>
        <v>4</v>
      </c>
      <c r="BR10" s="18">
        <f>COUNTIFS(Results!$V$2:$V$94,Summary!BR7,Bkg,BO8)</f>
        <v>3</v>
      </c>
      <c r="BS10" s="25">
        <f t="array" ref="BS10">MIN(IF(Bkg=BO8,Results!$Y$2:$Y$94))</f>
        <v>0</v>
      </c>
      <c r="BT10" s="25">
        <f t="array" ref="BT10">MAX(IF(Bkg=BO8,Results!$Y$2:$Y$94))</f>
        <v>100</v>
      </c>
      <c r="BU10" s="127">
        <f>AVERAGEIF(Bkg,BO8,NrmQ1_2)</f>
        <v>0.51606271738284948</v>
      </c>
      <c r="BY10" s="108"/>
      <c r="BZ10" s="20"/>
      <c r="CA10" s="17"/>
      <c r="CB10" s="18"/>
      <c r="CC10" s="18"/>
      <c r="CD10" s="25"/>
      <c r="CE10" s="25"/>
      <c r="CF10" s="127"/>
    </row>
    <row r="11" spans="1:85" x14ac:dyDescent="0.25">
      <c r="H11" s="39"/>
    </row>
    <row r="12" spans="1:85" x14ac:dyDescent="0.25">
      <c r="C12" s="23">
        <v>100</v>
      </c>
      <c r="D12" s="23">
        <v>4</v>
      </c>
      <c r="E12" s="23">
        <v>3</v>
      </c>
      <c r="L12" s="19"/>
      <c r="N12" s="23">
        <v>100</v>
      </c>
      <c r="O12" s="23">
        <v>4</v>
      </c>
      <c r="P12" s="23">
        <v>3</v>
      </c>
      <c r="W12" s="19"/>
      <c r="Y12" s="23">
        <v>100</v>
      </c>
      <c r="Z12" s="23">
        <v>4</v>
      </c>
      <c r="AA12" s="23">
        <v>3</v>
      </c>
      <c r="AH12" s="19"/>
      <c r="AJ12" s="23">
        <v>100</v>
      </c>
      <c r="AK12" s="23">
        <v>4</v>
      </c>
      <c r="AL12" s="23">
        <v>3</v>
      </c>
      <c r="AS12" s="19"/>
      <c r="AU12" s="23">
        <v>100</v>
      </c>
      <c r="AV12" s="23">
        <v>4</v>
      </c>
      <c r="AW12" s="23">
        <v>3</v>
      </c>
      <c r="BD12" s="19"/>
      <c r="BF12" s="23">
        <v>100</v>
      </c>
      <c r="BG12" s="23">
        <v>4</v>
      </c>
      <c r="BH12" s="23">
        <v>3</v>
      </c>
      <c r="BO12" s="19"/>
      <c r="BQ12" s="23">
        <v>100</v>
      </c>
      <c r="BR12" s="23">
        <v>4</v>
      </c>
      <c r="BS12" s="23">
        <v>3</v>
      </c>
      <c r="BZ12" s="19"/>
      <c r="CB12" s="23"/>
      <c r="CC12" s="23"/>
      <c r="CD12" s="23"/>
    </row>
    <row r="13" spans="1:85" x14ac:dyDescent="0.25">
      <c r="C13" s="188" t="s">
        <v>139</v>
      </c>
      <c r="D13" s="188"/>
      <c r="E13" s="188"/>
      <c r="F13" s="188" t="s">
        <v>140</v>
      </c>
      <c r="G13" s="188"/>
      <c r="H13" s="188"/>
      <c r="L13" s="19"/>
      <c r="N13" s="188" t="s">
        <v>139</v>
      </c>
      <c r="O13" s="188"/>
      <c r="P13" s="188"/>
      <c r="Q13" s="188" t="s">
        <v>140</v>
      </c>
      <c r="R13" s="188"/>
      <c r="S13" s="188"/>
      <c r="W13" s="19"/>
      <c r="Y13" s="188" t="s">
        <v>139</v>
      </c>
      <c r="Z13" s="188"/>
      <c r="AA13" s="188"/>
      <c r="AB13" s="188" t="s">
        <v>140</v>
      </c>
      <c r="AC13" s="188"/>
      <c r="AD13" s="188"/>
      <c r="AH13" s="19"/>
      <c r="AJ13" s="188" t="s">
        <v>139</v>
      </c>
      <c r="AK13" s="188"/>
      <c r="AL13" s="188"/>
      <c r="AM13" s="188" t="s">
        <v>140</v>
      </c>
      <c r="AN13" s="188"/>
      <c r="AO13" s="188"/>
      <c r="AS13" s="19"/>
      <c r="AU13" s="188" t="s">
        <v>139</v>
      </c>
      <c r="AV13" s="188"/>
      <c r="AW13" s="188"/>
      <c r="AX13" s="188" t="s">
        <v>140</v>
      </c>
      <c r="AY13" s="188"/>
      <c r="AZ13" s="188"/>
      <c r="BD13" s="19"/>
      <c r="BF13" s="188" t="s">
        <v>139</v>
      </c>
      <c r="BG13" s="188"/>
      <c r="BH13" s="188"/>
      <c r="BI13" s="188" t="s">
        <v>140</v>
      </c>
      <c r="BJ13" s="188"/>
      <c r="BK13" s="188"/>
      <c r="BO13" s="19"/>
      <c r="BQ13" s="188" t="s">
        <v>139</v>
      </c>
      <c r="BR13" s="188"/>
      <c r="BS13" s="188"/>
      <c r="BT13" s="188" t="s">
        <v>140</v>
      </c>
      <c r="BU13" s="188"/>
      <c r="BV13" s="188"/>
      <c r="BZ13" s="19"/>
      <c r="CB13" s="188"/>
      <c r="CC13" s="188"/>
      <c r="CD13" s="188"/>
      <c r="CE13" s="188"/>
      <c r="CF13" s="188"/>
      <c r="CG13" s="188"/>
    </row>
    <row r="14" spans="1:85" x14ac:dyDescent="0.25">
      <c r="C14" s="3" t="s">
        <v>106</v>
      </c>
      <c r="D14" s="3" t="s">
        <v>107</v>
      </c>
      <c r="E14" s="3" t="s">
        <v>114</v>
      </c>
      <c r="F14" s="24" t="s">
        <v>108</v>
      </c>
      <c r="G14" s="24" t="s">
        <v>109</v>
      </c>
      <c r="H14" s="24" t="s">
        <v>110</v>
      </c>
      <c r="J14" s="3"/>
      <c r="L14" s="19">
        <v>1</v>
      </c>
      <c r="N14" s="3" t="s">
        <v>106</v>
      </c>
      <c r="O14" s="3" t="s">
        <v>107</v>
      </c>
      <c r="P14" s="3" t="s">
        <v>114</v>
      </c>
      <c r="Q14" s="24" t="s">
        <v>108</v>
      </c>
      <c r="R14" s="24" t="s">
        <v>109</v>
      </c>
      <c r="S14" s="24" t="s">
        <v>110</v>
      </c>
      <c r="W14" s="19">
        <v>2</v>
      </c>
      <c r="Y14" s="3" t="s">
        <v>106</v>
      </c>
      <c r="Z14" s="3" t="s">
        <v>107</v>
      </c>
      <c r="AA14" s="3" t="s">
        <v>114</v>
      </c>
      <c r="AB14" s="24" t="s">
        <v>108</v>
      </c>
      <c r="AC14" s="24" t="s">
        <v>109</v>
      </c>
      <c r="AD14" s="24" t="s">
        <v>110</v>
      </c>
      <c r="AH14" s="19">
        <v>3</v>
      </c>
      <c r="AJ14" s="3" t="s">
        <v>106</v>
      </c>
      <c r="AK14" s="3" t="s">
        <v>107</v>
      </c>
      <c r="AL14" s="3" t="s">
        <v>114</v>
      </c>
      <c r="AM14" s="24" t="s">
        <v>108</v>
      </c>
      <c r="AN14" s="24" t="s">
        <v>109</v>
      </c>
      <c r="AO14" s="24" t="s">
        <v>110</v>
      </c>
      <c r="AS14" s="19">
        <v>1</v>
      </c>
      <c r="AU14" s="3" t="s">
        <v>106</v>
      </c>
      <c r="AV14" s="3" t="s">
        <v>107</v>
      </c>
      <c r="AW14" s="3" t="s">
        <v>114</v>
      </c>
      <c r="AX14" s="24" t="s">
        <v>108</v>
      </c>
      <c r="AY14" s="24" t="s">
        <v>109</v>
      </c>
      <c r="AZ14" s="24" t="s">
        <v>110</v>
      </c>
      <c r="BD14" s="19">
        <v>2</v>
      </c>
      <c r="BF14" s="3" t="s">
        <v>106</v>
      </c>
      <c r="BG14" s="3" t="s">
        <v>107</v>
      </c>
      <c r="BH14" s="3" t="s">
        <v>114</v>
      </c>
      <c r="BI14" s="24" t="s">
        <v>108</v>
      </c>
      <c r="BJ14" s="24" t="s">
        <v>109</v>
      </c>
      <c r="BK14" s="24" t="s">
        <v>110</v>
      </c>
      <c r="BO14" s="19">
        <v>3</v>
      </c>
      <c r="BQ14" s="3" t="s">
        <v>106</v>
      </c>
      <c r="BR14" s="3" t="s">
        <v>107</v>
      </c>
      <c r="BS14" s="3" t="s">
        <v>114</v>
      </c>
      <c r="BT14" s="24" t="s">
        <v>108</v>
      </c>
      <c r="BU14" s="24" t="s">
        <v>109</v>
      </c>
      <c r="BV14" s="24" t="s">
        <v>110</v>
      </c>
      <c r="BZ14" s="19"/>
      <c r="CB14" s="3"/>
      <c r="CC14" s="3"/>
      <c r="CD14" s="3"/>
      <c r="CE14" s="24"/>
      <c r="CF14" s="24"/>
      <c r="CG14" s="24"/>
    </row>
    <row r="15" spans="1:85" ht="24.95" customHeight="1" x14ac:dyDescent="0.25">
      <c r="A15" s="19" t="s">
        <v>19</v>
      </c>
      <c r="B15" s="16" t="s">
        <v>113</v>
      </c>
      <c r="C15" s="18">
        <f>COUNTIF(Results!$AC$2:$AC$94,Summary!C12)</f>
        <v>5</v>
      </c>
      <c r="D15" s="18">
        <f>COUNTIF(Results!$AC$2:$AC$94,Summary!D12)</f>
        <v>15</v>
      </c>
      <c r="E15" s="18">
        <f>COUNTIF(Results!$AC$2:$AC$94,Summary!E12)</f>
        <v>12</v>
      </c>
      <c r="F15" s="25">
        <f>MIN(Results!$AF$2:$AF$94)</f>
        <v>0</v>
      </c>
      <c r="G15" s="25">
        <f>MAX(Results!$AF$2:$AF$94)</f>
        <v>100</v>
      </c>
      <c r="H15" s="127">
        <f>AVERAGE(NrmQ2_3)</f>
        <v>0.26432020308930743</v>
      </c>
      <c r="J15" s="25"/>
      <c r="K15" s="109"/>
      <c r="L15" s="19" t="s">
        <v>19</v>
      </c>
      <c r="M15" s="16" t="s">
        <v>113</v>
      </c>
      <c r="N15" s="18">
        <f>COUNTIFS(Results!$AC$2:$AC$94,Summary!N12,EPA,L14)</f>
        <v>0</v>
      </c>
      <c r="O15" s="18">
        <f>COUNTIFS(Results!$AC$2:$AC$94,Summary!O12,EPA,L14)</f>
        <v>4</v>
      </c>
      <c r="P15" s="18">
        <f>COUNTIFS(Results!$AC$2:$AC$94,Summary!P12,EPA,L14)</f>
        <v>2</v>
      </c>
      <c r="Q15" s="25">
        <f t="array" ref="Q15">MIN(IF(EPA=L14,Results!$AF$2:$AF$94))</f>
        <v>0</v>
      </c>
      <c r="R15" s="25">
        <f t="array" ref="R15">MAX(IF(EPA=L14,Results!$AF$2:$AF$94))</f>
        <v>80</v>
      </c>
      <c r="S15" s="127">
        <f>AVERAGEIF(EPA,L14,NrmQ2_3)</f>
        <v>0.27458778851117172</v>
      </c>
      <c r="V15" s="109"/>
      <c r="W15" s="19" t="s">
        <v>19</v>
      </c>
      <c r="X15" s="16" t="s">
        <v>113</v>
      </c>
      <c r="Y15" s="18">
        <f>COUNTIFS(Results!$AC$2:$AC$94,Summary!Y12,EPA,W14)</f>
        <v>3</v>
      </c>
      <c r="Z15" s="18">
        <f>COUNTIFS(Results!$AC$2:$AC$94,Summary!Z12,EPA,W14)</f>
        <v>6</v>
      </c>
      <c r="AA15" s="18">
        <f>COUNTIFS(Results!$AC$2:$AC$94,Summary!AA12,EPA,W14)</f>
        <v>5</v>
      </c>
      <c r="AB15" s="25">
        <f t="array" ref="AB15">MIN(IF(EPA=W14,Results!$AF$2:$AF$94))</f>
        <v>0</v>
      </c>
      <c r="AC15" s="25">
        <f t="array" ref="AC15">MAX(IF(EPA=W14,Results!$AF$2:$AF$94))</f>
        <v>100</v>
      </c>
      <c r="AD15" s="127">
        <f>AVERAGEIF(EPA,W14,NrmQ2_3)</f>
        <v>0.26921718520760785</v>
      </c>
      <c r="AG15" s="109"/>
      <c r="AH15" s="19" t="s">
        <v>19</v>
      </c>
      <c r="AI15" s="16" t="s">
        <v>113</v>
      </c>
      <c r="AJ15" s="18">
        <f>COUNTIFS(Results!$AC$2:$AC$94,Summary!AJ12,EPA,AH14)</f>
        <v>2</v>
      </c>
      <c r="AK15" s="18">
        <f>COUNTIFS(Results!$AC$2:$AC$94,Summary!AK12,EPA,AH14)</f>
        <v>5</v>
      </c>
      <c r="AL15" s="18">
        <f>COUNTIFS(Results!$AC$2:$AC$94,Summary!AL12,EPA,AH14)</f>
        <v>5</v>
      </c>
      <c r="AM15" s="25">
        <f t="array" ref="AM15">MIN(IF(EPA=AH14,Results!$AF$2:$AF$94))</f>
        <v>20</v>
      </c>
      <c r="AN15" s="25">
        <f t="array" ref="AN15">MAX(IF(EPA=AH14,Results!$AF$2:$AF$94))</f>
        <v>100</v>
      </c>
      <c r="AO15" s="127">
        <f>AVERAGEIF(EPA,AH14,NrmQ2_3)</f>
        <v>0.25473697853537175</v>
      </c>
      <c r="AR15" s="109"/>
      <c r="AS15" s="19" t="s">
        <v>19</v>
      </c>
      <c r="AT15" s="16" t="s">
        <v>113</v>
      </c>
      <c r="AU15" s="18">
        <f>COUNTIFS(Results!$AC$2:$AC$94,Summary!AU12,Bkg,AS14)</f>
        <v>3</v>
      </c>
      <c r="AV15" s="18">
        <f>COUNTIFS(Results!$AC$2:$AC$94,Summary!AV12,Bkg,AS14)</f>
        <v>9</v>
      </c>
      <c r="AW15" s="18">
        <f>COUNTIFS(Results!$AC$2:$AC$94,Summary!AW12,Bkg,AS14)</f>
        <v>8</v>
      </c>
      <c r="AX15" s="25">
        <f t="array" ref="AX15">MIN(IF(Bkg=AS14,Results!$AF$2:$AF$94))</f>
        <v>0</v>
      </c>
      <c r="AY15" s="25">
        <f t="array" ref="AY15">MAX(IF(Bkg=AS14,Results!$AF$2:$AF$94))</f>
        <v>100</v>
      </c>
      <c r="AZ15" s="127">
        <f>AVERAGEIF(Bkg,AS14,NrmQ2_3)</f>
        <v>0.26598561535851578</v>
      </c>
      <c r="BC15" s="109"/>
      <c r="BD15" s="19" t="s">
        <v>19</v>
      </c>
      <c r="BE15" s="16" t="s">
        <v>113</v>
      </c>
      <c r="BF15" s="18">
        <f>COUNTIFS(Results!$AC$2:$AC$94,Summary!BF12,Bkg,BD14)</f>
        <v>1</v>
      </c>
      <c r="BG15" s="18">
        <f>COUNTIFS(Results!$AC$2:$AC$94,Summary!BG12,Bkg,BD14)</f>
        <v>3</v>
      </c>
      <c r="BH15" s="18">
        <f>COUNTIFS(Results!$AC$2:$AC$94,Summary!BH12,Bkg,BD14)</f>
        <v>1</v>
      </c>
      <c r="BI15" s="25">
        <f t="array" ref="BI15">MIN(IF(Bkg=BD14,Results!$AF$2:$AF$94))</f>
        <v>19</v>
      </c>
      <c r="BJ15" s="25">
        <f t="array" ref="BJ15">MAX(IF(Bkg=BD14,Results!$AF$2:$AF$94))</f>
        <v>100</v>
      </c>
      <c r="BK15" s="127">
        <f>AVERAGEIF(Bkg,BD14,NrmQ2_3)</f>
        <v>0.29687246456640393</v>
      </c>
      <c r="BN15" s="109"/>
      <c r="BO15" s="19" t="s">
        <v>19</v>
      </c>
      <c r="BP15" s="16" t="s">
        <v>113</v>
      </c>
      <c r="BQ15" s="18">
        <f>COUNTIFS(Results!$AC$2:$AC$94,Summary!BQ12,Bkg,BO14)</f>
        <v>1</v>
      </c>
      <c r="BR15" s="18">
        <f>COUNTIFS(Results!$AC$2:$AC$94,Summary!BR12,Bkg,BO14)</f>
        <v>3</v>
      </c>
      <c r="BS15" s="18">
        <f>COUNTIFS(Results!$AC$2:$AC$94,Summary!BS12,Bkg,BO14)</f>
        <v>3</v>
      </c>
      <c r="BT15" s="25">
        <f t="array" ref="BT15">MIN(IF(Bkg=BO14,Results!$AF$2:$AF$94))</f>
        <v>0</v>
      </c>
      <c r="BU15" s="25">
        <f t="array" ref="BU15">MAX(IF(Bkg=BO14,Results!$AF$2:$AF$94))</f>
        <v>60</v>
      </c>
      <c r="BV15" s="127">
        <f>AVERAGEIF(Bkg,BO14,NrmQ2_3)</f>
        <v>0.23191951300590044</v>
      </c>
      <c r="BY15" s="109"/>
      <c r="BZ15" s="19"/>
      <c r="CA15" s="16"/>
      <c r="CB15" s="18"/>
      <c r="CC15" s="18"/>
      <c r="CD15" s="18"/>
      <c r="CE15" s="25"/>
      <c r="CF15" s="25"/>
      <c r="CG15" s="127"/>
    </row>
    <row r="16" spans="1:85" ht="24.95" customHeight="1" x14ac:dyDescent="0.25">
      <c r="A16" s="20" t="s">
        <v>305</v>
      </c>
      <c r="B16" s="16" t="s">
        <v>111</v>
      </c>
      <c r="C16" s="18">
        <f>COUNTIF(Results!$AA2:$AA94,Summary!C12)</f>
        <v>6</v>
      </c>
      <c r="D16" s="18">
        <f>COUNTIF(Results!$AA2:$AA94,Summary!D12)</f>
        <v>12</v>
      </c>
      <c r="E16" s="18">
        <f>COUNTIF(Results!$AA2:$AA94,Summary!E12)</f>
        <v>14</v>
      </c>
      <c r="F16" s="25">
        <f>MIN(Results!$AD$2:$AD$94)</f>
        <v>0</v>
      </c>
      <c r="G16" s="25">
        <f>MAX(Results!$AD$2:$AD$94)</f>
        <v>100</v>
      </c>
      <c r="H16" s="127">
        <f>AVERAGE(NrmQ2_1)</f>
        <v>0.26744911169447882</v>
      </c>
      <c r="J16" s="25"/>
      <c r="K16" s="109"/>
      <c r="L16" s="20" t="s">
        <v>290</v>
      </c>
      <c r="M16" s="16" t="s">
        <v>111</v>
      </c>
      <c r="N16" s="18">
        <f>COUNTIFS(Results!$AA2:$AA94,Summary!N12,EPA,L14)</f>
        <v>1</v>
      </c>
      <c r="O16" s="18">
        <f>COUNTIFS(Results!$AA2:$AA94,Summary!O12,EPA,L14)</f>
        <v>2</v>
      </c>
      <c r="P16" s="18">
        <f>COUNTIFS(Results!$AA2:$AA94,Summary!P12,EPA,L14)</f>
        <v>3</v>
      </c>
      <c r="Q16" s="25">
        <f t="array" ref="Q16">MIN(IF(EPA=L14,Results!$AD$2:$AD$94))</f>
        <v>0</v>
      </c>
      <c r="R16" s="25">
        <f t="array" ref="R16">MAX(IF(EPA=L14,Results!$AD$2:$AD$94))</f>
        <v>100</v>
      </c>
      <c r="S16" s="127">
        <f>AVERAGEIF(EPA,L14,NrmQ2_1)</f>
        <v>0.27318843251480962</v>
      </c>
      <c r="V16" s="109"/>
      <c r="W16" s="20" t="s">
        <v>291</v>
      </c>
      <c r="X16" s="16" t="s">
        <v>111</v>
      </c>
      <c r="Y16" s="18">
        <f>COUNTIFS(Results!$AA2:$AA94,Summary!Y12,EPA,W14)</f>
        <v>3</v>
      </c>
      <c r="Z16" s="18">
        <f>COUNTIFS(Results!$AA2:$AA94,Summary!Z12,EPA,W14)</f>
        <v>4</v>
      </c>
      <c r="AA16" s="18">
        <f>COUNTIFS(Results!$AA2:$AA94,Summary!AA12,EPA,W14)</f>
        <v>7</v>
      </c>
      <c r="AB16" s="25">
        <f t="array" ref="AB16">MIN(IF(EPA=W14,Results!$AD$2:$AD$94))</f>
        <v>0</v>
      </c>
      <c r="AC16" s="25">
        <f t="array" ref="AC16">MAX(IF(EPA=W14,Results!$AD$2:$AD$94))</f>
        <v>100</v>
      </c>
      <c r="AD16" s="127">
        <f>AVERAGEIF(EPA,W14,NrmQ2_1)</f>
        <v>0.2401064419098238</v>
      </c>
      <c r="AG16" s="109"/>
      <c r="AH16" s="20" t="s">
        <v>347</v>
      </c>
      <c r="AI16" s="16" t="s">
        <v>111</v>
      </c>
      <c r="AJ16" s="18">
        <f>COUNTIFS(Results!$AA2:$AA94,Summary!AJ12,EPA,AH14)</f>
        <v>2</v>
      </c>
      <c r="AK16" s="18">
        <f>COUNTIFS(Results!$AA2:$AA94,Summary!AK12,EPA,AH14)</f>
        <v>6</v>
      </c>
      <c r="AL16" s="18">
        <f>COUNTIFS(Results!$AA2:$AA94,Summary!AL12,EPA,AH14)</f>
        <v>4</v>
      </c>
      <c r="AM16" s="25">
        <f t="array" ref="AM16">MIN(IF(EPA=AH14,Results!$AD$2:$AD$94))</f>
        <v>10</v>
      </c>
      <c r="AN16" s="25">
        <f t="array" ref="AN16">MAX(IF(EPA=AH14,Results!$AD$2:$AD$94))</f>
        <v>100</v>
      </c>
      <c r="AO16" s="127">
        <f>AVERAGEIF(EPA,AH14,NrmQ2_1)</f>
        <v>0.2946789536193839</v>
      </c>
      <c r="AR16" s="109"/>
      <c r="AS16" s="20" t="s">
        <v>375</v>
      </c>
      <c r="AT16" s="16" t="s">
        <v>111</v>
      </c>
      <c r="AU16" s="18">
        <f>COUNTIFS(Results!$AA2:$AA94,Summary!AU12,Bkg,AS14)</f>
        <v>4</v>
      </c>
      <c r="AV16" s="18">
        <f>COUNTIFS(Results!$AA2:$AA94,Summary!AV12,Bkg,AS14)</f>
        <v>9</v>
      </c>
      <c r="AW16" s="18">
        <f>COUNTIFS(Results!$AA2:$AA94,Summary!AW12,Bkg,AS14)</f>
        <v>7</v>
      </c>
      <c r="AX16" s="25">
        <f t="array" ref="AX16">MIN(IF(Bkg=AS14,Results!$AD$2:$AD$94))</f>
        <v>0</v>
      </c>
      <c r="AY16" s="25">
        <f t="array" ref="AY16">MAX(IF(Bkg=AS14,Results!$AD$2:$AD$94))</f>
        <v>100</v>
      </c>
      <c r="AZ16" s="127">
        <f>AVERAGEIF(Bkg,AS14,NrmQ2_1)</f>
        <v>0.27607969494376655</v>
      </c>
      <c r="BC16" s="109"/>
      <c r="BD16" s="20" t="s">
        <v>376</v>
      </c>
      <c r="BE16" s="16" t="s">
        <v>111</v>
      </c>
      <c r="BF16" s="18">
        <f>COUNTIFS(Results!$AA2:$AA94,Summary!BF12,Bkg,BD14)</f>
        <v>1</v>
      </c>
      <c r="BG16" s="18">
        <f>COUNTIFS(Results!$AA2:$AA94,Summary!BG12,Bkg,BD14)</f>
        <v>1</v>
      </c>
      <c r="BH16" s="18">
        <f>COUNTIFS(Results!$AA2:$AA94,Summary!BH12,Bkg,BD14)</f>
        <v>3</v>
      </c>
      <c r="BI16" s="25">
        <f t="array" ref="BI16">MIN(IF(Bkg=BD14,Results!$AD$2:$AD$94))</f>
        <v>23</v>
      </c>
      <c r="BJ16" s="25">
        <f t="array" ref="BJ16">MAX(IF(Bkg=BD14,Results!$AD$2:$AD$94))</f>
        <v>75</v>
      </c>
      <c r="BK16" s="127">
        <f>AVERAGEIF(Bkg,BD14,NrmQ2_1)</f>
        <v>0.24336919163436202</v>
      </c>
      <c r="BN16" s="109"/>
      <c r="BO16" s="20" t="s">
        <v>377</v>
      </c>
      <c r="BP16" s="16" t="s">
        <v>111</v>
      </c>
      <c r="BQ16" s="18">
        <f>COUNTIFS(Results!$AA2:$AA94,Summary!BQ12,Bkg,BO14)</f>
        <v>1</v>
      </c>
      <c r="BR16" s="18">
        <f>COUNTIFS(Results!$AA2:$AA94,Summary!BR12,Bkg,BO14)</f>
        <v>2</v>
      </c>
      <c r="BS16" s="18">
        <f>COUNTIFS(Results!$AA2:$AA94,Summary!BS12,Bkg,BO14)</f>
        <v>4</v>
      </c>
      <c r="BT16" s="25">
        <f t="array" ref="BT16">MIN(IF(Bkg=BO14,Results!$AD$2:$AD$94))</f>
        <v>0</v>
      </c>
      <c r="BU16" s="25">
        <f t="array" ref="BU16">MAX(IF(Bkg=BO14,Results!$AD$2:$AD$94))</f>
        <v>100</v>
      </c>
      <c r="BV16" s="127">
        <f>AVERAGEIF(Bkg,BO14,NrmQ2_1)</f>
        <v>0.26018553145516493</v>
      </c>
      <c r="BY16" s="109"/>
      <c r="BZ16" s="20"/>
      <c r="CA16" s="16"/>
      <c r="CB16" s="18"/>
      <c r="CC16" s="18"/>
      <c r="CD16" s="18"/>
      <c r="CE16" s="25"/>
      <c r="CF16" s="25"/>
      <c r="CG16" s="127"/>
    </row>
    <row r="17" spans="1:87" ht="24.95" customHeight="1" x14ac:dyDescent="0.25">
      <c r="B17" s="16" t="s">
        <v>112</v>
      </c>
      <c r="C17" s="18">
        <f>COUNTIF(Results!$AB$2:$AB$94,Summary!C12)</f>
        <v>24</v>
      </c>
      <c r="D17" s="18">
        <f>COUNTIF(Results!$AB$2:$AB$94,Summary!D12)</f>
        <v>5</v>
      </c>
      <c r="E17" s="18">
        <f>COUNTIF(Results!$AB$2:$AB$94,Summary!E12)</f>
        <v>3</v>
      </c>
      <c r="F17" s="25">
        <f>MIN(Results!$AE$2:$AE$94)</f>
        <v>10</v>
      </c>
      <c r="G17" s="25">
        <f>MAX(Results!$AE$2:$AE$94)</f>
        <v>100</v>
      </c>
      <c r="H17" s="127">
        <f>AVERAGE(NrmQ2_2)</f>
        <v>0.4682306852162138</v>
      </c>
      <c r="J17" s="25"/>
      <c r="K17" s="109"/>
      <c r="L17" s="19"/>
      <c r="M17" s="16" t="s">
        <v>112</v>
      </c>
      <c r="N17" s="18">
        <f>COUNTIFS(Results!$AB$2:$AB$94,Summary!N12,EPA,L14)</f>
        <v>5</v>
      </c>
      <c r="O17" s="18">
        <f>COUNTIFS(Results!$AB$2:$AB$94,Summary!O12,EPA,L14)</f>
        <v>0</v>
      </c>
      <c r="P17" s="18">
        <f>COUNTIFS(Results!$AB$2:$AB$94,Summary!P12,EPA,L14)</f>
        <v>1</v>
      </c>
      <c r="Q17" s="25">
        <f t="array" ref="Q17">MIN(IF(EPA=L14,Results!$AE$2:$AE$94))</f>
        <v>0</v>
      </c>
      <c r="R17" s="25">
        <f t="array" ref="R17">MAX(IF(EPA=L14,Results!$AE$2:$AE$94))</f>
        <v>100</v>
      </c>
      <c r="S17" s="127">
        <f>AVERAGEIF(EPA,L14,NrmQ2_2)</f>
        <v>0.45222377897401855</v>
      </c>
      <c r="V17" s="109"/>
      <c r="W17" s="19"/>
      <c r="X17" s="16" t="s">
        <v>112</v>
      </c>
      <c r="Y17" s="18">
        <f>COUNTIFS(Results!$AB$2:$AB$94,Summary!Y12,EPA,W14)</f>
        <v>9</v>
      </c>
      <c r="Z17" s="18">
        <f>COUNTIFS(Results!$AB$2:$AB$94,Summary!Z12,EPA,W14)</f>
        <v>4</v>
      </c>
      <c r="AA17" s="18">
        <f>COUNTIFS(Results!$AB$2:$AB$94,Summary!AA12,EPA,W14)</f>
        <v>1</v>
      </c>
      <c r="AB17" s="25">
        <f t="array" ref="AB17">MIN(IF(EPA=W14,Results!$AE$2:$AE$94))</f>
        <v>0</v>
      </c>
      <c r="AC17" s="25">
        <f t="array" ref="AC17">MAX(IF(EPA=W14,Results!$AE$2:$AE$94))</f>
        <v>100</v>
      </c>
      <c r="AD17" s="127">
        <f>AVERAGEIF(EPA,W14,NrmQ2_2)</f>
        <v>0.49067637288256832</v>
      </c>
      <c r="AG17" s="109"/>
      <c r="AH17" s="19"/>
      <c r="AI17" s="16" t="s">
        <v>112</v>
      </c>
      <c r="AJ17" s="18">
        <f>COUNTIFS(Results!$AB$2:$AB$94,Summary!AJ12,EPA,AH14)</f>
        <v>10</v>
      </c>
      <c r="AK17" s="18">
        <f>COUNTIFS(Results!$AB$2:$AB$94,Summary!AK12,EPA,AH14)</f>
        <v>1</v>
      </c>
      <c r="AL17" s="18">
        <f>COUNTIFS(Results!$AB$2:$AB$94,Summary!AL12,EPA,AH14)</f>
        <v>1</v>
      </c>
      <c r="AM17" s="25">
        <f t="array" ref="AM17">MIN(IF(EPA=AH14,Results!$AE$2:$AE$94))</f>
        <v>50</v>
      </c>
      <c r="AN17" s="25">
        <f t="array" ref="AN17">MAX(IF(EPA=AH14,Results!$AE$2:$AE$94))</f>
        <v>100</v>
      </c>
      <c r="AO17" s="127">
        <f>AVERAGEIF(EPA,AH14,NrmQ2_2)</f>
        <v>0.45058406784524435</v>
      </c>
      <c r="AR17" s="109"/>
      <c r="AS17" s="19"/>
      <c r="AT17" s="16" t="s">
        <v>112</v>
      </c>
      <c r="AU17" s="18">
        <f>COUNTIFS(Results!$AB$2:$AB$94,Summary!AU12,Bkg,AS14)</f>
        <v>15</v>
      </c>
      <c r="AV17" s="18">
        <f>COUNTIFS(Results!$AB$2:$AB$94,Summary!AV12,Bkg,AS14)</f>
        <v>2</v>
      </c>
      <c r="AW17" s="18">
        <f>COUNTIFS(Results!$AB$2:$AB$94,Summary!AW12,Bkg,AS14)</f>
        <v>3</v>
      </c>
      <c r="AX17" s="25">
        <f t="array" ref="AX17">MIN(IF(Bkg=AS14,Results!$AE$2:$AE$94))</f>
        <v>0</v>
      </c>
      <c r="AY17" s="25">
        <f t="array" ref="AY17">MAX(IF(Bkg=AS14,Results!$AE$2:$AE$94))</f>
        <v>100</v>
      </c>
      <c r="AZ17" s="127">
        <f>AVERAGEIF(Bkg,AS14,NrmQ2_2)</f>
        <v>0.45793468969771772</v>
      </c>
      <c r="BC17" s="109"/>
      <c r="BD17" s="19"/>
      <c r="BE17" s="16" t="s">
        <v>112</v>
      </c>
      <c r="BF17" s="18">
        <f>COUNTIFS(Results!$AB$2:$AB$94,Summary!BF12,Bkg,BD14)</f>
        <v>4</v>
      </c>
      <c r="BG17" s="18">
        <f>COUNTIFS(Results!$AB$2:$AB$94,Summary!BG12,Bkg,BD14)</f>
        <v>1</v>
      </c>
      <c r="BH17" s="18">
        <f>COUNTIFS(Results!$AB$2:$AB$94,Summary!BH12,Bkg,BD14)</f>
        <v>0</v>
      </c>
      <c r="BI17" s="25">
        <f t="array" ref="BI17">MIN(IF(Bkg=BD14,Results!$AE$2:$AE$94))</f>
        <v>44.680851063829785</v>
      </c>
      <c r="BJ17" s="25">
        <f t="array" ref="BJ17">MAX(IF(Bkg=BD14,Results!$AE$2:$AE$94))</f>
        <v>100</v>
      </c>
      <c r="BK17" s="127">
        <f>AVERAGEIF(Bkg,BD14,NrmQ2_2)</f>
        <v>0.45975834379923397</v>
      </c>
      <c r="BN17" s="109"/>
      <c r="BO17" s="19"/>
      <c r="BP17" s="16" t="s">
        <v>112</v>
      </c>
      <c r="BQ17" s="18">
        <f>COUNTIFS(Results!$AB$2:$AB$94,Summary!BQ12,Bkg,BO14)</f>
        <v>5</v>
      </c>
      <c r="BR17" s="18">
        <f>COUNTIFS(Results!$AB$2:$AB$94,Summary!BR12,Bkg,BO14)</f>
        <v>2</v>
      </c>
      <c r="BS17" s="18">
        <f>COUNTIFS(Results!$AB$2:$AB$94,Summary!BS12,Bkg,BO14)</f>
        <v>0</v>
      </c>
      <c r="BT17" s="25">
        <f t="array" ref="BT17">MIN(IF(Bkg=BO14,Results!$AE$2:$AE$94))</f>
        <v>0</v>
      </c>
      <c r="BU17" s="25">
        <f t="array" ref="BU17">MAX(IF(Bkg=BO14,Results!$AE$2:$AE$94))</f>
        <v>100</v>
      </c>
      <c r="BV17" s="127">
        <f>AVERAGEIF(Bkg,BO14,NrmQ2_2)</f>
        <v>0.5078949555389346</v>
      </c>
      <c r="BY17" s="109"/>
      <c r="BZ17" s="19"/>
      <c r="CA17" s="16"/>
      <c r="CB17" s="18"/>
      <c r="CC17" s="18"/>
      <c r="CD17" s="18"/>
      <c r="CE17" s="25"/>
      <c r="CF17" s="25"/>
      <c r="CG17" s="127"/>
    </row>
    <row r="18" spans="1:87" ht="15" customHeight="1" x14ac:dyDescent="0.25">
      <c r="I18" s="39"/>
    </row>
    <row r="19" spans="1:87" x14ac:dyDescent="0.25">
      <c r="C19" s="23">
        <v>100</v>
      </c>
      <c r="D19" s="23">
        <v>4</v>
      </c>
      <c r="E19" s="23">
        <v>3</v>
      </c>
      <c r="F19" s="23">
        <v>2</v>
      </c>
      <c r="L19" s="19"/>
      <c r="N19" s="23">
        <v>100</v>
      </c>
      <c r="O19" s="23">
        <v>4</v>
      </c>
      <c r="P19" s="23">
        <v>3</v>
      </c>
      <c r="Q19" s="23">
        <v>2</v>
      </c>
      <c r="W19" s="19"/>
      <c r="Y19" s="23">
        <v>100</v>
      </c>
      <c r="Z19" s="23">
        <v>4</v>
      </c>
      <c r="AA19" s="23">
        <v>3</v>
      </c>
      <c r="AB19" s="23">
        <v>2</v>
      </c>
      <c r="AH19" s="19"/>
      <c r="AJ19" s="23">
        <v>100</v>
      </c>
      <c r="AK19" s="23">
        <v>4</v>
      </c>
      <c r="AL19" s="23">
        <v>3</v>
      </c>
      <c r="AM19" s="23">
        <v>2</v>
      </c>
      <c r="AS19" s="19"/>
      <c r="AU19" s="23">
        <v>100</v>
      </c>
      <c r="AV19" s="23">
        <v>4</v>
      </c>
      <c r="AW19" s="23">
        <v>3</v>
      </c>
      <c r="AX19" s="23">
        <v>2</v>
      </c>
      <c r="BD19" s="19"/>
      <c r="BF19" s="23">
        <v>100</v>
      </c>
      <c r="BG19" s="23">
        <v>4</v>
      </c>
      <c r="BH19" s="23">
        <v>3</v>
      </c>
      <c r="BI19" s="23">
        <v>2</v>
      </c>
      <c r="BO19" s="19"/>
      <c r="BQ19" s="23">
        <v>100</v>
      </c>
      <c r="BR19" s="23">
        <v>4</v>
      </c>
      <c r="BS19" s="23">
        <v>3</v>
      </c>
      <c r="BT19" s="23">
        <v>2</v>
      </c>
      <c r="BZ19" s="19"/>
      <c r="CB19" s="23"/>
      <c r="CC19" s="23"/>
      <c r="CD19" s="23"/>
      <c r="CE19" s="23"/>
    </row>
    <row r="20" spans="1:87" x14ac:dyDescent="0.25">
      <c r="C20" s="29" t="s">
        <v>106</v>
      </c>
      <c r="D20" s="29" t="s">
        <v>107</v>
      </c>
      <c r="E20" s="29" t="s">
        <v>114</v>
      </c>
      <c r="F20" s="29" t="s">
        <v>138</v>
      </c>
      <c r="G20" s="29" t="s">
        <v>108</v>
      </c>
      <c r="H20" s="29" t="s">
        <v>109</v>
      </c>
      <c r="I20" s="29" t="s">
        <v>110</v>
      </c>
      <c r="K20" s="110"/>
      <c r="L20" s="19">
        <v>1</v>
      </c>
      <c r="N20" s="29" t="s">
        <v>106</v>
      </c>
      <c r="O20" s="29" t="s">
        <v>107</v>
      </c>
      <c r="P20" s="29" t="s">
        <v>114</v>
      </c>
      <c r="Q20" s="29" t="s">
        <v>138</v>
      </c>
      <c r="R20" s="29" t="s">
        <v>108</v>
      </c>
      <c r="S20" s="29" t="s">
        <v>109</v>
      </c>
      <c r="T20" s="29" t="s">
        <v>110</v>
      </c>
      <c r="V20" s="110"/>
      <c r="W20" s="19">
        <v>2</v>
      </c>
      <c r="Y20" s="29" t="s">
        <v>106</v>
      </c>
      <c r="Z20" s="29" t="s">
        <v>107</v>
      </c>
      <c r="AA20" s="29" t="s">
        <v>114</v>
      </c>
      <c r="AB20" s="29" t="s">
        <v>138</v>
      </c>
      <c r="AC20" s="29" t="s">
        <v>108</v>
      </c>
      <c r="AD20" s="29" t="s">
        <v>109</v>
      </c>
      <c r="AE20" s="29" t="s">
        <v>110</v>
      </c>
      <c r="AF20" s="29"/>
      <c r="AG20" s="110"/>
      <c r="AH20" s="19">
        <v>3</v>
      </c>
      <c r="AJ20" s="29" t="s">
        <v>106</v>
      </c>
      <c r="AK20" s="29" t="s">
        <v>107</v>
      </c>
      <c r="AL20" s="29" t="s">
        <v>114</v>
      </c>
      <c r="AM20" s="29" t="s">
        <v>138</v>
      </c>
      <c r="AN20" s="29" t="s">
        <v>108</v>
      </c>
      <c r="AO20" s="29" t="s">
        <v>109</v>
      </c>
      <c r="AP20" s="29" t="s">
        <v>110</v>
      </c>
      <c r="AQ20" s="29"/>
      <c r="AR20" s="110"/>
      <c r="AS20" s="19">
        <v>1</v>
      </c>
      <c r="AU20" s="29" t="s">
        <v>106</v>
      </c>
      <c r="AV20" s="29" t="s">
        <v>107</v>
      </c>
      <c r="AW20" s="29" t="s">
        <v>114</v>
      </c>
      <c r="AX20" s="29" t="s">
        <v>138</v>
      </c>
      <c r="AY20" s="29" t="s">
        <v>108</v>
      </c>
      <c r="AZ20" s="29" t="s">
        <v>109</v>
      </c>
      <c r="BA20" s="29" t="s">
        <v>110</v>
      </c>
      <c r="BB20" s="29"/>
      <c r="BC20" s="110"/>
      <c r="BD20" s="19">
        <v>2</v>
      </c>
      <c r="BF20" s="29" t="s">
        <v>106</v>
      </c>
      <c r="BG20" s="29" t="s">
        <v>107</v>
      </c>
      <c r="BH20" s="29" t="s">
        <v>114</v>
      </c>
      <c r="BI20" s="29" t="s">
        <v>138</v>
      </c>
      <c r="BJ20" s="29" t="s">
        <v>108</v>
      </c>
      <c r="BK20" s="29" t="s">
        <v>109</v>
      </c>
      <c r="BL20" s="29" t="s">
        <v>110</v>
      </c>
      <c r="BM20" s="29"/>
      <c r="BN20" s="110"/>
      <c r="BO20" s="19">
        <v>3</v>
      </c>
      <c r="BQ20" s="29" t="s">
        <v>106</v>
      </c>
      <c r="BR20" s="29" t="s">
        <v>107</v>
      </c>
      <c r="BS20" s="29" t="s">
        <v>114</v>
      </c>
      <c r="BT20" s="29" t="s">
        <v>138</v>
      </c>
      <c r="BU20" s="29" t="s">
        <v>108</v>
      </c>
      <c r="BV20" s="29" t="s">
        <v>109</v>
      </c>
      <c r="BW20" s="29" t="s">
        <v>110</v>
      </c>
      <c r="BX20" s="29"/>
      <c r="BY20" s="110"/>
      <c r="BZ20" s="19"/>
      <c r="CB20" s="29"/>
      <c r="CC20" s="29"/>
      <c r="CD20" s="29"/>
      <c r="CE20" s="29"/>
      <c r="CF20" s="29"/>
      <c r="CG20" s="29"/>
      <c r="CH20" s="29"/>
      <c r="CI20" s="29"/>
    </row>
    <row r="21" spans="1:87" s="16" customFormat="1" ht="24.95" customHeight="1" x14ac:dyDescent="0.25">
      <c r="A21" s="20" t="s">
        <v>24</v>
      </c>
      <c r="B21" s="16" t="s">
        <v>134</v>
      </c>
      <c r="C21" s="18">
        <f>COUNTIF(Results!$AH$2:$AH$94,Summary!C19)</f>
        <v>8</v>
      </c>
      <c r="D21" s="18">
        <f>COUNTIF(Results!$AH$2:$AH$94,Summary!D19)</f>
        <v>5</v>
      </c>
      <c r="E21" s="18">
        <f>COUNTIF(Results!$AH$2:$AH$94,Summary!E19)</f>
        <v>3</v>
      </c>
      <c r="F21" s="18">
        <f>COUNTIF(Results!$AH$2:$AH$94,Summary!F19)</f>
        <v>16</v>
      </c>
      <c r="G21" s="25">
        <f>MIN(Results!$AL$2:$AL$94)</f>
        <v>0</v>
      </c>
      <c r="H21" s="25">
        <f>MAX(Results!$AL$2:$AL$94)</f>
        <v>100</v>
      </c>
      <c r="I21" s="127">
        <f>AVERAGE(NrmQ3_1)</f>
        <v>0.15958094326949052</v>
      </c>
      <c r="K21" s="111"/>
      <c r="L21" s="20" t="s">
        <v>24</v>
      </c>
      <c r="M21" s="16" t="s">
        <v>134</v>
      </c>
      <c r="N21" s="18">
        <f>COUNTIFS(Results!$AH$2:$AH$94,Summary!N19,EPA,L20)</f>
        <v>1</v>
      </c>
      <c r="O21" s="18">
        <f>COUNTIFS(Results!$AH$2:$AH$94,Summary!O19,EPA,L20)</f>
        <v>1</v>
      </c>
      <c r="P21" s="18">
        <f>COUNTIFS(Results!$AH$2:$AH$94,Summary!P19,EPA,L20)</f>
        <v>1</v>
      </c>
      <c r="Q21" s="18">
        <f>COUNTIFS(Results!$AH$2:$AH$94,Summary!Q19,EPA,L20)</f>
        <v>3</v>
      </c>
      <c r="R21" s="25">
        <f t="array" ref="R21">MIN(IF(EPA=L20,Results!$AL$2:$AL$94))</f>
        <v>0</v>
      </c>
      <c r="S21" s="25">
        <f t="array" ref="S21">MAX(IF(EPA=L20,Results!$AL$2:$AL$94))</f>
        <v>60</v>
      </c>
      <c r="T21" s="127">
        <f>AVERAGEIF(EPA,L20,NrmQ3_1)</f>
        <v>0.1410618792971734</v>
      </c>
      <c r="V21" s="111"/>
      <c r="W21" s="20" t="s">
        <v>24</v>
      </c>
      <c r="X21" s="16" t="s">
        <v>134</v>
      </c>
      <c r="Y21" s="18">
        <f>COUNTIFS(Results!$AH$2:$AH$94,Summary!Y19,EPA,W20)</f>
        <v>2</v>
      </c>
      <c r="Z21" s="18">
        <f>COUNTIFS(Results!$AH$2:$AH$94,Summary!Z19,EPA,W20)</f>
        <v>2</v>
      </c>
      <c r="AA21" s="18">
        <f>COUNTIFS(Results!$AH$2:$AH$94,Summary!AA19,EPA,W20)</f>
        <v>1</v>
      </c>
      <c r="AB21" s="18">
        <f>COUNTIFS(Results!$AH$2:$AH$94,Summary!AB19,EPA,W20)</f>
        <v>9</v>
      </c>
      <c r="AC21" s="25">
        <f t="array" ref="AC21">MIN(IF(EPA=W20,Results!$AL$2:$AL$94))</f>
        <v>0</v>
      </c>
      <c r="AD21" s="25">
        <f t="array" ref="AD21">MAX(IF(EPA=W20,Results!$AL$2:$AL$94))</f>
        <v>100</v>
      </c>
      <c r="AE21" s="127">
        <f>AVERAGEIF(EPA,W20,NrmQ3_1)</f>
        <v>0.12754685746757605</v>
      </c>
      <c r="AF21" s="26"/>
      <c r="AG21" s="111"/>
      <c r="AH21" s="20" t="s">
        <v>24</v>
      </c>
      <c r="AI21" s="16" t="s">
        <v>134</v>
      </c>
      <c r="AJ21" s="18">
        <f>COUNTIFS(Results!$AH$2:$AH$94,Summary!AJ19,EPA,AH20)</f>
        <v>5</v>
      </c>
      <c r="AK21" s="18">
        <f>COUNTIFS(Results!$AH$2:$AH$94,Summary!AK19,EPA,AH20)</f>
        <v>2</v>
      </c>
      <c r="AL21" s="18">
        <f>COUNTIFS(Results!$AH$2:$AH$94,Summary!AL19,EPA,AH20)</f>
        <v>1</v>
      </c>
      <c r="AM21" s="18">
        <f>COUNTIFS(Results!$AH$2:$AH$94,Summary!AM19,EPA,AH20)</f>
        <v>4</v>
      </c>
      <c r="AN21" s="25">
        <f t="array" ref="AN21">MIN(IF(EPA=AH20,Results!$AL$2:$AL$94))</f>
        <v>2</v>
      </c>
      <c r="AO21" s="25">
        <f t="array" ref="AO21">MAX(IF(EPA=AH20,Results!$AL$2:$AL$94))</f>
        <v>100</v>
      </c>
      <c r="AP21" s="127">
        <f>AVERAGEIF(EPA,AH20,NrmQ3_1)</f>
        <v>0.20200081287669666</v>
      </c>
      <c r="AQ21" s="26"/>
      <c r="AR21" s="111"/>
      <c r="AS21" s="20" t="s">
        <v>24</v>
      </c>
      <c r="AT21" s="16" t="s">
        <v>134</v>
      </c>
      <c r="AU21" s="18">
        <f>COUNTIFS(Results!$AH$2:$AH$94,Summary!AU19,Bkg,AS20)</f>
        <v>5</v>
      </c>
      <c r="AV21" s="18">
        <f>COUNTIFS(Results!$AH$2:$AH$94,Summary!AV19,Bkg,AS20)</f>
        <v>3</v>
      </c>
      <c r="AW21" s="18">
        <f>COUNTIFS(Results!$AH$2:$AH$94,Summary!AW19,Bkg,AS20)</f>
        <v>2</v>
      </c>
      <c r="AX21" s="18">
        <f>COUNTIFS(Results!$AH$2:$AH$94,Summary!AX19,Bkg,AS20)</f>
        <v>10</v>
      </c>
      <c r="AY21" s="25">
        <f t="array" ref="AY21">MIN(IF(Bkg=AS20,Results!$AL$2:$AL$94))</f>
        <v>0</v>
      </c>
      <c r="AZ21" s="25">
        <f t="array" ref="AZ21">MAX(IF(Bkg=AS20,Results!$AL$2:$AL$94))</f>
        <v>100</v>
      </c>
      <c r="BA21" s="127">
        <f>AVERAGEIF(Bkg,AS20,NrmQ3_1)</f>
        <v>0.15110862870927078</v>
      </c>
      <c r="BB21" s="26"/>
      <c r="BC21" s="111"/>
      <c r="BD21" s="20" t="s">
        <v>24</v>
      </c>
      <c r="BE21" s="16" t="s">
        <v>134</v>
      </c>
      <c r="BF21" s="18">
        <f>COUNTIFS(Results!$AH$2:$AH$94,Summary!BF19,Bkg,BD20)</f>
        <v>0</v>
      </c>
      <c r="BG21" s="18">
        <f>COUNTIFS(Results!$AH$2:$AH$94,Summary!BG19,Bkg,BD20)</f>
        <v>1</v>
      </c>
      <c r="BH21" s="18">
        <f>COUNTIFS(Results!$AH$2:$AH$94,Summary!BH19,Bkg,BD20)</f>
        <v>1</v>
      </c>
      <c r="BI21" s="18">
        <f>COUNTIFS(Results!$AH$2:$AH$94,Summary!BI19,Bkg,BD20)</f>
        <v>3</v>
      </c>
      <c r="BJ21" s="25">
        <f t="array" ref="BJ21">MIN(IF(Bkg=BD20,Results!$AL$2:$AL$94))</f>
        <v>0</v>
      </c>
      <c r="BK21" s="25">
        <f t="array" ref="BK21">MAX(IF(Bkg=BD20,Results!$AL$2:$AL$94))</f>
        <v>100</v>
      </c>
      <c r="BL21" s="127">
        <f>AVERAGEIF(Bkg,BD20,NrmQ3_1)</f>
        <v>0.11161087825475564</v>
      </c>
      <c r="BM21" s="26"/>
      <c r="BN21" s="111"/>
      <c r="BO21" s="20" t="s">
        <v>24</v>
      </c>
      <c r="BP21" s="16" t="s">
        <v>134</v>
      </c>
      <c r="BQ21" s="18">
        <f>COUNTIFS(Results!$AH$2:$AH$94,Summary!BQ19,Bkg,BO20)</f>
        <v>3</v>
      </c>
      <c r="BR21" s="18">
        <f>COUNTIFS(Results!$AH$2:$AH$94,Summary!BR19,Bkg,BO20)</f>
        <v>1</v>
      </c>
      <c r="BS21" s="18">
        <f>COUNTIFS(Results!$AH$2:$AH$94,Summary!BS19,Bkg,BO20)</f>
        <v>0</v>
      </c>
      <c r="BT21" s="18">
        <f>COUNTIFS(Results!$AH$2:$AH$94,Summary!BT19,Bkg,BO20)</f>
        <v>3</v>
      </c>
      <c r="BU21" s="25">
        <f t="array" ref="BU21">MIN(IF(Bkg=BO20,Results!$AL$2:$AL$94))</f>
        <v>0</v>
      </c>
      <c r="BV21" s="25">
        <f t="array" ref="BV21">MAX(IF(Bkg=BO20,Results!$AL$2:$AL$94))</f>
        <v>100</v>
      </c>
      <c r="BW21" s="127">
        <f>AVERAGEIF(Bkg,BO20,NrmQ3_1)</f>
        <v>0.2263849935557988</v>
      </c>
      <c r="BX21" s="26"/>
      <c r="BY21" s="111"/>
      <c r="BZ21" s="20"/>
      <c r="CB21" s="18"/>
      <c r="CC21" s="18"/>
      <c r="CD21" s="18"/>
      <c r="CE21" s="18"/>
      <c r="CF21" s="25"/>
      <c r="CG21" s="25"/>
      <c r="CH21" s="127"/>
      <c r="CI21" s="26"/>
    </row>
    <row r="22" spans="1:87" s="16" customFormat="1" ht="24.95" customHeight="1" x14ac:dyDescent="0.25">
      <c r="A22" s="20" t="s">
        <v>305</v>
      </c>
      <c r="B22" s="16" t="s">
        <v>136</v>
      </c>
      <c r="C22" s="18">
        <f>COUNTIF(Results!$AJ$2:$AJ$94,Summary!C19)</f>
        <v>8</v>
      </c>
      <c r="D22" s="18">
        <f>COUNTIF(Results!$AJ$2:$AJ$94,Summary!D19)</f>
        <v>14</v>
      </c>
      <c r="E22" s="18">
        <f>COUNTIF(Results!$AJ$2:$AJ$94,Summary!E19)</f>
        <v>6</v>
      </c>
      <c r="F22" s="18">
        <f>COUNTIF(Results!$AJ$2:$AJ$94,Summary!F19)</f>
        <v>4</v>
      </c>
      <c r="G22" s="25">
        <f>MIN(Results!$AN$2:$AN$94)</f>
        <v>0</v>
      </c>
      <c r="H22" s="25">
        <f>MAX(Results!$AN$2:$AN$94)</f>
        <v>100</v>
      </c>
      <c r="I22" s="127">
        <f>AVERAGE(NrmQ3_3)</f>
        <v>0.24232259077994564</v>
      </c>
      <c r="K22" s="111"/>
      <c r="L22" s="20" t="s">
        <v>290</v>
      </c>
      <c r="M22" s="16" t="s">
        <v>136</v>
      </c>
      <c r="N22" s="18">
        <f>COUNTIFS(Results!$AJ$2:$AJ$94,Summary!N19,EPA,L20)</f>
        <v>2</v>
      </c>
      <c r="O22" s="18">
        <f>COUNTIFS(Results!$AJ$2:$AJ$94,Summary!O19,EPA,L20)</f>
        <v>2</v>
      </c>
      <c r="P22" s="18">
        <f>COUNTIFS(Results!$AJ$2:$AJ$94,Summary!P19,EPA,L20)</f>
        <v>2</v>
      </c>
      <c r="Q22" s="18">
        <f>COUNTIFS(Results!$AJ$2:$AJ$94,Summary!Q19,EPA,L20)</f>
        <v>0</v>
      </c>
      <c r="R22" s="25">
        <f t="array" ref="R22">MIN(IF(EPA=L20,Results!$AN$2:$AN$94))</f>
        <v>0</v>
      </c>
      <c r="S22" s="25">
        <f t="array" ref="S22">MAX(IF(EPA=L20,Results!$AN$2:$AN$94))</f>
        <v>100</v>
      </c>
      <c r="T22" s="127">
        <f>AVERAGEIF(EPA,L20,NrmQ3_3)</f>
        <v>0.30219786096256684</v>
      </c>
      <c r="V22" s="111"/>
      <c r="W22" s="20" t="s">
        <v>291</v>
      </c>
      <c r="X22" s="16" t="s">
        <v>136</v>
      </c>
      <c r="Y22" s="18">
        <f>COUNTIFS(Results!$AJ$2:$AJ$94,Summary!Y19,EPA,W20)</f>
        <v>1</v>
      </c>
      <c r="Z22" s="18">
        <f>COUNTIFS(Results!$AJ$2:$AJ$94,Summary!Z19,EPA,W20)</f>
        <v>7</v>
      </c>
      <c r="AA22" s="18">
        <f>COUNTIFS(Results!$AJ$2:$AJ$94,Summary!AA19,EPA,W20)</f>
        <v>2</v>
      </c>
      <c r="AB22" s="18">
        <f>COUNTIFS(Results!$AJ$2:$AJ$94,Summary!AB19,EPA,W20)</f>
        <v>4</v>
      </c>
      <c r="AC22" s="25">
        <f t="array" ref="AC22">MIN(IF(EPA=W20,Results!$AN$2:$AN$94))</f>
        <v>0</v>
      </c>
      <c r="AD22" s="25">
        <f t="array" ref="AD22">MAX(IF(EPA=W20,Results!$AN$2:$AN$94))</f>
        <v>100</v>
      </c>
      <c r="AE22" s="127">
        <f>AVERAGEIF(EPA,W20,NrmQ3_3)</f>
        <v>0.18687789277729128</v>
      </c>
      <c r="AF22" s="26"/>
      <c r="AG22" s="111"/>
      <c r="AH22" s="20" t="s">
        <v>347</v>
      </c>
      <c r="AI22" s="16" t="s">
        <v>136</v>
      </c>
      <c r="AJ22" s="18">
        <f>COUNTIFS(Results!$AJ$2:$AJ$94,Summary!AJ19,EPA,AH20)</f>
        <v>5</v>
      </c>
      <c r="AK22" s="18">
        <f>COUNTIFS(Results!$AJ$2:$AJ$94,Summary!AK19,EPA,AH20)</f>
        <v>5</v>
      </c>
      <c r="AL22" s="18">
        <f>COUNTIFS(Results!$AJ$2:$AJ$94,Summary!AL19,EPA,AH20)</f>
        <v>2</v>
      </c>
      <c r="AM22" s="18">
        <f>COUNTIFS(Results!$AJ$2:$AJ$94,Summary!AM19,EPA,AH20)</f>
        <v>0</v>
      </c>
      <c r="AN22" s="25">
        <f t="array" ref="AN22">MIN(IF(EPA=AH20,Results!$AN$2:$AN$94))</f>
        <v>19</v>
      </c>
      <c r="AO22" s="25">
        <f t="array" ref="AO22">MAX(IF(EPA=AH20,Results!$AN$2:$AN$94))</f>
        <v>100</v>
      </c>
      <c r="AP22" s="127">
        <f>AVERAGEIF(EPA,AH20,NrmQ3_3)</f>
        <v>0.27743965104006241</v>
      </c>
      <c r="AQ22" s="26"/>
      <c r="AR22" s="111"/>
      <c r="AS22" s="20" t="s">
        <v>375</v>
      </c>
      <c r="AT22" s="16" t="s">
        <v>136</v>
      </c>
      <c r="AU22" s="18">
        <f>COUNTIFS(Results!$AJ$2:$AJ$94,Summary!AU19,Bkg,AS20)</f>
        <v>5</v>
      </c>
      <c r="AV22" s="18">
        <f>COUNTIFS(Results!$AJ$2:$AJ$94,Summary!AV19,Bkg,AS20)</f>
        <v>7</v>
      </c>
      <c r="AW22" s="18">
        <f>COUNTIFS(Results!$AJ$2:$AJ$94,Summary!AW19,Bkg,AS20)</f>
        <v>5</v>
      </c>
      <c r="AX22" s="18">
        <f>COUNTIFS(Results!$AJ$2:$AJ$94,Summary!AX19,Bkg,AS20)</f>
        <v>3</v>
      </c>
      <c r="AY22" s="25">
        <f t="array" ref="AY22">MIN(IF(Bkg=AS20,Results!$AN$2:$AN$94))</f>
        <v>0</v>
      </c>
      <c r="AZ22" s="25">
        <f t="array" ref="AZ22">MAX(IF(Bkg=AS20,Results!$AN$2:$AN$94))</f>
        <v>100</v>
      </c>
      <c r="BA22" s="127">
        <f>AVERAGEIF(Bkg,AS20,NrmQ3_3)</f>
        <v>0.22571545547745059</v>
      </c>
      <c r="BB22" s="26"/>
      <c r="BC22" s="111"/>
      <c r="BD22" s="20" t="s">
        <v>376</v>
      </c>
      <c r="BE22" s="16" t="s">
        <v>136</v>
      </c>
      <c r="BF22" s="18">
        <f>COUNTIFS(Results!$AJ$2:$AJ$94,Summary!BF19,Bkg,BD20)</f>
        <v>2</v>
      </c>
      <c r="BG22" s="18">
        <f>COUNTIFS(Results!$AJ$2:$AJ$94,Summary!BG19,Bkg,BD20)</f>
        <v>2</v>
      </c>
      <c r="BH22" s="18">
        <f>COUNTIFS(Results!$AJ$2:$AJ$94,Summary!BH19,Bkg,BD20)</f>
        <v>1</v>
      </c>
      <c r="BI22" s="18">
        <f>COUNTIFS(Results!$AJ$2:$AJ$94,Summary!BI19,Bkg,BD20)</f>
        <v>0</v>
      </c>
      <c r="BJ22" s="25">
        <f t="array" ref="BJ22">MIN(IF(Bkg=BD20,Results!$AN$2:$AN$94))</f>
        <v>70</v>
      </c>
      <c r="BK22" s="25">
        <f t="array" ref="BK22">MAX(IF(Bkg=BD20,Results!$AN$2:$AN$94))</f>
        <v>100</v>
      </c>
      <c r="BL22" s="127">
        <f>AVERAGEIF(Bkg,BD20,NrmQ3_3)</f>
        <v>0.30631332063521655</v>
      </c>
      <c r="BM22" s="26"/>
      <c r="BN22" s="111"/>
      <c r="BO22" s="20" t="s">
        <v>377</v>
      </c>
      <c r="BP22" s="16" t="s">
        <v>136</v>
      </c>
      <c r="BQ22" s="18">
        <f>COUNTIFS(Results!$AJ$2:$AJ$94,Summary!BQ19,Bkg,BO20)</f>
        <v>1</v>
      </c>
      <c r="BR22" s="18">
        <f>COUNTIFS(Results!$AJ$2:$AJ$94,Summary!BR19,Bkg,BO20)</f>
        <v>5</v>
      </c>
      <c r="BS22" s="18">
        <f>COUNTIFS(Results!$AJ$2:$AJ$94,Summary!BS19,Bkg,BO20)</f>
        <v>0</v>
      </c>
      <c r="BT22" s="18">
        <f>COUNTIFS(Results!$AJ$2:$AJ$94,Summary!BT19,Bkg,BO20)</f>
        <v>1</v>
      </c>
      <c r="BU22" s="25">
        <f t="array" ref="BU22">MIN(IF(Bkg=BO20,Results!$AN$2:$AN$94))</f>
        <v>0</v>
      </c>
      <c r="BV22" s="25">
        <f t="array" ref="BV22">MAX(IF(Bkg=BO20,Results!$AN$2:$AN$94))</f>
        <v>100</v>
      </c>
      <c r="BW22" s="127">
        <f>AVERAGEIF(Bkg,BO20,NrmQ3_3)</f>
        <v>0.24158624435845436</v>
      </c>
      <c r="BX22" s="26"/>
      <c r="BY22" s="111"/>
      <c r="BZ22" s="20"/>
      <c r="CB22" s="18"/>
      <c r="CC22" s="18"/>
      <c r="CD22" s="18"/>
      <c r="CE22" s="18"/>
      <c r="CF22" s="25"/>
      <c r="CG22" s="25"/>
      <c r="CH22" s="127"/>
      <c r="CI22" s="26"/>
    </row>
    <row r="23" spans="1:87" s="16" customFormat="1" ht="24.95" customHeight="1" x14ac:dyDescent="0.25">
      <c r="A23" s="20"/>
      <c r="B23" s="16" t="s">
        <v>135</v>
      </c>
      <c r="C23" s="18">
        <f>COUNTIF(Results!$AI$2:$AI$94,Summary!C19)</f>
        <v>9</v>
      </c>
      <c r="D23" s="18">
        <f>COUNTIF(Results!$AI$2:$AI$94,Summary!D19)</f>
        <v>9</v>
      </c>
      <c r="E23" s="18">
        <f>COUNTIF(Results!$AI$2:$AI$94,Summary!E19)</f>
        <v>12</v>
      </c>
      <c r="F23" s="18">
        <f>COUNTIF(Results!$AI$2:$AI$94,Summary!F19)</f>
        <v>2</v>
      </c>
      <c r="G23" s="25">
        <f>MIN(Results!$AM$2:$AM$94)</f>
        <v>0</v>
      </c>
      <c r="H23" s="25">
        <f>MAX(Results!$AM$2:$AM$94)</f>
        <v>100</v>
      </c>
      <c r="I23" s="127">
        <f>AVERAGE(NrmQ3_2)</f>
        <v>0.26693309412524441</v>
      </c>
      <c r="K23" s="111"/>
      <c r="L23" s="20"/>
      <c r="M23" s="16" t="s">
        <v>135</v>
      </c>
      <c r="N23" s="18">
        <f>COUNTIFS(Results!$AI$2:$AI$94,Summary!N19,EPA,L20)</f>
        <v>1</v>
      </c>
      <c r="O23" s="18">
        <f>COUNTIFS(Results!$AI$2:$AI$94,Summary!O19,EPA,L20)</f>
        <v>3</v>
      </c>
      <c r="P23" s="18">
        <f>COUNTIFS(Results!$AI$2:$AI$94,Summary!P19,EPA,L20)</f>
        <v>1</v>
      </c>
      <c r="Q23" s="18">
        <f>COUNTIFS(Results!$AI$2:$AI$94,Summary!Q19,EPA,L20)</f>
        <v>1</v>
      </c>
      <c r="R23" s="25">
        <f t="array" ref="R23">MIN(IF(EPA=L20,Results!$AM$2:$AM$94))</f>
        <v>0</v>
      </c>
      <c r="S23" s="25">
        <f t="array" ref="S23">MAX(IF(EPA=L20,Results!$AM$2:$AM$94))</f>
        <v>100</v>
      </c>
      <c r="T23" s="127">
        <f>AVERAGEIF(EPA,L20,NrmQ3_2)</f>
        <v>0.35341864018334601</v>
      </c>
      <c r="V23" s="111"/>
      <c r="W23" s="20"/>
      <c r="X23" s="16" t="s">
        <v>135</v>
      </c>
      <c r="Y23" s="18">
        <f>COUNTIFS(Results!$AI$2:$AI$94,Summary!Y19,EPA,W20)</f>
        <v>5</v>
      </c>
      <c r="Z23" s="18">
        <f>COUNTIFS(Results!$AI$2:$AI$94,Summary!Z19,EPA,W20)</f>
        <v>1</v>
      </c>
      <c r="AA23" s="18">
        <f>COUNTIFS(Results!$AI$2:$AI$94,Summary!AA19,EPA,W20)</f>
        <v>8</v>
      </c>
      <c r="AB23" s="18">
        <f>COUNTIFS(Results!$AI$2:$AI$94,Summary!AB19,EPA,W20)</f>
        <v>0</v>
      </c>
      <c r="AC23" s="25">
        <f t="array" ref="AC23">MIN(IF(EPA=W20,Results!$AM$2:$AM$94))</f>
        <v>0</v>
      </c>
      <c r="AD23" s="25">
        <f t="array" ref="AD23">MAX(IF(EPA=W20,Results!$AM$2:$AM$94))</f>
        <v>100</v>
      </c>
      <c r="AE23" s="127">
        <f>AVERAGEIF(EPA,W20,NrmQ3_2)</f>
        <v>0.2564594291375028</v>
      </c>
      <c r="AF23" s="26"/>
      <c r="AG23" s="111"/>
      <c r="AH23" s="20"/>
      <c r="AI23" s="16" t="s">
        <v>135</v>
      </c>
      <c r="AJ23" s="18">
        <f>COUNTIFS(Results!$AI$2:$AI$94,Summary!AJ19,EPA,AH20)</f>
        <v>3</v>
      </c>
      <c r="AK23" s="18">
        <f>COUNTIFS(Results!$AI$2:$AI$94,Summary!AK19,EPA,AH20)</f>
        <v>5</v>
      </c>
      <c r="AL23" s="18">
        <f>COUNTIFS(Results!$AI$2:$AI$94,Summary!AL19,EPA,AH20)</f>
        <v>3</v>
      </c>
      <c r="AM23" s="18">
        <f>COUNTIFS(Results!$AI$2:$AI$94,Summary!AM19,EPA,AH20)</f>
        <v>1</v>
      </c>
      <c r="AN23" s="25">
        <f t="array" ref="AN23">MIN(IF(EPA=AH20,Results!$AM$2:$AM$94))</f>
        <v>7.0000000000000009</v>
      </c>
      <c r="AO23" s="25">
        <f t="array" ref="AO23">MAX(IF(EPA=AH20,Results!$AM$2:$AM$94))</f>
        <v>100</v>
      </c>
      <c r="AP23" s="127">
        <f>AVERAGEIF(EPA,AH20,NrmQ3_2)</f>
        <v>0.24224392033775535</v>
      </c>
      <c r="AQ23" s="26"/>
      <c r="AR23" s="111"/>
      <c r="AS23" s="20"/>
      <c r="AT23" s="16" t="s">
        <v>135</v>
      </c>
      <c r="AU23" s="18">
        <f>COUNTIFS(Results!$AI$2:$AI$94,Summary!AU19,Bkg,AS20)</f>
        <v>6</v>
      </c>
      <c r="AV23" s="18">
        <f>COUNTIFS(Results!$AI$2:$AI$94,Summary!AV19,Bkg,AS20)</f>
        <v>6</v>
      </c>
      <c r="AW23" s="18">
        <f>COUNTIFS(Results!$AI$2:$AI$94,Summary!AW19,Bkg,AS20)</f>
        <v>6</v>
      </c>
      <c r="AX23" s="18">
        <f>COUNTIFS(Results!$AI$2:$AI$94,Summary!AX19,Bkg,AS20)</f>
        <v>2</v>
      </c>
      <c r="AY23" s="25">
        <f t="array" ref="AY23">MIN(IF(Bkg=AS20,Results!$AM$2:$AM$94))</f>
        <v>0</v>
      </c>
      <c r="AZ23" s="25">
        <f t="array" ref="AZ23">MAX(IF(Bkg=AS20,Results!$AM$2:$AM$94))</f>
        <v>100</v>
      </c>
      <c r="BA23" s="127">
        <f>AVERAGEIF(Bkg,AS20,NrmQ3_2)</f>
        <v>0.28320277028404367</v>
      </c>
      <c r="BB23" s="26"/>
      <c r="BC23" s="111"/>
      <c r="BD23" s="20"/>
      <c r="BE23" s="16" t="s">
        <v>135</v>
      </c>
      <c r="BF23" s="18">
        <f>COUNTIFS(Results!$AI$2:$AI$94,Summary!BF19,Bkg,BD20)</f>
        <v>1</v>
      </c>
      <c r="BG23" s="18">
        <f>COUNTIFS(Results!$AI$2:$AI$94,Summary!BG19,Bkg,BD20)</f>
        <v>2</v>
      </c>
      <c r="BH23" s="18">
        <f>COUNTIFS(Results!$AI$2:$AI$94,Summary!BH19,Bkg,BD20)</f>
        <v>2</v>
      </c>
      <c r="BI23" s="18">
        <f>COUNTIFS(Results!$AI$2:$AI$94,Summary!BI19,Bkg,BD20)</f>
        <v>0</v>
      </c>
      <c r="BJ23" s="25">
        <f t="array" ref="BJ23">MIN(IF(Bkg=BD20,Results!$AM$2:$AM$94))</f>
        <v>50</v>
      </c>
      <c r="BK23" s="25">
        <f t="array" ref="BK23">MAX(IF(Bkg=BD20,Results!$AM$2:$AM$94))</f>
        <v>100</v>
      </c>
      <c r="BL23" s="127">
        <f>AVERAGEIF(Bkg,BD20,NrmQ3_2)</f>
        <v>0.23968232695794639</v>
      </c>
      <c r="BM23" s="26"/>
      <c r="BN23" s="111"/>
      <c r="BO23" s="20"/>
      <c r="BP23" s="16" t="s">
        <v>135</v>
      </c>
      <c r="BQ23" s="18">
        <f>COUNTIFS(Results!$AI$2:$AI$94,Summary!BQ19,Bkg,BO20)</f>
        <v>2</v>
      </c>
      <c r="BR23" s="18">
        <f>COUNTIFS(Results!$AI$2:$AI$94,Summary!BR19,Bkg,BO20)</f>
        <v>1</v>
      </c>
      <c r="BS23" s="18">
        <f>COUNTIFS(Results!$AI$2:$AI$94,Summary!BS19,Bkg,BO20)</f>
        <v>4</v>
      </c>
      <c r="BT23" s="18">
        <f>COUNTIFS(Results!$AI$2:$AI$94,Summary!BT19,Bkg,BO20)</f>
        <v>0</v>
      </c>
      <c r="BU23" s="25">
        <f t="array" ref="BU23">MIN(IF(Bkg=BO20,Results!$AM$2:$AM$94))</f>
        <v>0</v>
      </c>
      <c r="BV23" s="25">
        <f t="array" ref="BV23">MAX(IF(Bkg=BO20,Results!$AM$2:$AM$94))</f>
        <v>100</v>
      </c>
      <c r="BW23" s="127">
        <f>AVERAGEIF(Bkg,BO20,NrmQ3_2)</f>
        <v>0.23812142559512814</v>
      </c>
      <c r="BX23" s="26"/>
      <c r="BY23" s="111"/>
      <c r="BZ23" s="20"/>
      <c r="CB23" s="18"/>
      <c r="CC23" s="18"/>
      <c r="CD23" s="18"/>
      <c r="CE23" s="18"/>
      <c r="CF23" s="25"/>
      <c r="CG23" s="25"/>
      <c r="CH23" s="127"/>
      <c r="CI23" s="26"/>
    </row>
    <row r="24" spans="1:87" s="16" customFormat="1" ht="24.95" customHeight="1" x14ac:dyDescent="0.25">
      <c r="A24" s="20"/>
      <c r="B24" s="16" t="s">
        <v>137</v>
      </c>
      <c r="C24" s="18">
        <f>COUNTIF(Results!$AK$2:$AK$94,Summary!C19)</f>
        <v>12</v>
      </c>
      <c r="D24" s="18">
        <f>COUNTIF(Results!$AK$2:$AK$94,Summary!D19)</f>
        <v>9</v>
      </c>
      <c r="E24" s="18">
        <f>COUNTIF(Results!$AK$2:$AK$94,Summary!E19)</f>
        <v>8</v>
      </c>
      <c r="F24" s="18">
        <f>COUNTIF(Results!$AK$2:$AK$94,Summary!F19)</f>
        <v>3</v>
      </c>
      <c r="G24" s="25">
        <f>MIN(Results!$AO$2:$AO$94)</f>
        <v>10</v>
      </c>
      <c r="H24" s="25">
        <f>MAX(Results!$AO$2:$AO$94)</f>
        <v>100</v>
      </c>
      <c r="I24" s="127">
        <f>AVERAGE(NrmQ3_4)</f>
        <v>0.33116337182531935</v>
      </c>
      <c r="K24" s="111"/>
      <c r="L24" s="20"/>
      <c r="M24" s="16" t="s">
        <v>137</v>
      </c>
      <c r="N24" s="18">
        <f>COUNTIFS(Results!$AK$2:$AK$94,Summary!N19,EPA,L20)</f>
        <v>2</v>
      </c>
      <c r="O24" s="18">
        <f>COUNTIFS(Results!$AK$2:$AK$94,Summary!O19,EPA,L20)</f>
        <v>1</v>
      </c>
      <c r="P24" s="18">
        <f>COUNTIFS(Results!$AK$2:$AK$94,Summary!P19,EPA,L20)</f>
        <v>2</v>
      </c>
      <c r="Q24" s="18">
        <f>COUNTIFS(Results!$AK$2:$AK$94,Summary!Q19,EPA,L20)</f>
        <v>1</v>
      </c>
      <c r="R24" s="25">
        <f t="array" ref="R24">MIN(IF(EPA=L20,Results!$AO$2:$AO$94))</f>
        <v>0</v>
      </c>
      <c r="S24" s="25">
        <f t="array" ref="S24">MAX(IF(EPA=L20,Results!$AO$2:$AO$94))</f>
        <v>100</v>
      </c>
      <c r="T24" s="127">
        <f>AVERAGEIF(EPA,L20,NrmQ3_4)</f>
        <v>0.20332161955691372</v>
      </c>
      <c r="V24" s="111"/>
      <c r="W24" s="20"/>
      <c r="X24" s="16" t="s">
        <v>137</v>
      </c>
      <c r="Y24" s="18">
        <f>COUNTIFS(Results!$AK$2:$AK$94,Summary!Y19,EPA,W20)</f>
        <v>6</v>
      </c>
      <c r="Z24" s="18">
        <f>COUNTIFS(Results!$AK$2:$AK$94,Summary!Z19,EPA,W20)</f>
        <v>6</v>
      </c>
      <c r="AA24" s="18">
        <f>COUNTIFS(Results!$AK$2:$AK$94,Summary!AA19,EPA,W20)</f>
        <v>2</v>
      </c>
      <c r="AB24" s="18">
        <f>COUNTIFS(Results!$AK$2:$AK$94,Summary!AB19,EPA,W20)</f>
        <v>0</v>
      </c>
      <c r="AC24" s="25">
        <f t="array" ref="AC24">MIN(IF(EPA=W20,Results!$AO$2:$AO$94))</f>
        <v>0</v>
      </c>
      <c r="AD24" s="25">
        <f t="array" ref="AD24">MAX(IF(EPA=W20,Results!$AO$2:$AO$94))</f>
        <v>100</v>
      </c>
      <c r="AE24" s="127">
        <f>AVERAGEIF(EPA,W20,NrmQ3_4)</f>
        <v>0.42911582061762982</v>
      </c>
      <c r="AF24" s="26"/>
      <c r="AG24" s="111"/>
      <c r="AH24" s="20"/>
      <c r="AI24" s="16" t="s">
        <v>137</v>
      </c>
      <c r="AJ24" s="18">
        <f>COUNTIFS(Results!$AK$2:$AK$94,Summary!AJ19,EPA,AH20)</f>
        <v>4</v>
      </c>
      <c r="AK24" s="18">
        <f>COUNTIFS(Results!$AK$2:$AK$94,Summary!AK19,EPA,AH20)</f>
        <v>2</v>
      </c>
      <c r="AL24" s="18">
        <f>COUNTIFS(Results!$AK$2:$AK$94,Summary!AL19,EPA,AH20)</f>
        <v>4</v>
      </c>
      <c r="AM24" s="18">
        <f>COUNTIFS(Results!$AK$2:$AK$94,Summary!AM19,EPA,AH20)</f>
        <v>2</v>
      </c>
      <c r="AN24" s="25">
        <f t="array" ref="AN24">MIN(IF(EPA=AH20,Results!$AO$2:$AO$94))</f>
        <v>20</v>
      </c>
      <c r="AO24" s="25">
        <f t="array" ref="AO24">MAX(IF(EPA=AH20,Results!$AO$2:$AO$94))</f>
        <v>100</v>
      </c>
      <c r="AP24" s="127">
        <f>AVERAGEIF(EPA,AH20,NrmQ3_4)</f>
        <v>0.27831561574548563</v>
      </c>
      <c r="AQ24" s="26"/>
      <c r="AR24" s="111"/>
      <c r="AS24" s="20"/>
      <c r="AT24" s="16" t="s">
        <v>137</v>
      </c>
      <c r="AU24" s="18">
        <f>COUNTIFS(Results!$AK$2:$AK$94,Summary!AU19,Bkg,AS20)</f>
        <v>7</v>
      </c>
      <c r="AV24" s="18">
        <f>COUNTIFS(Results!$AK$2:$AK$94,Summary!AV19,Bkg,AS20)</f>
        <v>5</v>
      </c>
      <c r="AW24" s="18">
        <f>COUNTIFS(Results!$AK$2:$AK$94,Summary!AW19,Bkg,AS20)</f>
        <v>6</v>
      </c>
      <c r="AX24" s="18">
        <f>COUNTIFS(Results!$AK$2:$AK$94,Summary!AX19,Bkg,AS20)</f>
        <v>2</v>
      </c>
      <c r="AY24" s="25">
        <f t="array" ref="AY24">MIN(IF(Bkg=AS20,Results!$AO$2:$AO$94))</f>
        <v>0</v>
      </c>
      <c r="AZ24" s="25">
        <f t="array" ref="AZ24">MAX(IF(Bkg=AS20,Results!$AO$2:$AO$94))</f>
        <v>100</v>
      </c>
      <c r="BA24" s="127">
        <f>AVERAGEIF(Bkg,AS20,NrmQ3_4)</f>
        <v>0.33997314552923502</v>
      </c>
      <c r="BB24" s="26"/>
      <c r="BC24" s="111"/>
      <c r="BD24" s="20"/>
      <c r="BE24" s="16" t="s">
        <v>137</v>
      </c>
      <c r="BF24" s="18">
        <f>COUNTIFS(Results!$AK$2:$AK$94,Summary!BF19,Bkg,BD20)</f>
        <v>2</v>
      </c>
      <c r="BG24" s="18">
        <f>COUNTIFS(Results!$AK$2:$AK$94,Summary!BG19,Bkg,BD20)</f>
        <v>3</v>
      </c>
      <c r="BH24" s="18">
        <f>COUNTIFS(Results!$AK$2:$AK$94,Summary!BH19,Bkg,BD20)</f>
        <v>0</v>
      </c>
      <c r="BI24" s="18">
        <f>COUNTIFS(Results!$AK$2:$AK$94,Summary!BI19,Bkg,BD20)</f>
        <v>0</v>
      </c>
      <c r="BJ24" s="25">
        <f t="array" ref="BJ24">MIN(IF(Bkg=BD20,Results!$AO$2:$AO$94))</f>
        <v>81.578947368421055</v>
      </c>
      <c r="BK24" s="25">
        <f t="array" ref="BK24">MAX(IF(Bkg=BD20,Results!$AO$2:$AO$94))</f>
        <v>100</v>
      </c>
      <c r="BL24" s="127">
        <f>AVERAGEIF(Bkg,BD20,NrmQ3_4)</f>
        <v>0.34239347415208127</v>
      </c>
      <c r="BM24" s="26"/>
      <c r="BN24" s="111"/>
      <c r="BO24" s="20"/>
      <c r="BP24" s="16" t="s">
        <v>137</v>
      </c>
      <c r="BQ24" s="18">
        <f>COUNTIFS(Results!$AK$2:$AK$94,Summary!BQ19,Bkg,BO20)</f>
        <v>3</v>
      </c>
      <c r="BR24" s="18">
        <f>COUNTIFS(Results!$AK$2:$AK$94,Summary!BR19,Bkg,BO20)</f>
        <v>1</v>
      </c>
      <c r="BS24" s="18">
        <f>COUNTIFS(Results!$AK$2:$AK$94,Summary!BS19,Bkg,BO20)</f>
        <v>2</v>
      </c>
      <c r="BT24" s="18">
        <f>COUNTIFS(Results!$AK$2:$AK$94,Summary!BT19,Bkg,BO20)</f>
        <v>1</v>
      </c>
      <c r="BU24" s="25">
        <f t="array" ref="BU24">MIN(IF(Bkg=BO20,Results!$AO$2:$AO$94))</f>
        <v>0</v>
      </c>
      <c r="BV24" s="25">
        <f t="array" ref="BV24">MAX(IF(Bkg=BO20,Results!$AO$2:$AO$94))</f>
        <v>100</v>
      </c>
      <c r="BW24" s="127">
        <f>AVERAGEIF(Bkg,BO20,NrmQ3_4)</f>
        <v>0.29390733649061879</v>
      </c>
      <c r="BX24" s="26"/>
      <c r="BY24" s="111"/>
      <c r="BZ24" s="20"/>
      <c r="CB24" s="18"/>
      <c r="CC24" s="18"/>
      <c r="CD24" s="18"/>
      <c r="CE24" s="18"/>
      <c r="CF24" s="25"/>
      <c r="CG24" s="25"/>
      <c r="CH24" s="127"/>
      <c r="CI24" s="26"/>
    </row>
    <row r="25" spans="1:87" x14ac:dyDescent="0.25">
      <c r="I25" s="39"/>
      <c r="T25" s="39"/>
      <c r="AE25" s="39"/>
      <c r="AF25" s="39"/>
      <c r="AP25" s="39"/>
      <c r="AQ25" s="39"/>
      <c r="BA25" s="39"/>
      <c r="BL25" s="39"/>
      <c r="BW25" s="39"/>
      <c r="CH25" s="39"/>
    </row>
    <row r="26" spans="1:87" x14ac:dyDescent="0.25">
      <c r="C26" s="23">
        <v>100</v>
      </c>
      <c r="D26" s="23">
        <v>4</v>
      </c>
      <c r="E26" s="23">
        <v>3</v>
      </c>
      <c r="F26" s="23">
        <v>2</v>
      </c>
      <c r="L26" s="19"/>
      <c r="N26" s="23">
        <v>100</v>
      </c>
      <c r="O26" s="23">
        <v>4</v>
      </c>
      <c r="P26" s="23">
        <v>3</v>
      </c>
      <c r="Q26" s="23">
        <v>2</v>
      </c>
      <c r="W26" s="19"/>
      <c r="Y26" s="23">
        <v>100</v>
      </c>
      <c r="Z26" s="23">
        <v>4</v>
      </c>
      <c r="AA26" s="23">
        <v>3</v>
      </c>
      <c r="AB26" s="23">
        <v>2</v>
      </c>
      <c r="AH26" s="19"/>
      <c r="AJ26" s="23">
        <v>100</v>
      </c>
      <c r="AK26" s="23">
        <v>4</v>
      </c>
      <c r="AL26" s="23">
        <v>3</v>
      </c>
      <c r="AM26" s="23">
        <v>2</v>
      </c>
      <c r="AS26" s="19"/>
      <c r="AU26" s="23">
        <v>100</v>
      </c>
      <c r="AV26" s="23">
        <v>4</v>
      </c>
      <c r="AW26" s="23">
        <v>3</v>
      </c>
      <c r="AX26" s="23">
        <v>2</v>
      </c>
      <c r="BD26" s="19"/>
      <c r="BF26" s="23">
        <v>100</v>
      </c>
      <c r="BG26" s="23">
        <v>4</v>
      </c>
      <c r="BH26" s="23">
        <v>3</v>
      </c>
      <c r="BI26" s="23">
        <v>2</v>
      </c>
      <c r="BO26" s="19"/>
      <c r="BQ26" s="23">
        <v>100</v>
      </c>
      <c r="BR26" s="23">
        <v>4</v>
      </c>
      <c r="BS26" s="23">
        <v>3</v>
      </c>
      <c r="BT26" s="23">
        <v>2</v>
      </c>
      <c r="BZ26" s="19"/>
      <c r="CB26" s="23"/>
      <c r="CC26" s="23"/>
      <c r="CD26" s="23"/>
      <c r="CE26" s="23"/>
    </row>
    <row r="27" spans="1:87" x14ac:dyDescent="0.25">
      <c r="B27" s="33" t="s">
        <v>111</v>
      </c>
      <c r="C27" s="29" t="s">
        <v>106</v>
      </c>
      <c r="D27" s="29" t="s">
        <v>107</v>
      </c>
      <c r="E27" s="29" t="s">
        <v>114</v>
      </c>
      <c r="F27" s="29" t="s">
        <v>138</v>
      </c>
      <c r="G27" s="29" t="s">
        <v>108</v>
      </c>
      <c r="H27" s="29" t="s">
        <v>109</v>
      </c>
      <c r="I27" s="29" t="s">
        <v>110</v>
      </c>
      <c r="K27" s="110"/>
      <c r="L27" s="19">
        <v>1</v>
      </c>
      <c r="M27" s="33" t="s">
        <v>111</v>
      </c>
      <c r="N27" s="29" t="s">
        <v>106</v>
      </c>
      <c r="O27" s="29" t="s">
        <v>107</v>
      </c>
      <c r="P27" s="29" t="s">
        <v>114</v>
      </c>
      <c r="Q27" s="29" t="s">
        <v>138</v>
      </c>
      <c r="R27" s="29" t="s">
        <v>108</v>
      </c>
      <c r="S27" s="29" t="s">
        <v>109</v>
      </c>
      <c r="T27" s="29" t="s">
        <v>110</v>
      </c>
      <c r="V27" s="110"/>
      <c r="W27" s="19">
        <v>2</v>
      </c>
      <c r="X27" s="33" t="s">
        <v>111</v>
      </c>
      <c r="Y27" s="29" t="s">
        <v>106</v>
      </c>
      <c r="Z27" s="29" t="s">
        <v>107</v>
      </c>
      <c r="AA27" s="29" t="s">
        <v>114</v>
      </c>
      <c r="AB27" s="29" t="s">
        <v>138</v>
      </c>
      <c r="AC27" s="29" t="s">
        <v>108</v>
      </c>
      <c r="AD27" s="29" t="s">
        <v>109</v>
      </c>
      <c r="AE27" s="29" t="s">
        <v>110</v>
      </c>
      <c r="AF27" s="29"/>
      <c r="AG27" s="110"/>
      <c r="AH27" s="19">
        <v>3</v>
      </c>
      <c r="AI27" s="33" t="s">
        <v>111</v>
      </c>
      <c r="AJ27" s="29" t="s">
        <v>106</v>
      </c>
      <c r="AK27" s="29" t="s">
        <v>107</v>
      </c>
      <c r="AL27" s="29" t="s">
        <v>114</v>
      </c>
      <c r="AM27" s="29" t="s">
        <v>138</v>
      </c>
      <c r="AN27" s="29" t="s">
        <v>108</v>
      </c>
      <c r="AO27" s="29" t="s">
        <v>109</v>
      </c>
      <c r="AP27" s="29" t="s">
        <v>110</v>
      </c>
      <c r="AQ27" s="29"/>
      <c r="AR27" s="110"/>
      <c r="AS27" s="19">
        <v>1</v>
      </c>
      <c r="AT27" s="33" t="s">
        <v>111</v>
      </c>
      <c r="AU27" s="29" t="s">
        <v>106</v>
      </c>
      <c r="AV27" s="29" t="s">
        <v>107</v>
      </c>
      <c r="AW27" s="29" t="s">
        <v>114</v>
      </c>
      <c r="AX27" s="29" t="s">
        <v>138</v>
      </c>
      <c r="AY27" s="29" t="s">
        <v>108</v>
      </c>
      <c r="AZ27" s="29" t="s">
        <v>109</v>
      </c>
      <c r="BA27" s="29" t="s">
        <v>110</v>
      </c>
      <c r="BB27" s="29"/>
      <c r="BC27" s="110"/>
      <c r="BD27" s="19">
        <v>2</v>
      </c>
      <c r="BE27" s="33" t="s">
        <v>111</v>
      </c>
      <c r="BF27" s="29" t="s">
        <v>106</v>
      </c>
      <c r="BG27" s="29" t="s">
        <v>107</v>
      </c>
      <c r="BH27" s="29" t="s">
        <v>114</v>
      </c>
      <c r="BI27" s="29" t="s">
        <v>138</v>
      </c>
      <c r="BJ27" s="29" t="s">
        <v>108</v>
      </c>
      <c r="BK27" s="29" t="s">
        <v>109</v>
      </c>
      <c r="BL27" s="29" t="s">
        <v>110</v>
      </c>
      <c r="BM27" s="29"/>
      <c r="BN27" s="110"/>
      <c r="BO27" s="19">
        <v>3</v>
      </c>
      <c r="BP27" s="33" t="s">
        <v>111</v>
      </c>
      <c r="BQ27" s="29" t="s">
        <v>106</v>
      </c>
      <c r="BR27" s="29" t="s">
        <v>107</v>
      </c>
      <c r="BS27" s="29" t="s">
        <v>114</v>
      </c>
      <c r="BT27" s="29" t="s">
        <v>138</v>
      </c>
      <c r="BU27" s="29" t="s">
        <v>108</v>
      </c>
      <c r="BV27" s="29" t="s">
        <v>109</v>
      </c>
      <c r="BW27" s="29" t="s">
        <v>110</v>
      </c>
      <c r="BX27" s="29"/>
      <c r="BY27" s="110"/>
      <c r="BZ27" s="19"/>
      <c r="CA27" s="33"/>
      <c r="CB27" s="29"/>
      <c r="CC27" s="29"/>
      <c r="CD27" s="29"/>
      <c r="CE27" s="29"/>
      <c r="CF27" s="29"/>
      <c r="CG27" s="29"/>
      <c r="CH27" s="29"/>
      <c r="CI27" s="29"/>
    </row>
    <row r="28" spans="1:87" s="16" customFormat="1" ht="24.95" customHeight="1" x14ac:dyDescent="0.25">
      <c r="A28" s="20" t="s">
        <v>29</v>
      </c>
      <c r="B28" s="16" t="s">
        <v>143</v>
      </c>
      <c r="C28" s="18">
        <f>COUNTIF(Results!$AS$2:$AS$94,Summary!C26)</f>
        <v>4</v>
      </c>
      <c r="D28" s="18">
        <f>COUNTIF(Results!$AS$2:$AS$94,Summary!D26)</f>
        <v>6</v>
      </c>
      <c r="E28" s="18">
        <f>COUNTIF(Results!$AS$2:$AS$94,Summary!E26)</f>
        <v>9</v>
      </c>
      <c r="F28" s="18">
        <f>COUNTIF(Results!$AS$2:$AS$94,Summary!F26)</f>
        <v>11</v>
      </c>
      <c r="G28" s="25">
        <f>MIN(Results!$AW$2:$AW$94)</f>
        <v>0</v>
      </c>
      <c r="H28" s="25">
        <f>MAX(Results!$AW$2:$AW$94)</f>
        <v>100</v>
      </c>
      <c r="I28" s="127">
        <f>AVERAGE(NrmQ4_3)</f>
        <v>0.18636015657742466</v>
      </c>
      <c r="K28" s="111"/>
      <c r="L28" s="20" t="s">
        <v>29</v>
      </c>
      <c r="M28" s="16" t="s">
        <v>143</v>
      </c>
      <c r="N28" s="18">
        <f>COUNTIFS(Results!$AS$2:$AS$94,Summary!N26,EPA,L27)</f>
        <v>0</v>
      </c>
      <c r="O28" s="18">
        <f>COUNTIFS(Results!$AS$2:$AS$94,Summary!O26,EPA,L27)</f>
        <v>2</v>
      </c>
      <c r="P28" s="18">
        <f>COUNTIFS(Results!$AS$2:$AS$94,Summary!P26,EPA,L27)</f>
        <v>1</v>
      </c>
      <c r="Q28" s="18">
        <f>COUNTIFS(Results!$AS$2:$AS$94,Summary!Q26,EPA,L27)</f>
        <v>3</v>
      </c>
      <c r="R28" s="25">
        <f t="array" ref="R28">MIN(IF(EPA=L27,Results!$AW$2:$AW$94))</f>
        <v>0</v>
      </c>
      <c r="S28" s="25">
        <f t="array" ref="S28">MAX(IF(EPA=L27,Results!$AW$2:$AW$94))</f>
        <v>70</v>
      </c>
      <c r="T28" s="127">
        <f>AVERAGEIF(EPA,L27,NrmQ4_3)</f>
        <v>0.16108158508158507</v>
      </c>
      <c r="V28" s="111"/>
      <c r="W28" s="20" t="s">
        <v>29</v>
      </c>
      <c r="X28" s="16" t="s">
        <v>143</v>
      </c>
      <c r="Y28" s="18">
        <f>COUNTIFS(Results!$AS$2:$AS$94,Summary!Y26,EPA,W27)</f>
        <v>1</v>
      </c>
      <c r="Z28" s="18">
        <f>COUNTIFS(Results!$AS$2:$AS$94,Summary!Z26,EPA,W27)</f>
        <v>2</v>
      </c>
      <c r="AA28" s="18">
        <f>COUNTIFS(Results!$AS$2:$AS$94,Summary!AA26,EPA,W27)</f>
        <v>5</v>
      </c>
      <c r="AB28" s="18">
        <f>COUNTIFS(Results!$AS$2:$AS$94,Summary!AB26,EPA,W27)</f>
        <v>6</v>
      </c>
      <c r="AC28" s="25">
        <f t="array" ref="AC28">MIN(IF(EPA=W27,Results!$AW$2:$AW$94))</f>
        <v>0</v>
      </c>
      <c r="AD28" s="25">
        <f t="array" ref="AD28">MAX(IF(EPA=W27,Results!$AW$2:$AW$94))</f>
        <v>98.039215686274503</v>
      </c>
      <c r="AE28" s="127">
        <f>AVERAGEIF(EPA,W27,NrmQ4_3)</f>
        <v>0.14260151600909429</v>
      </c>
      <c r="AF28" s="26"/>
      <c r="AG28" s="111"/>
      <c r="AH28" s="20" t="s">
        <v>29</v>
      </c>
      <c r="AI28" s="16" t="s">
        <v>143</v>
      </c>
      <c r="AJ28" s="18">
        <f>COUNTIFS(Results!$AS$2:$AS$94,Summary!AJ26,EPA,AH27)</f>
        <v>3</v>
      </c>
      <c r="AK28" s="18">
        <f>COUNTIFS(Results!$AS$2:$AS$94,Summary!AK26,EPA,AH27)</f>
        <v>2</v>
      </c>
      <c r="AL28" s="18">
        <f>COUNTIFS(Results!$AS$2:$AS$94,Summary!AL26,EPA,AH27)</f>
        <v>3</v>
      </c>
      <c r="AM28" s="18">
        <f>COUNTIFS(Results!$AS$2:$AS$94,Summary!AM26,EPA,AH27)</f>
        <v>2</v>
      </c>
      <c r="AN28" s="25">
        <f t="array" ref="AN28">MIN(IF(EPA=AH27,Results!$AW$2:$AW$94))</f>
        <v>0</v>
      </c>
      <c r="AO28" s="25">
        <f t="array" ref="AO28">MAX(IF(EPA=AH27,Results!$AW$2:$AW$94))</f>
        <v>100</v>
      </c>
      <c r="AP28" s="127">
        <f>AVERAGEIF(EPA,AH27,NrmQ4_3)</f>
        <v>0.25588567506417403</v>
      </c>
      <c r="AQ28" s="26"/>
      <c r="AR28" s="111"/>
      <c r="AS28" s="20" t="s">
        <v>29</v>
      </c>
      <c r="AT28" s="16" t="s">
        <v>143</v>
      </c>
      <c r="AU28" s="18">
        <f>COUNTIFS(Results!$AS$2:$AS$94,Summary!AU26,Bkg,AS27)</f>
        <v>4</v>
      </c>
      <c r="AV28" s="18">
        <f>COUNTIFS(Results!$AS$2:$AS$94,Summary!AV26,Bkg,AS27)</f>
        <v>2</v>
      </c>
      <c r="AW28" s="18">
        <f>COUNTIFS(Results!$AS$2:$AS$94,Summary!AW26,Bkg,AS27)</f>
        <v>5</v>
      </c>
      <c r="AX28" s="18">
        <f>COUNTIFS(Results!$AS$2:$AS$94,Summary!AX26,Bkg,AS27)</f>
        <v>7</v>
      </c>
      <c r="AY28" s="25">
        <f t="array" ref="AY28">MIN(IF(Bkg=AS27,Results!$AW$2:$AW$94))</f>
        <v>0</v>
      </c>
      <c r="AZ28" s="25">
        <f t="array" ref="AZ28">MAX(IF(Bkg=AS27,Results!$AW$2:$AW$94))</f>
        <v>100</v>
      </c>
      <c r="BA28" s="127">
        <f>AVERAGEIF(Bkg,AS27,NrmQ4_3)</f>
        <v>0.17740370285021681</v>
      </c>
      <c r="BB28" s="26"/>
      <c r="BC28" s="111"/>
      <c r="BD28" s="20" t="s">
        <v>29</v>
      </c>
      <c r="BE28" s="16" t="s">
        <v>143</v>
      </c>
      <c r="BF28" s="18">
        <f>COUNTIFS(Results!$AS$2:$AS$94,Summary!BF26,Bkg,BD27)</f>
        <v>0</v>
      </c>
      <c r="BG28" s="18">
        <f>COUNTIFS(Results!$AS$2:$AS$94,Summary!BG26,Bkg,BD27)</f>
        <v>1</v>
      </c>
      <c r="BH28" s="18">
        <f>COUNTIFS(Results!$AS$2:$AS$94,Summary!BH26,Bkg,BD27)</f>
        <v>3</v>
      </c>
      <c r="BI28" s="18">
        <f>COUNTIFS(Results!$AS$2:$AS$94,Summary!BI26,Bkg,BD27)</f>
        <v>1</v>
      </c>
      <c r="BJ28" s="25">
        <f t="array" ref="BJ28">MIN(IF(Bkg=BD27,Results!$AW$2:$AW$94))</f>
        <v>30</v>
      </c>
      <c r="BK28" s="25">
        <f t="array" ref="BK28">MAX(IF(Bkg=BD27,Results!$AW$2:$AW$94))</f>
        <v>81</v>
      </c>
      <c r="BL28" s="127">
        <f>AVERAGEIF(Bkg,BD27,NrmQ4_3)</f>
        <v>0.1935609712250424</v>
      </c>
      <c r="BM28" s="26"/>
      <c r="BN28" s="111"/>
      <c r="BO28" s="20" t="s">
        <v>29</v>
      </c>
      <c r="BP28" s="16" t="s">
        <v>143</v>
      </c>
      <c r="BQ28" s="18">
        <f>COUNTIFS(Results!$AS$2:$AS$94,Summary!BQ26,Bkg,BO27)</f>
        <v>0</v>
      </c>
      <c r="BR28" s="18">
        <f>COUNTIFS(Results!$AS$2:$AS$94,Summary!BR26,Bkg,BO27)</f>
        <v>3</v>
      </c>
      <c r="BS28" s="18">
        <f>COUNTIFS(Results!$AS$2:$AS$94,Summary!BS26,Bkg,BO27)</f>
        <v>1</v>
      </c>
      <c r="BT28" s="18">
        <f>COUNTIFS(Results!$AS$2:$AS$94,Summary!BT26,Bkg,BO27)</f>
        <v>3</v>
      </c>
      <c r="BU28" s="25">
        <f t="array" ref="BU28">MIN(IF(Bkg=BO27,Results!$AW$2:$AW$94))</f>
        <v>0</v>
      </c>
      <c r="BV28" s="25">
        <f t="array" ref="BV28">MAX(IF(Bkg=BO27,Results!$AW$2:$AW$94))</f>
        <v>80</v>
      </c>
      <c r="BW28" s="127">
        <f>AVERAGEIF(Bkg,BO27,NrmQ4_3)</f>
        <v>0.20573609659816558</v>
      </c>
      <c r="BX28" s="26"/>
      <c r="BY28" s="111"/>
      <c r="BZ28" s="20"/>
      <c r="CB28" s="18"/>
      <c r="CC28" s="18"/>
      <c r="CD28" s="18"/>
      <c r="CE28" s="18"/>
      <c r="CF28" s="25"/>
      <c r="CG28" s="25"/>
      <c r="CH28" s="127"/>
      <c r="CI28" s="26"/>
    </row>
    <row r="29" spans="1:87" s="16" customFormat="1" ht="24.95" customHeight="1" x14ac:dyDescent="0.25">
      <c r="A29" s="20" t="s">
        <v>305</v>
      </c>
      <c r="B29" s="16" t="s">
        <v>144</v>
      </c>
      <c r="C29" s="18">
        <f>COUNTIF(Results!$AT$2:$AT$94,Summary!C26)</f>
        <v>2</v>
      </c>
      <c r="D29" s="18">
        <f>COUNTIF(Results!$AT$2:$AT$94,Summary!D26)</f>
        <v>9</v>
      </c>
      <c r="E29" s="18">
        <f>COUNTIF(Results!$AT$2:$AT$94,Summary!E26)</f>
        <v>13</v>
      </c>
      <c r="F29" s="18">
        <f>COUNTIF(Results!$AT$2:$AT$94,Summary!F26)</f>
        <v>6</v>
      </c>
      <c r="G29" s="25">
        <f>MIN(Results!$AX$2:$AX$94)</f>
        <v>0</v>
      </c>
      <c r="H29" s="25">
        <f>MAX(Results!$AX$2:$AX$94)</f>
        <v>100</v>
      </c>
      <c r="I29" s="127">
        <f>AVERAGE(NrmQ4_4)</f>
        <v>0.1932472123834065</v>
      </c>
      <c r="K29" s="111"/>
      <c r="L29" s="20" t="s">
        <v>290</v>
      </c>
      <c r="M29" s="16" t="s">
        <v>144</v>
      </c>
      <c r="N29" s="18">
        <f>COUNTIFS(Results!$AT$2:$AT$94,Summary!N26,EPA,L27)</f>
        <v>1</v>
      </c>
      <c r="O29" s="18">
        <f>COUNTIFS(Results!$AT$2:$AT$94,Summary!O26,EPA,L27)</f>
        <v>1</v>
      </c>
      <c r="P29" s="18">
        <f>COUNTIFS(Results!$AT$2:$AT$94,Summary!P26,EPA,L27)</f>
        <v>3</v>
      </c>
      <c r="Q29" s="18">
        <f>COUNTIFS(Results!$AT$2:$AT$94,Summary!Q26,EPA,L27)</f>
        <v>1</v>
      </c>
      <c r="R29" s="25">
        <f t="array" ref="R29">MIN(IF(EPA=L27,Results!$AX$2:$AX$94))</f>
        <v>0</v>
      </c>
      <c r="S29" s="25">
        <f t="array" ref="S29">MAX(IF(EPA=L27,Results!$AX$2:$AX$94))</f>
        <v>100</v>
      </c>
      <c r="T29" s="127">
        <f>AVERAGEIF(EPA,L27,NrmQ4_4)</f>
        <v>0.25361305361305359</v>
      </c>
      <c r="V29" s="111"/>
      <c r="W29" s="20" t="s">
        <v>291</v>
      </c>
      <c r="X29" s="16" t="s">
        <v>144</v>
      </c>
      <c r="Y29" s="18">
        <f>COUNTIFS(Results!$AT$2:$AT$94,Summary!Y26,EPA,W27)</f>
        <v>1</v>
      </c>
      <c r="Z29" s="18">
        <f>COUNTIFS(Results!$AT$2:$AT$94,Summary!Z26,EPA,W27)</f>
        <v>5</v>
      </c>
      <c r="AA29" s="18">
        <f>COUNTIFS(Results!$AT$2:$AT$94,Summary!AA26,EPA,W27)</f>
        <v>6</v>
      </c>
      <c r="AB29" s="18">
        <f>COUNTIFS(Results!$AT$2:$AT$94,Summary!AB26,EPA,W27)</f>
        <v>2</v>
      </c>
      <c r="AC29" s="25">
        <f t="array" ref="AC29">MIN(IF(EPA=W27,Results!$AX$2:$AX$94))</f>
        <v>0</v>
      </c>
      <c r="AD29" s="25">
        <f t="array" ref="AD29">MAX(IF(EPA=W27,Results!$AX$2:$AX$94))</f>
        <v>100</v>
      </c>
      <c r="AE29" s="127">
        <f>AVERAGEIF(EPA,W27,NrmQ4_4)</f>
        <v>0.1722051556161438</v>
      </c>
      <c r="AF29" s="26"/>
      <c r="AG29" s="111"/>
      <c r="AH29" s="20" t="s">
        <v>347</v>
      </c>
      <c r="AI29" s="16" t="s">
        <v>144</v>
      </c>
      <c r="AJ29" s="18">
        <f>COUNTIFS(Results!$AT$2:$AT$94,Summary!AJ26,EPA,AH27)</f>
        <v>0</v>
      </c>
      <c r="AK29" s="18">
        <f>COUNTIFS(Results!$AT$2:$AT$94,Summary!AK26,EPA,AH27)</f>
        <v>3</v>
      </c>
      <c r="AL29" s="18">
        <f>COUNTIFS(Results!$AT$2:$AT$94,Summary!AL26,EPA,AH27)</f>
        <v>4</v>
      </c>
      <c r="AM29" s="18">
        <f>COUNTIFS(Results!$AT$2:$AT$94,Summary!AM26,EPA,AH27)</f>
        <v>3</v>
      </c>
      <c r="AN29" s="25">
        <f t="array" ref="AN29">MIN(IF(EPA=AH27,Results!$AX$2:$AX$94))</f>
        <v>0</v>
      </c>
      <c r="AO29" s="25">
        <f t="array" ref="AO29">MAX(IF(EPA=AH27,Results!$AX$2:$AX$94))</f>
        <v>90</v>
      </c>
      <c r="AP29" s="127">
        <f>AVERAGEIF(EPA,AH27,NrmQ4_4)</f>
        <v>0.19041896556602439</v>
      </c>
      <c r="AQ29" s="26"/>
      <c r="AR29" s="111"/>
      <c r="AS29" s="20" t="s">
        <v>375</v>
      </c>
      <c r="AT29" s="16" t="s">
        <v>144</v>
      </c>
      <c r="AU29" s="18">
        <f>COUNTIFS(Results!$AT$2:$AT$94,Summary!AU26,Bkg,AS27)</f>
        <v>0</v>
      </c>
      <c r="AV29" s="18">
        <f>COUNTIFS(Results!$AT$2:$AT$94,Summary!AV26,Bkg,AS27)</f>
        <v>4</v>
      </c>
      <c r="AW29" s="18">
        <f>COUNTIFS(Results!$AT$2:$AT$94,Summary!AW26,Bkg,AS27)</f>
        <v>9</v>
      </c>
      <c r="AX29" s="18">
        <f>COUNTIFS(Results!$AT$2:$AT$94,Summary!AX26,Bkg,AS27)</f>
        <v>5</v>
      </c>
      <c r="AY29" s="25">
        <f t="array" ref="AY29">MIN(IF(Bkg=AS27,Results!$AX$2:$AX$94))</f>
        <v>0</v>
      </c>
      <c r="AZ29" s="25">
        <f t="array" ref="AZ29">MAX(IF(Bkg=AS27,Results!$AX$2:$AX$94))</f>
        <v>82</v>
      </c>
      <c r="BA29" s="127">
        <f>AVERAGEIF(Bkg,AS27,NrmQ4_4)</f>
        <v>0.16823843371776537</v>
      </c>
      <c r="BB29" s="26"/>
      <c r="BC29" s="111"/>
      <c r="BD29" s="20" t="s">
        <v>376</v>
      </c>
      <c r="BE29" s="16" t="s">
        <v>144</v>
      </c>
      <c r="BF29" s="18">
        <f>COUNTIFS(Results!$AT$2:$AT$94,Summary!BF26,Bkg,BD27)</f>
        <v>2</v>
      </c>
      <c r="BG29" s="18">
        <f>COUNTIFS(Results!$AT$2:$AT$94,Summary!BG26,Bkg,BD27)</f>
        <v>2</v>
      </c>
      <c r="BH29" s="18">
        <f>COUNTIFS(Results!$AT$2:$AT$94,Summary!BH26,Bkg,BD27)</f>
        <v>0</v>
      </c>
      <c r="BI29" s="18">
        <f>COUNTIFS(Results!$AT$2:$AT$94,Summary!BI26,Bkg,BD27)</f>
        <v>1</v>
      </c>
      <c r="BJ29" s="25">
        <f t="array" ref="BJ29">MIN(IF(Bkg=BD27,Results!$AX$2:$AX$94))</f>
        <v>50</v>
      </c>
      <c r="BK29" s="25">
        <f t="array" ref="BK29">MAX(IF(Bkg=BD27,Results!$AX$2:$AX$94))</f>
        <v>100</v>
      </c>
      <c r="BL29" s="127">
        <f>AVERAGEIF(Bkg,BD27,NrmQ4_4)</f>
        <v>0.27673728140817178</v>
      </c>
      <c r="BM29" s="26"/>
      <c r="BN29" s="111"/>
      <c r="BO29" s="20" t="s">
        <v>377</v>
      </c>
      <c r="BP29" s="16" t="s">
        <v>144</v>
      </c>
      <c r="BQ29" s="18">
        <f>COUNTIFS(Results!$AT$2:$AT$94,Summary!BQ26,Bkg,BO27)</f>
        <v>0</v>
      </c>
      <c r="BR29" s="18">
        <f>COUNTIFS(Results!$AT$2:$AT$94,Summary!BR26,Bkg,BO27)</f>
        <v>3</v>
      </c>
      <c r="BS29" s="18">
        <f>COUNTIFS(Results!$AT$2:$AT$94,Summary!BS26,Bkg,BO27)</f>
        <v>4</v>
      </c>
      <c r="BT29" s="18">
        <f>COUNTIFS(Results!$AT$2:$AT$94,Summary!BT26,Bkg,BO27)</f>
        <v>0</v>
      </c>
      <c r="BU29" s="25">
        <f t="array" ref="BU29">MIN(IF(Bkg=BO27,Results!$AX$2:$AX$94))</f>
        <v>0</v>
      </c>
      <c r="BV29" s="25">
        <f t="array" ref="BV29">MAX(IF(Bkg=BO27,Results!$AX$2:$AX$94))</f>
        <v>90</v>
      </c>
      <c r="BW29" s="127">
        <f>AVERAGEIF(Bkg,BO27,NrmQ4_4)</f>
        <v>0.19453036108208521</v>
      </c>
      <c r="BX29" s="26"/>
      <c r="BY29" s="111"/>
      <c r="BZ29" s="20"/>
      <c r="CB29" s="18"/>
      <c r="CC29" s="18"/>
      <c r="CD29" s="18"/>
      <c r="CE29" s="18"/>
      <c r="CF29" s="25"/>
      <c r="CG29" s="25"/>
      <c r="CH29" s="127"/>
      <c r="CI29" s="26"/>
    </row>
    <row r="30" spans="1:87" s="16" customFormat="1" ht="24.95" customHeight="1" x14ac:dyDescent="0.25">
      <c r="A30" s="20"/>
      <c r="B30" s="16" t="s">
        <v>142</v>
      </c>
      <c r="C30" s="18">
        <f>COUNTIF(Results!$AR$2:$AR$94,Summary!C26)</f>
        <v>16</v>
      </c>
      <c r="D30" s="18">
        <f>COUNTIF(Results!$AR$2:$AR$94,Summary!D26)</f>
        <v>8</v>
      </c>
      <c r="E30" s="18">
        <f>COUNTIF(Results!$AR$2:$AR$94,Summary!E26)</f>
        <v>4</v>
      </c>
      <c r="F30" s="18">
        <f>COUNTIF(Results!$AR$2:$AR$94,Summary!F26)</f>
        <v>2</v>
      </c>
      <c r="G30" s="25">
        <f>MIN(Results!$AV$2:$AV$94)</f>
        <v>1.9607843137254901</v>
      </c>
      <c r="H30" s="25">
        <f>MAX(Results!$AV$2:$AV$94)</f>
        <v>100</v>
      </c>
      <c r="I30" s="127">
        <f>AVERAGE(NrmQ4_2)</f>
        <v>0.32679498547655506</v>
      </c>
      <c r="K30" s="111"/>
      <c r="L30" s="20"/>
      <c r="M30" s="16" t="s">
        <v>142</v>
      </c>
      <c r="N30" s="18">
        <f>COUNTIFS(Results!$AR$2:$AR$94,Summary!N26,EPA,L27)</f>
        <v>3</v>
      </c>
      <c r="O30" s="18">
        <f>COUNTIFS(Results!$AR$2:$AR$94,Summary!O26,EPA,L27)</f>
        <v>1</v>
      </c>
      <c r="P30" s="18">
        <f>COUNTIFS(Results!$AR$2:$AR$94,Summary!P26,EPA,L27)</f>
        <v>2</v>
      </c>
      <c r="Q30" s="18">
        <f>COUNTIFS(Results!$AR$2:$AR$94,Summary!Q26,EPA,L27)</f>
        <v>0</v>
      </c>
      <c r="R30" s="25">
        <f t="array" ref="R30">MIN(IF(EPA=L27,Results!$AV$2:$AV$94))</f>
        <v>0</v>
      </c>
      <c r="S30" s="25">
        <f t="array" ref="S30">MAX(IF(EPA=L27,Results!$AV$2:$AV$94))</f>
        <v>100</v>
      </c>
      <c r="T30" s="127">
        <f>AVERAGEIF(EPA,L27,NrmQ4_2)</f>
        <v>0.28317016317016314</v>
      </c>
      <c r="V30" s="111"/>
      <c r="W30" s="20"/>
      <c r="X30" s="16" t="s">
        <v>142</v>
      </c>
      <c r="Y30" s="18">
        <f>COUNTIFS(Results!$AR$2:$AR$94,Summary!Y26,EPA,W27)</f>
        <v>7</v>
      </c>
      <c r="Z30" s="18">
        <f>COUNTIFS(Results!$AR$2:$AR$94,Summary!Z26,EPA,W27)</f>
        <v>4</v>
      </c>
      <c r="AA30" s="18">
        <f>COUNTIFS(Results!$AR$2:$AR$94,Summary!AA26,EPA,W27)</f>
        <v>1</v>
      </c>
      <c r="AB30" s="18">
        <f>COUNTIFS(Results!$AR$2:$AR$94,Summary!AB26,EPA,W27)</f>
        <v>2</v>
      </c>
      <c r="AC30" s="25">
        <f t="array" ref="AC30">MIN(IF(EPA=W27,Results!$AV$2:$AV$94))</f>
        <v>0</v>
      </c>
      <c r="AD30" s="25">
        <f t="array" ref="AD30">MAX(IF(EPA=W27,Results!$AV$2:$AV$94))</f>
        <v>100</v>
      </c>
      <c r="AE30" s="127">
        <f>AVERAGEIF(EPA,W27,NrmQ4_2)</f>
        <v>0.36119292352889187</v>
      </c>
      <c r="AF30" s="26"/>
      <c r="AG30" s="111"/>
      <c r="AH30" s="20"/>
      <c r="AI30" s="16" t="s">
        <v>142</v>
      </c>
      <c r="AJ30" s="18">
        <f>COUNTIFS(Results!$AR$2:$AR$94,Summary!AJ26,EPA,AH27)</f>
        <v>6</v>
      </c>
      <c r="AK30" s="18">
        <f>COUNTIFS(Results!$AR$2:$AR$94,Summary!AK26,EPA,AH27)</f>
        <v>3</v>
      </c>
      <c r="AL30" s="18">
        <f>COUNTIFS(Results!$AR$2:$AR$94,Summary!AL26,EPA,AH27)</f>
        <v>1</v>
      </c>
      <c r="AM30" s="18">
        <f>COUNTIFS(Results!$AR$2:$AR$94,Summary!AM26,EPA,AH27)</f>
        <v>0</v>
      </c>
      <c r="AN30" s="25">
        <f t="array" ref="AN30">MIN(IF(EPA=AH27,Results!$AV$2:$AV$94))</f>
        <v>0</v>
      </c>
      <c r="AO30" s="25">
        <f t="array" ref="AO30">MAX(IF(EPA=AH27,Results!$AV$2:$AV$94))</f>
        <v>100</v>
      </c>
      <c r="AP30" s="127">
        <f>AVERAGEIF(EPA,AH27,NrmQ4_2)</f>
        <v>0.30389007716171346</v>
      </c>
      <c r="AQ30" s="26"/>
      <c r="AR30" s="111"/>
      <c r="AS30" s="20"/>
      <c r="AT30" s="16" t="s">
        <v>142</v>
      </c>
      <c r="AU30" s="18">
        <f>COUNTIFS(Results!$AR$2:$AR$94,Summary!AU26,Bkg,AS27)</f>
        <v>11</v>
      </c>
      <c r="AV30" s="18">
        <f>COUNTIFS(Results!$AR$2:$AR$94,Summary!AV26,Bkg,AS27)</f>
        <v>5</v>
      </c>
      <c r="AW30" s="18">
        <f>COUNTIFS(Results!$AR$2:$AR$94,Summary!AW26,Bkg,AS27)</f>
        <v>1</v>
      </c>
      <c r="AX30" s="18">
        <f>COUNTIFS(Results!$AR$2:$AR$94,Summary!AX26,Bkg,AS27)</f>
        <v>1</v>
      </c>
      <c r="AY30" s="25">
        <f t="array" ref="AY30">MIN(IF(Bkg=AS27,Results!$AV$2:$AV$94))</f>
        <v>0</v>
      </c>
      <c r="AZ30" s="25">
        <f t="array" ref="AZ30">MAX(IF(Bkg=AS27,Results!$AV$2:$AV$94))</f>
        <v>100</v>
      </c>
      <c r="BA30" s="127">
        <f>AVERAGEIF(Bkg,AS27,NrmQ4_2)</f>
        <v>0.36550522920199613</v>
      </c>
      <c r="BB30" s="26"/>
      <c r="BC30" s="111"/>
      <c r="BD30" s="20"/>
      <c r="BE30" s="16" t="s">
        <v>142</v>
      </c>
      <c r="BF30" s="18">
        <f>COUNTIFS(Results!$AR$2:$AR$94,Summary!BF26,Bkg,BD27)</f>
        <v>2</v>
      </c>
      <c r="BG30" s="18">
        <f>COUNTIFS(Results!$AR$2:$AR$94,Summary!BG26,Bkg,BD27)</f>
        <v>1</v>
      </c>
      <c r="BH30" s="18">
        <f>COUNTIFS(Results!$AR$2:$AR$94,Summary!BH26,Bkg,BD27)</f>
        <v>2</v>
      </c>
      <c r="BI30" s="18">
        <f>COUNTIFS(Results!$AR$2:$AR$94,Summary!BI26,Bkg,BD27)</f>
        <v>0</v>
      </c>
      <c r="BJ30" s="25">
        <f t="array" ref="BJ30">MIN(IF(Bkg=BD27,Results!$AV$2:$AV$94))</f>
        <v>50</v>
      </c>
      <c r="BK30" s="25">
        <f t="array" ref="BK30">MAX(IF(Bkg=BD27,Results!$AV$2:$AV$94))</f>
        <v>100</v>
      </c>
      <c r="BL30" s="127">
        <f>AVERAGEIF(Bkg,BD27,NrmQ4_2)</f>
        <v>0.26006698508028492</v>
      </c>
      <c r="BM30" s="26"/>
      <c r="BN30" s="111"/>
      <c r="BO30" s="20"/>
      <c r="BP30" s="16" t="s">
        <v>142</v>
      </c>
      <c r="BQ30" s="18">
        <f>COUNTIFS(Results!$AR$2:$AR$94,Summary!BQ26,Bkg,BO27)</f>
        <v>3</v>
      </c>
      <c r="BR30" s="18">
        <f>COUNTIFS(Results!$AR$2:$AR$94,Summary!BR26,Bkg,BO27)</f>
        <v>2</v>
      </c>
      <c r="BS30" s="18">
        <f>COUNTIFS(Results!$AR$2:$AR$94,Summary!BS26,Bkg,BO27)</f>
        <v>1</v>
      </c>
      <c r="BT30" s="18">
        <f>COUNTIFS(Results!$AR$2:$AR$94,Summary!BT26,Bkg,BO27)</f>
        <v>1</v>
      </c>
      <c r="BU30" s="25">
        <f t="array" ref="BU30">MIN(IF(Bkg=BO27,Results!$AV$2:$AV$94))</f>
        <v>0</v>
      </c>
      <c r="BV30" s="25">
        <f t="array" ref="BV30">MAX(IF(Bkg=BO27,Results!$AV$2:$AV$94))</f>
        <v>100</v>
      </c>
      <c r="BW30" s="127">
        <f>AVERAGEIF(Bkg,BO27,NrmQ4_2)</f>
        <v>0.27272262858469759</v>
      </c>
      <c r="BX30" s="26"/>
      <c r="BY30" s="111"/>
      <c r="BZ30" s="20"/>
      <c r="CB30" s="18"/>
      <c r="CC30" s="18"/>
      <c r="CD30" s="18"/>
      <c r="CE30" s="18"/>
      <c r="CF30" s="25"/>
      <c r="CG30" s="25"/>
      <c r="CH30" s="127"/>
      <c r="CI30" s="26"/>
    </row>
    <row r="31" spans="1:87" s="16" customFormat="1" ht="24.95" customHeight="1" x14ac:dyDescent="0.25">
      <c r="A31" s="20"/>
      <c r="B31" s="16" t="s">
        <v>141</v>
      </c>
      <c r="C31" s="18">
        <f>COUNTIF(Results!$AQ$2:$AQ$94,Summary!C26)</f>
        <v>14</v>
      </c>
      <c r="D31" s="18">
        <f>COUNTIF(Results!$AQ$2:$AQ$94,Summary!D26)</f>
        <v>5</v>
      </c>
      <c r="E31" s="18">
        <f>COUNTIF(Results!$AQ$2:$AQ$94,Summary!E26)</f>
        <v>7</v>
      </c>
      <c r="F31" s="18">
        <f>COUNTIF(Results!$AQ$2:$AQ$94,Summary!F26)</f>
        <v>4</v>
      </c>
      <c r="G31" s="25">
        <f>MIN(Results!$AU$2:$AU$94)</f>
        <v>0</v>
      </c>
      <c r="H31" s="25">
        <f>MAX(Results!$AU$2:$AU$94)</f>
        <v>100</v>
      </c>
      <c r="I31" s="127">
        <f>AVERAGE(NrmQ4_1)</f>
        <v>0.2935976455626137</v>
      </c>
      <c r="K31" s="111"/>
      <c r="L31" s="20"/>
      <c r="M31" s="16" t="s">
        <v>141</v>
      </c>
      <c r="N31" s="18">
        <f>COUNTIFS(Results!$AQ$2:$AQ$94,Summary!N26,EPA,L27)</f>
        <v>3</v>
      </c>
      <c r="O31" s="18">
        <f>COUNTIFS(Results!$AQ$2:$AQ$94,Summary!O26,EPA,L27)</f>
        <v>1</v>
      </c>
      <c r="P31" s="18">
        <f>COUNTIFS(Results!$AQ$2:$AQ$94,Summary!P26,EPA,L27)</f>
        <v>1</v>
      </c>
      <c r="Q31" s="18">
        <f>COUNTIFS(Results!$AQ$2:$AQ$94,Summary!Q26,EPA,L27)</f>
        <v>1</v>
      </c>
      <c r="R31" s="25">
        <f t="array" ref="R31">MIN(IF(EPA=L27,Results!$AU$2:$AU$94))</f>
        <v>0</v>
      </c>
      <c r="S31" s="25">
        <f t="array" ref="S31">MAX(IF(EPA=L27,Results!$AU$2:$AU$94))</f>
        <v>100</v>
      </c>
      <c r="T31" s="127">
        <f>AVERAGEIF(EPA,L27,NrmQ4_1)</f>
        <v>0.30213519813519812</v>
      </c>
      <c r="V31" s="111"/>
      <c r="W31" s="20"/>
      <c r="X31" s="16" t="s">
        <v>141</v>
      </c>
      <c r="Y31" s="18">
        <f>COUNTIFS(Results!$AQ$2:$AQ$94,Summary!Y26,EPA,W27)</f>
        <v>5</v>
      </c>
      <c r="Z31" s="18">
        <f>COUNTIFS(Results!$AQ$2:$AQ$94,Summary!Z26,EPA,W27)</f>
        <v>3</v>
      </c>
      <c r="AA31" s="18">
        <f>COUNTIFS(Results!$AQ$2:$AQ$94,Summary!AA26,EPA,W27)</f>
        <v>4</v>
      </c>
      <c r="AB31" s="18">
        <f>COUNTIFS(Results!$AQ$2:$AQ$94,Summary!AB26,EPA,W27)</f>
        <v>2</v>
      </c>
      <c r="AC31" s="25">
        <f t="array" ref="AC31">MIN(IF(EPA=W27,Results!$AU$2:$AU$94))</f>
        <v>0</v>
      </c>
      <c r="AD31" s="25">
        <f t="array" ref="AD31">MAX(IF(EPA=W27,Results!$AU$2:$AU$94))</f>
        <v>100</v>
      </c>
      <c r="AE31" s="127">
        <f>AVERAGEIF(EPA,W27,NrmQ4_1)</f>
        <v>0.32400040484587006</v>
      </c>
      <c r="AF31" s="26"/>
      <c r="AG31" s="111"/>
      <c r="AH31" s="20"/>
      <c r="AI31" s="16" t="s">
        <v>141</v>
      </c>
      <c r="AJ31" s="18">
        <f>COUNTIFS(Results!$AQ$2:$AQ$94,Summary!AJ26,EPA,AH27)</f>
        <v>6</v>
      </c>
      <c r="AK31" s="18">
        <f>COUNTIFS(Results!$AQ$2:$AQ$94,Summary!AK26,EPA,AH27)</f>
        <v>1</v>
      </c>
      <c r="AL31" s="18">
        <f>COUNTIFS(Results!$AQ$2:$AQ$94,Summary!AL26,EPA,AH27)</f>
        <v>2</v>
      </c>
      <c r="AM31" s="18">
        <f>COUNTIFS(Results!$AQ$2:$AQ$94,Summary!AM26,EPA,AH27)</f>
        <v>1</v>
      </c>
      <c r="AN31" s="25">
        <f t="array" ref="AN31">MIN(IF(EPA=AH27,Results!$AU$2:$AU$94))</f>
        <v>0</v>
      </c>
      <c r="AO31" s="25">
        <f t="array" ref="AO31">MAX(IF(EPA=AH27,Results!$AU$2:$AU$94))</f>
        <v>100</v>
      </c>
      <c r="AP31" s="127">
        <f>AVERAGEIF(EPA,AH27,NrmQ4_1)</f>
        <v>0.24980528220808815</v>
      </c>
      <c r="AQ31" s="26"/>
      <c r="AR31" s="111"/>
      <c r="AS31" s="20"/>
      <c r="AT31" s="16" t="s">
        <v>141</v>
      </c>
      <c r="AU31" s="18">
        <f>COUNTIFS(Results!$AQ$2:$AQ$94,Summary!AU26,Bkg,AS27)</f>
        <v>8</v>
      </c>
      <c r="AV31" s="18">
        <f>COUNTIFS(Results!$AQ$2:$AQ$94,Summary!AV26,Bkg,AS27)</f>
        <v>5</v>
      </c>
      <c r="AW31" s="18">
        <f>COUNTIFS(Results!$AQ$2:$AQ$94,Summary!AW26,Bkg,AS27)</f>
        <v>4</v>
      </c>
      <c r="AX31" s="18">
        <f>COUNTIFS(Results!$AQ$2:$AQ$94,Summary!AX26,Bkg,AS27)</f>
        <v>1</v>
      </c>
      <c r="AY31" s="25">
        <f t="array" ref="AY31">MIN(IF(Bkg=AS27,Results!$AU$2:$AU$94))</f>
        <v>0</v>
      </c>
      <c r="AZ31" s="25">
        <f t="array" ref="AZ31">MAX(IF(Bkg=AS27,Results!$AU$2:$AU$94))</f>
        <v>100</v>
      </c>
      <c r="BA31" s="127">
        <f>AVERAGEIF(Bkg,AS27,NrmQ4_1)</f>
        <v>0.28885263423002161</v>
      </c>
      <c r="BB31" s="26"/>
      <c r="BC31" s="111"/>
      <c r="BD31" s="20"/>
      <c r="BE31" s="16" t="s">
        <v>141</v>
      </c>
      <c r="BF31" s="18">
        <f>COUNTIFS(Results!$AQ$2:$AQ$94,Summary!BF26,Bkg,BD27)</f>
        <v>2</v>
      </c>
      <c r="BG31" s="18">
        <f>COUNTIFS(Results!$AQ$2:$AQ$94,Summary!BG26,Bkg,BD27)</f>
        <v>0</v>
      </c>
      <c r="BH31" s="18">
        <f>COUNTIFS(Results!$AQ$2:$AQ$94,Summary!BH26,Bkg,BD27)</f>
        <v>2</v>
      </c>
      <c r="BI31" s="18">
        <f>COUNTIFS(Results!$AQ$2:$AQ$94,Summary!BI26,Bkg,BD27)</f>
        <v>1</v>
      </c>
      <c r="BJ31" s="25">
        <f t="array" ref="BJ31">MIN(IF(Bkg=BD27,Results!$AU$2:$AU$94))</f>
        <v>63.076923076923073</v>
      </c>
      <c r="BK31" s="25">
        <f t="array" ref="BK31">MAX(IF(Bkg=BD27,Results!$AU$2:$AU$94))</f>
        <v>100</v>
      </c>
      <c r="BL31" s="127">
        <f>AVERAGEIF(Bkg,BD27,NrmQ4_1)</f>
        <v>0.26963476228650091</v>
      </c>
      <c r="BM31" s="26"/>
      <c r="BN31" s="111"/>
      <c r="BO31" s="20"/>
      <c r="BP31" s="16" t="s">
        <v>141</v>
      </c>
      <c r="BQ31" s="18">
        <f>COUNTIFS(Results!$AQ$2:$AQ$94,Summary!BQ26,Bkg,BO27)</f>
        <v>4</v>
      </c>
      <c r="BR31" s="18">
        <f>COUNTIFS(Results!$AQ$2:$AQ$94,Summary!BR26,Bkg,BO27)</f>
        <v>0</v>
      </c>
      <c r="BS31" s="18">
        <f>COUNTIFS(Results!$AQ$2:$AQ$94,Summary!BS26,Bkg,BO27)</f>
        <v>1</v>
      </c>
      <c r="BT31" s="18">
        <f>COUNTIFS(Results!$AQ$2:$AQ$94,Summary!BT26,Bkg,BO27)</f>
        <v>2</v>
      </c>
      <c r="BU31" s="25">
        <f t="array" ref="BU31">MIN(IF(Bkg=BO27,Results!$AU$2:$AU$94))</f>
        <v>0</v>
      </c>
      <c r="BV31" s="25">
        <f t="array" ref="BV31">MAX(IF(Bkg=BO27,Results!$AU$2:$AU$94))</f>
        <v>100</v>
      </c>
      <c r="BW31" s="127">
        <f>AVERAGEIF(Bkg,BO27,NrmQ4_1)</f>
        <v>0.3270109137350517</v>
      </c>
      <c r="BX31" s="26"/>
      <c r="BY31" s="111"/>
      <c r="BZ31" s="20"/>
      <c r="CB31" s="18"/>
      <c r="CC31" s="18"/>
      <c r="CD31" s="18"/>
      <c r="CE31" s="18"/>
      <c r="CF31" s="25"/>
      <c r="CG31" s="25"/>
      <c r="CH31" s="127"/>
      <c r="CI31" s="26"/>
    </row>
    <row r="32" spans="1:87" x14ac:dyDescent="0.25">
      <c r="I32" s="39"/>
      <c r="T32" s="39"/>
      <c r="AE32" s="39"/>
      <c r="AP32" s="39"/>
      <c r="BA32" s="39"/>
      <c r="BL32" s="39"/>
      <c r="BW32" s="39"/>
      <c r="CH32" s="39"/>
    </row>
    <row r="33" spans="1:87" x14ac:dyDescent="0.25">
      <c r="C33" s="23">
        <v>100</v>
      </c>
      <c r="D33" s="23">
        <v>4</v>
      </c>
      <c r="E33" s="23">
        <v>3</v>
      </c>
      <c r="F33" s="23">
        <v>2</v>
      </c>
      <c r="L33" s="19"/>
      <c r="N33" s="23">
        <v>100</v>
      </c>
      <c r="O33" s="23">
        <v>4</v>
      </c>
      <c r="P33" s="23">
        <v>3</v>
      </c>
      <c r="Q33" s="23">
        <v>2</v>
      </c>
      <c r="W33" s="19"/>
      <c r="Y33" s="23">
        <v>100</v>
      </c>
      <c r="Z33" s="23">
        <v>4</v>
      </c>
      <c r="AA33" s="23">
        <v>3</v>
      </c>
      <c r="AB33" s="23">
        <v>2</v>
      </c>
      <c r="AH33" s="19"/>
      <c r="AJ33" s="23">
        <v>100</v>
      </c>
      <c r="AK33" s="23">
        <v>4</v>
      </c>
      <c r="AL33" s="23">
        <v>3</v>
      </c>
      <c r="AM33" s="23">
        <v>2</v>
      </c>
      <c r="AS33" s="19"/>
      <c r="AU33" s="23">
        <v>100</v>
      </c>
      <c r="AV33" s="23">
        <v>4</v>
      </c>
      <c r="AW33" s="23">
        <v>3</v>
      </c>
      <c r="AX33" s="23">
        <v>2</v>
      </c>
      <c r="BD33" s="19"/>
      <c r="BF33" s="23">
        <v>100</v>
      </c>
      <c r="BG33" s="23">
        <v>4</v>
      </c>
      <c r="BH33" s="23">
        <v>3</v>
      </c>
      <c r="BI33" s="23">
        <v>2</v>
      </c>
      <c r="BO33" s="19"/>
      <c r="BQ33" s="23">
        <v>100</v>
      </c>
      <c r="BR33" s="23">
        <v>4</v>
      </c>
      <c r="BS33" s="23">
        <v>3</v>
      </c>
      <c r="BT33" s="23">
        <v>2</v>
      </c>
      <c r="BZ33" s="19"/>
      <c r="CB33" s="23"/>
      <c r="CC33" s="23"/>
      <c r="CD33" s="23"/>
      <c r="CE33" s="23"/>
    </row>
    <row r="34" spans="1:87" x14ac:dyDescent="0.25">
      <c r="B34" s="33" t="s">
        <v>112</v>
      </c>
      <c r="C34" s="29" t="s">
        <v>106</v>
      </c>
      <c r="D34" s="29" t="s">
        <v>107</v>
      </c>
      <c r="E34" s="29" t="s">
        <v>114</v>
      </c>
      <c r="F34" s="29" t="s">
        <v>138</v>
      </c>
      <c r="G34" s="29" t="s">
        <v>108</v>
      </c>
      <c r="H34" s="29" t="s">
        <v>109</v>
      </c>
      <c r="I34" s="29" t="s">
        <v>110</v>
      </c>
      <c r="K34" s="110"/>
      <c r="L34" s="19">
        <v>1</v>
      </c>
      <c r="M34" s="33" t="s">
        <v>112</v>
      </c>
      <c r="N34" s="29" t="s">
        <v>106</v>
      </c>
      <c r="O34" s="29" t="s">
        <v>107</v>
      </c>
      <c r="P34" s="29" t="s">
        <v>114</v>
      </c>
      <c r="Q34" s="29" t="s">
        <v>138</v>
      </c>
      <c r="R34" s="29" t="s">
        <v>108</v>
      </c>
      <c r="S34" s="29" t="s">
        <v>109</v>
      </c>
      <c r="T34" s="29" t="s">
        <v>110</v>
      </c>
      <c r="V34" s="110"/>
      <c r="W34" s="19">
        <v>2</v>
      </c>
      <c r="X34" s="33" t="s">
        <v>112</v>
      </c>
      <c r="Y34" s="29" t="s">
        <v>106</v>
      </c>
      <c r="Z34" s="29" t="s">
        <v>107</v>
      </c>
      <c r="AA34" s="29" t="s">
        <v>114</v>
      </c>
      <c r="AB34" s="29" t="s">
        <v>138</v>
      </c>
      <c r="AC34" s="29" t="s">
        <v>108</v>
      </c>
      <c r="AD34" s="29" t="s">
        <v>109</v>
      </c>
      <c r="AE34" s="29" t="s">
        <v>110</v>
      </c>
      <c r="AF34" s="29"/>
      <c r="AG34" s="110"/>
      <c r="AH34" s="19">
        <v>3</v>
      </c>
      <c r="AI34" s="33" t="s">
        <v>112</v>
      </c>
      <c r="AJ34" s="29" t="s">
        <v>106</v>
      </c>
      <c r="AK34" s="29" t="s">
        <v>107</v>
      </c>
      <c r="AL34" s="29" t="s">
        <v>114</v>
      </c>
      <c r="AM34" s="29" t="s">
        <v>138</v>
      </c>
      <c r="AN34" s="29" t="s">
        <v>108</v>
      </c>
      <c r="AO34" s="29" t="s">
        <v>109</v>
      </c>
      <c r="AP34" s="29" t="s">
        <v>110</v>
      </c>
      <c r="AQ34" s="29"/>
      <c r="AR34" s="110"/>
      <c r="AS34" s="19">
        <v>1</v>
      </c>
      <c r="AT34" s="33" t="s">
        <v>112</v>
      </c>
      <c r="AU34" s="29" t="s">
        <v>106</v>
      </c>
      <c r="AV34" s="29" t="s">
        <v>107</v>
      </c>
      <c r="AW34" s="29" t="s">
        <v>114</v>
      </c>
      <c r="AX34" s="29" t="s">
        <v>138</v>
      </c>
      <c r="AY34" s="29" t="s">
        <v>108</v>
      </c>
      <c r="AZ34" s="29" t="s">
        <v>109</v>
      </c>
      <c r="BA34" s="29" t="s">
        <v>110</v>
      </c>
      <c r="BB34" s="29"/>
      <c r="BC34" s="110"/>
      <c r="BD34" s="19">
        <v>2</v>
      </c>
      <c r="BE34" s="33" t="s">
        <v>112</v>
      </c>
      <c r="BF34" s="29" t="s">
        <v>106</v>
      </c>
      <c r="BG34" s="29" t="s">
        <v>107</v>
      </c>
      <c r="BH34" s="29" t="s">
        <v>114</v>
      </c>
      <c r="BI34" s="29" t="s">
        <v>138</v>
      </c>
      <c r="BJ34" s="29" t="s">
        <v>108</v>
      </c>
      <c r="BK34" s="29" t="s">
        <v>109</v>
      </c>
      <c r="BL34" s="29" t="s">
        <v>110</v>
      </c>
      <c r="BM34" s="29"/>
      <c r="BN34" s="110"/>
      <c r="BO34" s="19">
        <v>3</v>
      </c>
      <c r="BP34" s="33" t="s">
        <v>112</v>
      </c>
      <c r="BQ34" s="29" t="s">
        <v>106</v>
      </c>
      <c r="BR34" s="29" t="s">
        <v>107</v>
      </c>
      <c r="BS34" s="29" t="s">
        <v>114</v>
      </c>
      <c r="BT34" s="29" t="s">
        <v>138</v>
      </c>
      <c r="BU34" s="29" t="s">
        <v>108</v>
      </c>
      <c r="BV34" s="29" t="s">
        <v>109</v>
      </c>
      <c r="BW34" s="29" t="s">
        <v>110</v>
      </c>
      <c r="BX34" s="29"/>
      <c r="BY34" s="110"/>
      <c r="BZ34" s="19"/>
      <c r="CA34" s="33"/>
      <c r="CB34" s="29"/>
      <c r="CC34" s="29"/>
      <c r="CD34" s="29"/>
      <c r="CE34" s="29"/>
      <c r="CF34" s="29"/>
      <c r="CG34" s="29"/>
      <c r="CH34" s="29"/>
      <c r="CI34" s="29"/>
    </row>
    <row r="35" spans="1:87" s="16" customFormat="1" ht="24.95" customHeight="1" x14ac:dyDescent="0.25">
      <c r="A35" s="20" t="s">
        <v>34</v>
      </c>
      <c r="B35" s="16" t="s">
        <v>143</v>
      </c>
      <c r="C35" s="18">
        <f>COUNTIF(Results!$BB$2:$BB$94,Summary!C33)</f>
        <v>6</v>
      </c>
      <c r="D35" s="18">
        <f>COUNTIF(Results!$BB$2:$BB$94,Summary!D33)</f>
        <v>7</v>
      </c>
      <c r="E35" s="18">
        <f>COUNTIF(Results!$BB$2:$BB$94,Summary!E33)</f>
        <v>15</v>
      </c>
      <c r="F35" s="18">
        <f>COUNTIF(Results!$BB$2:$BB$94,Summary!F33)</f>
        <v>2</v>
      </c>
      <c r="G35" s="25">
        <f>MIN(Results!$BF$2:$BF$94)</f>
        <v>0</v>
      </c>
      <c r="H35" s="25">
        <f>MAX(Results!$BF$2:$BF$94)</f>
        <v>100</v>
      </c>
      <c r="I35" s="127">
        <f>AVERAGE(NrmQ5_3)</f>
        <v>0.23244760499148415</v>
      </c>
      <c r="K35" s="111"/>
      <c r="L35" s="20" t="s">
        <v>34</v>
      </c>
      <c r="M35" s="16" t="s">
        <v>143</v>
      </c>
      <c r="N35" s="18">
        <f>COUNTIFS(Results!$BB$2:$BB$94,Summary!N33,EPA,L34)</f>
        <v>2</v>
      </c>
      <c r="O35" s="18">
        <f>COUNTIFS(Results!$BB$2:$BB$94,Summary!O33,EPA,L34)</f>
        <v>1</v>
      </c>
      <c r="P35" s="18">
        <f>COUNTIFS(Results!$BB$2:$BB$94,Summary!P33,EPA,L34)</f>
        <v>3</v>
      </c>
      <c r="Q35" s="18">
        <f>COUNTIFS(Results!$BB$2:$BB$94,Summary!Q33,EPA,L34)</f>
        <v>0</v>
      </c>
      <c r="R35" s="25">
        <f t="array" ref="R35">MIN(IF(EPA=L34,Results!$BF$2:$BF$94))</f>
        <v>0</v>
      </c>
      <c r="S35" s="25">
        <f t="array" ref="S35">MAX(IF(EPA=L34,Results!$BF$2:$BF$94))</f>
        <v>100</v>
      </c>
      <c r="T35" s="127">
        <f>AVERAGEIF(EPA,L34,NrmQ5_3)</f>
        <v>0.283911950547454</v>
      </c>
      <c r="V35" s="111"/>
      <c r="W35" s="20" t="s">
        <v>34</v>
      </c>
      <c r="X35" s="16" t="s">
        <v>143</v>
      </c>
      <c r="Y35" s="18">
        <f>COUNTIFS(Results!$BB$2:$BB$94,Summary!Y33,EPA,W34)</f>
        <v>1</v>
      </c>
      <c r="Z35" s="18">
        <f>COUNTIFS(Results!$BB$2:$BB$94,Summary!Z33,EPA,W34)</f>
        <v>2</v>
      </c>
      <c r="AA35" s="18">
        <f>COUNTIFS(Results!$BB$2:$BB$94,Summary!AA33,EPA,W34)</f>
        <v>9</v>
      </c>
      <c r="AB35" s="18">
        <f>COUNTIFS(Results!$BB$2:$BB$94,Summary!AB33,EPA,W34)</f>
        <v>2</v>
      </c>
      <c r="AC35" s="25">
        <f t="array" ref="AC35">MIN(IF(EPA=W34,Results!$BF$2:$BF$94))</f>
        <v>0</v>
      </c>
      <c r="AD35" s="25">
        <f t="array" ref="AD35">MAX(IF(EPA=W34,Results!$BF$2:$BF$94))</f>
        <v>100</v>
      </c>
      <c r="AE35" s="127">
        <f>AVERAGEIF(EPA,W34,NrmQ5_3)</f>
        <v>0.18289741391910663</v>
      </c>
      <c r="AF35" s="26"/>
      <c r="AG35" s="111"/>
      <c r="AH35" s="20" t="s">
        <v>34</v>
      </c>
      <c r="AI35" s="16" t="s">
        <v>143</v>
      </c>
      <c r="AJ35" s="18">
        <f>COUNTIFS(Results!$BB$2:$BB$94,Summary!AJ33,EPA,AH34)</f>
        <v>3</v>
      </c>
      <c r="AK35" s="18">
        <f>COUNTIFS(Results!$BB$2:$BB$94,Summary!AK33,EPA,AH34)</f>
        <v>4</v>
      </c>
      <c r="AL35" s="18">
        <f>COUNTIFS(Results!$BB$2:$BB$94,Summary!AL33,EPA,AH34)</f>
        <v>3</v>
      </c>
      <c r="AM35" s="18">
        <f>COUNTIFS(Results!$BB$2:$BB$94,Summary!AM33,EPA,AH34)</f>
        <v>0</v>
      </c>
      <c r="AN35" s="25">
        <f t="array" ref="AN35">MIN(IF(EPA=AH34,Results!$BF$2:$BF$94))</f>
        <v>0</v>
      </c>
      <c r="AO35" s="25">
        <f t="array" ref="AO35">MAX(IF(EPA=AH34,Results!$BF$2:$BF$94))</f>
        <v>100</v>
      </c>
      <c r="AP35" s="127">
        <f>AVERAGEIF(EPA,AH34,NrmQ5_3)</f>
        <v>0.27113068060759005</v>
      </c>
      <c r="AQ35" s="26"/>
      <c r="AR35" s="111"/>
      <c r="AS35" s="20" t="s">
        <v>34</v>
      </c>
      <c r="AT35" s="16" t="s">
        <v>143</v>
      </c>
      <c r="AU35" s="18">
        <f>COUNTIFS(Results!$BB$2:$BB$94,Summary!AU33,Bkg,AS34)</f>
        <v>5</v>
      </c>
      <c r="AV35" s="18">
        <f>COUNTIFS(Results!$BB$2:$BB$94,Summary!AV33,Bkg,AS34)</f>
        <v>3</v>
      </c>
      <c r="AW35" s="18">
        <f>COUNTIFS(Results!$BB$2:$BB$94,Summary!AW33,Bkg,AS34)</f>
        <v>8</v>
      </c>
      <c r="AX35" s="18">
        <f>COUNTIFS(Results!$BB$2:$BB$94,Summary!AX33,Bkg,AS34)</f>
        <v>2</v>
      </c>
      <c r="AY35" s="25">
        <f t="array" ref="AY35">MIN(IF(Bkg=AS34,Results!$BF$2:$BF$94))</f>
        <v>0</v>
      </c>
      <c r="AZ35" s="25">
        <f t="array" ref="AZ35">MAX(IF(Bkg=AS34,Results!$BF$2:$BF$94))</f>
        <v>100</v>
      </c>
      <c r="BA35" s="127">
        <f>AVERAGEIF(Bkg,AS34,NrmQ5_3)</f>
        <v>0.22366518983426098</v>
      </c>
      <c r="BB35" s="26"/>
      <c r="BC35" s="111"/>
      <c r="BD35" s="20" t="s">
        <v>34</v>
      </c>
      <c r="BE35" s="16" t="s">
        <v>143</v>
      </c>
      <c r="BF35" s="18">
        <f>COUNTIFS(Results!$BB$2:$BB$94,Summary!BF33,Bkg,BD34)</f>
        <v>1</v>
      </c>
      <c r="BG35" s="18">
        <f>COUNTIFS(Results!$BB$2:$BB$94,Summary!BG33,Bkg,BD34)</f>
        <v>1</v>
      </c>
      <c r="BH35" s="18">
        <f>COUNTIFS(Results!$BB$2:$BB$94,Summary!BH33,Bkg,BD34)</f>
        <v>3</v>
      </c>
      <c r="BI35" s="18">
        <f>COUNTIFS(Results!$BB$2:$BB$94,Summary!BI33,Bkg,BD34)</f>
        <v>0</v>
      </c>
      <c r="BJ35" s="25">
        <f t="array" ref="BJ35">MIN(IF(Bkg=BD34,Results!$BF$2:$BF$94))</f>
        <v>22</v>
      </c>
      <c r="BK35" s="25">
        <f t="array" ref="BK35">MAX(IF(Bkg=BD34,Results!$BF$2:$BF$94))</f>
        <v>100</v>
      </c>
      <c r="BL35" s="127">
        <f>AVERAGEIF(Bkg,BD34,NrmQ5_3)</f>
        <v>0.24810582367436229</v>
      </c>
      <c r="BM35" s="26"/>
      <c r="BN35" s="111"/>
      <c r="BO35" s="20" t="s">
        <v>34</v>
      </c>
      <c r="BP35" s="16" t="s">
        <v>143</v>
      </c>
      <c r="BQ35" s="18">
        <f>COUNTIFS(Results!$BB$2:$BB$94,Summary!BQ33,Bkg,BO34)</f>
        <v>0</v>
      </c>
      <c r="BR35" s="18">
        <f>COUNTIFS(Results!$BB$2:$BB$94,Summary!BR33,Bkg,BO34)</f>
        <v>3</v>
      </c>
      <c r="BS35" s="18">
        <f>COUNTIFS(Results!$BB$2:$BB$94,Summary!BS33,Bkg,BO34)</f>
        <v>4</v>
      </c>
      <c r="BT35" s="18">
        <f>COUNTIFS(Results!$BB$2:$BB$94,Summary!BT33,Bkg,BO34)</f>
        <v>0</v>
      </c>
      <c r="BU35" s="25">
        <f t="array" ref="BU35">MIN(IF(Bkg=BO34,Results!$BF$2:$BF$94))</f>
        <v>0</v>
      </c>
      <c r="BV35" s="25">
        <f t="array" ref="BV35">MAX(IF(Bkg=BO34,Results!$BF$2:$BF$94))</f>
        <v>90</v>
      </c>
      <c r="BW35" s="127">
        <f>AVERAGEIF(Bkg,BO34,NrmQ5_3)</f>
        <v>0.24428259903455132</v>
      </c>
      <c r="BX35" s="26"/>
      <c r="BY35" s="111"/>
      <c r="BZ35" s="20"/>
      <c r="CB35" s="18"/>
      <c r="CC35" s="18"/>
      <c r="CD35" s="18"/>
      <c r="CE35" s="18"/>
      <c r="CF35" s="25"/>
      <c r="CG35" s="25"/>
      <c r="CH35" s="127"/>
      <c r="CI35" s="26"/>
    </row>
    <row r="36" spans="1:87" s="16" customFormat="1" ht="24.95" customHeight="1" x14ac:dyDescent="0.25">
      <c r="A36" s="20" t="s">
        <v>305</v>
      </c>
      <c r="B36" s="16" t="s">
        <v>144</v>
      </c>
      <c r="C36" s="18">
        <f>COUNTIF(Results!$BC$2:$BC$94,Summary!C33)</f>
        <v>0</v>
      </c>
      <c r="D36" s="18">
        <f>COUNTIF(Results!$BC$2:$BC$94,Summary!D33)</f>
        <v>6</v>
      </c>
      <c r="E36" s="18">
        <f>COUNTIF(Results!$BC$2:$BC$94,Summary!E33)</f>
        <v>9</v>
      </c>
      <c r="F36" s="18">
        <f>COUNTIF(Results!$BC$2:$BC$94,Summary!F33)</f>
        <v>15</v>
      </c>
      <c r="G36" s="25">
        <f>MIN(Results!$BG$2:$BG$94)</f>
        <v>0</v>
      </c>
      <c r="H36" s="25">
        <f>MAX(Results!$BG$2:$BG$94)</f>
        <v>80</v>
      </c>
      <c r="I36" s="127">
        <f>AVERAGE(NrmQ5_4)</f>
        <v>0.16442784831768598</v>
      </c>
      <c r="K36" s="111"/>
      <c r="L36" s="20" t="s">
        <v>290</v>
      </c>
      <c r="M36" s="16" t="s">
        <v>144</v>
      </c>
      <c r="N36" s="18">
        <f>COUNTIFS(Results!$BC$2:$BC$94,Summary!N33,EPA,L34)</f>
        <v>0</v>
      </c>
      <c r="O36" s="18">
        <f>COUNTIFS(Results!$BC$2:$BC$94,Summary!O33,EPA,L34)</f>
        <v>1</v>
      </c>
      <c r="P36" s="18">
        <f>COUNTIFS(Results!$BC$2:$BC$94,Summary!P33,EPA,L34)</f>
        <v>2</v>
      </c>
      <c r="Q36" s="18">
        <f>COUNTIFS(Results!$BC$2:$BC$94,Summary!Q33,EPA,L34)</f>
        <v>3</v>
      </c>
      <c r="R36" s="25">
        <f t="array" ref="R36">MIN(IF(EPA=L34,Results!$BG$2:$BG$94))</f>
        <v>0</v>
      </c>
      <c r="S36" s="25">
        <f t="array" ref="S36">MAX(IF(EPA=L34,Results!$BG$2:$BG$94))</f>
        <v>75</v>
      </c>
      <c r="T36" s="127">
        <f>AVERAGEIF(EPA,L34,NrmQ5_4)</f>
        <v>0.17463005068595266</v>
      </c>
      <c r="V36" s="111"/>
      <c r="W36" s="20" t="s">
        <v>291</v>
      </c>
      <c r="X36" s="16" t="s">
        <v>144</v>
      </c>
      <c r="Y36" s="18">
        <f>COUNTIFS(Results!$BC$2:$BC$94,Summary!Y33,EPA,W34)</f>
        <v>0</v>
      </c>
      <c r="Z36" s="18">
        <f>COUNTIFS(Results!$BC$2:$BC$94,Summary!Z33,EPA,W34)</f>
        <v>2</v>
      </c>
      <c r="AA36" s="18">
        <f>COUNTIFS(Results!$BC$2:$BC$94,Summary!AA33,EPA,W34)</f>
        <v>4</v>
      </c>
      <c r="AB36" s="18">
        <f>COUNTIFS(Results!$BC$2:$BC$94,Summary!AB33,EPA,W34)</f>
        <v>8</v>
      </c>
      <c r="AC36" s="25">
        <f t="array" ref="AC36">MIN(IF(EPA=W34,Results!$BG$2:$BG$94))</f>
        <v>0</v>
      </c>
      <c r="AD36" s="25">
        <f t="array" ref="AD36">MAX(IF(EPA=W34,Results!$BG$2:$BG$94))</f>
        <v>75</v>
      </c>
      <c r="AE36" s="127">
        <f>AVERAGEIF(EPA,W34,NrmQ5_4)</f>
        <v>0.14899298327823624</v>
      </c>
      <c r="AF36" s="26"/>
      <c r="AG36" s="111"/>
      <c r="AH36" s="20" t="s">
        <v>347</v>
      </c>
      <c r="AI36" s="16" t="s">
        <v>144</v>
      </c>
      <c r="AJ36" s="18">
        <f>COUNTIFS(Results!$BC$2:$BC$94,Summary!AJ33,EPA,AH34)</f>
        <v>0</v>
      </c>
      <c r="AK36" s="18">
        <f>COUNTIFS(Results!$BC$2:$BC$94,Summary!AK33,EPA,AH34)</f>
        <v>3</v>
      </c>
      <c r="AL36" s="18">
        <f>COUNTIFS(Results!$BC$2:$BC$94,Summary!AL33,EPA,AH34)</f>
        <v>3</v>
      </c>
      <c r="AM36" s="18">
        <f>COUNTIFS(Results!$BC$2:$BC$94,Summary!AM33,EPA,AH34)</f>
        <v>4</v>
      </c>
      <c r="AN36" s="25">
        <f t="array" ref="AN36">MIN(IF(EPA=AH34,Results!$BG$2:$BG$94))</f>
        <v>0</v>
      </c>
      <c r="AO36" s="25">
        <f t="array" ref="AO36">MAX(IF(EPA=AH34,Results!$BG$2:$BG$94))</f>
        <v>80</v>
      </c>
      <c r="AP36" s="127">
        <f>AVERAGEIF(EPA,AH34,NrmQ5_4)</f>
        <v>0.17939207168483723</v>
      </c>
      <c r="AQ36" s="26"/>
      <c r="AR36" s="111"/>
      <c r="AS36" s="20" t="s">
        <v>375</v>
      </c>
      <c r="AT36" s="16" t="s">
        <v>144</v>
      </c>
      <c r="AU36" s="18">
        <f>COUNTIFS(Results!$BC$2:$BC$94,Summary!AU33,Bkg,AS34)</f>
        <v>0</v>
      </c>
      <c r="AV36" s="18">
        <f>COUNTIFS(Results!$BC$2:$BC$94,Summary!AV33,Bkg,AS34)</f>
        <v>2</v>
      </c>
      <c r="AW36" s="18">
        <f>COUNTIFS(Results!$BC$2:$BC$94,Summary!AW33,Bkg,AS34)</f>
        <v>7</v>
      </c>
      <c r="AX36" s="18">
        <f>COUNTIFS(Results!$BC$2:$BC$94,Summary!AX33,Bkg,AS34)</f>
        <v>9</v>
      </c>
      <c r="AY36" s="25">
        <f t="array" ref="AY36">MIN(IF(Bkg=AS34,Results!$BG$2:$BG$94))</f>
        <v>0</v>
      </c>
      <c r="AZ36" s="25">
        <f t="array" ref="AZ36">MAX(IF(Bkg=AS34,Results!$BG$2:$BG$94))</f>
        <v>80</v>
      </c>
      <c r="BA36" s="127">
        <f>AVERAGEIF(Bkg,AS34,NrmQ5_4)</f>
        <v>0.1500884877348968</v>
      </c>
      <c r="BB36" s="26"/>
      <c r="BC36" s="111"/>
      <c r="BD36" s="20" t="s">
        <v>376</v>
      </c>
      <c r="BE36" s="16" t="s">
        <v>144</v>
      </c>
      <c r="BF36" s="18">
        <f>COUNTIFS(Results!$BC$2:$BC$94,Summary!BF33,Bkg,BD34)</f>
        <v>0</v>
      </c>
      <c r="BG36" s="18">
        <f>COUNTIFS(Results!$BC$2:$BC$94,Summary!BG33,Bkg,BD34)</f>
        <v>2</v>
      </c>
      <c r="BH36" s="18">
        <f>COUNTIFS(Results!$BC$2:$BC$94,Summary!BH33,Bkg,BD34)</f>
        <v>1</v>
      </c>
      <c r="BI36" s="18">
        <f>COUNTIFS(Results!$BC$2:$BC$94,Summary!BI33,Bkg,BD34)</f>
        <v>2</v>
      </c>
      <c r="BJ36" s="25">
        <f t="array" ref="BJ36">MIN(IF(Bkg=BD34,Results!$BG$2:$BG$94))</f>
        <v>41</v>
      </c>
      <c r="BK36" s="25">
        <f t="array" ref="BK36">MAX(IF(Bkg=BD34,Results!$BG$2:$BG$94))</f>
        <v>75</v>
      </c>
      <c r="BL36" s="127">
        <f>AVERAGEIF(Bkg,BD34,NrmQ5_4)</f>
        <v>0.19513664094230065</v>
      </c>
      <c r="BM36" s="26"/>
      <c r="BN36" s="111"/>
      <c r="BO36" s="20" t="s">
        <v>377</v>
      </c>
      <c r="BP36" s="16" t="s">
        <v>144</v>
      </c>
      <c r="BQ36" s="18">
        <f>COUNTIFS(Results!$BC$2:$BC$94,Summary!BQ33,Bkg,BO34)</f>
        <v>0</v>
      </c>
      <c r="BR36" s="18">
        <f>COUNTIFS(Results!$BC$2:$BC$94,Summary!BR33,Bkg,BO34)</f>
        <v>2</v>
      </c>
      <c r="BS36" s="18">
        <f>COUNTIFS(Results!$BC$2:$BC$94,Summary!BS33,Bkg,BO34)</f>
        <v>1</v>
      </c>
      <c r="BT36" s="18">
        <f>COUNTIFS(Results!$BC$2:$BC$94,Summary!BT33,Bkg,BO34)</f>
        <v>4</v>
      </c>
      <c r="BU36" s="25">
        <f t="array" ref="BU36">MIN(IF(Bkg=BO34,Results!$BG$2:$BG$94))</f>
        <v>0</v>
      </c>
      <c r="BV36" s="25">
        <f t="array" ref="BV36">MAX(IF(Bkg=BO34,Results!$BG$2:$BG$94))</f>
        <v>80</v>
      </c>
      <c r="BW36" s="127">
        <f>AVERAGEIF(Bkg,BO34,NrmQ5_4)</f>
        <v>0.17946537611507632</v>
      </c>
      <c r="BX36" s="26"/>
      <c r="BY36" s="111"/>
      <c r="BZ36" s="20"/>
      <c r="CB36" s="18"/>
      <c r="CC36" s="18"/>
      <c r="CD36" s="18"/>
      <c r="CE36" s="18"/>
      <c r="CF36" s="25"/>
      <c r="CG36" s="25"/>
      <c r="CH36" s="127"/>
      <c r="CI36" s="26"/>
    </row>
    <row r="37" spans="1:87" s="16" customFormat="1" ht="24.95" customHeight="1" x14ac:dyDescent="0.25">
      <c r="A37" s="20"/>
      <c r="B37" s="16" t="s">
        <v>142</v>
      </c>
      <c r="C37" s="18">
        <f>COUNTIF(Results!$BA$2:$BA$94,Summary!C33)</f>
        <v>15</v>
      </c>
      <c r="D37" s="18">
        <f>COUNTIF(Results!$BA$2:$BA$94,Summary!D33)</f>
        <v>11</v>
      </c>
      <c r="E37" s="18">
        <f>COUNTIF(Results!$BA$2:$BA$94,Summary!E33)</f>
        <v>3</v>
      </c>
      <c r="F37" s="18">
        <f>COUNTIF(Results!$BA$2:$BA$94,Summary!F33)</f>
        <v>1</v>
      </c>
      <c r="G37" s="25">
        <f>MIN(Results!$BE$2:$BE$94)</f>
        <v>1.6666666666666667</v>
      </c>
      <c r="H37" s="25">
        <f>MAX(Results!$BE$2:$BE$94)</f>
        <v>100</v>
      </c>
      <c r="I37" s="127">
        <f>AVERAGE(NrmQ5_2)</f>
        <v>0.30564158279059456</v>
      </c>
      <c r="K37" s="111"/>
      <c r="L37" s="20"/>
      <c r="M37" s="16" t="s">
        <v>142</v>
      </c>
      <c r="N37" s="18">
        <f>COUNTIFS(Results!$BA$2:$BA$94,Summary!N33,EPA,L34)</f>
        <v>3</v>
      </c>
      <c r="O37" s="18">
        <f>COUNTIFS(Results!$BA$2:$BA$94,Summary!O33,EPA,L34)</f>
        <v>2</v>
      </c>
      <c r="P37" s="18">
        <f>COUNTIFS(Results!$BA$2:$BA$94,Summary!P33,EPA,L34)</f>
        <v>1</v>
      </c>
      <c r="Q37" s="18">
        <f>COUNTIFS(Results!$BA$2:$BA$94,Summary!Q33,EPA,L34)</f>
        <v>0</v>
      </c>
      <c r="R37" s="25">
        <f t="array" ref="R37">MIN(IF(EPA=L34,Results!$BE$2:$BE$94))</f>
        <v>0</v>
      </c>
      <c r="S37" s="25">
        <f t="array" ref="S37">MAX(IF(EPA=L34,Results!$BE$2:$BE$94))</f>
        <v>100</v>
      </c>
      <c r="T37" s="127">
        <f>AVERAGEIF(EPA,L34,NrmQ5_2)</f>
        <v>0.27706042238986034</v>
      </c>
      <c r="V37" s="111"/>
      <c r="W37" s="20"/>
      <c r="X37" s="16" t="s">
        <v>142</v>
      </c>
      <c r="Y37" s="18">
        <f>COUNTIFS(Results!$BA$2:$BA$94,Summary!Y33,EPA,W34)</f>
        <v>8</v>
      </c>
      <c r="Z37" s="18">
        <f>COUNTIFS(Results!$BA$2:$BA$94,Summary!Z33,EPA,W34)</f>
        <v>5</v>
      </c>
      <c r="AA37" s="18">
        <f>COUNTIFS(Results!$BA$2:$BA$94,Summary!AA33,EPA,W34)</f>
        <v>0</v>
      </c>
      <c r="AB37" s="18">
        <f>COUNTIFS(Results!$BA$2:$BA$94,Summary!AB33,EPA,W34)</f>
        <v>1</v>
      </c>
      <c r="AC37" s="25">
        <f t="array" ref="AC37">MIN(IF(EPA=W34,Results!$BE$2:$BE$94))</f>
        <v>0</v>
      </c>
      <c r="AD37" s="25">
        <f t="array" ref="AD37">MAX(IF(EPA=W34,Results!$BE$2:$BE$94))</f>
        <v>100</v>
      </c>
      <c r="AE37" s="127">
        <f>AVERAGEIF(EPA,W34,NrmQ5_2)</f>
        <v>0.32555616093955236</v>
      </c>
      <c r="AF37" s="26"/>
      <c r="AG37" s="111"/>
      <c r="AH37" s="20"/>
      <c r="AI37" s="16" t="s">
        <v>142</v>
      </c>
      <c r="AJ37" s="18">
        <f>COUNTIFS(Results!$BA$2:$BA$94,Summary!AJ33,EPA,AH34)</f>
        <v>4</v>
      </c>
      <c r="AK37" s="18">
        <f>COUNTIFS(Results!$BA$2:$BA$94,Summary!AK33,EPA,AH34)</f>
        <v>4</v>
      </c>
      <c r="AL37" s="18">
        <f>COUNTIFS(Results!$BA$2:$BA$94,Summary!AL33,EPA,AH34)</f>
        <v>2</v>
      </c>
      <c r="AM37" s="18">
        <f>COUNTIFS(Results!$BA$2:$BA$94,Summary!AM33,EPA,AH34)</f>
        <v>0</v>
      </c>
      <c r="AN37" s="25">
        <f t="array" ref="AN37">MIN(IF(EPA=AH34,Results!$BE$2:$BE$94))</f>
        <v>0</v>
      </c>
      <c r="AO37" s="25">
        <f t="array" ref="AO37">MAX(IF(EPA=AH34,Results!$BE$2:$BE$94))</f>
        <v>100</v>
      </c>
      <c r="AP37" s="127">
        <f>AVERAGEIF(EPA,AH34,NrmQ5_2)</f>
        <v>0.29404321139731682</v>
      </c>
      <c r="AQ37" s="26"/>
      <c r="AR37" s="111"/>
      <c r="AS37" s="20"/>
      <c r="AT37" s="16" t="s">
        <v>142</v>
      </c>
      <c r="AU37" s="18">
        <f>COUNTIFS(Results!$BA$2:$BA$94,Summary!AU33,Bkg,AS34)</f>
        <v>9</v>
      </c>
      <c r="AV37" s="18">
        <f>COUNTIFS(Results!$BA$2:$BA$94,Summary!AV33,Bkg,AS34)</f>
        <v>7</v>
      </c>
      <c r="AW37" s="18">
        <f>COUNTIFS(Results!$BA$2:$BA$94,Summary!AW33,Bkg,AS34)</f>
        <v>1</v>
      </c>
      <c r="AX37" s="18">
        <f>COUNTIFS(Results!$BA$2:$BA$94,Summary!AX33,Bkg,AS34)</f>
        <v>1</v>
      </c>
      <c r="AY37" s="25">
        <f t="array" ref="AY37">MIN(IF(Bkg=AS34,Results!$BE$2:$BE$94))</f>
        <v>0</v>
      </c>
      <c r="AZ37" s="25">
        <f t="array" ref="AZ37">MAX(IF(Bkg=AS34,Results!$BE$2:$BE$94))</f>
        <v>100</v>
      </c>
      <c r="BA37" s="127">
        <f>AVERAGEIF(Bkg,AS34,NrmQ5_2)</f>
        <v>0.32583175242448792</v>
      </c>
      <c r="BB37" s="26"/>
      <c r="BC37" s="111"/>
      <c r="BD37" s="20"/>
      <c r="BE37" s="16" t="s">
        <v>142</v>
      </c>
      <c r="BF37" s="18">
        <f>COUNTIFS(Results!$BA$2:$BA$94,Summary!BF33,Bkg,BD34)</f>
        <v>3</v>
      </c>
      <c r="BG37" s="18">
        <f>COUNTIFS(Results!$BA$2:$BA$94,Summary!BG33,Bkg,BD34)</f>
        <v>1</v>
      </c>
      <c r="BH37" s="18">
        <f>COUNTIFS(Results!$BA$2:$BA$94,Summary!BH33,Bkg,BD34)</f>
        <v>1</v>
      </c>
      <c r="BI37" s="18">
        <f>COUNTIFS(Results!$BA$2:$BA$94,Summary!BI33,Bkg,BD34)</f>
        <v>0</v>
      </c>
      <c r="BJ37" s="25">
        <f t="array" ref="BJ37">MIN(IF(Bkg=BD34,Results!$BE$2:$BE$94))</f>
        <v>41</v>
      </c>
      <c r="BK37" s="25">
        <f t="array" ref="BK37">MAX(IF(Bkg=BD34,Results!$BE$2:$BE$94))</f>
        <v>100</v>
      </c>
      <c r="BL37" s="127">
        <f>AVERAGEIF(Bkg,BD34,NrmQ5_2)</f>
        <v>0.25468046172843783</v>
      </c>
      <c r="BM37" s="26"/>
      <c r="BN37" s="111"/>
      <c r="BO37" s="20"/>
      <c r="BP37" s="16" t="s">
        <v>142</v>
      </c>
      <c r="BQ37" s="18">
        <f>COUNTIFS(Results!$BA$2:$BA$94,Summary!BQ33,Bkg,BO34)</f>
        <v>3</v>
      </c>
      <c r="BR37" s="18">
        <f>COUNTIFS(Results!$BA$2:$BA$94,Summary!BR33,Bkg,BO34)</f>
        <v>3</v>
      </c>
      <c r="BS37" s="18">
        <f>COUNTIFS(Results!$BA$2:$BA$94,Summary!BS33,Bkg,BO34)</f>
        <v>1</v>
      </c>
      <c r="BT37" s="18">
        <f>COUNTIFS(Results!$BA$2:$BA$94,Summary!BT33,Bkg,BO34)</f>
        <v>0</v>
      </c>
      <c r="BU37" s="25">
        <f t="array" ref="BU37">MIN(IF(Bkg=BO34,Results!$BE$2:$BE$94))</f>
        <v>0</v>
      </c>
      <c r="BV37" s="25">
        <f t="array" ref="BV37">MAX(IF(Bkg=BO34,Results!$BE$2:$BE$94))</f>
        <v>100</v>
      </c>
      <c r="BW37" s="127">
        <f>AVERAGEIF(Bkg,BO34,NrmQ5_2)</f>
        <v>0.29090370304636098</v>
      </c>
      <c r="BX37" s="26"/>
      <c r="BY37" s="111"/>
      <c r="BZ37" s="20"/>
      <c r="CB37" s="18"/>
      <c r="CC37" s="18"/>
      <c r="CD37" s="18"/>
      <c r="CE37" s="18"/>
      <c r="CF37" s="25"/>
      <c r="CG37" s="25"/>
      <c r="CH37" s="127"/>
      <c r="CI37" s="26"/>
    </row>
    <row r="38" spans="1:87" s="16" customFormat="1" ht="24.95" customHeight="1" x14ac:dyDescent="0.25">
      <c r="A38" s="20"/>
      <c r="B38" s="16" t="s">
        <v>141</v>
      </c>
      <c r="C38" s="18">
        <f>COUNTIF(Results!$AZ$2:$AZ$94,Summary!C33)</f>
        <v>12</v>
      </c>
      <c r="D38" s="18">
        <f>COUNTIF(Results!$AZ$2:$AZ$94,Summary!D33)</f>
        <v>9</v>
      </c>
      <c r="E38" s="18">
        <f>COUNTIF(Results!$AZ$2:$AZ$94,Summary!E33)</f>
        <v>4</v>
      </c>
      <c r="F38" s="18">
        <f>COUNTIF(Results!$AZ$2:$AZ$94,Summary!F33)</f>
        <v>5</v>
      </c>
      <c r="G38" s="25">
        <f>MIN(Results!$BD$2:$BD$94)</f>
        <v>0</v>
      </c>
      <c r="H38" s="25">
        <f>MAX(Results!$BD$2:$BD$94)</f>
        <v>100</v>
      </c>
      <c r="I38" s="127">
        <f>AVERAGE(NrmQ5_1)</f>
        <v>0.29748296390023521</v>
      </c>
      <c r="K38" s="111"/>
      <c r="L38" s="20"/>
      <c r="M38" s="16" t="s">
        <v>141</v>
      </c>
      <c r="N38" s="18">
        <f>COUNTIFS(Results!$AZ$2:$AZ$94,Summary!N33,EPA,L34)</f>
        <v>1</v>
      </c>
      <c r="O38" s="18">
        <f>COUNTIFS(Results!$AZ$2:$AZ$94,Summary!O33,EPA,L34)</f>
        <v>3</v>
      </c>
      <c r="P38" s="18">
        <f>COUNTIFS(Results!$AZ$2:$AZ$94,Summary!P33,EPA,L34)</f>
        <v>0</v>
      </c>
      <c r="Q38" s="18">
        <f>COUNTIFS(Results!$AZ$2:$AZ$94,Summary!Q33,EPA,L34)</f>
        <v>2</v>
      </c>
      <c r="R38" s="25">
        <f t="array" ref="R38">MIN(IF(EPA=L34,Results!$BD$2:$BD$94))</f>
        <v>0</v>
      </c>
      <c r="S38" s="25">
        <f t="array" ref="S38">MAX(IF(EPA=L34,Results!$BD$2:$BD$94))</f>
        <v>100</v>
      </c>
      <c r="T38" s="127">
        <f>AVERAGEIF(EPA,L34,NrmQ5_1)</f>
        <v>0.26439757637673306</v>
      </c>
      <c r="V38" s="111"/>
      <c r="W38" s="20"/>
      <c r="X38" s="16" t="s">
        <v>141</v>
      </c>
      <c r="Y38" s="18">
        <f>COUNTIFS(Results!$AZ$2:$AZ$94,Summary!Y33,EPA,W34)</f>
        <v>5</v>
      </c>
      <c r="Z38" s="18">
        <f>COUNTIFS(Results!$AZ$2:$AZ$94,Summary!Z33,EPA,W34)</f>
        <v>5</v>
      </c>
      <c r="AA38" s="18">
        <f>COUNTIFS(Results!$AZ$2:$AZ$94,Summary!AA33,EPA,W34)</f>
        <v>2</v>
      </c>
      <c r="AB38" s="18">
        <f>COUNTIFS(Results!$AZ$2:$AZ$94,Summary!AB33,EPA,W34)</f>
        <v>2</v>
      </c>
      <c r="AC38" s="25">
        <f t="array" ref="AC38">MIN(IF(EPA=W34,Results!$BD$2:$BD$94))</f>
        <v>0</v>
      </c>
      <c r="AD38" s="25">
        <f t="array" ref="AD38">MAX(IF(EPA=W34,Results!$BD$2:$BD$94))</f>
        <v>100</v>
      </c>
      <c r="AE38" s="127">
        <f>AVERAGEIF(EPA,W34,NrmQ5_1)</f>
        <v>0.34255344186310482</v>
      </c>
      <c r="AF38" s="26"/>
      <c r="AG38" s="111"/>
      <c r="AH38" s="20"/>
      <c r="AI38" s="16" t="s">
        <v>141</v>
      </c>
      <c r="AJ38" s="18">
        <f>COUNTIFS(Results!$AZ$2:$AZ$94,Summary!AJ33,EPA,AH34)</f>
        <v>6</v>
      </c>
      <c r="AK38" s="18">
        <f>COUNTIFS(Results!$AZ$2:$AZ$94,Summary!AK33,EPA,AH34)</f>
        <v>1</v>
      </c>
      <c r="AL38" s="18">
        <f>COUNTIFS(Results!$AZ$2:$AZ$94,Summary!AL33,EPA,AH34)</f>
        <v>2</v>
      </c>
      <c r="AM38" s="18">
        <f>COUNTIFS(Results!$AZ$2:$AZ$94,Summary!AM33,EPA,AH34)</f>
        <v>1</v>
      </c>
      <c r="AN38" s="25">
        <f t="array" ref="AN38">MIN(IF(EPA=AH34,Results!$BD$2:$BD$94))</f>
        <v>0</v>
      </c>
      <c r="AO38" s="25">
        <f t="array" ref="AO38">MAX(IF(EPA=AH34,Results!$BD$2:$BD$94))</f>
        <v>100</v>
      </c>
      <c r="AP38" s="127">
        <f>AVERAGEIF(EPA,AH34,NrmQ5_1)</f>
        <v>0.25543403631025596</v>
      </c>
      <c r="AQ38" s="26"/>
      <c r="AR38" s="111"/>
      <c r="AS38" s="20"/>
      <c r="AT38" s="16" t="s">
        <v>141</v>
      </c>
      <c r="AU38" s="18">
        <f>COUNTIFS(Results!$AZ$2:$AZ$94,Summary!AU33,Bkg,AS34)</f>
        <v>7</v>
      </c>
      <c r="AV38" s="18">
        <f>COUNTIFS(Results!$AZ$2:$AZ$94,Summary!AV33,Bkg,AS34)</f>
        <v>7</v>
      </c>
      <c r="AW38" s="18">
        <f>COUNTIFS(Results!$AZ$2:$AZ$94,Summary!AW33,Bkg,AS34)</f>
        <v>2</v>
      </c>
      <c r="AX38" s="18">
        <f>COUNTIFS(Results!$AZ$2:$AZ$94,Summary!AX33,Bkg,AS34)</f>
        <v>2</v>
      </c>
      <c r="AY38" s="25">
        <f t="array" ref="AY38">MIN(IF(Bkg=AS34,Results!$BD$2:$BD$94))</f>
        <v>0</v>
      </c>
      <c r="AZ38" s="25">
        <f t="array" ref="AZ38">MAX(IF(Bkg=AS34,Results!$BD$2:$BD$94))</f>
        <v>100</v>
      </c>
      <c r="BA38" s="127">
        <f>AVERAGEIF(Bkg,AS34,NrmQ5_1)</f>
        <v>0.3004145700063543</v>
      </c>
      <c r="BB38" s="26"/>
      <c r="BC38" s="111"/>
      <c r="BD38" s="20"/>
      <c r="BE38" s="16" t="s">
        <v>141</v>
      </c>
      <c r="BF38" s="18">
        <f>COUNTIFS(Results!$AZ$2:$AZ$94,Summary!BF33,Bkg,BD34)</f>
        <v>1</v>
      </c>
      <c r="BG38" s="18">
        <f>COUNTIFS(Results!$AZ$2:$AZ$94,Summary!BG33,Bkg,BD34)</f>
        <v>2</v>
      </c>
      <c r="BH38" s="18">
        <f>COUNTIFS(Results!$AZ$2:$AZ$94,Summary!BH33,Bkg,BD34)</f>
        <v>1</v>
      </c>
      <c r="BI38" s="18">
        <f>COUNTIFS(Results!$AZ$2:$AZ$94,Summary!BI33,Bkg,BD34)</f>
        <v>1</v>
      </c>
      <c r="BJ38" s="25">
        <f t="array" ref="BJ38">MIN(IF(Bkg=BD34,Results!$BD$2:$BD$94))</f>
        <v>73.611111111111114</v>
      </c>
      <c r="BK38" s="25">
        <f t="array" ref="BK38">MAX(IF(Bkg=BD34,Results!$BD$2:$BD$94))</f>
        <v>100</v>
      </c>
      <c r="BL38" s="127">
        <f>AVERAGEIF(Bkg,BD34,NrmQ5_1)</f>
        <v>0.30207707365489922</v>
      </c>
      <c r="BM38" s="26"/>
      <c r="BN38" s="111"/>
      <c r="BO38" s="20"/>
      <c r="BP38" s="16" t="s">
        <v>141</v>
      </c>
      <c r="BQ38" s="18">
        <f>COUNTIFS(Results!$AZ$2:$AZ$94,Summary!BQ33,Bkg,BO34)</f>
        <v>4</v>
      </c>
      <c r="BR38" s="18">
        <f>COUNTIFS(Results!$AZ$2:$AZ$94,Summary!BR33,Bkg,BO34)</f>
        <v>0</v>
      </c>
      <c r="BS38" s="18">
        <f>COUNTIFS(Results!$AZ$2:$AZ$94,Summary!BS33,Bkg,BO34)</f>
        <v>1</v>
      </c>
      <c r="BT38" s="18">
        <f>COUNTIFS(Results!$AZ$2:$AZ$94,Summary!BT33,Bkg,BO34)</f>
        <v>2</v>
      </c>
      <c r="BU38" s="25">
        <f t="array" ref="BU38">MIN(IF(Bkg=BO34,Results!$BD$2:$BD$94))</f>
        <v>0</v>
      </c>
      <c r="BV38" s="25">
        <f t="array" ref="BV38">MAX(IF(Bkg=BO34,Results!$BD$2:$BD$94))</f>
        <v>100</v>
      </c>
      <c r="BW38" s="127">
        <f>AVERAGEIF(Bkg,BO34,NrmQ5_1)</f>
        <v>0.28534832180401137</v>
      </c>
      <c r="BX38" s="26"/>
      <c r="BY38" s="111"/>
      <c r="BZ38" s="20"/>
      <c r="CB38" s="18"/>
      <c r="CC38" s="18"/>
      <c r="CD38" s="18"/>
      <c r="CE38" s="18"/>
      <c r="CF38" s="25"/>
      <c r="CG38" s="25"/>
      <c r="CH38" s="127"/>
      <c r="CI38" s="26"/>
    </row>
    <row r="39" spans="1:87" x14ac:dyDescent="0.25">
      <c r="I39" s="39"/>
      <c r="T39" s="39"/>
      <c r="AE39" s="39"/>
      <c r="AP39" s="39"/>
      <c r="BA39" s="39"/>
      <c r="BL39" s="39"/>
      <c r="BW39" s="39"/>
      <c r="CH39" s="39"/>
    </row>
    <row r="40" spans="1:87" x14ac:dyDescent="0.25">
      <c r="C40" s="23">
        <v>100</v>
      </c>
      <c r="D40" s="23">
        <v>4</v>
      </c>
      <c r="E40" s="23">
        <v>3</v>
      </c>
      <c r="F40" s="23">
        <v>2</v>
      </c>
      <c r="L40" s="19"/>
      <c r="N40" s="23">
        <v>100</v>
      </c>
      <c r="O40" s="23">
        <v>4</v>
      </c>
      <c r="P40" s="23">
        <v>3</v>
      </c>
      <c r="Q40" s="23">
        <v>2</v>
      </c>
      <c r="W40" s="19"/>
      <c r="Y40" s="23">
        <v>100</v>
      </c>
      <c r="Z40" s="23">
        <v>4</v>
      </c>
      <c r="AA40" s="23">
        <v>3</v>
      </c>
      <c r="AB40" s="23">
        <v>2</v>
      </c>
      <c r="AH40" s="19"/>
      <c r="AJ40" s="23">
        <v>100</v>
      </c>
      <c r="AK40" s="23">
        <v>4</v>
      </c>
      <c r="AL40" s="23">
        <v>3</v>
      </c>
      <c r="AM40" s="23">
        <v>2</v>
      </c>
      <c r="AS40" s="19"/>
      <c r="AU40" s="23">
        <v>100</v>
      </c>
      <c r="AV40" s="23">
        <v>4</v>
      </c>
      <c r="AW40" s="23">
        <v>3</v>
      </c>
      <c r="AX40" s="23">
        <v>2</v>
      </c>
      <c r="BD40" s="19"/>
      <c r="BF40" s="23">
        <v>100</v>
      </c>
      <c r="BG40" s="23">
        <v>4</v>
      </c>
      <c r="BH40" s="23">
        <v>3</v>
      </c>
      <c r="BI40" s="23">
        <v>2</v>
      </c>
      <c r="BO40" s="19"/>
      <c r="BQ40" s="23">
        <v>100</v>
      </c>
      <c r="BR40" s="23">
        <v>4</v>
      </c>
      <c r="BS40" s="23">
        <v>3</v>
      </c>
      <c r="BT40" s="23">
        <v>2</v>
      </c>
      <c r="BZ40" s="19"/>
      <c r="CB40" s="23"/>
      <c r="CC40" s="23"/>
      <c r="CD40" s="23"/>
      <c r="CE40" s="23"/>
    </row>
    <row r="41" spans="1:87" x14ac:dyDescent="0.25">
      <c r="B41" s="33" t="s">
        <v>113</v>
      </c>
      <c r="C41" s="29" t="s">
        <v>106</v>
      </c>
      <c r="D41" s="29" t="s">
        <v>107</v>
      </c>
      <c r="E41" s="29" t="s">
        <v>114</v>
      </c>
      <c r="F41" s="29" t="s">
        <v>138</v>
      </c>
      <c r="G41" s="29" t="s">
        <v>108</v>
      </c>
      <c r="H41" s="29" t="s">
        <v>109</v>
      </c>
      <c r="I41" s="29" t="s">
        <v>110</v>
      </c>
      <c r="K41" s="110"/>
      <c r="L41" s="19">
        <v>1</v>
      </c>
      <c r="M41" s="33" t="s">
        <v>113</v>
      </c>
      <c r="N41" s="29" t="s">
        <v>106</v>
      </c>
      <c r="O41" s="29" t="s">
        <v>107</v>
      </c>
      <c r="P41" s="29" t="s">
        <v>114</v>
      </c>
      <c r="Q41" s="29" t="s">
        <v>138</v>
      </c>
      <c r="R41" s="29" t="s">
        <v>108</v>
      </c>
      <c r="S41" s="29" t="s">
        <v>109</v>
      </c>
      <c r="T41" s="29" t="s">
        <v>110</v>
      </c>
      <c r="V41" s="110"/>
      <c r="W41" s="19">
        <v>2</v>
      </c>
      <c r="X41" s="33" t="s">
        <v>113</v>
      </c>
      <c r="Y41" s="29" t="s">
        <v>106</v>
      </c>
      <c r="Z41" s="29" t="s">
        <v>107</v>
      </c>
      <c r="AA41" s="29" t="s">
        <v>114</v>
      </c>
      <c r="AB41" s="29" t="s">
        <v>138</v>
      </c>
      <c r="AC41" s="29" t="s">
        <v>108</v>
      </c>
      <c r="AD41" s="29" t="s">
        <v>109</v>
      </c>
      <c r="AE41" s="29" t="s">
        <v>110</v>
      </c>
      <c r="AF41" s="29"/>
      <c r="AG41" s="110"/>
      <c r="AH41" s="19">
        <v>3</v>
      </c>
      <c r="AI41" s="33" t="s">
        <v>113</v>
      </c>
      <c r="AJ41" s="29" t="s">
        <v>106</v>
      </c>
      <c r="AK41" s="29" t="s">
        <v>107</v>
      </c>
      <c r="AL41" s="29" t="s">
        <v>114</v>
      </c>
      <c r="AM41" s="29" t="s">
        <v>138</v>
      </c>
      <c r="AN41" s="29" t="s">
        <v>108</v>
      </c>
      <c r="AO41" s="29" t="s">
        <v>109</v>
      </c>
      <c r="AP41" s="29" t="s">
        <v>110</v>
      </c>
      <c r="AQ41" s="29"/>
      <c r="AR41" s="110"/>
      <c r="AS41" s="19">
        <v>1</v>
      </c>
      <c r="AT41" s="33" t="s">
        <v>113</v>
      </c>
      <c r="AU41" s="29" t="s">
        <v>106</v>
      </c>
      <c r="AV41" s="29" t="s">
        <v>107</v>
      </c>
      <c r="AW41" s="29" t="s">
        <v>114</v>
      </c>
      <c r="AX41" s="29" t="s">
        <v>138</v>
      </c>
      <c r="AY41" s="29" t="s">
        <v>108</v>
      </c>
      <c r="AZ41" s="29" t="s">
        <v>109</v>
      </c>
      <c r="BA41" s="29" t="s">
        <v>110</v>
      </c>
      <c r="BB41" s="29"/>
      <c r="BC41" s="110"/>
      <c r="BD41" s="19">
        <v>2</v>
      </c>
      <c r="BE41" s="33" t="s">
        <v>113</v>
      </c>
      <c r="BF41" s="29" t="s">
        <v>106</v>
      </c>
      <c r="BG41" s="29" t="s">
        <v>107</v>
      </c>
      <c r="BH41" s="29" t="s">
        <v>114</v>
      </c>
      <c r="BI41" s="29" t="s">
        <v>138</v>
      </c>
      <c r="BJ41" s="29" t="s">
        <v>108</v>
      </c>
      <c r="BK41" s="29" t="s">
        <v>109</v>
      </c>
      <c r="BL41" s="29" t="s">
        <v>110</v>
      </c>
      <c r="BM41" s="29"/>
      <c r="BN41" s="110"/>
      <c r="BO41" s="19">
        <v>3</v>
      </c>
      <c r="BP41" s="33" t="s">
        <v>113</v>
      </c>
      <c r="BQ41" s="29" t="s">
        <v>106</v>
      </c>
      <c r="BR41" s="29" t="s">
        <v>107</v>
      </c>
      <c r="BS41" s="29" t="s">
        <v>114</v>
      </c>
      <c r="BT41" s="29" t="s">
        <v>138</v>
      </c>
      <c r="BU41" s="29" t="s">
        <v>108</v>
      </c>
      <c r="BV41" s="29" t="s">
        <v>109</v>
      </c>
      <c r="BW41" s="29" t="s">
        <v>110</v>
      </c>
      <c r="BX41" s="29"/>
      <c r="BY41" s="110"/>
      <c r="BZ41" s="19"/>
      <c r="CA41" s="33"/>
      <c r="CB41" s="29"/>
      <c r="CC41" s="29"/>
      <c r="CD41" s="29"/>
      <c r="CE41" s="29"/>
      <c r="CF41" s="29"/>
      <c r="CG41" s="29"/>
      <c r="CH41" s="29"/>
      <c r="CI41" s="29"/>
    </row>
    <row r="42" spans="1:87" s="16" customFormat="1" ht="24.95" customHeight="1" x14ac:dyDescent="0.25">
      <c r="A42" s="20" t="s">
        <v>39</v>
      </c>
      <c r="B42" s="16" t="s">
        <v>143</v>
      </c>
      <c r="C42" s="18">
        <f>COUNTIF(Results!$BK$2:$BK$94,Summary!C40)</f>
        <v>2</v>
      </c>
      <c r="D42" s="18">
        <f>COUNTIF(Results!$BK$2:$BK$94,Summary!D40)</f>
        <v>4</v>
      </c>
      <c r="E42" s="18">
        <f>COUNTIF(Results!$BK$2:$BK$94,Summary!E40)</f>
        <v>12</v>
      </c>
      <c r="F42" s="18">
        <f>COUNTIF(Results!$BK$2:$BK$94,Summary!F40)</f>
        <v>12</v>
      </c>
      <c r="G42" s="25">
        <f>MIN(Results!$BO$2:$BO$94)</f>
        <v>0</v>
      </c>
      <c r="H42" s="25">
        <f>MAX(Results!$BO$2:$BO$94)</f>
        <v>100</v>
      </c>
      <c r="I42" s="127">
        <f>AVERAGE(NrmQ6_3)</f>
        <v>0.16980159930903377</v>
      </c>
      <c r="K42" s="111"/>
      <c r="L42" s="20" t="s">
        <v>39</v>
      </c>
      <c r="M42" s="16" t="s">
        <v>143</v>
      </c>
      <c r="N42" s="18">
        <f>COUNTIFS(Results!$BK$2:$BK$94,Summary!N40,EPA,L41)</f>
        <v>0</v>
      </c>
      <c r="O42" s="18">
        <f>COUNTIFS(Results!$BK$2:$BK$94,Summary!O40,EPA,L41)</f>
        <v>1</v>
      </c>
      <c r="P42" s="18">
        <f>COUNTIFS(Results!$BK$2:$BK$94,Summary!P40,EPA,L41)</f>
        <v>3</v>
      </c>
      <c r="Q42" s="18">
        <f>COUNTIFS(Results!$BK$2:$BK$94,Summary!Q40,EPA,L41)</f>
        <v>2</v>
      </c>
      <c r="R42" s="25">
        <f t="array" ref="R42">MIN(IF(EPA=L41,Results!$BO$2:$BO$94))</f>
        <v>0</v>
      </c>
      <c r="S42" s="25">
        <f t="array" ref="S42">MAX(IF(EPA=L41,Results!$BO$2:$BO$94))</f>
        <v>80</v>
      </c>
      <c r="T42" s="127">
        <f>AVERAGEIF(EPA,L41,NrmQ6_3)</f>
        <v>0.17321177147275418</v>
      </c>
      <c r="V42" s="111"/>
      <c r="W42" s="20" t="s">
        <v>39</v>
      </c>
      <c r="X42" s="16" t="s">
        <v>143</v>
      </c>
      <c r="Y42" s="18">
        <f>COUNTIFS(Results!$BK$2:$BK$94,Summary!Y40,EPA,W41)</f>
        <v>1</v>
      </c>
      <c r="Z42" s="18">
        <f>COUNTIFS(Results!$BK$2:$BK$94,Summary!Z40,EPA,W41)</f>
        <v>2</v>
      </c>
      <c r="AA42" s="18">
        <f>COUNTIFS(Results!$BK$2:$BK$94,Summary!AA40,EPA,W41)</f>
        <v>3</v>
      </c>
      <c r="AB42" s="18">
        <f>COUNTIFS(Results!$BK$2:$BK$94,Summary!AB40,EPA,W41)</f>
        <v>8</v>
      </c>
      <c r="AC42" s="25">
        <f t="array" ref="AC42">MIN(IF(EPA=W41,Results!$BO$2:$BO$94))</f>
        <v>0</v>
      </c>
      <c r="AD42" s="25">
        <f t="array" ref="AD42">MAX(IF(EPA=W41,Results!$BO$2:$BO$94))</f>
        <v>100</v>
      </c>
      <c r="AE42" s="127">
        <f>AVERAGEIF(EPA,W41,NrmQ6_3)</f>
        <v>0.13753947894629495</v>
      </c>
      <c r="AF42" s="26"/>
      <c r="AG42" s="111"/>
      <c r="AH42" s="20" t="s">
        <v>39</v>
      </c>
      <c r="AI42" s="16" t="s">
        <v>143</v>
      </c>
      <c r="AJ42" s="18">
        <f>COUNTIFS(Results!$BK$2:$BK$94,Summary!AJ40,EPA,AH41)</f>
        <v>1</v>
      </c>
      <c r="AK42" s="18">
        <f>COUNTIFS(Results!$BK$2:$BK$94,Summary!AK40,EPA,AH41)</f>
        <v>1</v>
      </c>
      <c r="AL42" s="18">
        <f>COUNTIFS(Results!$BK$2:$BK$94,Summary!AL40,EPA,AH41)</f>
        <v>6</v>
      </c>
      <c r="AM42" s="18">
        <f>COUNTIFS(Results!$BK$2:$BK$94,Summary!AM40,EPA,AH41)</f>
        <v>2</v>
      </c>
      <c r="AN42" s="25">
        <f t="array" ref="AN42">MIN(IF(EPA=AH41,Results!$BO$2:$BO$94))</f>
        <v>0</v>
      </c>
      <c r="AO42" s="25">
        <f t="array" ref="AO42">MAX(IF(EPA=AH41,Results!$BO$2:$BO$94))</f>
        <v>92</v>
      </c>
      <c r="AP42" s="127">
        <f>AVERAGEIF(EPA,AH41,NrmQ6_3)</f>
        <v>0.21003726969873399</v>
      </c>
      <c r="AQ42" s="26"/>
      <c r="AR42" s="111"/>
      <c r="AS42" s="20" t="s">
        <v>39</v>
      </c>
      <c r="AT42" s="16" t="s">
        <v>143</v>
      </c>
      <c r="AU42" s="18">
        <f>COUNTIFS(Results!$BK$2:$BK$94,Summary!AU40,Bkg,AS41)</f>
        <v>1</v>
      </c>
      <c r="AV42" s="18">
        <f>COUNTIFS(Results!$BK$2:$BK$94,Summary!AV40,Bkg,AS41)</f>
        <v>3</v>
      </c>
      <c r="AW42" s="18">
        <f>COUNTIFS(Results!$BK$2:$BK$94,Summary!AW40,Bkg,AS41)</f>
        <v>6</v>
      </c>
      <c r="AX42" s="18">
        <f>COUNTIFS(Results!$BK$2:$BK$94,Summary!AX40,Bkg,AS41)</f>
        <v>8</v>
      </c>
      <c r="AY42" s="25">
        <f t="array" ref="AY42">MIN(IF(Bkg=AS41,Results!$BO$2:$BO$94))</f>
        <v>0</v>
      </c>
      <c r="AZ42" s="25">
        <f t="array" ref="AZ42">MAX(IF(Bkg=AS41,Results!$BO$2:$BO$94))</f>
        <v>92</v>
      </c>
      <c r="BA42" s="127">
        <f>AVERAGEIF(Bkg,AS41,NrmQ6_3)</f>
        <v>0.16861435950989387</v>
      </c>
      <c r="BB42" s="26"/>
      <c r="BC42" s="111"/>
      <c r="BD42" s="20" t="s">
        <v>39</v>
      </c>
      <c r="BE42" s="16" t="s">
        <v>143</v>
      </c>
      <c r="BF42" s="18">
        <f>COUNTIFS(Results!$BK$2:$BK$94,Summary!BF40,Bkg,BD41)</f>
        <v>1</v>
      </c>
      <c r="BG42" s="18">
        <f>COUNTIFS(Results!$BK$2:$BK$94,Summary!BG40,Bkg,BD41)</f>
        <v>0</v>
      </c>
      <c r="BH42" s="18">
        <f>COUNTIFS(Results!$BK$2:$BK$94,Summary!BH40,Bkg,BD41)</f>
        <v>1</v>
      </c>
      <c r="BI42" s="18">
        <f>COUNTIFS(Results!$BK$2:$BK$94,Summary!BI40,Bkg,BD41)</f>
        <v>3</v>
      </c>
      <c r="BJ42" s="25">
        <f t="array" ref="BJ42">MIN(IF(Bkg=BD41,Results!$BO$2:$BO$94))</f>
        <v>13</v>
      </c>
      <c r="BK42" s="25">
        <f t="array" ref="BK42">MAX(IF(Bkg=BD41,Results!$BO$2:$BO$94))</f>
        <v>100</v>
      </c>
      <c r="BL42" s="127">
        <f>AVERAGEIF(Bkg,BD41,NrmQ6_3)</f>
        <v>0.18146838149128458</v>
      </c>
      <c r="BM42" s="26"/>
      <c r="BN42" s="111"/>
      <c r="BO42" s="20" t="s">
        <v>39</v>
      </c>
      <c r="BP42" s="16" t="s">
        <v>143</v>
      </c>
      <c r="BQ42" s="18">
        <f>COUNTIFS(Results!$BK$2:$BK$94,Summary!BQ40,Bkg,BO41)</f>
        <v>0</v>
      </c>
      <c r="BR42" s="18">
        <f>COUNTIFS(Results!$BK$2:$BK$94,Summary!BR40,Bkg,BO41)</f>
        <v>1</v>
      </c>
      <c r="BS42" s="18">
        <f>COUNTIFS(Results!$BK$2:$BK$94,Summary!BS40,Bkg,BO41)</f>
        <v>5</v>
      </c>
      <c r="BT42" s="18">
        <f>COUNTIFS(Results!$BK$2:$BK$94,Summary!BT40,Bkg,BO41)</f>
        <v>1</v>
      </c>
      <c r="BU42" s="25">
        <f t="array" ref="BU42">MIN(IF(Bkg=BO41,Results!$BO$2:$BO$94))</f>
        <v>0</v>
      </c>
      <c r="BV42" s="25">
        <f t="array" ref="BV42">MAX(IF(Bkg=BO41,Results!$BO$2:$BO$94))</f>
        <v>80</v>
      </c>
      <c r="BW42" s="127">
        <f>AVERAGEIF(Bkg,BO41,NrmQ6_3)</f>
        <v>0.16344312692138782</v>
      </c>
      <c r="BX42" s="26"/>
      <c r="BY42" s="111"/>
      <c r="BZ42" s="20"/>
      <c r="CB42" s="18"/>
      <c r="CC42" s="18"/>
      <c r="CD42" s="18"/>
      <c r="CE42" s="18"/>
      <c r="CF42" s="25"/>
      <c r="CG42" s="25"/>
      <c r="CH42" s="127"/>
      <c r="CI42" s="26"/>
    </row>
    <row r="43" spans="1:87" s="16" customFormat="1" ht="24.95" customHeight="1" x14ac:dyDescent="0.25">
      <c r="A43" s="20" t="s">
        <v>305</v>
      </c>
      <c r="B43" s="16" t="s">
        <v>144</v>
      </c>
      <c r="C43" s="18">
        <f>COUNTIF(Results!$BL$2:$BL$94,Summary!C40)</f>
        <v>10</v>
      </c>
      <c r="D43" s="18">
        <f>COUNTIF(Results!$BL$2:$BL$94,Summary!D40)</f>
        <v>9</v>
      </c>
      <c r="E43" s="18">
        <f>COUNTIF(Results!$BL$2:$BL$94,Summary!E40)</f>
        <v>7</v>
      </c>
      <c r="F43" s="18">
        <f>COUNTIF(Results!$BL$2:$BL$94,Summary!F40)</f>
        <v>4</v>
      </c>
      <c r="G43" s="25">
        <f>MIN(Results!$BP$2:$BP$94)</f>
        <v>0</v>
      </c>
      <c r="H43" s="25">
        <f>MAX(Results!$BP$2:$BP$94)</f>
        <v>100</v>
      </c>
      <c r="I43" s="127">
        <f>AVERAGE(NrmQ6_4)</f>
        <v>0.23317871637040397</v>
      </c>
      <c r="K43" s="111"/>
      <c r="L43" s="20" t="s">
        <v>290</v>
      </c>
      <c r="M43" s="16" t="s">
        <v>144</v>
      </c>
      <c r="N43" s="18">
        <f>COUNTIFS(Results!$BL$2:$BL$94,Summary!N40,EPA,L41)</f>
        <v>2</v>
      </c>
      <c r="O43" s="18">
        <f>COUNTIFS(Results!$BL$2:$BL$94,Summary!O40,EPA,L41)</f>
        <v>2</v>
      </c>
      <c r="P43" s="18">
        <f>COUNTIFS(Results!$BL$2:$BL$94,Summary!P40,EPA,L41)</f>
        <v>1</v>
      </c>
      <c r="Q43" s="18">
        <f>COUNTIFS(Results!$BL$2:$BL$94,Summary!Q40,EPA,L41)</f>
        <v>1</v>
      </c>
      <c r="R43" s="25">
        <f t="array" ref="R43">MIN(IF(EPA,L41,Results!$BP$2:$BP$94))</f>
        <v>0</v>
      </c>
      <c r="S43" s="25">
        <f t="array" ref="S43">MAX(IF(EPA=L41,Results!$BP$2:$BP$94))</f>
        <v>100</v>
      </c>
      <c r="T43" s="127">
        <f>AVERAGEIF(EPA,L41,NrmQ6_4)</f>
        <v>0.26137459572100746</v>
      </c>
      <c r="V43" s="111"/>
      <c r="W43" s="20" t="s">
        <v>291</v>
      </c>
      <c r="X43" s="16" t="s">
        <v>144</v>
      </c>
      <c r="Y43" s="18">
        <f>COUNTIFS(Results!$BL$2:$BL$94,Summary!Y40,EPA,W41)</f>
        <v>3</v>
      </c>
      <c r="Z43" s="18">
        <f>COUNTIFS(Results!$BL$2:$BL$94,Summary!Z40,EPA,W41)</f>
        <v>4</v>
      </c>
      <c r="AA43" s="18">
        <f>COUNTIFS(Results!$BL$2:$BL$94,Summary!AA40,EPA,W41)</f>
        <v>5</v>
      </c>
      <c r="AB43" s="18">
        <f>COUNTIFS(Results!$BL$2:$BL$94,Summary!AB40,EPA,W41)</f>
        <v>2</v>
      </c>
      <c r="AC43" s="25">
        <f t="array" ref="AC43">MIN(IF(EPA,W41,Results!$BP$2:$BP$94))</f>
        <v>0</v>
      </c>
      <c r="AD43" s="25">
        <f t="array" ref="AD43">MAX(IF(EPA=W41,Results!$BP$2:$BP$94))</f>
        <v>100</v>
      </c>
      <c r="AE43" s="127">
        <f>AVERAGEIF(EPA,W41,NrmQ6_4)</f>
        <v>0.20386130849208753</v>
      </c>
      <c r="AF43" s="26"/>
      <c r="AG43" s="111"/>
      <c r="AH43" s="20" t="s">
        <v>347</v>
      </c>
      <c r="AI43" s="16" t="s">
        <v>144</v>
      </c>
      <c r="AJ43" s="18">
        <f>COUNTIFS(Results!$BL$2:$BL$94,Summary!AJ40,EPA,AH41)</f>
        <v>5</v>
      </c>
      <c r="AK43" s="18">
        <f>COUNTIFS(Results!$BL$2:$BL$94,Summary!AK40,EPA,AH41)</f>
        <v>3</v>
      </c>
      <c r="AL43" s="18">
        <f>COUNTIFS(Results!$BL$2:$BL$94,Summary!AL40,EPA,AH41)</f>
        <v>1</v>
      </c>
      <c r="AM43" s="18">
        <f>COUNTIFS(Results!$BL$2:$BL$94,Summary!AM40,EPA,AH41)</f>
        <v>1</v>
      </c>
      <c r="AN43" s="25">
        <f t="array" ref="AN43">MIN(IF(EPA,AH41,Results!$BP$2:$BP$94))</f>
        <v>0</v>
      </c>
      <c r="AO43" s="25">
        <f t="array" ref="AO43">MAX(IF(EPA=AH41,Results!$BP$2:$BP$94))</f>
        <v>100</v>
      </c>
      <c r="AP43" s="127">
        <f>AVERAGEIF(EPA,AH41,NrmQ6_4)</f>
        <v>0.2571934069369135</v>
      </c>
      <c r="AQ43" s="26"/>
      <c r="AR43" s="111"/>
      <c r="AS43" s="20" t="s">
        <v>375</v>
      </c>
      <c r="AT43" s="16" t="s">
        <v>144</v>
      </c>
      <c r="AU43" s="18">
        <f>COUNTIFS(Results!$BL$2:$BL$94,Summary!AU40,Bkg,AS41)</f>
        <v>6</v>
      </c>
      <c r="AV43" s="18">
        <f>COUNTIFS(Results!$BL$2:$BL$94,Summary!AV40,Bkg,AS41)</f>
        <v>5</v>
      </c>
      <c r="AW43" s="18">
        <f>COUNTIFS(Results!$BL$2:$BL$94,Summary!AW40,Bkg,AS41)</f>
        <v>5</v>
      </c>
      <c r="AX43" s="18">
        <f>COUNTIFS(Results!$BL$2:$BL$94,Summary!AX40,Bkg,AS41)</f>
        <v>2</v>
      </c>
      <c r="AY43" s="25">
        <f t="array" ref="AY43">MIN(IF(Bkg,AS41,Results!$BP$2:$BP$94))</f>
        <v>0</v>
      </c>
      <c r="AZ43" s="25">
        <f t="array" ref="AZ43">MAX(IF(Bkg=AS41,Results!$BP$2:$BP$94))</f>
        <v>100</v>
      </c>
      <c r="BA43" s="127">
        <f>AVERAGEIF(Bkg,AS41,NrmQ6_4)</f>
        <v>0.23600093745540071</v>
      </c>
      <c r="BB43" s="26"/>
      <c r="BC43" s="111"/>
      <c r="BD43" s="20" t="s">
        <v>376</v>
      </c>
      <c r="BE43" s="16" t="s">
        <v>144</v>
      </c>
      <c r="BF43" s="18">
        <f>COUNTIFS(Results!$BL$2:$BL$94,Summary!BF40,Bkg,BD41)</f>
        <v>3</v>
      </c>
      <c r="BG43" s="18">
        <f>COUNTIFS(Results!$BL$2:$BL$94,Summary!BG40,Bkg,BD41)</f>
        <v>1</v>
      </c>
      <c r="BH43" s="18">
        <f>COUNTIFS(Results!$BL$2:$BL$94,Summary!BH40,Bkg,BD41)</f>
        <v>1</v>
      </c>
      <c r="BI43" s="18">
        <f>COUNTIFS(Results!$BL$2:$BL$94,Summary!BI40,Bkg,BD41)</f>
        <v>0</v>
      </c>
      <c r="BJ43" s="25">
        <f t="array" ref="BJ43">MIN(IF(Bkg,BD41,Results!$BP$2:$BP$94))</f>
        <v>0</v>
      </c>
      <c r="BK43" s="25">
        <f t="array" ref="BK43">MAX(IF(Bkg=BD41,Results!$BP$2:$BP$94))</f>
        <v>100</v>
      </c>
      <c r="BL43" s="127">
        <f>AVERAGEIF(Bkg,BD41,NrmQ6_4)</f>
        <v>0.26974808545896922</v>
      </c>
      <c r="BM43" s="26"/>
      <c r="BN43" s="111"/>
      <c r="BO43" s="20" t="s">
        <v>377</v>
      </c>
      <c r="BP43" s="16" t="s">
        <v>144</v>
      </c>
      <c r="BQ43" s="18">
        <f>COUNTIFS(Results!$BL$2:$BL$94,Summary!BQ40,Bkg,BO41)</f>
        <v>1</v>
      </c>
      <c r="BR43" s="18">
        <f>COUNTIFS(Results!$BL$2:$BL$94,Summary!BR40,Bkg,BO41)</f>
        <v>3</v>
      </c>
      <c r="BS43" s="18">
        <f>COUNTIFS(Results!$BL$2:$BL$94,Summary!BS40,Bkg,BO41)</f>
        <v>1</v>
      </c>
      <c r="BT43" s="18">
        <f>COUNTIFS(Results!$BL$2:$BL$94,Summary!BT40,Bkg,BO41)</f>
        <v>2</v>
      </c>
      <c r="BU43" s="25">
        <f t="array" ref="BU43">MIN(IF(Bkg,BO41,Results!$BP$2:$BP$94))</f>
        <v>0</v>
      </c>
      <c r="BV43" s="25">
        <f t="array" ref="BV43">MAX(IF(Bkg=BO41,Results!$BP$2:$BP$94))</f>
        <v>100</v>
      </c>
      <c r="BW43" s="127">
        <f>AVERAGEIF(Bkg,BO41,NrmQ6_4)</f>
        <v>0.19470794905577513</v>
      </c>
      <c r="BX43" s="26"/>
      <c r="BY43" s="111"/>
      <c r="BZ43" s="20"/>
      <c r="CB43" s="18"/>
      <c r="CC43" s="18"/>
      <c r="CD43" s="18"/>
      <c r="CE43" s="18"/>
      <c r="CF43" s="25"/>
      <c r="CG43" s="25"/>
      <c r="CH43" s="127"/>
      <c r="CI43" s="26"/>
    </row>
    <row r="44" spans="1:87" s="16" customFormat="1" ht="24.95" customHeight="1" x14ac:dyDescent="0.25">
      <c r="A44" s="20"/>
      <c r="B44" s="16" t="s">
        <v>142</v>
      </c>
      <c r="C44" s="18">
        <f>COUNTIF(Results!$BJ$2:$BJ$94,Summary!C40)</f>
        <v>6</v>
      </c>
      <c r="D44" s="18">
        <f>COUNTIF(Results!$BJ$2:$BJ$94,Summary!D40)</f>
        <v>10</v>
      </c>
      <c r="E44" s="18">
        <f>COUNTIF(Results!$BJ$2:$BJ$94,Summary!E40)</f>
        <v>8</v>
      </c>
      <c r="F44" s="18">
        <f>COUNTIF(Results!$BJ$2:$BJ$94,Summary!F40)</f>
        <v>6</v>
      </c>
      <c r="G44" s="25">
        <f>MIN(Results!$BN$2:$BN$94)</f>
        <v>0</v>
      </c>
      <c r="H44" s="25">
        <f>MAX(Results!$BP$2:$BP$94)</f>
        <v>100</v>
      </c>
      <c r="I44" s="127">
        <f>AVERAGE(NrmQ6_2)</f>
        <v>0.20973895569369111</v>
      </c>
      <c r="K44" s="111"/>
      <c r="L44" s="20"/>
      <c r="M44" s="16" t="s">
        <v>142</v>
      </c>
      <c r="N44" s="18">
        <f>COUNTIFS(Results!$BJ$2:$BJ$94,Summary!N40,EPA,L41)</f>
        <v>2</v>
      </c>
      <c r="O44" s="18">
        <f>COUNTIFS(Results!$BJ$2:$BJ$94,Summary!O40,EPA,L41)</f>
        <v>1</v>
      </c>
      <c r="P44" s="18">
        <f>COUNTIFS(Results!$BJ$2:$BJ$94,Summary!P40,EPA,L41)</f>
        <v>2</v>
      </c>
      <c r="Q44" s="18">
        <f>COUNTIFS(Results!$BJ$2:$BJ$94,Summary!Q40,EPA,L41)</f>
        <v>1</v>
      </c>
      <c r="R44" s="25">
        <f t="array" ref="R44">MIN(IF(EPA=L41,Results!$BN$2:$BN$94))</f>
        <v>0</v>
      </c>
      <c r="S44" s="25">
        <f t="array" ref="S44">MAX(IF(EPA=L41,Results!$BN$2:$BN$94))</f>
        <v>100</v>
      </c>
      <c r="T44" s="127">
        <f>AVERAGEIF(EPA,L41,NrmQ6_2)</f>
        <v>0.24138459072350615</v>
      </c>
      <c r="V44" s="111"/>
      <c r="W44" s="20"/>
      <c r="X44" s="16" t="s">
        <v>142</v>
      </c>
      <c r="Y44" s="18">
        <f>COUNTIFS(Results!$BJ$2:$BJ$94,Summary!Y40,EPA,W41)</f>
        <v>2</v>
      </c>
      <c r="Z44" s="18">
        <f>COUNTIFS(Results!$BJ$2:$BJ$94,Summary!Z40,EPA,W41)</f>
        <v>7</v>
      </c>
      <c r="AA44" s="18">
        <f>COUNTIFS(Results!$BJ$2:$BJ$94,Summary!AA40,EPA,W41)</f>
        <v>3</v>
      </c>
      <c r="AB44" s="18">
        <f>COUNTIFS(Results!$BJ$2:$BJ$94,Summary!AB40,EPA,W41)</f>
        <v>2</v>
      </c>
      <c r="AC44" s="25">
        <f t="array" ref="AC44">MIN(IF(EPA=W41,Results!$BN$2:$BN$94))</f>
        <v>0</v>
      </c>
      <c r="AD44" s="25">
        <f t="array" ref="AD44">MAX(IF(EPA=W41,Results!$BN$2:$BN$94))</f>
        <v>100</v>
      </c>
      <c r="AE44" s="127">
        <f>AVERAGEIF(EPA,W41,NrmQ6_2)</f>
        <v>0.16487107807528464</v>
      </c>
      <c r="AF44" s="26"/>
      <c r="AG44" s="111"/>
      <c r="AH44" s="20"/>
      <c r="AI44" s="16" t="s">
        <v>142</v>
      </c>
      <c r="AJ44" s="18">
        <f>COUNTIFS(Results!$BJ$2:$BJ$94,Summary!AJ40,EPA,AH41)</f>
        <v>2</v>
      </c>
      <c r="AK44" s="18">
        <f>COUNTIFS(Results!$BJ$2:$BJ$94,Summary!AK40,EPA,AH41)</f>
        <v>2</v>
      </c>
      <c r="AL44" s="18">
        <f>COUNTIFS(Results!$BJ$2:$BJ$94,Summary!AL40,EPA,AH41)</f>
        <v>3</v>
      </c>
      <c r="AM44" s="18">
        <f>COUNTIFS(Results!$BJ$2:$BJ$94,Summary!AM40,EPA,AH41)</f>
        <v>3</v>
      </c>
      <c r="AN44" s="25">
        <f t="array" ref="AN44">MIN(IF(EPA=AH41,Results!$BN$2:$BN$94))</f>
        <v>0</v>
      </c>
      <c r="AO44" s="25">
        <f t="array" ref="AO44">MAX(IF(EPA=AH41,Results!$BN$2:$BN$94))</f>
        <v>100</v>
      </c>
      <c r="AP44" s="127">
        <f>AVERAGEIF(EPA,AH41,NrmQ6_2)</f>
        <v>0.25224437908271213</v>
      </c>
      <c r="AQ44" s="26"/>
      <c r="AR44" s="111"/>
      <c r="AS44" s="20"/>
      <c r="AT44" s="16" t="s">
        <v>142</v>
      </c>
      <c r="AU44" s="18">
        <f>COUNTIFS(Results!$BJ$2:$BJ$94,Summary!AU40,Bkg,AS41)</f>
        <v>2</v>
      </c>
      <c r="AV44" s="18">
        <f>COUNTIFS(Results!$BJ$2:$BJ$94,Summary!AV40,Bkg,AS41)</f>
        <v>6</v>
      </c>
      <c r="AW44" s="18">
        <f>COUNTIFS(Results!$BJ$2:$BJ$94,Summary!AW40,Bkg,AS41)</f>
        <v>5</v>
      </c>
      <c r="AX44" s="18">
        <f>COUNTIFS(Results!$BJ$2:$BJ$94,Summary!AX40,Bkg,AS41)</f>
        <v>5</v>
      </c>
      <c r="AY44" s="25">
        <f t="array" ref="AY44">MIN(IF(Bkg=AS41,Results!$BN$2:$BN$94))</f>
        <v>0</v>
      </c>
      <c r="AZ44" s="25">
        <f t="array" ref="AZ44">MAX(IF(Bkg=AS41,Results!$BN$2:$BN$94))</f>
        <v>100</v>
      </c>
      <c r="BA44" s="127">
        <f>AVERAGEIF(Bkg,AS41,NrmQ6_2)</f>
        <v>0.18971322520715428</v>
      </c>
      <c r="BB44" s="26"/>
      <c r="BC44" s="111"/>
      <c r="BD44" s="20"/>
      <c r="BE44" s="16" t="s">
        <v>142</v>
      </c>
      <c r="BF44" s="18">
        <f>COUNTIFS(Results!$BJ$2:$BJ$94,Summary!BF40,Bkg,BD41)</f>
        <v>0</v>
      </c>
      <c r="BG44" s="18">
        <f>COUNTIFS(Results!$BJ$2:$BJ$94,Summary!BG40,Bkg,BD41)</f>
        <v>3</v>
      </c>
      <c r="BH44" s="18">
        <f>COUNTIFS(Results!$BJ$2:$BJ$94,Summary!BH40,Bkg,BD41)</f>
        <v>2</v>
      </c>
      <c r="BI44" s="18">
        <f>COUNTIFS(Results!$BJ$2:$BJ$94,Summary!BI40,Bkg,BD41)</f>
        <v>0</v>
      </c>
      <c r="BJ44" s="25">
        <f t="array" ref="BJ44">MIN(IF(Bkg=BD41,Results!$BN$2:$BN$94))</f>
        <v>23</v>
      </c>
      <c r="BK44" s="25">
        <f t="array" ref="BK44">MAX(IF(Bkg=BD41,Results!$BN$2:$BN$94))</f>
        <v>80</v>
      </c>
      <c r="BL44" s="127">
        <f>AVERAGEIF(Bkg,BD41,NrmQ6_2)</f>
        <v>0.21670686206967385</v>
      </c>
      <c r="BM44" s="26"/>
      <c r="BN44" s="111"/>
      <c r="BO44" s="20"/>
      <c r="BP44" s="16" t="s">
        <v>142</v>
      </c>
      <c r="BQ44" s="18">
        <f>COUNTIFS(Results!$BJ$2:$BJ$94,Summary!BQ40,Bkg,BO41)</f>
        <v>4</v>
      </c>
      <c r="BR44" s="18">
        <f>COUNTIFS(Results!$BJ$2:$BJ$94,Summary!BR40,Bkg,BO41)</f>
        <v>1</v>
      </c>
      <c r="BS44" s="18">
        <f>COUNTIFS(Results!$BJ$2:$BJ$94,Summary!BS40,Bkg,BO41)</f>
        <v>1</v>
      </c>
      <c r="BT44" s="18">
        <f>COUNTIFS(Results!$BJ$2:$BJ$94,Summary!BT40,Bkg,BO41)</f>
        <v>1</v>
      </c>
      <c r="BU44" s="25">
        <f t="array" ref="BU44">MIN(IF(Bkg=BO41,Results!$BN$2:$BN$94))</f>
        <v>0</v>
      </c>
      <c r="BV44" s="25">
        <f t="array" ref="BV44">MAX(IF(Bkg=BO41,Results!$BN$2:$BN$94))</f>
        <v>100</v>
      </c>
      <c r="BW44" s="127">
        <f>AVERAGEIF(Bkg,BO41,NrmQ6_2)</f>
        <v>0.26067193675889327</v>
      </c>
      <c r="BX44" s="26"/>
      <c r="BY44" s="111"/>
      <c r="BZ44" s="20"/>
      <c r="CB44" s="18"/>
      <c r="CC44" s="18"/>
      <c r="CD44" s="18"/>
      <c r="CE44" s="18"/>
      <c r="CF44" s="25"/>
      <c r="CG44" s="25"/>
      <c r="CH44" s="127"/>
      <c r="CI44" s="26"/>
    </row>
    <row r="45" spans="1:87" s="16" customFormat="1" ht="24.95" customHeight="1" x14ac:dyDescent="0.25">
      <c r="A45" s="20"/>
      <c r="B45" s="16" t="s">
        <v>141</v>
      </c>
      <c r="C45" s="18">
        <f>COUNTIF(Results!$BI$2:$BI$94,Summary!C40)</f>
        <v>17</v>
      </c>
      <c r="D45" s="18">
        <f>COUNTIF(Results!$BI$2:$BI$94,Summary!D40)</f>
        <v>10</v>
      </c>
      <c r="E45" s="18">
        <f>COUNTIF(Results!$BI$2:$BI$94,Summary!E40)</f>
        <v>1</v>
      </c>
      <c r="F45" s="18">
        <f>COUNTIF(Results!$BI$2:$BI$94,Summary!F40)</f>
        <v>2</v>
      </c>
      <c r="G45" s="25">
        <f>MIN(Results!$BM$2:$BM$94)</f>
        <v>30</v>
      </c>
      <c r="H45" s="25">
        <f>MAX(Results!$BM$2:$BM$94)</f>
        <v>100</v>
      </c>
      <c r="I45" s="127">
        <f>AVERAGE(NrmQ6_1)</f>
        <v>0.38728072862687124</v>
      </c>
      <c r="K45" s="111"/>
      <c r="L45" s="20"/>
      <c r="M45" s="16" t="s">
        <v>141</v>
      </c>
      <c r="N45" s="18">
        <f>COUNTIFS(Results!$BI$2:$BI$94,Summary!N40,EPA,L41)</f>
        <v>2</v>
      </c>
      <c r="O45" s="18">
        <f>COUNTIFS(Results!$BI$2:$BI$94,Summary!O40,EPA,L41)</f>
        <v>3</v>
      </c>
      <c r="P45" s="18">
        <f>COUNTIFS(Results!$BI$2:$BI$94,Summary!P40,EPA,L41)</f>
        <v>0</v>
      </c>
      <c r="Q45" s="18">
        <f>COUNTIFS(Results!$BI$2:$BI$94,Summary!Q40,EPA,L41)</f>
        <v>1</v>
      </c>
      <c r="R45" s="25">
        <f t="array" ref="R45">MIN(IF(EPA=L41,Results!$BM$2:$BM$94))</f>
        <v>0</v>
      </c>
      <c r="S45" s="25">
        <f t="array" ref="S45">MAX(IF(EPA=L41,Results!$BM$2:$BM$94))</f>
        <v>100</v>
      </c>
      <c r="T45" s="127">
        <f>AVERAGEIF(EPA,L41,NrmQ6_1)</f>
        <v>0.3240290420827322</v>
      </c>
      <c r="V45" s="111"/>
      <c r="W45" s="20"/>
      <c r="X45" s="16" t="s">
        <v>141</v>
      </c>
      <c r="Y45" s="18">
        <f>COUNTIFS(Results!$BI$2:$BI$94,Summary!Y40,EPA,W41)</f>
        <v>10</v>
      </c>
      <c r="Z45" s="18">
        <f>COUNTIFS(Results!$BI$2:$BI$94,Summary!Z40,EPA,W41)</f>
        <v>2</v>
      </c>
      <c r="AA45" s="18">
        <f>COUNTIFS(Results!$BI$2:$BI$94,Summary!AA40,EPA,W41)</f>
        <v>1</v>
      </c>
      <c r="AB45" s="18">
        <f>COUNTIFS(Results!$BI$2:$BI$94,Summary!AB40,EPA,W41)</f>
        <v>1</v>
      </c>
      <c r="AC45" s="25">
        <f t="array" ref="AC45">MIN(IF(EPA=W41,Results!$BM$2:$BM$94))</f>
        <v>0</v>
      </c>
      <c r="AD45" s="25">
        <f t="array" ref="AD45">MAX(IF(EPA=W41,Results!$BM$2:$BM$94))</f>
        <v>100</v>
      </c>
      <c r="AE45" s="127">
        <f>AVERAGEIF(EPA,W41,NrmQ6_1)</f>
        <v>0.49372813448633285</v>
      </c>
      <c r="AF45" s="26"/>
      <c r="AG45" s="111"/>
      <c r="AH45" s="20"/>
      <c r="AI45" s="16" t="s">
        <v>141</v>
      </c>
      <c r="AJ45" s="18">
        <f>COUNTIFS(Results!$BI$2:$BI$94,Summary!AJ40,EPA,AH41)</f>
        <v>5</v>
      </c>
      <c r="AK45" s="18">
        <f>COUNTIFS(Results!$BI$2:$BI$94,Summary!AK40,EPA,AH41)</f>
        <v>5</v>
      </c>
      <c r="AL45" s="18">
        <f>COUNTIFS(Results!$BI$2:$BI$94,Summary!AL40,EPA,AH41)</f>
        <v>0</v>
      </c>
      <c r="AM45" s="18">
        <f>COUNTIFS(Results!$BI$2:$BI$94,Summary!AM40,EPA,AH41)</f>
        <v>0</v>
      </c>
      <c r="AN45" s="25">
        <f t="array" ref="AN45">MIN(IF(EPA=AH41,Results!$BM$2:$BM$94))</f>
        <v>0</v>
      </c>
      <c r="AO45" s="25">
        <f t="array" ref="AO45">MAX(IF(EPA=AH41,Results!$BM$2:$BM$94))</f>
        <v>100</v>
      </c>
      <c r="AP45" s="127">
        <f>AVERAGEIF(EPA,AH41,NrmQ6_1)</f>
        <v>0.28052494428164038</v>
      </c>
      <c r="AQ45" s="26"/>
      <c r="AR45" s="111"/>
      <c r="AS45" s="20"/>
      <c r="AT45" s="16" t="s">
        <v>141</v>
      </c>
      <c r="AU45" s="18">
        <f>COUNTIFS(Results!$BI$2:$BI$94,Summary!AU40,Bkg,AS41)</f>
        <v>12</v>
      </c>
      <c r="AV45" s="18">
        <f>COUNTIFS(Results!$BI$2:$BI$94,Summary!AV40,Bkg,AS41)</f>
        <v>6</v>
      </c>
      <c r="AW45" s="18">
        <f>COUNTIFS(Results!$BI$2:$BI$94,Summary!AW40,Bkg,AS41)</f>
        <v>0</v>
      </c>
      <c r="AX45" s="18">
        <f>COUNTIFS(Results!$BI$2:$BI$94,Summary!AX40,Bkg,AS41)</f>
        <v>0</v>
      </c>
      <c r="AY45" s="25">
        <f t="array" ref="AY45">MIN(IF(Bkg=AS41,Results!$BM$2:$BM$94))</f>
        <v>0</v>
      </c>
      <c r="AZ45" s="25">
        <f t="array" ref="AZ45">MAX(IF(Bkg=AS41,Results!$BM$2:$BM$94))</f>
        <v>100</v>
      </c>
      <c r="BA45" s="127">
        <f>AVERAGEIF(Bkg,AS41,NrmQ6_1)</f>
        <v>0.40567147782755109</v>
      </c>
      <c r="BB45" s="26"/>
      <c r="BC45" s="111"/>
      <c r="BD45" s="20"/>
      <c r="BE45" s="16" t="s">
        <v>141</v>
      </c>
      <c r="BF45" s="18">
        <f>COUNTIFS(Results!$BI$2:$BI$94,Summary!BF40,Bkg,BD41)</f>
        <v>2</v>
      </c>
      <c r="BG45" s="18">
        <f>COUNTIFS(Results!$BI$2:$BI$94,Summary!BG40,Bkg,BD41)</f>
        <v>2</v>
      </c>
      <c r="BH45" s="18">
        <f>COUNTIFS(Results!$BI$2:$BI$94,Summary!BH40,Bkg,BD41)</f>
        <v>1</v>
      </c>
      <c r="BI45" s="18">
        <f>COUNTIFS(Results!$BI$2:$BI$94,Summary!BI40,Bkg,BD41)</f>
        <v>0</v>
      </c>
      <c r="BJ45" s="25">
        <f t="array" ref="BJ45">MIN(IF(Bkg=BD41,Results!$BM$2:$BM$94))</f>
        <v>71</v>
      </c>
      <c r="BK45" s="25">
        <f t="array" ref="BK45">MAX(IF(Bkg=BD41,Results!$BM$2:$BM$94))</f>
        <v>100</v>
      </c>
      <c r="BL45" s="127">
        <f>AVERAGEIF(Bkg,BD41,NrmQ6_1)</f>
        <v>0.33207667098007232</v>
      </c>
      <c r="BM45" s="26"/>
      <c r="BN45" s="111"/>
      <c r="BO45" s="20"/>
      <c r="BP45" s="16" t="s">
        <v>141</v>
      </c>
      <c r="BQ45" s="18">
        <f>COUNTIFS(Results!$BI$2:$BI$94,Summary!BQ40,Bkg,BO41)</f>
        <v>3</v>
      </c>
      <c r="BR45" s="18">
        <f>COUNTIFS(Results!$BI$2:$BI$94,Summary!BR40,Bkg,BO41)</f>
        <v>2</v>
      </c>
      <c r="BS45" s="18">
        <f>COUNTIFS(Results!$BI$2:$BI$94,Summary!BS40,Bkg,BO41)</f>
        <v>0</v>
      </c>
      <c r="BT45" s="18">
        <f>COUNTIFS(Results!$BI$2:$BI$94,Summary!BT40,Bkg,BO41)</f>
        <v>2</v>
      </c>
      <c r="BU45" s="25">
        <f t="array" ref="BU45">MIN(IF(Bkg=BO41,Results!$BM$2:$BM$94))</f>
        <v>0</v>
      </c>
      <c r="BV45" s="25">
        <f t="array" ref="BV45">MAX(IF(Bkg=BO41,Results!$BM$2:$BM$94))</f>
        <v>100</v>
      </c>
      <c r="BW45" s="127">
        <f>AVERAGEIF(Bkg,BO41,NrmQ6_1)</f>
        <v>0.38117698726394372</v>
      </c>
      <c r="BX45" s="26"/>
      <c r="BY45" s="111"/>
      <c r="BZ45" s="20"/>
      <c r="CB45" s="18"/>
      <c r="CC45" s="18"/>
      <c r="CD45" s="18"/>
      <c r="CE45" s="18"/>
      <c r="CF45" s="25"/>
      <c r="CG45" s="25"/>
      <c r="CH45" s="127"/>
      <c r="CI45" s="26"/>
    </row>
    <row r="46" spans="1:87" x14ac:dyDescent="0.25">
      <c r="J46" s="39"/>
    </row>
    <row r="48" spans="1:87" x14ac:dyDescent="0.25">
      <c r="B48" s="19" t="s">
        <v>15</v>
      </c>
      <c r="D48" s="40" t="s">
        <v>19</v>
      </c>
      <c r="E48" s="40"/>
      <c r="F48" s="40" t="s">
        <v>24</v>
      </c>
      <c r="G48" s="40"/>
      <c r="H48" s="40" t="s">
        <v>29</v>
      </c>
      <c r="I48" s="40"/>
      <c r="J48" s="40" t="s">
        <v>34</v>
      </c>
      <c r="K48" s="112"/>
      <c r="L48" s="40" t="s">
        <v>39</v>
      </c>
      <c r="M48" s="40"/>
      <c r="N48" s="40" t="s">
        <v>145</v>
      </c>
      <c r="V48" s="112"/>
      <c r="AG48" s="112"/>
      <c r="AR48" s="112"/>
      <c r="BC48" s="112"/>
      <c r="BN48" s="112"/>
      <c r="BY48" s="112"/>
    </row>
    <row r="49" spans="2:77" x14ac:dyDescent="0.25">
      <c r="B49" s="41" t="s">
        <v>146</v>
      </c>
      <c r="C49" s="42"/>
      <c r="D49" s="41" t="s">
        <v>147</v>
      </c>
      <c r="E49" s="42"/>
      <c r="F49" s="41" t="s">
        <v>148</v>
      </c>
      <c r="G49" s="42"/>
      <c r="H49" s="41" t="s">
        <v>149</v>
      </c>
      <c r="I49" s="42"/>
      <c r="J49" s="41" t="s">
        <v>150</v>
      </c>
      <c r="K49" s="113"/>
      <c r="L49" s="41" t="s">
        <v>151</v>
      </c>
      <c r="M49" s="42"/>
      <c r="N49" s="41" t="s">
        <v>152</v>
      </c>
      <c r="V49" s="113"/>
      <c r="AG49" s="113"/>
      <c r="AR49" s="113"/>
      <c r="BC49" s="113"/>
      <c r="BN49" s="113"/>
      <c r="BY49" s="113"/>
    </row>
    <row r="50" spans="2:77" x14ac:dyDescent="0.25">
      <c r="B50" s="42" t="str">
        <f>Results!Z9</f>
        <v>Use dictates exposure</v>
      </c>
      <c r="C50" s="42"/>
      <c r="D50" s="42" t="str">
        <f>Results!AG19</f>
        <v>What you do is more important than how you make it</v>
      </c>
      <c r="E50" s="42"/>
      <c r="F50" s="42" t="str">
        <f>Results!AP23</f>
        <v>When there is a list of alternative chemicals to choose from I think that there is a tendency to choose those that have ADME properties that lead to a short residency time in a human, but overall I am not sure that this significantly changes the potential for exposure. ADME and hazard both impact the effects of exposure, but not the exposure itself.</v>
      </c>
      <c r="G50" s="42"/>
      <c r="H50" s="42" t="str">
        <f>Results!AY5</f>
        <v>think all are important but have placed in this order as think: activity is most important as determines how used which has greatest influence on exposure potential, then environment as these conditions (room volume, air exchange, indoors or outdoors will also influence), then subject and then ubiquity because even if widespread use if it occurs in a controlled manner will be less important for exposure potential than the manner of use and PPE, etc.  In practice it will also matter how each of these parameters are defined.  For example, the parameters in Figure 3 of the survey documentation for ubiquity indicate quantity and location count, but note they differ than the metrics used in the Mitchell paper, which included regional geometric mean production quantity. think the quantity and location count are more straight forward</v>
      </c>
      <c r="I50" s="42"/>
      <c r="J50" s="42" t="str">
        <f>Results!BH21</f>
        <v>The subject moved up significantly since this group can now include infants and children who may be much more highly impacted depending on the activity (which has also moved up).</v>
      </c>
      <c r="K50" s="113"/>
      <c r="L50" s="42" t="str">
        <f>Results!BQ3</f>
        <v>To me most important for disposal is how much and where is it disposed of.  Subject not that clear</v>
      </c>
      <c r="M50" s="42"/>
      <c r="N50" s="42" t="str">
        <f>Results!BR11</f>
        <v>The suvey was straightforward and easy to fill out.</v>
      </c>
      <c r="V50" s="113"/>
      <c r="AG50" s="113"/>
      <c r="AR50" s="113"/>
      <c r="BC50" s="113"/>
      <c r="BN50" s="113"/>
      <c r="BY50" s="113"/>
    </row>
    <row r="51" spans="2:77" x14ac:dyDescent="0.25">
      <c r="B51" s="42" t="str">
        <f>Results!Z24</f>
        <v>Use characterisitics are as important a determinant of exposure as the nature of the chemical itself. Indeed, use is more important if near field exposures are being assessed.</v>
      </c>
      <c r="C51" s="42"/>
      <c r="D51" s="42" t="str">
        <f>Results!AG2</f>
        <v>This was a tough one.  Knee jerk reaction is to protect consumers and workers first.  BUT there is far too little attention paid to non point source emissions at the end of life of products and more focus there could be helpful</v>
      </c>
      <c r="E51" s="42"/>
      <c r="F51" s="42" t="str">
        <f>Results!AP28</f>
        <v>Ultimately, if something persists and accumulates (in the environment and/or biota) it often reaches hazardous exposure concentrations.</v>
      </c>
      <c r="G51" s="42"/>
      <c r="H51" s="42" t="str">
        <f>Results!AY24</f>
        <v>The nature of industrial activities (degree of open/closedness) determines release. Ubiquity is simple a magnifier of this. The subject and environment come a close 3rd to ubiquity.</v>
      </c>
      <c r="I51" s="42"/>
      <c r="J51" s="42" t="str">
        <f>Results!BH13</f>
        <v>The subject is very important- who is likely to engage in consumer use is most important.  The actual activity is important to quantify exposure.   If the chemical is ubiquitous we have to be careful - though subject and activity are probably stronger deciding factors.  External environment is probably not so important-  however, caution in being "too smart" and setting this to zero.</v>
      </c>
      <c r="K51" s="113"/>
      <c r="L51" s="42" t="str">
        <f>Results!BQ8</f>
        <v>The more substance being disposed in various locations the higher the potential for human exposure. This was followed by where the disposal is occuring and how it is occurring. Who is doing the activity is not as important to us since we do not consider occupational exposure.</v>
      </c>
      <c r="M51" s="42"/>
      <c r="N51" s="42" t="str">
        <f>Results!BR13</f>
        <v xml:space="preserve">The last question is problematic in my opinion:  Subject is defined as user of chemical in the disposal phase.  Do you mean recyclers or waste industry, as opposed to humans impacted by disposed chemicals.   / </v>
      </c>
      <c r="V51" s="113"/>
      <c r="AG51" s="113"/>
      <c r="AR51" s="113"/>
      <c r="BC51" s="113"/>
      <c r="BN51" s="113"/>
      <c r="BY51" s="113"/>
    </row>
    <row r="52" spans="2:77" x14ac:dyDescent="0.25">
      <c r="B52" s="42" t="str">
        <f>Results!Z27</f>
        <v>typically, chemical properties are one of the main drivers of human exposure across pathways, then additional pathway-specific characteristics become relevant incl. life cycle properties</v>
      </c>
      <c r="C52" s="42"/>
      <c r="D52" s="42" t="str">
        <f>Results!AG25</f>
        <v xml:space="preserve">This section was difficult to rank. For example, the importance of the life cycle stage for exposure will likely depend on the populaiton group being considered. For example, exposure to workers may be more important in the production phase rather than the consumer use phase. But for the general population, the use-phase will likely be more important than the production or disposal phase. </v>
      </c>
      <c r="E52" s="42"/>
      <c r="F52" s="42" t="str">
        <f>Results!AP6</f>
        <v>This is one of the most difficult criteria to rank. Persistence, bioaccumulation, and ADME properties are all important with regard to potential exposure. Flammability and reactivity less. I would have assigned higher point values to physical properties such as solubility as volatility.</v>
      </c>
      <c r="G52" s="42"/>
      <c r="H52" s="42" t="str">
        <f>Results!AY3</f>
        <v>The more the substance is used the higher potential for exposure so ubiquity is ranked highest.  Types of activities are more important than environment and the subject.  The subject and environment are usually more controlled in a production environment so less important</v>
      </c>
      <c r="I52" s="42"/>
      <c r="J52" s="42" t="str">
        <f>Results!BH24</f>
        <v>The nature of a consumer use is paramount for determining human exposure. How frequent that this is also a critical piece of knowledge. It is less important (and broader assumptions can be perhaps be made) concerning the nature of the receiving environment and subject</v>
      </c>
      <c r="K52" s="113"/>
      <c r="L52" s="42" t="str">
        <f>Results!BQ28</f>
        <v>See previous</v>
      </c>
      <c r="M52" s="42"/>
      <c r="N52" s="42" t="str">
        <f>Results!BR6</f>
        <v xml:space="preserve">More definition accompanied by examples of the definitions would have been helpful in this survey. </v>
      </c>
      <c r="V52" s="113"/>
      <c r="AG52" s="113"/>
      <c r="AR52" s="113"/>
      <c r="BC52" s="113"/>
      <c r="BN52" s="113"/>
      <c r="BY52" s="113"/>
    </row>
    <row r="53" spans="2:77" x14ac:dyDescent="0.25">
      <c r="B53" s="42" t="str">
        <f>Results!Z21</f>
        <v>This is difficult since both matter.  If a substance is not released at all during its life cycle this becomes less important.  Also, for PBTs, for instance, the chemical properties are much more important.</v>
      </c>
      <c r="C53" s="42"/>
      <c r="D53" s="42" t="str">
        <f>Results!AG21</f>
        <v>This is highly dependent upon the substance and/or product under consideration.  For electronics, disposal is extremely important.  For consumer products, the use phase may be important.  Depending on handling practices, production could be important (e.g., asbestos, Teflon).</v>
      </c>
      <c r="E53" s="42"/>
      <c r="F53" s="42" t="str">
        <f>Results!AP31</f>
        <v>Relative to exposure assessment, physical hazard is least important since it is usually a measure of acute hazard. Persistence and bioaccumulation are most important for long-term exposure.</v>
      </c>
      <c r="G53" s="42"/>
      <c r="H53" s="42" t="str">
        <f>Results!AY18</f>
        <v>The chemical identity and bioactivity will drive much of the risk decisions.  Ubiquity and environment could be more related to estimates of dose, which would be important if the chemical is toxic.</v>
      </c>
      <c r="I53" s="42"/>
      <c r="J53" s="42" t="str">
        <f>Results!BH3</f>
        <v xml:space="preserve">the more the substance is used by consumers the higher the exposure potential, activities for consumer are very important and whether we are assessing children or adults (subject). </v>
      </c>
      <c r="K53" s="113"/>
      <c r="L53" s="42" t="str">
        <f>Results!BQ17</f>
        <v xml:space="preserve">Rank 1: Activity was ranked 1st because this determines how someone comes in contact with the chemical. If there is close contact, exposure potential could be high irrespective of other criteria. / Rank 2: Exposure is usually more sensitive to emission rates compared to environmental characteristics. / Rank 3: Presumably exposure will be very different for a worker in a disposal facility compared to a member of the individual population who may be exposed to emissions from the facility. This implies that population variability in the disposal phase could change exposure potential substantially. / </v>
      </c>
      <c r="M53" s="42"/>
      <c r="N53" s="42" t="str">
        <f>Results!BR8</f>
        <v>It was difficult to interpret the definition of subject,activity and environment for production, consumer use and disposal.  In discussions with colleagues we all had a different understanding of what the intended question was.</v>
      </c>
      <c r="V53" s="113"/>
      <c r="AG53" s="113"/>
      <c r="AR53" s="113"/>
      <c r="BC53" s="113"/>
      <c r="BN53" s="113"/>
      <c r="BY53" s="113"/>
    </row>
    <row r="54" spans="2:77" x14ac:dyDescent="0.25">
      <c r="B54" s="42" t="str">
        <f>Results!Z29</f>
        <v>The right properties within both criteria are required for an exposure.</v>
      </c>
      <c r="C54" s="42"/>
      <c r="D54" s="42" t="str">
        <f>Results!AG17</f>
        <v xml:space="preserve">These were difficult to rank. The importance of a given phase likely depends on the population group being considered. E.g. workers may have higher exposure during the production rather than use phase, while a member of the general population may have higher exposure during the use phase. Thus the relative scoring was somewhat arbitrary. </v>
      </c>
      <c r="E54" s="42"/>
      <c r="F54" s="42" t="str">
        <f>Results!AP17</f>
        <v>Rank 1: If a chemical accumulates into food (.e.g fish) then this chemical will have a high exposure potential.  / Rank 2: A chemical may be persistent, however if it does not partition into a medium which is taken in by humans, the exposure potential may be low. However, if it does partition into an intake medium then persistence can also yield a high exposure potential. / Rank 3: My understanding is that ADME informs how long a chemical stays in the body. It is difficult to rank without information about other chemical characteristics and emission characteristics. For example if a chemical has a short half life in the body, but an individual is continually exposed to a chemical then ADME is likely irrelevant since there is a continuous chemical source. If the exposure is acute or is stopped at some point, then ADME is likely important since chemical has the potential to accumulate in the body.  / Rank 4: I do not know much about his category, however, it seems that these properties yield higher potential for chemical accidents which could yield human exposures.</v>
      </c>
      <c r="G54" s="42"/>
      <c r="H54" s="42" t="str">
        <f>Results!AY17</f>
        <v xml:space="preserve">Rank 1: Activity was ranked 1st because this determines how someone comes in contact with the chemical. If there is close contact, exposure potential could be high irrespective of other criteria. / Rank 2 &amp; 3: Exposure is usually more sensitive to emission rates compared to environmental characteristics. / Rank 4: Assumed that there is not much subject variability within the production phase. / </v>
      </c>
      <c r="I54" s="42"/>
      <c r="J54" s="42" t="str">
        <f>Results!BH5</f>
        <v xml:space="preserve">similar comments on relative rankings as before, however, because no less control over consumer environments other than packaging, have given equal percentage ratings to all.  will depend on metrics used to assess criteria as well, and definitions/metrics of these 4 characteristics seem to differ in survey documentation as compared to mitchell at el. </v>
      </c>
      <c r="K54" s="113"/>
      <c r="L54" s="42" t="str">
        <f>Results!BQ11</f>
        <v>My reasoning for this ranking is consistent with my explanation for the workplace.</v>
      </c>
      <c r="M54" s="42"/>
      <c r="N54" s="42" t="str">
        <f>Results!BR2</f>
        <v>It is not clear to me whether this work will be used to assess broad scale exposure or whether it will be used to support informed product design; /  / I think there should be more parameters than flammability and reactivity for the physical properties; the form of a chemical (e.g. crystalline silica) and the volatility and solubility all matter a lot too.  I think you might want to consider both the perspective of a regulator and the perspective of a product designer</v>
      </c>
      <c r="V54" s="113"/>
      <c r="AG54" s="113"/>
      <c r="AR54" s="113"/>
      <c r="BC54" s="113"/>
      <c r="BN54" s="113"/>
      <c r="BY54" s="113"/>
    </row>
    <row r="55" spans="2:77" x14ac:dyDescent="0.25">
      <c r="B55" s="42" t="str">
        <f>Results!Z7</f>
        <v>The major determinant of exposure is concentrations in the exposure environment.  Concentrations in the exposure environment are determined by emission rates (a life cycle property) and persistence (a chemical property).  Emissions are linearly proportional to concentrations and are therefore most important.  If you never emit a chemical nobody is ever exposed.  The things bundled into "chemical properties" include other stuff not relevant to persistence so I think that group is less important.</v>
      </c>
      <c r="C55" s="42"/>
      <c r="D55" s="42" t="str">
        <f>Results!AG6</f>
        <v>These rankings reflect a cross between potential for direct exposure and likelihood for exposure control. However this approach is challenged by variability in production and disposal practices across sectors and regions.  /  / The consumer use phase has a very high potential for direct exposure--the consumer is directly handling chemicals. There is also real potential for direct occupational exposure  during the production phase and likely at even higher concentrations than would be experienced during the consumer use phase, but there is also greater likelihood of exposure control in the workplace than would occur in the home place. Depending on the product and region, exposure during disposal phase can be quite high (e.g., recycling of electronics in a less developed country). Furthermore contamination near manufacturing sites and lack of consumer and business stewardship in proper disposal increases potential for widespread exposure. *Categorizing contamination near manufacturing sites in the disposal phase, though contamination could also fit into the production phase.</v>
      </c>
      <c r="E55" s="42"/>
      <c r="F55" s="42" t="str">
        <f>Results!AP7</f>
        <v>Persistence in the exposure environment is by far the most important.  And, P is correlated with high exposure potentials due to ADME and B considerations.  Chemicals that are not P are also more readily metabolized and excreted and are not bioaccumulative.  Therefore these do not add much independent information compared to P.  The physical hazard potential likely only matters for workers which I assume is a small fraction of all the people we care about in this exercise.</v>
      </c>
      <c r="G55" s="42"/>
      <c r="H55" s="42" t="str">
        <f>Results!AY13</f>
        <v>Production phase impacts workers.  Historically, job title has been important in occupational epidemiology;  I interpreted subject=job title.  Without additional bounding information, ubiquity and activity (of workers not consumers) are equally important.  Environment external to production is least important for occupational exposure.  On the other hand, the environment might impose rules (climate (extreme cold, cost of ventilation), regulations (how much solvent can be released to the atmosphere)) that may impact exposures.</v>
      </c>
      <c r="I55" s="42"/>
      <c r="J55" s="42" t="str">
        <f>Results!BH28</f>
        <v>See previous</v>
      </c>
      <c r="K55" s="113"/>
      <c r="L55" s="42" t="str">
        <f>Results!BQ13</f>
        <v>I tend to view disposal as an ecological problem impacting ecosystems.  But wording in this question suggests I should evaluate human users of disposed chemicals; i.e., the waste industry ??</v>
      </c>
      <c r="M55" s="42"/>
      <c r="N55" s="42" t="str">
        <f>Results!BR24</f>
        <v>I think it'd be helpful to describe the domain that goes with some of the determinants. For example, do 'consumer uses' also include cosmetics and agrochemicals or simply household consumer products? Also, is the intention to address event exposures (acute episodes) as well as longer term/chronic exposures?</v>
      </c>
      <c r="V55" s="113"/>
      <c r="AG55" s="113"/>
      <c r="AR55" s="113"/>
      <c r="BC55" s="113"/>
      <c r="BN55" s="113"/>
      <c r="BY55" s="113"/>
    </row>
    <row r="56" spans="2:77" x14ac:dyDescent="0.25">
      <c r="B56" s="42" t="str">
        <f>Results!Z23</f>
        <v>The life cycle (which I take to be how he chemical is used) directly determines the exposure of a chemical. The properties of the chemical impact how the chemical is used, but they do not necessarily determine exposure. I feel that the chemical life cycle allows for the human factor in chemical exposure.</v>
      </c>
      <c r="C56" s="42"/>
      <c r="D56" s="42" t="str">
        <f>Results!AG27</f>
        <v>the use phase is the most influential and most uncertain (highest variability as least controlled) aspect, then followed by production-related aspects and finally - mostly in case of improper treatment - end-of-life aspects</v>
      </c>
      <c r="E56" s="42"/>
      <c r="F56" s="42" t="str">
        <f>Results!AP26</f>
        <v xml:space="preserve">I think persistence and bioaccumulative potential are most important. I split the score to reflect the rank order since I found it difficult to weight these relatively. </v>
      </c>
      <c r="G56" s="42"/>
      <c r="H56" s="42" t="str">
        <f>Results!AY11</f>
        <v>My rankings are based on my feeling that the activities in a workplace dictate whether or not a person can contact a chemical. How the chemical affects a person will depend on the person. The environment within the workplace will determine how the person might come into contat witha chemical if released. The widespread use of the chemical is only improtant in determining how many people may potenitally be affected and isn't as important to me if the purpose of chemical safety is to protect all humans, even a single worker.</v>
      </c>
      <c r="I56" s="42"/>
      <c r="J56" s="42" t="str">
        <f>Results!BH33</f>
        <v>see last comment</v>
      </c>
      <c r="K56" s="113"/>
      <c r="L56" s="42" t="str">
        <f>Results!BQ18</f>
        <v>I considered disposal as the potential for environmental contamination. In this exposure scenario, both the "what" and "how much" questions are equally important.  The activity of the chemical is still the most important, but considerations of exposure dose and duration become more important in this scenario.</v>
      </c>
      <c r="M56" s="42"/>
      <c r="N56" s="42" t="str">
        <f>Results!BR28</f>
        <v>I found some questions difficult to answer, since I was not always sure I understood the words correctly (e.g. ubiquity).</v>
      </c>
      <c r="V56" s="113"/>
      <c r="AG56" s="113"/>
      <c r="AR56" s="113"/>
      <c r="BC56" s="113"/>
      <c r="BN56" s="113"/>
      <c r="BY56" s="113"/>
    </row>
    <row r="57" spans="2:77" x14ac:dyDescent="0.25">
      <c r="B57" s="42" t="str">
        <f>Results!Z2</f>
        <v>The inherent properties of the chemical; including its inherent hazard must be established first; then the type and amount of exposure over the life cycle has relevance</v>
      </c>
      <c r="C57" s="42"/>
      <c r="D57" s="42" t="str">
        <f>Results!AG15</f>
        <v xml:space="preserve">The most exposure will occur when the consumer uses the product. Production phase will determine which chemical is in the product. </v>
      </c>
      <c r="E57" s="42"/>
      <c r="F57" s="42" t="str">
        <f>Results!AP11</f>
        <v>I consider all of these criteria important. However, I feel the ability of the chemical to enter the body and how it interacts with the body are the most important. The availability of these chemicals (persistance) is the next important because there is no potential for exposure if the chemical is not present. The physical hazard potential seemed the least important when considered against the other three.</v>
      </c>
      <c r="G57" s="42"/>
      <c r="H57" s="42" t="str">
        <f>Results!AY4</f>
        <v>I'm not sure I entirely understood these criteria, but use volume and patterns of use will greatly influence human exposure.</v>
      </c>
      <c r="I57" s="42"/>
      <c r="J57" s="42" t="str">
        <f>Results!BH17</f>
        <v xml:space="preserve">Rank 1: Activity was ranked 1st because this determines how someone comes in contact with the chemical. If there is close contact, exposure potential could be high irrespective of other criteria. / Rank 2,3,4: Exposure is usually more sensitive to emission/release rates compared to environmental characteristics. Population variability may be important in the use-phase, e.g. differining activities between children vs adults. /  / </v>
      </c>
      <c r="K57" s="113"/>
      <c r="L57" s="42" t="str">
        <f>Results!BQ24</f>
        <v>How frequent the disposal is likely to be the major determinant of the importance that the event has for humans.</v>
      </c>
      <c r="M57" s="42"/>
      <c r="N57" s="42" t="str">
        <f>Results!BR4</f>
        <v>Considerations for human vs. ecological exposure will be very different.  For human exposure, we will be more concerned if a small number of people are highly exposed, so even something with a small market volume could require a lot of attention.  For ecological exposures, market volume and use patterns that lead to high environmental discharges are going to be big drivers.</v>
      </c>
      <c r="V57" s="113"/>
      <c r="AG57" s="113"/>
      <c r="AR57" s="113"/>
      <c r="BC57" s="113"/>
      <c r="BN57" s="113"/>
      <c r="BY57" s="113"/>
    </row>
    <row r="58" spans="2:77" x14ac:dyDescent="0.25">
      <c r="B58" s="42" t="str">
        <f>Results!Z11</f>
        <v xml:space="preserve">The ability of a chemical to enter the body depends on its chemical interactions, both in environmental media and with entry points of the body. I feel these interactions, even if only slightly, are more improtant than the release of the chemicals for a resulting exposure. </v>
      </c>
      <c r="C58" s="42"/>
      <c r="D58" s="42" t="str">
        <f>Results!AG11</f>
        <v xml:space="preserve">Recent studies have shown individuals are exposed to much higher levels of chemimcals during product use. The disposal phase in my mind is susceptible to exposure risk because there is high uncertinty that products and chemicals are actually disposed of properly. Even if they are, we are still understanding how the chemicals behave during the various end-of-life management options. I am least concerned about exposures during the production phase because I feel there is significant emphasis placed on engineering controls for workers and emission limits for manufacturing facilities. </v>
      </c>
      <c r="E58" s="42"/>
      <c r="F58" s="42" t="str">
        <f>Results!AP24</f>
        <v xml:space="preserve">For human exposure, ADME is the characteristic of most importance. Internal exposure isn't relevant if the substance cannot be absorbed etc.. Persistence is interesting but not necessarily a game changer .. if paint pigments were persistent, then we'd all grumble about having to repaint every year! </v>
      </c>
      <c r="G58" s="42"/>
      <c r="H58" s="42" t="str">
        <f>Results!AY28</f>
        <v>I find this question difficult to answer. I think the activities and the environment (e.g., USA versus India) are the main drivers of emission during the production phase.</v>
      </c>
      <c r="I58" s="42"/>
      <c r="J58" s="42" t="str">
        <f>Results!BH11</f>
        <v>My feelings for this ranking mirror my explanation to ranking these criteria for the workplace.</v>
      </c>
      <c r="K58" s="113"/>
      <c r="L58" s="42" t="str">
        <f>Results!BQ33</f>
        <v>common use and subject behavior will drive exposure in during disposal; using activity definition I went with a few questions back</v>
      </c>
      <c r="M58" s="42"/>
      <c r="N58" s="42" t="str">
        <f>Results!BR5</f>
        <v>As this is a prioritization tool, think maybe difficult to draw line between level of general vs. detailed information, so just to point out that think at broad level good to  be general, as in this survey, but also that specific weightings might change given the details of how each parameter is assessed as well.  / Appreciate the opportunity to provide input.  Think the matrix in figure 2 of page 10 of survey documentation is a very informative way to show relative contribution of chemical vs. life cycle properties which could be very useful in proposed ways to reduce exposures when appropriate.  The title of "exposure risk" used both for this chart and in Mitchell et al is a little confusing, as it is really exposure potential.   this would then be combined with hazard information for risk prioritization, and the use of the word risk on this table can introduce confusion.  think thoughtful approach to describing key elements relevant to exposure potential, including P and B as these truly influence exposure and do not impact intrinsic hazard.  Also, for human exposure potential may want to think about appropriate metrics for persistence under conditions of use coupled with bioavailability.</v>
      </c>
      <c r="V58" s="113"/>
      <c r="AG58" s="113"/>
      <c r="AR58" s="113"/>
      <c r="BC58" s="113"/>
      <c r="BN58" s="113"/>
      <c r="BY58" s="113"/>
    </row>
    <row r="59" spans="2:77" x14ac:dyDescent="0.25">
      <c r="B59" s="42" t="str">
        <f>Results!Z18</f>
        <v xml:space="preserve">seems like the potential for exposure would be based mostly upon where/when the chemical is present rather than strictly chemical features. </v>
      </c>
      <c r="C59" s="42"/>
      <c r="D59" s="42" t="str">
        <f>Results!AG3</f>
        <v>ranking here is for potential exposure as expect more exposure for workers than consumers typically and proper disposal to landfill or incineration generates less exposure overall</v>
      </c>
      <c r="E59" s="42"/>
      <c r="F59" s="42" t="str">
        <f>Results!AP27</f>
        <v>fate (persistence), bioaccumulation (exposure) and toxicity (effects) potential are more or less equally important as they are typically combined for characterizing overall toxicity potentials for chemicals</v>
      </c>
      <c r="G59" s="42"/>
      <c r="H59" s="42" t="str">
        <f>Results!AY26</f>
        <v xml:space="preserve">I felt the environment was not particularly important Other scores chosen to reflect the rank order. </v>
      </c>
      <c r="I59" s="42"/>
      <c r="J59" s="42" t="str">
        <f>Results!BH26</f>
        <v>Much as previous question.</v>
      </c>
      <c r="K59" s="113"/>
      <c r="L59" s="42" t="str">
        <f>Results!BQ26</f>
        <v>As before</v>
      </c>
      <c r="M59" s="42"/>
      <c r="N59" s="42" t="str">
        <f>Results!BR17</f>
        <v xml:space="preserve">- The difference between "Activity" and "Subject" was not really clear or it seems like these categories are inter-related. For example, one "Activity" factor is 'Avg. time/use', however this seems to depend on the "Subject".  Does "subject" also include </v>
      </c>
      <c r="V59" s="113"/>
      <c r="AG59" s="113"/>
      <c r="AR59" s="113"/>
      <c r="BC59" s="113"/>
      <c r="BN59" s="113"/>
      <c r="BY59" s="113"/>
    </row>
    <row r="60" spans="2:77" x14ac:dyDescent="0.25">
      <c r="B60" s="42" t="str">
        <f>Results!Z19</f>
        <v>Properties dictate a chemical's potential</v>
      </c>
      <c r="C60" s="42"/>
      <c r="D60" s="42" t="str">
        <f>Results!AG7</f>
        <v>Production phase least important because most easily controlled.</v>
      </c>
      <c r="E60" s="42"/>
      <c r="F60" s="42" t="str">
        <f>Results!AP13</f>
        <v xml:space="preserve">Chemical properties help us understand these things (hazard, persistence, bioaccumulation, adme), but we really need empirical data to confirm.  Persistance and bioaccumulation are most informed, hazard least informed, and ADME somewhere in the middle. </v>
      </c>
      <c r="G60" s="42"/>
      <c r="H60" s="42" t="str">
        <f>Results!AY33</f>
        <v>I don't understand your distction between activity and subject; if it's related to human factors/behavior it should fall under one heading and I am going with subjet (even though that definition has to do with activity)</v>
      </c>
      <c r="I60" s="42"/>
      <c r="J60" s="42" t="str">
        <f>Results!BH8</f>
        <v>How many products the substance is in is very important but this is followed closely by how it is being used and who is using it (e.g., children or vulnerable populations). The location of use can also be important (e.g., inside vs outside)</v>
      </c>
      <c r="K60" s="113"/>
      <c r="L60" s="42" t="str">
        <f>Results!BQ5</f>
        <v>again here depends upon metrics used. for environment have considered not just air exchange rate and volume but other conditions, like is it embedded in a matrix, does it go down the drain.  because focus here is moreso on indirect exposure, have ranked ubiquity higher than in direct exposure scenarios</v>
      </c>
      <c r="M60" s="42"/>
      <c r="N60" s="42">
        <f>Results!BR3</f>
        <v>0</v>
      </c>
      <c r="V60" s="113"/>
      <c r="AG60" s="113"/>
      <c r="AR60" s="113"/>
      <c r="BC60" s="113"/>
      <c r="BN60" s="113"/>
      <c r="BY60" s="113"/>
    </row>
    <row r="61" spans="2:77" x14ac:dyDescent="0.25">
      <c r="B61" s="42" t="str">
        <f>Results!Z5</f>
        <v>Properties definitely influence exposure potential and are important.   However, use is a much stronger determinant of contact. For example, if a substance has a property that suggest high potential for inhalation exposure, but is only used as a completely contained intermediate, then exposure will be low.  Alternatively, if something has a low vapor pressure suggesting minimal inhalation exposure, but is used in a way resulting in direct contact or prolonger exposure, then the exposure potential may be higher than indicated by the property alone.</v>
      </c>
      <c r="C61" s="42"/>
      <c r="D61" s="42" t="str">
        <f>Results!AG28</f>
        <v>Nowadays, the production phase is under control. Consumption and disposal are much more difficult to control. Many emissions are determined by consumer and/or disposal phase. I am not sure which one is more important.</v>
      </c>
      <c r="E61" s="42"/>
      <c r="F61" s="42" t="str">
        <f>Results!AP18</f>
        <v>Chemical hazard form the basis of Agency decisions and therefore are the most important aspect.  Persistance and bioaccumulation are both important considerations for exposure duration, as well as potential chronic exposure.  ADME is an important consideration for internal dose metrics and target organ toxicity; however, the apical outcomes are generally used as critical effects and the dose response analysis/Agency regulations are usually based upon external exposure measures rather than internal toxicokinetics.</v>
      </c>
      <c r="G61" s="42"/>
      <c r="H61" s="42" t="str">
        <f>Results!AY2</f>
        <v>I dont understand what is meant by subject / Activity matters because it is how the chemical is used.</v>
      </c>
      <c r="I61" s="42"/>
      <c r="J61" s="42" t="str">
        <f>Results!BH4</f>
        <v>Again, use volume and use patterns are most important.</v>
      </c>
      <c r="K61" s="113"/>
      <c r="L61" s="42">
        <f>Results!BQ2</f>
        <v>0</v>
      </c>
      <c r="M61" s="42"/>
      <c r="N61" s="42">
        <f>Results!BR7</f>
        <v>0</v>
      </c>
      <c r="V61" s="113"/>
      <c r="AG61" s="113"/>
      <c r="AR61" s="113"/>
      <c r="BC61" s="113"/>
      <c r="BN61" s="113"/>
      <c r="BY61" s="113"/>
    </row>
    <row r="62" spans="2:77" x14ac:dyDescent="0.25">
      <c r="B62" s="42" t="str">
        <f>Results!Z6</f>
        <v>Lifecycle properties as defined provide direct information about opportunities for contact; whereas chemical properties provide, relative to lifecycle properties, more indirect estimates of exposure via prediction of movement through various environmental media. At the same time chemical properties are likely more informative for understanding exposure considerations related to bioavailability and ADME.</v>
      </c>
      <c r="C62" s="42"/>
      <c r="D62" s="42" t="str">
        <f>Results!AG4</f>
        <v>I made these rankings with the assumption that human safety is going to be of primary interest and environmental safety will come second.  I could rank these very different under different perspectives.</v>
      </c>
      <c r="E62" s="42"/>
      <c r="F62" s="42" t="str">
        <f>Results!AP33</f>
        <v>bioaccumulation is a subset of persistance</v>
      </c>
      <c r="G62" s="42"/>
      <c r="H62" s="42" t="str">
        <f>Results!AY8</f>
        <v>How much is being produced in the most important factor, although this could be tempered with how it is used (e.g, closed system) or control measures to restrict releases. Again we do not consider occupational exposure.</v>
      </c>
      <c r="I62" s="42"/>
      <c r="J62" s="42">
        <f>Results!BH2</f>
        <v>0</v>
      </c>
      <c r="K62" s="113"/>
      <c r="L62" s="42">
        <f>Results!BQ4</f>
        <v>0</v>
      </c>
      <c r="M62" s="42"/>
      <c r="N62" s="42">
        <f>Results!BR9</f>
        <v>0</v>
      </c>
      <c r="V62" s="113"/>
      <c r="AG62" s="113"/>
      <c r="AR62" s="113"/>
      <c r="BC62" s="113"/>
      <c r="BN62" s="113"/>
      <c r="BY62" s="113"/>
    </row>
    <row r="63" spans="2:77" x14ac:dyDescent="0.25">
      <c r="B63" s="42" t="str">
        <f>Results!Z25</f>
        <v>Life Cycle Properties was ranked 1st because a chemical may have properties which indicate it may have a high exposure potential, however, if the life cycle properties indicate that the chemical may only be used in small quantities or released to particular media, etc. the chemical properties are likely not to be as important in terms of predicting exposure. E.g. if zero chemical is released, then the chemical properties would be irrelevant for exposure.</v>
      </c>
      <c r="C63" s="42"/>
      <c r="D63" s="42" t="str">
        <f>Results!AG24</f>
        <v>Consumer uses probably are the source of most disperse chemical releases. Industrial are more important if point/local exposures are being concerned. Modern disposal methods (especially in Europe) should ensure that disposal is a tertiary concern.</v>
      </c>
      <c r="E63" s="42"/>
      <c r="F63" s="42" t="str">
        <f>Results!AP19</f>
        <v>Adme makes dose, bio and persistence important but hazard does not make exposure, it is enabled by dose</v>
      </c>
      <c r="G63" s="42"/>
      <c r="H63" s="42" t="str">
        <f>Results!AY21</f>
        <v>Again,  this was tough since in some substances the subject may be extremely important (e.g., females of reproductive age exposed to teratogens).</v>
      </c>
      <c r="I63" s="42"/>
      <c r="J63" s="42">
        <f>Results!BH6</f>
        <v>0</v>
      </c>
      <c r="K63" s="113"/>
      <c r="L63" s="42">
        <f>Results!BQ6</f>
        <v>0</v>
      </c>
      <c r="M63" s="42"/>
      <c r="N63" s="42">
        <f>Results!BR10</f>
        <v>0</v>
      </c>
      <c r="V63" s="113"/>
      <c r="AG63" s="113"/>
      <c r="AR63" s="113"/>
      <c r="BC63" s="113"/>
      <c r="BN63" s="113"/>
      <c r="BY63" s="113"/>
    </row>
    <row r="64" spans="2:77" x14ac:dyDescent="0.25">
      <c r="B64" s="42" t="str">
        <f>Results!Z26</f>
        <v xml:space="preserve">In my experience the circumstances of use can make a larger contribution to exposure than the chemical properties, but clearly chemical properties are quite important. </v>
      </c>
      <c r="D64" s="42" t="str">
        <f>Results!AG16</f>
        <v>Consumer use would likely have the widest direct exposure, while production and disposal can have wider impacts over time. All three are important, but not sure about production/disposal order.</v>
      </c>
      <c r="F64" s="42" t="str">
        <f>Results!AP8</f>
        <v>ADME is going to determine internal dose to a substance and so is the highest indicator. For example, if a substance cannot be systemically absorbed the external exposure is nto as important. For humans P and B both play a role in determining exposure, but since most exposure is from direct use of consumer products they are not as critical as they may be for the environment. Since we do not assess occupational exposure, physical hazard properties are not as important for us, although if you were assessing other phys-chem (VP, WS, Kow) is may be more important as it would affect consumer exposure more.</v>
      </c>
      <c r="H64" s="42">
        <f>Results!AY6</f>
        <v>0</v>
      </c>
      <c r="J64" s="42">
        <f>Results!BH7</f>
        <v>0</v>
      </c>
      <c r="L64" s="42">
        <f>Results!BQ7</f>
        <v>0</v>
      </c>
      <c r="N64" s="42">
        <f>Results!BR12</f>
        <v>0</v>
      </c>
    </row>
    <row r="65" spans="2:14" x14ac:dyDescent="0.25">
      <c r="B65" s="42" t="str">
        <f>Results!Z3</f>
        <v>How a substance is used is most important for exposure potential but the chemical properties are a close second (i.e. volatility is a indicator for inhalation exposure potential unless it is contained in a closed system for the use)</v>
      </c>
      <c r="D65" s="42" t="str">
        <f>Results!AG18</f>
        <v>consumer use seems like highest likelihood of exposure, as well as exposure at a toxicological relevant doses/durations/life stages.  Disposal could lead to environmental contamination and although exposure dose is likely less than consumer use, chronic, low-level exposure is an important consideration for the Agency.  I considered the Disposal phase to include disposal of waste products from production.  The production phase likely produces the highest concentration of chemicals, but the exposure potential to a broad population is limited.</v>
      </c>
      <c r="F65" s="42">
        <f>Results!AP9</f>
        <v>0</v>
      </c>
      <c r="H65" s="42">
        <f>Results!AY7</f>
        <v>0</v>
      </c>
      <c r="J65" s="42">
        <f>Results!BH9</f>
        <v>0</v>
      </c>
      <c r="L65" s="42">
        <f>Results!BQ9</f>
        <v>0</v>
      </c>
      <c r="N65" s="42">
        <f>Results!BR14</f>
        <v>0</v>
      </c>
    </row>
    <row r="66" spans="2:14" x14ac:dyDescent="0.25">
      <c r="B66" s="42" t="str">
        <f>Results!Z28</f>
        <v>Exposure is mainly determined by emission. Emission depends mainly on life cycle properties, not chemical properties. Chemical properties definitely influence exposure, but no emission is no exposure (independently of substance characteristics).</v>
      </c>
      <c r="D66" s="42" t="str">
        <f>Results!AG26</f>
        <v xml:space="preserve">Consumer use is generally well controlled. Production can be well controlled, but in some circumstances there may be relatively uncontrolled use, e.g. in small manufacturing companies. Disposal is, in my view, the stage that may be most likely to give rise to exposure. </v>
      </c>
      <c r="F66" s="42">
        <f>Results!AP10</f>
        <v>0</v>
      </c>
      <c r="H66" s="42">
        <f>Results!AY9</f>
        <v>0</v>
      </c>
      <c r="J66" s="42">
        <f>Results!BH10</f>
        <v>0</v>
      </c>
      <c r="L66" s="42">
        <f>Results!BQ10</f>
        <v>0</v>
      </c>
      <c r="N66" s="42">
        <f>Results!BR15</f>
        <v>0</v>
      </c>
    </row>
    <row r="67" spans="2:14" x14ac:dyDescent="0.25">
      <c r="B67" s="42" t="str">
        <f>Results!Z17</f>
        <v xml:space="preserve">Chemical properties were ranked lower, since a chemical may have properties which indicate a high potential for exposure, however if this chemical is released in very small amounts, or not at all, the exposure potential could be very low, thus Life Cycle Properties was ranked higher. </v>
      </c>
      <c r="D67" s="42" t="str">
        <f>Results!AG8</f>
        <v>Consumer Use is by far the highest contributor of human exposure since we do not consider occupational exposure. There is less of the substance left for disposal as much can be transformed via metabolism, degradation, etc.</v>
      </c>
      <c r="F67" s="42">
        <f>Results!AP12</f>
        <v>0</v>
      </c>
      <c r="H67" s="42">
        <f>Results!AY10</f>
        <v>0</v>
      </c>
      <c r="J67" s="42">
        <f>Results!BH12</f>
        <v>0</v>
      </c>
      <c r="L67" s="42">
        <f>Results!BQ12</f>
        <v>0</v>
      </c>
      <c r="N67" s="42">
        <f>Results!BR16</f>
        <v>0</v>
      </c>
    </row>
    <row r="68" spans="2:14" x14ac:dyDescent="0.25">
      <c r="B68" s="42" t="str">
        <f>Results!Z15</f>
        <v xml:space="preserve">Chemical properties are critical to exposure, but life cycle properties could be used to determine how to study investigate the exposure. </v>
      </c>
      <c r="D68" s="42" t="str">
        <f>Results!AG5</f>
        <v>consumer highest because direct use and largest potential population, then product because direct worker use but should be PPE to mitigate exposures., disposal lowest because while important mostly related to indirect exposures for human population (different if eco focus) which are likely to be lower</v>
      </c>
      <c r="F68" s="42">
        <f>Results!AP14</f>
        <v>0</v>
      </c>
      <c r="H68" s="42">
        <f>Results!AY12</f>
        <v>0</v>
      </c>
      <c r="J68" s="42">
        <f>Results!BH14</f>
        <v>0</v>
      </c>
      <c r="L68" s="42">
        <f>Results!BQ14</f>
        <v>0</v>
      </c>
      <c r="N68" s="42">
        <f>Results!BR18</f>
        <v>0</v>
      </c>
    </row>
    <row r="69" spans="2:14" x14ac:dyDescent="0.25">
      <c r="B69" s="42" t="str">
        <f>Results!Z13</f>
        <v xml:space="preserve">Chemical properties are cheap and inexpensive and we should always collect this information.  How the chemical is used over it's lifetime and which populations are affected is more informative of exposure (though more challenging). </v>
      </c>
      <c r="D69" s="42" t="str">
        <f>Results!AG13</f>
        <v xml:space="preserve">All of these are important for LC.  Consumers have potential for intimate contact with chemicals and may not make rationale decisions.   Production supposes an occupational cohort.  Exposures may be high, and workers are not always informed of risks, and trade off exposure for employment.  Disposal has impact on ecosystems.      </v>
      </c>
      <c r="F69" s="42">
        <f>Results!AP15</f>
        <v>0</v>
      </c>
      <c r="H69" s="42">
        <f>Results!AY14</f>
        <v>0</v>
      </c>
      <c r="J69" s="42">
        <f>Results!BH15</f>
        <v>0</v>
      </c>
      <c r="L69" s="42">
        <f>Results!BQ15</f>
        <v>0</v>
      </c>
      <c r="N69" s="42">
        <f>Results!BR19</f>
        <v>0</v>
      </c>
    </row>
    <row r="70" spans="2:14" x14ac:dyDescent="0.25">
      <c r="B70" s="42" t="str">
        <f>Results!Z31</f>
        <v>Both chemical and life cycle properties are important determinants of exposure.</v>
      </c>
      <c r="D70" s="42">
        <f>Results!AG9</f>
        <v>0</v>
      </c>
      <c r="F70" s="42">
        <f>Results!AP16</f>
        <v>0</v>
      </c>
      <c r="H70" s="42">
        <f>Results!AY15</f>
        <v>0</v>
      </c>
      <c r="J70" s="42">
        <f>Results!BH16</f>
        <v>0</v>
      </c>
      <c r="L70" s="42">
        <f>Results!BQ16</f>
        <v>0</v>
      </c>
      <c r="N70" s="42">
        <f>Results!BR20</f>
        <v>0</v>
      </c>
    </row>
    <row r="71" spans="2:14" x14ac:dyDescent="0.25">
      <c r="B71" s="42" t="str">
        <f>Results!Z4</f>
        <v>Both are important with regard to chemical safety evaluation but chemical property information is generally more easy to come by and can tell you a lot before you incorporate life cycle information.  Also, I believe the tools available to take advantage of chemical property information are better than those for life cycle information currently.</v>
      </c>
      <c r="D71" s="42">
        <f>Results!AG10</f>
        <v>0</v>
      </c>
      <c r="F71" s="42">
        <f>Results!AP20</f>
        <v>0</v>
      </c>
      <c r="H71" s="42">
        <f>Results!AY16</f>
        <v>0</v>
      </c>
      <c r="J71" s="42">
        <f>Results!BH18</f>
        <v>0</v>
      </c>
      <c r="L71" s="42">
        <f>Results!BQ19</f>
        <v>0</v>
      </c>
      <c r="N71" s="42">
        <f>Results!BR21</f>
        <v>0</v>
      </c>
    </row>
    <row r="72" spans="2:14" x14ac:dyDescent="0.25">
      <c r="B72" s="42" t="str">
        <f>Results!Z8</f>
        <v>Although chemical properties highly influeunce exposure potential, the direct availability of the substance to consumers is a higher factor</v>
      </c>
      <c r="D72" s="42">
        <f>Results!AG12</f>
        <v>0</v>
      </c>
      <c r="F72" s="42">
        <f>Results!AP21</f>
        <v>0</v>
      </c>
      <c r="H72" s="42">
        <f>Results!AY19</f>
        <v>0</v>
      </c>
      <c r="J72" s="42">
        <f>Results!BH19</f>
        <v>0</v>
      </c>
      <c r="L72" s="42">
        <f>Results!BQ20</f>
        <v>0</v>
      </c>
      <c r="N72" s="42">
        <f>Results!BR22</f>
        <v>0</v>
      </c>
    </row>
    <row r="73" spans="2:14" x14ac:dyDescent="0.25">
      <c r="B73" s="42" t="str">
        <f>Results!Z33</f>
        <v>after chemical properties, human behaviors drive exposure, and I assume those fall under life cycle</v>
      </c>
      <c r="D73" s="42">
        <f>Results!AG14</f>
        <v>0</v>
      </c>
      <c r="F73" s="42">
        <f>Results!AP22</f>
        <v>0</v>
      </c>
      <c r="H73" s="42">
        <f>Results!AY20</f>
        <v>0</v>
      </c>
      <c r="J73" s="42">
        <f>Results!BH20</f>
        <v>0</v>
      </c>
      <c r="L73" s="42">
        <f>Results!BQ21</f>
        <v>0</v>
      </c>
      <c r="N73" s="42">
        <f>Results!BR23</f>
        <v>0</v>
      </c>
    </row>
    <row r="74" spans="2:14" x14ac:dyDescent="0.25">
      <c r="B74" s="42">
        <f>Results!Z10</f>
        <v>0</v>
      </c>
      <c r="D74" s="42">
        <f>Results!AG20</f>
        <v>0</v>
      </c>
      <c r="F74" s="42">
        <f>Results!AP25</f>
        <v>0</v>
      </c>
      <c r="H74" s="42">
        <f>Results!AY22</f>
        <v>0</v>
      </c>
      <c r="J74" s="42">
        <f>Results!BH22</f>
        <v>0</v>
      </c>
      <c r="L74" s="42">
        <f>Results!BQ22</f>
        <v>0</v>
      </c>
      <c r="N74" s="42">
        <f>Results!BR25</f>
        <v>0</v>
      </c>
    </row>
    <row r="75" spans="2:14" x14ac:dyDescent="0.25">
      <c r="B75" s="42">
        <f>Results!Z12</f>
        <v>0</v>
      </c>
      <c r="D75" s="42">
        <f>Results!AG22</f>
        <v>0</v>
      </c>
      <c r="F75" s="42">
        <f>Results!AP29</f>
        <v>0</v>
      </c>
      <c r="H75" s="42">
        <f>Results!AY23</f>
        <v>0</v>
      </c>
      <c r="J75" s="42">
        <f>Results!BH23</f>
        <v>0</v>
      </c>
      <c r="L75" s="42">
        <f>Results!BQ23</f>
        <v>0</v>
      </c>
      <c r="N75" s="42">
        <f>Results!BR26</f>
        <v>0</v>
      </c>
    </row>
    <row r="76" spans="2:14" x14ac:dyDescent="0.25">
      <c r="B76" s="42">
        <f>Results!Z14</f>
        <v>0</v>
      </c>
      <c r="D76" s="42">
        <f>Results!AG23</f>
        <v>0</v>
      </c>
      <c r="F76" s="42">
        <f>Results!AP30</f>
        <v>0</v>
      </c>
      <c r="H76" s="42">
        <f>Results!AY25</f>
        <v>0</v>
      </c>
      <c r="J76" s="42">
        <f>Results!BH25</f>
        <v>0</v>
      </c>
      <c r="L76" s="42">
        <f>Results!BQ25</f>
        <v>0</v>
      </c>
      <c r="N76" s="42">
        <f>Results!BR27</f>
        <v>0</v>
      </c>
    </row>
    <row r="77" spans="2:14" x14ac:dyDescent="0.25">
      <c r="B77" s="42">
        <f>Results!Z16</f>
        <v>0</v>
      </c>
      <c r="D77" s="42">
        <f>Results!AG29</f>
        <v>0</v>
      </c>
      <c r="F77" s="42">
        <f>Results!AP32</f>
        <v>0</v>
      </c>
      <c r="H77" s="42">
        <f>Results!AY27</f>
        <v>0</v>
      </c>
      <c r="J77" s="42">
        <f>Results!BH27</f>
        <v>0</v>
      </c>
      <c r="L77" s="42">
        <f>Results!BQ27</f>
        <v>0</v>
      </c>
      <c r="N77" s="42">
        <f>Results!BR29</f>
        <v>0</v>
      </c>
    </row>
    <row r="78" spans="2:14" x14ac:dyDescent="0.25">
      <c r="B78" s="42">
        <f>Results!Z20</f>
        <v>0</v>
      </c>
      <c r="D78" s="42">
        <f>Results!AG30</f>
        <v>0</v>
      </c>
      <c r="F78" s="42">
        <f>Results!AP34</f>
        <v>0</v>
      </c>
      <c r="H78" s="42">
        <f>Results!AY29</f>
        <v>0</v>
      </c>
      <c r="J78" s="42">
        <f>Results!BH29</f>
        <v>0</v>
      </c>
      <c r="L78" s="42">
        <f>Results!BQ29</f>
        <v>0</v>
      </c>
      <c r="N78" s="42">
        <f>Results!BR30</f>
        <v>0</v>
      </c>
    </row>
    <row r="79" spans="2:14" x14ac:dyDescent="0.25">
      <c r="B79" s="42">
        <f>Results!Z22</f>
        <v>0</v>
      </c>
      <c r="D79" s="42">
        <f>Results!AG31</f>
        <v>0</v>
      </c>
      <c r="F79" s="42">
        <f>Results!AP35</f>
        <v>0</v>
      </c>
      <c r="H79" s="42">
        <f>Results!AY30</f>
        <v>0</v>
      </c>
      <c r="J79" s="42">
        <f>Results!BH30</f>
        <v>0</v>
      </c>
      <c r="L79" s="42">
        <f>Results!BQ30</f>
        <v>0</v>
      </c>
      <c r="N79" s="42">
        <f>Results!BR31</f>
        <v>0</v>
      </c>
    </row>
    <row r="80" spans="2:14" x14ac:dyDescent="0.25">
      <c r="B80" s="42">
        <f>Results!Z30</f>
        <v>0</v>
      </c>
      <c r="D80" s="42">
        <f>Results!AG32</f>
        <v>0</v>
      </c>
      <c r="F80" s="42">
        <f>Results!AP36</f>
        <v>0</v>
      </c>
      <c r="H80" s="42">
        <f>Results!AY31</f>
        <v>0</v>
      </c>
      <c r="J80" s="42">
        <f>Results!BH31</f>
        <v>0</v>
      </c>
      <c r="L80" s="42">
        <f>Results!BQ31</f>
        <v>0</v>
      </c>
      <c r="N80" s="42">
        <f>Results!BR32</f>
        <v>0</v>
      </c>
    </row>
    <row r="81" spans="2:14" x14ac:dyDescent="0.25">
      <c r="B81" s="42">
        <f>Results!Z32</f>
        <v>0</v>
      </c>
      <c r="D81" s="42">
        <f>Results!AG33</f>
        <v>0</v>
      </c>
      <c r="F81" s="42">
        <f>Results!AP37</f>
        <v>0</v>
      </c>
      <c r="H81" s="42">
        <f>Results!AY32</f>
        <v>0</v>
      </c>
      <c r="J81" s="42">
        <f>Results!BH32</f>
        <v>0</v>
      </c>
      <c r="L81" s="42">
        <f>Results!BQ32</f>
        <v>0</v>
      </c>
      <c r="N81" s="42">
        <f>Results!BR33</f>
        <v>0</v>
      </c>
    </row>
  </sheetData>
  <sortState ref="N50:N81">
    <sortCondition descending="1" ref="N50:N81"/>
  </sortState>
  <mergeCells count="16">
    <mergeCell ref="CE13:CG13"/>
    <mergeCell ref="BF13:BH13"/>
    <mergeCell ref="BI13:BK13"/>
    <mergeCell ref="BQ13:BS13"/>
    <mergeCell ref="BT13:BV13"/>
    <mergeCell ref="CB13:CD13"/>
    <mergeCell ref="AB13:AD13"/>
    <mergeCell ref="AJ13:AL13"/>
    <mergeCell ref="AM13:AO13"/>
    <mergeCell ref="AU13:AW13"/>
    <mergeCell ref="AX13:AZ13"/>
    <mergeCell ref="C13:E13"/>
    <mergeCell ref="F13:H13"/>
    <mergeCell ref="N13:P13"/>
    <mergeCell ref="Q13:S13"/>
    <mergeCell ref="Y13:AA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6"/>
  <sheetViews>
    <sheetView topLeftCell="N9" workbookViewId="0">
      <selection activeCell="N9" sqref="N9"/>
    </sheetView>
  </sheetViews>
  <sheetFormatPr defaultRowHeight="15" x14ac:dyDescent="0.25"/>
  <cols>
    <col min="1" max="13" width="0" hidden="1" customWidth="1"/>
    <col min="22" max="34" width="9.140625" hidden="1" customWidth="1"/>
  </cols>
  <sheetData>
    <row r="1" spans="1:39" ht="15.75" hidden="1" x14ac:dyDescent="0.25">
      <c r="B1" s="129" t="s">
        <v>380</v>
      </c>
    </row>
    <row r="2" spans="1:39" hidden="1" x14ac:dyDescent="0.25">
      <c r="B2" s="3" t="s">
        <v>290</v>
      </c>
      <c r="C2" t="s">
        <v>290</v>
      </c>
      <c r="D2" t="s">
        <v>291</v>
      </c>
      <c r="E2" t="s">
        <v>347</v>
      </c>
    </row>
    <row r="3" spans="1:39" hidden="1" x14ac:dyDescent="0.25">
      <c r="A3" s="40"/>
      <c r="B3" s="128" t="s">
        <v>139</v>
      </c>
      <c r="C3" s="130" t="s">
        <v>349</v>
      </c>
      <c r="D3" t="s">
        <v>350</v>
      </c>
      <c r="E3" t="s">
        <v>351</v>
      </c>
      <c r="F3" t="s">
        <v>381</v>
      </c>
    </row>
    <row r="4" spans="1:39" hidden="1" x14ac:dyDescent="0.25">
      <c r="B4" s="128" t="s">
        <v>19</v>
      </c>
      <c r="C4" s="130" t="s">
        <v>113</v>
      </c>
      <c r="D4" t="s">
        <v>111</v>
      </c>
      <c r="E4" t="s">
        <v>112</v>
      </c>
    </row>
    <row r="5" spans="1:39" hidden="1" x14ac:dyDescent="0.25">
      <c r="A5" s="40"/>
      <c r="B5" s="128" t="s">
        <v>24</v>
      </c>
      <c r="C5" s="16" t="s">
        <v>134</v>
      </c>
      <c r="D5" s="16" t="s">
        <v>136</v>
      </c>
      <c r="E5" s="16" t="s">
        <v>382</v>
      </c>
      <c r="F5" s="16" t="s">
        <v>137</v>
      </c>
    </row>
    <row r="6" spans="1:39" hidden="1" x14ac:dyDescent="0.25">
      <c r="A6" s="40"/>
      <c r="B6" s="128" t="s">
        <v>388</v>
      </c>
      <c r="C6" s="16" t="s">
        <v>143</v>
      </c>
      <c r="D6" s="16" t="s">
        <v>144</v>
      </c>
      <c r="E6" s="16" t="s">
        <v>142</v>
      </c>
      <c r="F6" s="16" t="s">
        <v>141</v>
      </c>
    </row>
    <row r="7" spans="1:39" hidden="1" x14ac:dyDescent="0.25">
      <c r="A7" s="40"/>
      <c r="B7" s="128" t="s">
        <v>389</v>
      </c>
      <c r="C7" s="130" t="s">
        <v>100</v>
      </c>
      <c r="D7" t="s">
        <v>101</v>
      </c>
      <c r="E7" t="s">
        <v>294</v>
      </c>
    </row>
    <row r="8" spans="1:39" hidden="1" x14ac:dyDescent="0.25">
      <c r="A8" s="40"/>
      <c r="B8" s="128" t="s">
        <v>15</v>
      </c>
      <c r="C8" s="130" t="s">
        <v>104</v>
      </c>
      <c r="D8" t="s">
        <v>105</v>
      </c>
    </row>
    <row r="10" spans="1:39" ht="21" x14ac:dyDescent="0.35">
      <c r="O10" s="144" t="s">
        <v>408</v>
      </c>
      <c r="AJ10" s="144" t="s">
        <v>409</v>
      </c>
    </row>
    <row r="11" spans="1:39" x14ac:dyDescent="0.25">
      <c r="A11" s="3" t="s">
        <v>390</v>
      </c>
      <c r="H11" s="3" t="s">
        <v>391</v>
      </c>
      <c r="O11" s="3" t="s">
        <v>392</v>
      </c>
      <c r="P11" s="3"/>
      <c r="V11" s="3" t="s">
        <v>390</v>
      </c>
      <c r="AC11" s="3" t="s">
        <v>391</v>
      </c>
      <c r="AJ11" s="3" t="s">
        <v>392</v>
      </c>
      <c r="AK11" s="3"/>
    </row>
    <row r="12" spans="1:39" x14ac:dyDescent="0.25">
      <c r="B12" t="str">
        <f>$C$8</f>
        <v>Chemical Properties</v>
      </c>
      <c r="C12" t="str">
        <f>$C$3</f>
        <v>1st Rank</v>
      </c>
      <c r="D12" t="str">
        <f>$D$3</f>
        <v>2nd Rank</v>
      </c>
      <c r="H12" s="141">
        <f ca="1">AVERAGE(J13:J15)</f>
        <v>0.42063492063492064</v>
      </c>
      <c r="I12" t="str">
        <f>B12</f>
        <v>Chemical Properties</v>
      </c>
      <c r="J12" t="str">
        <f>C12</f>
        <v>1st Rank</v>
      </c>
      <c r="K12" t="str">
        <f>D12</f>
        <v>2nd Rank</v>
      </c>
      <c r="O12" s="145">
        <f ca="1">LARGE(H12:H17,1)</f>
        <v>0.65873015873015872</v>
      </c>
      <c r="P12" t="str">
        <f ca="1">INDEX($I$12:$I$20,MATCH(O12,$H$12:$H$20,0))</f>
        <v>Life Cycle Properties</v>
      </c>
      <c r="Q12" t="str">
        <f>J12</f>
        <v>1st Rank</v>
      </c>
      <c r="R12" t="str">
        <f>K12</f>
        <v>2nd Rank</v>
      </c>
      <c r="W12" t="str">
        <f>$C$8</f>
        <v>Chemical Properties</v>
      </c>
      <c r="X12" t="str">
        <f>$C$3</f>
        <v>1st Rank</v>
      </c>
      <c r="Y12" t="str">
        <f>$D$3</f>
        <v>2nd Rank</v>
      </c>
      <c r="AC12" s="141">
        <f ca="1">AVERAGE(AE13:AE15)</f>
        <v>0.37619047619047619</v>
      </c>
      <c r="AD12" t="str">
        <f>W12</f>
        <v>Chemical Properties</v>
      </c>
      <c r="AE12" t="str">
        <f>X12</f>
        <v>1st Rank</v>
      </c>
      <c r="AF12" t="str">
        <f>Y12</f>
        <v>2nd Rank</v>
      </c>
      <c r="AJ12" s="148">
        <f ca="1">LARGE(AC12:AC17,1)</f>
        <v>0.67380952380952375</v>
      </c>
      <c r="AK12" t="str">
        <f ca="1">INDEX($AD$12:$AD$20,MATCH(AJ12,$AC$12:$AC$20,0))</f>
        <v>Life Cycle Properties</v>
      </c>
      <c r="AL12" t="str">
        <f>AE12</f>
        <v>1st Rank</v>
      </c>
      <c r="AM12" t="str">
        <f>AF12</f>
        <v>2nd Rank</v>
      </c>
    </row>
    <row r="13" spans="1:39" x14ac:dyDescent="0.25">
      <c r="B13" t="str">
        <f>$C$2</f>
        <v>EPA</v>
      </c>
      <c r="C13">
        <f ca="1">OFFSET(Summary!N$9,0,(ROW()-ROW($C$13))*11)</f>
        <v>2</v>
      </c>
      <c r="D13">
        <f ca="1">OFFSET(Summary!O$9,0,(ROW()-ROW($C$13))*11)</f>
        <v>4</v>
      </c>
      <c r="I13" t="str">
        <f>B13</f>
        <v>EPA</v>
      </c>
      <c r="J13" s="39">
        <f t="shared" ref="J13:K15" ca="1" si="0">C13/SUM($C13:$D13)</f>
        <v>0.33333333333333331</v>
      </c>
      <c r="K13" s="39">
        <f t="shared" ca="1" si="0"/>
        <v>0.66666666666666663</v>
      </c>
      <c r="O13" s="146"/>
      <c r="P13" t="str">
        <f>I13</f>
        <v>EPA</v>
      </c>
      <c r="Q13" s="122">
        <f ca="1">INDEX(J$12:J$20,MATCH($O$12,$H$12:$H$20,0)+1)</f>
        <v>0.66666666666666663</v>
      </c>
      <c r="R13" s="122">
        <f ca="1">INDEX(K$12:K$20,MATCH($O$12,$H$12:$H$20,0)+1)</f>
        <v>0.33333333333333331</v>
      </c>
      <c r="W13" t="str">
        <f>$C$7</f>
        <v>Chemical</v>
      </c>
      <c r="X13">
        <f ca="1">OFFSET(Summary!AU$9,0,(ROW()-ROW($C$13))*11)</f>
        <v>10</v>
      </c>
      <c r="Y13">
        <f ca="1">OFFSET(Summary!AV$9,0,(ROW()-ROW($C$13))*11)</f>
        <v>10</v>
      </c>
      <c r="AD13" t="str">
        <f>W13</f>
        <v>Chemical</v>
      </c>
      <c r="AE13" s="39">
        <f t="shared" ref="AE13:AF15" ca="1" si="1">X13/SUM($X13:$Y13)</f>
        <v>0.5</v>
      </c>
      <c r="AF13" s="39">
        <f t="shared" ca="1" si="1"/>
        <v>0.5</v>
      </c>
      <c r="AJ13" s="149">
        <f ca="1">AJ12</f>
        <v>0.67380952380952375</v>
      </c>
      <c r="AK13" t="str">
        <f>AD13</f>
        <v>Chemical</v>
      </c>
      <c r="AL13" s="122">
        <f ca="1">INDEX(AE$12:AE$20,MATCH($AJ13,$AC$12:$AC$20,0)+1)</f>
        <v>0.65</v>
      </c>
      <c r="AM13" s="122">
        <f ca="1">INDEX(AF$12:AF$20,MATCH($AJ13,$AC$12:$AC$20,0)+1)</f>
        <v>0.35</v>
      </c>
    </row>
    <row r="14" spans="1:39" x14ac:dyDescent="0.25">
      <c r="B14" t="str">
        <f>$D$2</f>
        <v>Non-EPA</v>
      </c>
      <c r="C14">
        <f ca="1">OFFSET(Summary!N$9,0,(ROW()-ROW($C$13))*11)</f>
        <v>6</v>
      </c>
      <c r="D14">
        <f ca="1">OFFSET(Summary!O$9,0,(ROW()-ROW($C$13))*11)</f>
        <v>8</v>
      </c>
      <c r="I14" t="str">
        <f>B14</f>
        <v>Non-EPA</v>
      </c>
      <c r="J14" s="39">
        <f t="shared" ca="1" si="0"/>
        <v>0.42857142857142855</v>
      </c>
      <c r="K14" s="39">
        <f t="shared" ca="1" si="0"/>
        <v>0.5714285714285714</v>
      </c>
      <c r="O14" s="146"/>
      <c r="P14" t="str">
        <f>I14</f>
        <v>Non-EPA</v>
      </c>
      <c r="Q14" s="122">
        <f ca="1">INDEX(J$12:J$20,MATCH($O$12,$H$12:$H$20,0)+2)</f>
        <v>0.6428571428571429</v>
      </c>
      <c r="R14" s="122">
        <f ca="1">INDEX(K$12:K$20,MATCH($O$12,$H$12:$H$20,0)+2)</f>
        <v>0.35714285714285715</v>
      </c>
      <c r="W14" t="str">
        <f>$D$7</f>
        <v>Human Factors</v>
      </c>
      <c r="X14">
        <f ca="1">OFFSET(Summary!AU$9,0,(ROW()-ROW($C$13))*11)</f>
        <v>1</v>
      </c>
      <c r="Y14">
        <f ca="1">OFFSET(Summary!AV$9,0,(ROW()-ROW($C$13))*11)</f>
        <v>4</v>
      </c>
      <c r="AD14" t="str">
        <f>W14</f>
        <v>Human Factors</v>
      </c>
      <c r="AE14" s="39">
        <f t="shared" ca="1" si="1"/>
        <v>0.2</v>
      </c>
      <c r="AF14" s="39">
        <f t="shared" ca="1" si="1"/>
        <v>0.8</v>
      </c>
      <c r="AJ14" s="149">
        <f ca="1">AJ13</f>
        <v>0.67380952380952375</v>
      </c>
      <c r="AK14" t="str">
        <f>AD14</f>
        <v>Human Factors</v>
      </c>
      <c r="AL14" s="122">
        <f ca="1">INDEX(AE$12:AE$20,MATCH($AJ14,$AC$12:$AC$20,0)+2)</f>
        <v>0.8</v>
      </c>
      <c r="AM14" s="122">
        <f ca="1">INDEX(AF$12:AF$20,MATCH($AJ14,$AC$12:$AC$20,0)+2)</f>
        <v>0.2</v>
      </c>
    </row>
    <row r="15" spans="1:39" x14ac:dyDescent="0.25">
      <c r="B15" t="str">
        <f>$E$2</f>
        <v>Unk-EPA</v>
      </c>
      <c r="C15">
        <f ca="1">OFFSET(Summary!N$9,0,(ROW()-ROW($C$13))*11)</f>
        <v>6</v>
      </c>
      <c r="D15">
        <f ca="1">OFFSET(Summary!O$9,0,(ROW()-ROW($C$13))*11)</f>
        <v>6</v>
      </c>
      <c r="I15" t="str">
        <f>B15</f>
        <v>Unk-EPA</v>
      </c>
      <c r="J15" s="39">
        <f t="shared" ca="1" si="0"/>
        <v>0.5</v>
      </c>
      <c r="K15" s="39">
        <f t="shared" ca="1" si="0"/>
        <v>0.5</v>
      </c>
      <c r="O15" s="146"/>
      <c r="P15" t="str">
        <f>I15</f>
        <v>Unk-EPA</v>
      </c>
      <c r="Q15" s="122">
        <f ca="1">INDEX(J$12:J$20,MATCH($O$12,$H$12:$H$20,0)+3)</f>
        <v>0.66666666666666663</v>
      </c>
      <c r="R15" s="122">
        <f ca="1">INDEX(K$12:K$20,MATCH($O$12,$H$12:$H$20,0)+3)</f>
        <v>0.33333333333333331</v>
      </c>
      <c r="W15" t="str">
        <f>$E$7</f>
        <v>Other</v>
      </c>
      <c r="X15">
        <f ca="1">OFFSET(Summary!AU$9,0,(ROW()-ROW($C$13))*11)</f>
        <v>3</v>
      </c>
      <c r="Y15">
        <f ca="1">OFFSET(Summary!AV$9,0,(ROW()-ROW($C$13))*11)</f>
        <v>4</v>
      </c>
      <c r="AD15" t="str">
        <f>W15</f>
        <v>Other</v>
      </c>
      <c r="AE15" s="39">
        <f t="shared" ca="1" si="1"/>
        <v>0.42857142857142855</v>
      </c>
      <c r="AF15" s="39">
        <f t="shared" ca="1" si="1"/>
        <v>0.5714285714285714</v>
      </c>
      <c r="AJ15" s="149">
        <f ca="1">AJ14</f>
        <v>0.67380952380952375</v>
      </c>
      <c r="AK15" t="str">
        <f>AD15</f>
        <v>Other</v>
      </c>
      <c r="AL15" s="122">
        <f ca="1">INDEX(AE$12:AE$20,MATCH($AJ15,$AC$12:$AC$20,0)+3)</f>
        <v>0.5714285714285714</v>
      </c>
      <c r="AM15" s="122">
        <f ca="1">INDEX(AF$12:AF$20,MATCH($AJ15,$AC$12:$AC$20,0)+3)</f>
        <v>0.42857142857142855</v>
      </c>
    </row>
    <row r="16" spans="1:39" x14ac:dyDescent="0.25">
      <c r="O16" s="146"/>
      <c r="AJ16" s="150"/>
    </row>
    <row r="17" spans="1:40" x14ac:dyDescent="0.25">
      <c r="B17" t="str">
        <f>$D$8</f>
        <v>Life Cycle Properties</v>
      </c>
      <c r="C17" t="str">
        <f>$C$3</f>
        <v>1st Rank</v>
      </c>
      <c r="D17" t="str">
        <f>$D$3</f>
        <v>2nd Rank</v>
      </c>
      <c r="H17" s="141">
        <f ca="1">AVERAGE(J18:J20)</f>
        <v>0.65873015873015872</v>
      </c>
      <c r="I17" t="str">
        <f>B17</f>
        <v>Life Cycle Properties</v>
      </c>
      <c r="J17" t="str">
        <f>C17</f>
        <v>1st Rank</v>
      </c>
      <c r="K17" t="str">
        <f>D17</f>
        <v>2nd Rank</v>
      </c>
      <c r="O17" s="145">
        <f ca="1">LARGE(H12:H20,2)</f>
        <v>0.42063492063492064</v>
      </c>
      <c r="P17" t="str">
        <f ca="1">INDEX($I$12:$I$20,MATCH(O17,$H$12:$H$20,0))</f>
        <v>Chemical Properties</v>
      </c>
      <c r="Q17" t="str">
        <f>J17</f>
        <v>1st Rank</v>
      </c>
      <c r="R17" t="str">
        <f>K17</f>
        <v>2nd Rank</v>
      </c>
      <c r="W17" t="str">
        <f>$D$8</f>
        <v>Life Cycle Properties</v>
      </c>
      <c r="X17" t="str">
        <f>$C$3</f>
        <v>1st Rank</v>
      </c>
      <c r="Y17" t="str">
        <f>$D$3</f>
        <v>2nd Rank</v>
      </c>
      <c r="AC17" s="141">
        <f ca="1">AVERAGE(AE18:AE20)</f>
        <v>0.67380952380952375</v>
      </c>
      <c r="AD17" t="str">
        <f>W17</f>
        <v>Life Cycle Properties</v>
      </c>
      <c r="AE17" t="str">
        <f>X17</f>
        <v>1st Rank</v>
      </c>
      <c r="AF17" t="str">
        <f>Y17</f>
        <v>2nd Rank</v>
      </c>
      <c r="AJ17" s="148">
        <f ca="1">LARGE(AC12:AC20,2)</f>
        <v>0.37619047619047619</v>
      </c>
      <c r="AK17" t="str">
        <f ca="1">INDEX($AD$12:$AD$20,MATCH(AJ17,$AC$12:$AC$20,0))</f>
        <v>Chemical Properties</v>
      </c>
      <c r="AL17" t="str">
        <f>AE17</f>
        <v>1st Rank</v>
      </c>
      <c r="AM17" t="str">
        <f>AF17</f>
        <v>2nd Rank</v>
      </c>
    </row>
    <row r="18" spans="1:40" x14ac:dyDescent="0.25">
      <c r="B18" t="str">
        <f>$C$2</f>
        <v>EPA</v>
      </c>
      <c r="C18">
        <f ca="1">OFFSET(Summary!N$10,0,(ROW()-ROW($C$18))*11)</f>
        <v>4</v>
      </c>
      <c r="D18">
        <f ca="1">OFFSET(Summary!O$10,0,(ROW()-ROW($C$18))*11)</f>
        <v>2</v>
      </c>
      <c r="I18" t="str">
        <f>B18</f>
        <v>EPA</v>
      </c>
      <c r="J18" s="39">
        <f t="shared" ref="J18:K20" ca="1" si="2">C18/SUM($C18:$D18)</f>
        <v>0.66666666666666663</v>
      </c>
      <c r="K18" s="39">
        <f t="shared" ca="1" si="2"/>
        <v>0.33333333333333331</v>
      </c>
      <c r="O18" s="146"/>
      <c r="P18" t="str">
        <f>I18</f>
        <v>EPA</v>
      </c>
      <c r="Q18" s="122">
        <f ca="1">INDEX(J$12:J$20,MATCH($O$17,$H$12:$H$20,0)+1)</f>
        <v>0.33333333333333331</v>
      </c>
      <c r="R18" s="122">
        <f ca="1">INDEX(K$12:K$20,MATCH($O$17,$H$12:$H$20,0)+1)</f>
        <v>0.66666666666666663</v>
      </c>
      <c r="W18" t="str">
        <f>$C$7</f>
        <v>Chemical</v>
      </c>
      <c r="X18">
        <f ca="1">OFFSET(Summary!AU$10,0,(ROW()-ROW($C$18))*11)</f>
        <v>13</v>
      </c>
      <c r="Y18">
        <f ca="1">OFFSET(Summary!AV$10,0,(ROW()-ROW($C$18))*11)</f>
        <v>7</v>
      </c>
      <c r="AD18" t="str">
        <f>W18</f>
        <v>Chemical</v>
      </c>
      <c r="AE18" s="39">
        <f t="shared" ref="AE18:AF20" ca="1" si="3">X18/SUM($X18:$Y18)</f>
        <v>0.65</v>
      </c>
      <c r="AF18" s="39">
        <f t="shared" ca="1" si="3"/>
        <v>0.35</v>
      </c>
      <c r="AJ18" s="149">
        <f ca="1">AJ17</f>
        <v>0.37619047619047619</v>
      </c>
      <c r="AK18" t="str">
        <f>AD18</f>
        <v>Chemical</v>
      </c>
      <c r="AL18" s="122">
        <f ca="1">INDEX(AE$12:AE$20,MATCH($AJ18,$AC$12:$AC$20,0)+1)</f>
        <v>0.5</v>
      </c>
      <c r="AM18" s="122">
        <f ca="1">INDEX(AF$12:AF$20,MATCH($AJ18,$AC$12:$AC$20,0)+1)</f>
        <v>0.5</v>
      </c>
    </row>
    <row r="19" spans="1:40" x14ac:dyDescent="0.25">
      <c r="B19" t="str">
        <f>$D$2</f>
        <v>Non-EPA</v>
      </c>
      <c r="C19">
        <f ca="1">OFFSET(Summary!N$10,0,(ROW()-ROW($C$18))*11)</f>
        <v>9</v>
      </c>
      <c r="D19">
        <f ca="1">OFFSET(Summary!O$10,0,(ROW()-ROW($C$18))*11)</f>
        <v>5</v>
      </c>
      <c r="I19" t="str">
        <f>B19</f>
        <v>Non-EPA</v>
      </c>
      <c r="J19" s="39">
        <f t="shared" ca="1" si="2"/>
        <v>0.6428571428571429</v>
      </c>
      <c r="K19" s="39">
        <f t="shared" ca="1" si="2"/>
        <v>0.35714285714285715</v>
      </c>
      <c r="O19" s="146"/>
      <c r="P19" t="str">
        <f>I19</f>
        <v>Non-EPA</v>
      </c>
      <c r="Q19" s="122">
        <f ca="1">INDEX(J$12:J$20,MATCH($O$17,$H$12:$H$20,0)+2)</f>
        <v>0.42857142857142855</v>
      </c>
      <c r="R19" s="122">
        <f ca="1">INDEX(K$12:K$20,MATCH($O$17,$H$12:$H$20,0)+2)</f>
        <v>0.5714285714285714</v>
      </c>
      <c r="W19" t="str">
        <f>$D$7</f>
        <v>Human Factors</v>
      </c>
      <c r="X19">
        <f ca="1">OFFSET(Summary!AU$10,0,(ROW()-ROW($C$18))*11)</f>
        <v>4</v>
      </c>
      <c r="Y19">
        <f ca="1">OFFSET(Summary!AV$10,0,(ROW()-ROW($C$18))*11)</f>
        <v>1</v>
      </c>
      <c r="AD19" t="str">
        <f>W19</f>
        <v>Human Factors</v>
      </c>
      <c r="AE19" s="39">
        <f t="shared" ca="1" si="3"/>
        <v>0.8</v>
      </c>
      <c r="AF19" s="39">
        <f t="shared" ca="1" si="3"/>
        <v>0.2</v>
      </c>
      <c r="AJ19" s="149">
        <f ca="1">AJ18</f>
        <v>0.37619047619047619</v>
      </c>
      <c r="AK19" t="str">
        <f>AD19</f>
        <v>Human Factors</v>
      </c>
      <c r="AL19" s="122">
        <f ca="1">INDEX(AE$12:AE$20,MATCH($AJ19,$AC$12:$AC$20,0)+2)</f>
        <v>0.2</v>
      </c>
      <c r="AM19" s="122">
        <f ca="1">INDEX(AF$12:AF$20,MATCH($AJ19,$AC$12:$AC$20,0)+2)</f>
        <v>0.8</v>
      </c>
    </row>
    <row r="20" spans="1:40" x14ac:dyDescent="0.25">
      <c r="B20" t="str">
        <f>$E$2</f>
        <v>Unk-EPA</v>
      </c>
      <c r="C20">
        <f ca="1">OFFSET(Summary!N$10,0,(ROW()-ROW($C$18))*11)</f>
        <v>8</v>
      </c>
      <c r="D20">
        <f ca="1">OFFSET(Summary!O$10,0,(ROW()-ROW($C$18))*11)</f>
        <v>4</v>
      </c>
      <c r="I20" t="str">
        <f>B20</f>
        <v>Unk-EPA</v>
      </c>
      <c r="J20" s="39">
        <f t="shared" ca="1" si="2"/>
        <v>0.66666666666666663</v>
      </c>
      <c r="K20" s="39">
        <f t="shared" ca="1" si="2"/>
        <v>0.33333333333333331</v>
      </c>
      <c r="O20" s="146"/>
      <c r="P20" t="str">
        <f>I20</f>
        <v>Unk-EPA</v>
      </c>
      <c r="Q20" s="122">
        <f ca="1">INDEX(J$12:J$20,MATCH($O$17,$H$12:$H$20,0)+3)</f>
        <v>0.5</v>
      </c>
      <c r="R20" s="122">
        <f ca="1">INDEX(K$12:K$20,MATCH($O$17,$H$12:$H$20,0)+3)</f>
        <v>0.5</v>
      </c>
      <c r="W20" t="str">
        <f>$E$7</f>
        <v>Other</v>
      </c>
      <c r="X20">
        <f ca="1">OFFSET(Summary!AU$10,0,(ROW()-ROW($C$18))*11)</f>
        <v>4</v>
      </c>
      <c r="Y20">
        <f ca="1">OFFSET(Summary!AV$10,0,(ROW()-ROW($C$18))*11)</f>
        <v>3</v>
      </c>
      <c r="AD20" t="str">
        <f>W20</f>
        <v>Other</v>
      </c>
      <c r="AE20" s="39">
        <f t="shared" ca="1" si="3"/>
        <v>0.5714285714285714</v>
      </c>
      <c r="AF20" s="39">
        <f t="shared" ca="1" si="3"/>
        <v>0.42857142857142855</v>
      </c>
      <c r="AJ20" s="149">
        <f ca="1">AJ19</f>
        <v>0.37619047619047619</v>
      </c>
      <c r="AK20" t="str">
        <f>AD20</f>
        <v>Other</v>
      </c>
      <c r="AL20" s="122">
        <f ca="1">INDEX(AE$12:AE$20,MATCH($AJ20,$AC$12:$AC$20,0)+3)</f>
        <v>0.42857142857142855</v>
      </c>
      <c r="AM20" s="122">
        <f ca="1">INDEX(AF$12:AF$20,MATCH($AJ20,$AC$12:$AC$20,0)+3)</f>
        <v>0.5714285714285714</v>
      </c>
    </row>
    <row r="21" spans="1:40" x14ac:dyDescent="0.25">
      <c r="O21" s="39"/>
      <c r="AJ21" s="39"/>
    </row>
    <row r="22" spans="1:40" x14ac:dyDescent="0.25">
      <c r="A22" s="3" t="s">
        <v>403</v>
      </c>
      <c r="H22" s="3" t="s">
        <v>393</v>
      </c>
      <c r="O22" s="3" t="s">
        <v>394</v>
      </c>
      <c r="P22" s="3"/>
      <c r="V22" s="3" t="s">
        <v>403</v>
      </c>
      <c r="AC22" s="3" t="s">
        <v>393</v>
      </c>
      <c r="AJ22" s="142" t="s">
        <v>394</v>
      </c>
      <c r="AK22" s="3"/>
    </row>
    <row r="23" spans="1:40" x14ac:dyDescent="0.25">
      <c r="B23" s="16" t="str">
        <f>$C$4</f>
        <v>Disposal Phase</v>
      </c>
      <c r="C23" t="str">
        <f>$C$3</f>
        <v>1st Rank</v>
      </c>
      <c r="D23" t="str">
        <f>$D$3</f>
        <v>2nd Rank</v>
      </c>
      <c r="E23" t="str">
        <f>$E$3</f>
        <v>3rd Rank</v>
      </c>
      <c r="H23" s="141">
        <f ca="1">AVERAGE(J24:J26)</f>
        <v>0.12698412698412698</v>
      </c>
      <c r="I23" t="str">
        <f>B23</f>
        <v>Disposal Phase</v>
      </c>
      <c r="J23" t="str">
        <f>C23</f>
        <v>1st Rank</v>
      </c>
      <c r="K23" t="str">
        <f>D23</f>
        <v>2nd Rank</v>
      </c>
      <c r="L23" t="str">
        <f>E23</f>
        <v>3rd Rank</v>
      </c>
      <c r="O23" s="145">
        <f ca="1">LARGE(H23:H33,1)</f>
        <v>0.76984126984126988</v>
      </c>
      <c r="P23" t="str">
        <f ca="1">INDEX($I$23:$I$36,MATCH(O23,$H$23:$H$36,0))</f>
        <v>Consumer Use Phase</v>
      </c>
      <c r="Q23" t="str">
        <f>J23</f>
        <v>1st Rank</v>
      </c>
      <c r="R23" t="str">
        <f>K23</f>
        <v>2nd Rank</v>
      </c>
      <c r="S23" t="str">
        <f>L23</f>
        <v>3rd Rank</v>
      </c>
      <c r="W23" s="16" t="str">
        <f>$C$4</f>
        <v>Disposal Phase</v>
      </c>
      <c r="X23" t="str">
        <f>$C$3</f>
        <v>1st Rank</v>
      </c>
      <c r="Y23" t="str">
        <f>$D$3</f>
        <v>2nd Rank</v>
      </c>
      <c r="Z23" t="str">
        <f>$E$3</f>
        <v>3rd Rank</v>
      </c>
      <c r="AC23" s="141">
        <f ca="1">AVERAGE(AE24:AE26)</f>
        <v>0.16428571428571428</v>
      </c>
      <c r="AD23" t="str">
        <f>W23</f>
        <v>Disposal Phase</v>
      </c>
      <c r="AE23" t="str">
        <f>X23</f>
        <v>1st Rank</v>
      </c>
      <c r="AF23" t="str">
        <f>Y23</f>
        <v>2nd Rank</v>
      </c>
      <c r="AG23" t="str">
        <f>Z23</f>
        <v>3rd Rank</v>
      </c>
      <c r="AJ23" s="148">
        <f ca="1">LARGE(AC23:AC33,1)</f>
        <v>0.75476190476190474</v>
      </c>
      <c r="AK23" t="str">
        <f ca="1">INDEX($AD$23:$AD$36,MATCH(AJ23,$AC$23:$AC$36,0))</f>
        <v>Consumer Use Phase</v>
      </c>
      <c r="AL23" t="str">
        <f>AE23</f>
        <v>1st Rank</v>
      </c>
      <c r="AM23" t="str">
        <f>AF23</f>
        <v>2nd Rank</v>
      </c>
      <c r="AN23" t="str">
        <f>AG23</f>
        <v>3rd Rank</v>
      </c>
    </row>
    <row r="24" spans="1:40" x14ac:dyDescent="0.25">
      <c r="B24" t="str">
        <f>$C$2</f>
        <v>EPA</v>
      </c>
      <c r="C24">
        <f ca="1">OFFSET(Summary!N$15,0,(ROW()-ROW($C$24))*11)</f>
        <v>0</v>
      </c>
      <c r="D24">
        <f ca="1">OFFSET(Summary!O$15,0,(ROW()-ROW($C$24))*11)</f>
        <v>4</v>
      </c>
      <c r="E24">
        <f ca="1">OFFSET(Summary!P$15,0,(ROW()-ROW($C$24))*11)</f>
        <v>2</v>
      </c>
      <c r="I24" t="str">
        <f>B24</f>
        <v>EPA</v>
      </c>
      <c r="J24" s="39">
        <f ca="1">C24/SUM($C24:$E24)</f>
        <v>0</v>
      </c>
      <c r="K24" s="39">
        <f t="shared" ref="K24:L24" ca="1" si="4">D24/SUM($C24:$E24)</f>
        <v>0.66666666666666663</v>
      </c>
      <c r="L24" s="39">
        <f t="shared" ca="1" si="4"/>
        <v>0.33333333333333331</v>
      </c>
      <c r="O24" s="147">
        <f ca="1">O23</f>
        <v>0.76984126984126988</v>
      </c>
      <c r="P24" t="str">
        <f>I24</f>
        <v>EPA</v>
      </c>
      <c r="Q24" s="122">
        <f ca="1">INDEX(J$23:J$36,MATCH($O24,$H$23:$H$36,0)+1)</f>
        <v>0.83333333333333337</v>
      </c>
      <c r="R24" s="122">
        <f ca="1">INDEX(K$23:K$36,MATCH($O24,$H$23:$H$36,0)+1)</f>
        <v>0</v>
      </c>
      <c r="S24" s="122">
        <f ca="1">INDEX(L$23:L$36,MATCH($O24,$H$23:$H$36,0)+1)</f>
        <v>0.16666666666666666</v>
      </c>
      <c r="W24" t="str">
        <f>$C$7</f>
        <v>Chemical</v>
      </c>
      <c r="X24">
        <f ca="1">OFFSET(Summary!AU$15,0,(ROW()-ROW($C$24))*11)</f>
        <v>3</v>
      </c>
      <c r="Y24">
        <f ca="1">OFFSET(Summary!AV$15,0,(ROW()-ROW($C$24))*11)</f>
        <v>9</v>
      </c>
      <c r="Z24">
        <f ca="1">OFFSET(Summary!AW$15,0,(ROW()-ROW($C$24))*11)</f>
        <v>8</v>
      </c>
      <c r="AD24" t="str">
        <f>W24</f>
        <v>Chemical</v>
      </c>
      <c r="AE24" s="39">
        <f t="shared" ref="AE24:AG26" ca="1" si="5">X24/SUM($X24:$Z24)</f>
        <v>0.15</v>
      </c>
      <c r="AF24" s="39">
        <f t="shared" ca="1" si="5"/>
        <v>0.45</v>
      </c>
      <c r="AG24" s="39">
        <f t="shared" ca="1" si="5"/>
        <v>0.4</v>
      </c>
      <c r="AJ24" s="149">
        <f ca="1">AJ23</f>
        <v>0.75476190476190474</v>
      </c>
      <c r="AK24" t="str">
        <f>AD24</f>
        <v>Chemical</v>
      </c>
      <c r="AL24" s="122">
        <f ca="1">INDEX(AE$23:AE$36,MATCH($AJ24,$AC$23:$AC$36,0)+1)</f>
        <v>0.75</v>
      </c>
      <c r="AM24" s="122">
        <f ca="1">INDEX(AF$23:AF$36,MATCH($AJ24,$AC$23:$AC$36,0)+1)</f>
        <v>0.1</v>
      </c>
      <c r="AN24" s="122">
        <f ca="1">INDEX(AG$23:AG$36,MATCH($AJ24,$AC$23:$AC$36,0)+1)</f>
        <v>0.15</v>
      </c>
    </row>
    <row r="25" spans="1:40" x14ac:dyDescent="0.25">
      <c r="B25" t="str">
        <f>$D$2</f>
        <v>Non-EPA</v>
      </c>
      <c r="C25">
        <f ca="1">OFFSET(Summary!N$15,0,(ROW()-ROW($C$24))*11)</f>
        <v>3</v>
      </c>
      <c r="D25">
        <f ca="1">OFFSET(Summary!O$15,0,(ROW()-ROW($C$24))*11)</f>
        <v>6</v>
      </c>
      <c r="E25">
        <f ca="1">OFFSET(Summary!P$15,0,(ROW()-ROW($C$24))*11)</f>
        <v>5</v>
      </c>
      <c r="I25" t="str">
        <f>B25</f>
        <v>Non-EPA</v>
      </c>
      <c r="J25" s="39">
        <f t="shared" ref="J25:J26" ca="1" si="6">C25/SUM($C25:$E25)</f>
        <v>0.21428571428571427</v>
      </c>
      <c r="K25" s="39">
        <f t="shared" ref="K25:K26" ca="1" si="7">D25/SUM($C25:$E25)</f>
        <v>0.42857142857142855</v>
      </c>
      <c r="L25" s="39">
        <f t="shared" ref="L25:L26" ca="1" si="8">E25/SUM($C25:$E25)</f>
        <v>0.35714285714285715</v>
      </c>
      <c r="O25" s="147">
        <f ca="1">O24</f>
        <v>0.76984126984126988</v>
      </c>
      <c r="P25" t="str">
        <f>I25</f>
        <v>Non-EPA</v>
      </c>
      <c r="Q25" s="122">
        <f ca="1">INDEX(J$23:J$36,MATCH($O25,$H$23:$H$36,0)+2)</f>
        <v>0.6428571428571429</v>
      </c>
      <c r="R25" s="122">
        <f ca="1">INDEX(K$23:K$36,MATCH($O25,$H$23:$H$36,0)+2)</f>
        <v>0.2857142857142857</v>
      </c>
      <c r="S25" s="122">
        <f ca="1">INDEX(L$23:L$36,MATCH($O25,$H$23:$H$36,0)+2)</f>
        <v>7.1428571428571425E-2</v>
      </c>
      <c r="W25" t="str">
        <f>$D$7</f>
        <v>Human Factors</v>
      </c>
      <c r="X25">
        <f ca="1">OFFSET(Summary!AU$15,0,(ROW()-ROW($C$24))*11)</f>
        <v>1</v>
      </c>
      <c r="Y25">
        <f ca="1">OFFSET(Summary!AV$15,0,(ROW()-ROW($C$24))*11)</f>
        <v>3</v>
      </c>
      <c r="Z25">
        <f ca="1">OFFSET(Summary!AW$15,0,(ROW()-ROW($C$24))*11)</f>
        <v>1</v>
      </c>
      <c r="AD25" t="str">
        <f>W25</f>
        <v>Human Factors</v>
      </c>
      <c r="AE25" s="39">
        <f t="shared" ca="1" si="5"/>
        <v>0.2</v>
      </c>
      <c r="AF25" s="39">
        <f t="shared" ca="1" si="5"/>
        <v>0.6</v>
      </c>
      <c r="AG25" s="39">
        <f t="shared" ca="1" si="5"/>
        <v>0.2</v>
      </c>
      <c r="AJ25" s="149">
        <f ca="1">AJ24</f>
        <v>0.75476190476190474</v>
      </c>
      <c r="AK25" t="str">
        <f>AD25</f>
        <v>Human Factors</v>
      </c>
      <c r="AL25" s="122">
        <f ca="1">INDEX(AE$23:AE$36,MATCH($AJ25,$AC$23:$AC$36,0)+2)</f>
        <v>0.8</v>
      </c>
      <c r="AM25" s="122">
        <f ca="1">INDEX(AF$23:AF$36,MATCH($AJ25,$AC$23:$AC$36,0)+2)</f>
        <v>0.2</v>
      </c>
      <c r="AN25" s="122">
        <f ca="1">INDEX(AG$23:AG$36,MATCH($AJ25,$AC$23:$AC$36,0)+2)</f>
        <v>0</v>
      </c>
    </row>
    <row r="26" spans="1:40" x14ac:dyDescent="0.25">
      <c r="B26" t="str">
        <f>$E$2</f>
        <v>Unk-EPA</v>
      </c>
      <c r="C26">
        <f ca="1">OFFSET(Summary!N$15,0,(ROW()-ROW($C$24))*11)</f>
        <v>2</v>
      </c>
      <c r="D26">
        <f ca="1">OFFSET(Summary!O$15,0,(ROW()-ROW($C$24))*11)</f>
        <v>5</v>
      </c>
      <c r="E26">
        <f ca="1">OFFSET(Summary!P$15,0,(ROW()-ROW($C$24))*11)</f>
        <v>5</v>
      </c>
      <c r="I26" t="str">
        <f>B26</f>
        <v>Unk-EPA</v>
      </c>
      <c r="J26" s="39">
        <f t="shared" ca="1" si="6"/>
        <v>0.16666666666666666</v>
      </c>
      <c r="K26" s="39">
        <f t="shared" ca="1" si="7"/>
        <v>0.41666666666666669</v>
      </c>
      <c r="L26" s="39">
        <f t="shared" ca="1" si="8"/>
        <v>0.41666666666666669</v>
      </c>
      <c r="O26" s="147">
        <f ca="1">O25</f>
        <v>0.76984126984126988</v>
      </c>
      <c r="P26" t="str">
        <f>I26</f>
        <v>Unk-EPA</v>
      </c>
      <c r="Q26" s="122">
        <f ca="1">INDEX(J$23:J$36,MATCH($O26,$H$23:$H$36,0)+3)</f>
        <v>0.83333333333333337</v>
      </c>
      <c r="R26" s="122">
        <f ca="1">INDEX(K$23:K$36,MATCH($O26,$H$23:$H$36,0)+3)</f>
        <v>8.3333333333333329E-2</v>
      </c>
      <c r="S26" s="122">
        <f ca="1">INDEX(L$23:L$36,MATCH($O26,$H$23:$H$36,0)+3)</f>
        <v>8.3333333333333329E-2</v>
      </c>
      <c r="W26" t="str">
        <f>$E$7</f>
        <v>Other</v>
      </c>
      <c r="X26">
        <f ca="1">OFFSET(Summary!AU$15,0,(ROW()-ROW($C$24))*11)</f>
        <v>1</v>
      </c>
      <c r="Y26">
        <f ca="1">OFFSET(Summary!AV$15,0,(ROW()-ROW($C$24))*11)</f>
        <v>3</v>
      </c>
      <c r="Z26">
        <f ca="1">OFFSET(Summary!AW$15,0,(ROW()-ROW($C$24))*11)</f>
        <v>3</v>
      </c>
      <c r="AD26" t="str">
        <f>W26</f>
        <v>Other</v>
      </c>
      <c r="AE26" s="39">
        <f t="shared" ca="1" si="5"/>
        <v>0.14285714285714285</v>
      </c>
      <c r="AF26" s="39">
        <f t="shared" ca="1" si="5"/>
        <v>0.42857142857142855</v>
      </c>
      <c r="AG26" s="39">
        <f t="shared" ca="1" si="5"/>
        <v>0.42857142857142855</v>
      </c>
      <c r="AJ26" s="149">
        <f ca="1">AJ25</f>
        <v>0.75476190476190474</v>
      </c>
      <c r="AK26" t="str">
        <f>AD26</f>
        <v>Other</v>
      </c>
      <c r="AL26" s="122">
        <f ca="1">INDEX(AE$23:AE$36,MATCH($AJ26,$AC$23:$AC$36,0)+3)</f>
        <v>0.7142857142857143</v>
      </c>
      <c r="AM26" s="122">
        <f ca="1">INDEX(AF$23:AF$36,MATCH($AJ26,$AC$23:$AC$36,0)+3)</f>
        <v>0.2857142857142857</v>
      </c>
      <c r="AN26" s="122">
        <f ca="1">INDEX(AG$23:AG$36,MATCH($AJ26,$AC$23:$AC$36,0)+3)</f>
        <v>0</v>
      </c>
    </row>
    <row r="27" spans="1:40" x14ac:dyDescent="0.25">
      <c r="O27" s="146"/>
      <c r="AJ27" s="150"/>
    </row>
    <row r="28" spans="1:40" x14ac:dyDescent="0.25">
      <c r="B28" t="str">
        <f>$D$4</f>
        <v>Production Phase</v>
      </c>
      <c r="C28" t="str">
        <f>$C$3</f>
        <v>1st Rank</v>
      </c>
      <c r="D28" t="str">
        <f>$D$3</f>
        <v>2nd Rank</v>
      </c>
      <c r="E28" t="str">
        <f>$E$3</f>
        <v>3rd Rank</v>
      </c>
      <c r="H28" s="141">
        <f ca="1">AVERAGE(J29:J31)</f>
        <v>0.18253968253968253</v>
      </c>
      <c r="I28" t="str">
        <f>B28</f>
        <v>Production Phase</v>
      </c>
      <c r="J28" t="str">
        <f>C28</f>
        <v>1st Rank</v>
      </c>
      <c r="K28" t="str">
        <f>D28</f>
        <v>2nd Rank</v>
      </c>
      <c r="L28" t="str">
        <f>E28</f>
        <v>3rd Rank</v>
      </c>
      <c r="O28" s="145">
        <f ca="1">LARGE(H23:H33,2)</f>
        <v>0.18253968253968253</v>
      </c>
      <c r="P28" t="str">
        <f ca="1">INDEX($I$23:$I$36,MATCH(O28,$H$23:$H$36,0))</f>
        <v>Production Phase</v>
      </c>
      <c r="Q28" t="str">
        <f>J28</f>
        <v>1st Rank</v>
      </c>
      <c r="R28" t="str">
        <f>K28</f>
        <v>2nd Rank</v>
      </c>
      <c r="S28" t="str">
        <f>L28</f>
        <v>3rd Rank</v>
      </c>
      <c r="W28" t="str">
        <f>$D$4</f>
        <v>Production Phase</v>
      </c>
      <c r="X28" t="str">
        <f>$C$3</f>
        <v>1st Rank</v>
      </c>
      <c r="Y28" t="str">
        <f>$D$3</f>
        <v>2nd Rank</v>
      </c>
      <c r="Z28" t="str">
        <f>$E$3</f>
        <v>3rd Rank</v>
      </c>
      <c r="AC28" s="141">
        <f ca="1">AVERAGE(AE29:AE31)</f>
        <v>0.18095238095238098</v>
      </c>
      <c r="AD28" t="str">
        <f>W28</f>
        <v>Production Phase</v>
      </c>
      <c r="AE28" t="str">
        <f>X28</f>
        <v>1st Rank</v>
      </c>
      <c r="AF28" t="str">
        <f>Y28</f>
        <v>2nd Rank</v>
      </c>
      <c r="AG28" t="str">
        <f>Z28</f>
        <v>3rd Rank</v>
      </c>
      <c r="AJ28" s="148">
        <f ca="1">LARGE(AC23:AC33,2)</f>
        <v>0.18095238095238098</v>
      </c>
      <c r="AK28" t="str">
        <f ca="1">INDEX($AD$23:$AD$36,MATCH(AJ28,$AC$23:$AC$36,0))</f>
        <v>Production Phase</v>
      </c>
      <c r="AL28" t="str">
        <f>AE28</f>
        <v>1st Rank</v>
      </c>
      <c r="AM28" t="str">
        <f>AF28</f>
        <v>2nd Rank</v>
      </c>
      <c r="AN28" t="str">
        <f>AG28</f>
        <v>3rd Rank</v>
      </c>
    </row>
    <row r="29" spans="1:40" x14ac:dyDescent="0.25">
      <c r="B29" t="str">
        <f>$C$2</f>
        <v>EPA</v>
      </c>
      <c r="C29">
        <f ca="1">OFFSET(Summary!N$16,0,(ROW()-ROW($C$29))*11)</f>
        <v>1</v>
      </c>
      <c r="D29">
        <f ca="1">OFFSET(Summary!O$16,0,(ROW()-ROW($C$29))*11)</f>
        <v>2</v>
      </c>
      <c r="E29">
        <f ca="1">OFFSET(Summary!P$16,0,(ROW()-ROW($C$29))*11)</f>
        <v>3</v>
      </c>
      <c r="I29" t="str">
        <f>B29</f>
        <v>EPA</v>
      </c>
      <c r="J29" s="39">
        <f ca="1">C29/SUM($C29:$E29)</f>
        <v>0.16666666666666666</v>
      </c>
      <c r="K29" s="39">
        <f t="shared" ref="K29:K31" ca="1" si="9">D29/SUM($C29:$E29)</f>
        <v>0.33333333333333331</v>
      </c>
      <c r="L29" s="39">
        <f t="shared" ref="L29:L31" ca="1" si="10">E29/SUM($C29:$E29)</f>
        <v>0.5</v>
      </c>
      <c r="O29" s="147">
        <f ca="1">O28</f>
        <v>0.18253968253968253</v>
      </c>
      <c r="P29" t="str">
        <f>I29</f>
        <v>EPA</v>
      </c>
      <c r="Q29" s="122">
        <f ca="1">INDEX(J$23:J$36,MATCH($O29,$H$23:$H$36,0)+1)</f>
        <v>0.16666666666666666</v>
      </c>
      <c r="R29" s="122">
        <f ca="1">INDEX(K$23:K$36,MATCH($O29,$H$23:$H$36,0)+1)</f>
        <v>0.33333333333333331</v>
      </c>
      <c r="S29" s="122">
        <f ca="1">INDEX(L$23:L$36,MATCH($O29,$H$23:$H$36,0)+1)</f>
        <v>0.5</v>
      </c>
      <c r="W29" t="str">
        <f>$C$7</f>
        <v>Chemical</v>
      </c>
      <c r="X29">
        <f ca="1">OFFSET(Summary!AU$16,0,(ROW()-ROW($C$29))*11)</f>
        <v>4</v>
      </c>
      <c r="Y29">
        <f ca="1">OFFSET(Summary!AV$16,0,(ROW()-ROW($C$29))*11)</f>
        <v>9</v>
      </c>
      <c r="Z29">
        <f ca="1">OFFSET(Summary!AW$16,0,(ROW()-ROW($C$29))*11)</f>
        <v>7</v>
      </c>
      <c r="AD29" t="str">
        <f>W29</f>
        <v>Chemical</v>
      </c>
      <c r="AE29" s="39">
        <f t="shared" ref="AE29:AG31" ca="1" si="11">X29/SUM($X29:$Z29)</f>
        <v>0.2</v>
      </c>
      <c r="AF29" s="39">
        <f t="shared" ca="1" si="11"/>
        <v>0.45</v>
      </c>
      <c r="AG29" s="39">
        <f t="shared" ca="1" si="11"/>
        <v>0.35</v>
      </c>
      <c r="AJ29" s="149">
        <f ca="1">AJ28</f>
        <v>0.18095238095238098</v>
      </c>
      <c r="AK29" t="str">
        <f>AD29</f>
        <v>Chemical</v>
      </c>
      <c r="AL29" s="122">
        <f ca="1">INDEX(AE$23:AE$36,MATCH($AJ29,$AC$23:$AC$36,0)+1)</f>
        <v>0.2</v>
      </c>
      <c r="AM29" s="122">
        <f ca="1">INDEX(AF$23:AF$36,MATCH($AJ29,$AC$23:$AC$36,0)+1)</f>
        <v>0.45</v>
      </c>
      <c r="AN29" s="122">
        <f ca="1">INDEX(AG$23:AG$36,MATCH($AJ29,$AC$23:$AC$36,0)+1)</f>
        <v>0.35</v>
      </c>
    </row>
    <row r="30" spans="1:40" x14ac:dyDescent="0.25">
      <c r="B30" t="str">
        <f>$D$2</f>
        <v>Non-EPA</v>
      </c>
      <c r="C30">
        <f ca="1">OFFSET(Summary!N$16,0,(ROW()-ROW($C$29))*11)</f>
        <v>3</v>
      </c>
      <c r="D30">
        <f ca="1">OFFSET(Summary!O$16,0,(ROW()-ROW($C$29))*11)</f>
        <v>4</v>
      </c>
      <c r="E30">
        <f ca="1">OFFSET(Summary!P$16,0,(ROW()-ROW($C$29))*11)</f>
        <v>7</v>
      </c>
      <c r="I30" t="str">
        <f>B30</f>
        <v>Non-EPA</v>
      </c>
      <c r="J30" s="39">
        <f t="shared" ref="J30:J31" ca="1" si="12">C30/SUM($C30:$E30)</f>
        <v>0.21428571428571427</v>
      </c>
      <c r="K30" s="39">
        <f t="shared" ca="1" si="9"/>
        <v>0.2857142857142857</v>
      </c>
      <c r="L30" s="39">
        <f t="shared" ca="1" si="10"/>
        <v>0.5</v>
      </c>
      <c r="O30" s="147">
        <f ca="1">O29</f>
        <v>0.18253968253968253</v>
      </c>
      <c r="P30" t="str">
        <f>I30</f>
        <v>Non-EPA</v>
      </c>
      <c r="Q30" s="122">
        <f ca="1">INDEX(J$23:J$36,MATCH($O30,$H$23:$H$36,0)+2)</f>
        <v>0.21428571428571427</v>
      </c>
      <c r="R30" s="122">
        <f ca="1">INDEX(K$23:K$36,MATCH($O30,$H$23:$H$36,0)+2)</f>
        <v>0.2857142857142857</v>
      </c>
      <c r="S30" s="122">
        <f ca="1">INDEX(L$23:L$36,MATCH($O30,$H$23:$H$36,0)+2)</f>
        <v>0.5</v>
      </c>
      <c r="W30" t="str">
        <f>$D$7</f>
        <v>Human Factors</v>
      </c>
      <c r="X30">
        <f ca="1">OFFSET(Summary!AU$16,0,(ROW()-ROW($C$29))*11)</f>
        <v>1</v>
      </c>
      <c r="Y30">
        <f ca="1">OFFSET(Summary!AV$16,0,(ROW()-ROW($C$29))*11)</f>
        <v>1</v>
      </c>
      <c r="Z30">
        <f ca="1">OFFSET(Summary!AW$16,0,(ROW()-ROW($C$29))*11)</f>
        <v>3</v>
      </c>
      <c r="AD30" t="str">
        <f>W30</f>
        <v>Human Factors</v>
      </c>
      <c r="AE30" s="39">
        <f t="shared" ca="1" si="11"/>
        <v>0.2</v>
      </c>
      <c r="AF30" s="39">
        <f t="shared" ca="1" si="11"/>
        <v>0.2</v>
      </c>
      <c r="AG30" s="39">
        <f t="shared" ca="1" si="11"/>
        <v>0.6</v>
      </c>
      <c r="AJ30" s="149">
        <f ca="1">AJ29</f>
        <v>0.18095238095238098</v>
      </c>
      <c r="AK30" t="str">
        <f>AD30</f>
        <v>Human Factors</v>
      </c>
      <c r="AL30" s="122">
        <f ca="1">INDEX(AE$23:AE$36,MATCH($AJ30,$AC$23:$AC$36,0)+2)</f>
        <v>0.2</v>
      </c>
      <c r="AM30" s="122">
        <f ca="1">INDEX(AF$23:AF$36,MATCH($AJ30,$AC$23:$AC$36,0)+2)</f>
        <v>0.2</v>
      </c>
      <c r="AN30" s="122">
        <f ca="1">INDEX(AG$23:AG$36,MATCH($AJ30,$AC$23:$AC$36,0)+2)</f>
        <v>0.6</v>
      </c>
    </row>
    <row r="31" spans="1:40" x14ac:dyDescent="0.25">
      <c r="B31" t="str">
        <f>$E$2</f>
        <v>Unk-EPA</v>
      </c>
      <c r="C31">
        <f ca="1">OFFSET(Summary!N$16,0,(ROW()-ROW($C$29))*11)</f>
        <v>2</v>
      </c>
      <c r="D31">
        <f ca="1">OFFSET(Summary!O$16,0,(ROW()-ROW($C$29))*11)</f>
        <v>6</v>
      </c>
      <c r="E31">
        <f ca="1">OFFSET(Summary!P$16,0,(ROW()-ROW($C$29))*11)</f>
        <v>4</v>
      </c>
      <c r="I31" t="str">
        <f>B31</f>
        <v>Unk-EPA</v>
      </c>
      <c r="J31" s="39">
        <f t="shared" ca="1" si="12"/>
        <v>0.16666666666666666</v>
      </c>
      <c r="K31" s="39">
        <f t="shared" ca="1" si="9"/>
        <v>0.5</v>
      </c>
      <c r="L31" s="39">
        <f t="shared" ca="1" si="10"/>
        <v>0.33333333333333331</v>
      </c>
      <c r="O31" s="147">
        <f ca="1">O30</f>
        <v>0.18253968253968253</v>
      </c>
      <c r="P31" t="str">
        <f>I31</f>
        <v>Unk-EPA</v>
      </c>
      <c r="Q31" s="122">
        <f ca="1">INDEX(J$23:J$36,MATCH($O31,$H$23:$H$36,0)+3)</f>
        <v>0.16666666666666666</v>
      </c>
      <c r="R31" s="122">
        <f ca="1">INDEX(K$23:K$36,MATCH($O31,$H$23:$H$36,0)+3)</f>
        <v>0.5</v>
      </c>
      <c r="S31" s="122">
        <f ca="1">INDEX(L$23:L$36,MATCH($O31,$H$23:$H$36,0)+3)</f>
        <v>0.33333333333333331</v>
      </c>
      <c r="W31" t="str">
        <f>$E$7</f>
        <v>Other</v>
      </c>
      <c r="X31">
        <f ca="1">OFFSET(Summary!AU$16,0,(ROW()-ROW($C$29))*11)</f>
        <v>1</v>
      </c>
      <c r="Y31">
        <f ca="1">OFFSET(Summary!AV$16,0,(ROW()-ROW($C$29))*11)</f>
        <v>2</v>
      </c>
      <c r="Z31">
        <f ca="1">OFFSET(Summary!AW$16,0,(ROW()-ROW($C$29))*11)</f>
        <v>4</v>
      </c>
      <c r="AD31" t="str">
        <f>W31</f>
        <v>Other</v>
      </c>
      <c r="AE31" s="39">
        <f t="shared" ca="1" si="11"/>
        <v>0.14285714285714285</v>
      </c>
      <c r="AF31" s="39">
        <f t="shared" ca="1" si="11"/>
        <v>0.2857142857142857</v>
      </c>
      <c r="AG31" s="39">
        <f t="shared" ca="1" si="11"/>
        <v>0.5714285714285714</v>
      </c>
      <c r="AJ31" s="149">
        <f ca="1">AJ30</f>
        <v>0.18095238095238098</v>
      </c>
      <c r="AK31" t="str">
        <f>AD31</f>
        <v>Other</v>
      </c>
      <c r="AL31" s="122">
        <f ca="1">INDEX(AE$23:AE$36,MATCH($AJ31,$AC$23:$AC$36,0)+3)</f>
        <v>0.14285714285714285</v>
      </c>
      <c r="AM31" s="122">
        <f ca="1">INDEX(AF$23:AF$36,MATCH($AJ31,$AC$23:$AC$36,0)+3)</f>
        <v>0.2857142857142857</v>
      </c>
      <c r="AN31" s="122">
        <f ca="1">INDEX(AG$23:AG$36,MATCH($AJ31,$AC$23:$AC$36,0)+3)</f>
        <v>0.5714285714285714</v>
      </c>
    </row>
    <row r="32" spans="1:40" x14ac:dyDescent="0.25">
      <c r="O32" s="146"/>
      <c r="AJ32" s="150"/>
    </row>
    <row r="33" spans="1:41" x14ac:dyDescent="0.25">
      <c r="B33" t="str">
        <f>$E$4</f>
        <v>Consumer Use Phase</v>
      </c>
      <c r="C33" t="str">
        <f>$C$3</f>
        <v>1st Rank</v>
      </c>
      <c r="D33" t="str">
        <f>$D$3</f>
        <v>2nd Rank</v>
      </c>
      <c r="E33" t="str">
        <f>$E$3</f>
        <v>3rd Rank</v>
      </c>
      <c r="H33" s="141">
        <f ca="1">AVERAGE(J34:J36)</f>
        <v>0.76984126984126988</v>
      </c>
      <c r="I33" t="str">
        <f>B33</f>
        <v>Consumer Use Phase</v>
      </c>
      <c r="J33" t="str">
        <f>C33</f>
        <v>1st Rank</v>
      </c>
      <c r="K33" t="str">
        <f>D33</f>
        <v>2nd Rank</v>
      </c>
      <c r="L33" t="str">
        <f>E33</f>
        <v>3rd Rank</v>
      </c>
      <c r="O33" s="145">
        <f ca="1">LARGE(H23:H33,3)</f>
        <v>0.12698412698412698</v>
      </c>
      <c r="P33" t="str">
        <f ca="1">INDEX($I$23:$I$36,MATCH(O33,$H$23:$H$36,0))</f>
        <v>Disposal Phase</v>
      </c>
      <c r="Q33" t="str">
        <f>J33</f>
        <v>1st Rank</v>
      </c>
      <c r="R33" t="str">
        <f>K33</f>
        <v>2nd Rank</v>
      </c>
      <c r="S33" t="str">
        <f>L33</f>
        <v>3rd Rank</v>
      </c>
      <c r="W33" t="str">
        <f>$E$4</f>
        <v>Consumer Use Phase</v>
      </c>
      <c r="X33" t="str">
        <f>$C$3</f>
        <v>1st Rank</v>
      </c>
      <c r="Y33" t="str">
        <f>$D$3</f>
        <v>2nd Rank</v>
      </c>
      <c r="Z33" t="str">
        <f>$E$3</f>
        <v>3rd Rank</v>
      </c>
      <c r="AC33" s="141">
        <f ca="1">AVERAGE(AE34:AE36)</f>
        <v>0.75476190476190474</v>
      </c>
      <c r="AD33" t="str">
        <f>W33</f>
        <v>Consumer Use Phase</v>
      </c>
      <c r="AE33" t="str">
        <f>X33</f>
        <v>1st Rank</v>
      </c>
      <c r="AF33" t="str">
        <f>Y33</f>
        <v>2nd Rank</v>
      </c>
      <c r="AG33" t="str">
        <f>Z33</f>
        <v>3rd Rank</v>
      </c>
      <c r="AJ33" s="148">
        <f ca="1">LARGE(AC23:AC33,3)</f>
        <v>0.16428571428571428</v>
      </c>
      <c r="AK33" t="str">
        <f ca="1">INDEX($AD$23:$AD$36,MATCH(AJ33,$AC$23:$AC$36,0))</f>
        <v>Disposal Phase</v>
      </c>
      <c r="AL33" t="str">
        <f>AE33</f>
        <v>1st Rank</v>
      </c>
      <c r="AM33" t="str">
        <f>AF33</f>
        <v>2nd Rank</v>
      </c>
      <c r="AN33" t="str">
        <f>AG33</f>
        <v>3rd Rank</v>
      </c>
    </row>
    <row r="34" spans="1:41" x14ac:dyDescent="0.25">
      <c r="B34" t="str">
        <f>$C$2</f>
        <v>EPA</v>
      </c>
      <c r="C34">
        <f ca="1">OFFSET(Summary!N$17,0,(ROW()-ROW($C$34))*11)</f>
        <v>5</v>
      </c>
      <c r="D34">
        <f ca="1">OFFSET(Summary!O$17,0,(ROW()-ROW($C$34))*11)</f>
        <v>0</v>
      </c>
      <c r="E34">
        <f ca="1">OFFSET(Summary!P$17,0,(ROW()-ROW($C$34))*11)</f>
        <v>1</v>
      </c>
      <c r="I34" t="str">
        <f>B34</f>
        <v>EPA</v>
      </c>
      <c r="J34" s="39">
        <f ca="1">C34/SUM($C34:$E34)</f>
        <v>0.83333333333333337</v>
      </c>
      <c r="K34" s="39">
        <f t="shared" ref="K34:K36" ca="1" si="13">D34/SUM($C34:$E34)</f>
        <v>0</v>
      </c>
      <c r="L34" s="39">
        <f t="shared" ref="L34:L36" ca="1" si="14">E34/SUM($C34:$E34)</f>
        <v>0.16666666666666666</v>
      </c>
      <c r="O34" s="147">
        <f ca="1">O33</f>
        <v>0.12698412698412698</v>
      </c>
      <c r="P34" t="str">
        <f>I34</f>
        <v>EPA</v>
      </c>
      <c r="Q34" s="122">
        <f ca="1">INDEX(J$23:J$36,MATCH($O34,$H$23:$H$36,0)+1)</f>
        <v>0</v>
      </c>
      <c r="R34" s="122">
        <f ca="1">INDEX(K$23:K$36,MATCH($O34,$H$23:$H$36,0)+1)</f>
        <v>0.66666666666666663</v>
      </c>
      <c r="S34" s="122">
        <f ca="1">INDEX(L$23:L$36,MATCH($O34,$H$23:$H$36,0)+1)</f>
        <v>0.33333333333333331</v>
      </c>
      <c r="W34" t="str">
        <f>$C$7</f>
        <v>Chemical</v>
      </c>
      <c r="X34">
        <f ca="1">OFFSET(Summary!AU$17,0,(ROW()-ROW($C$34))*11)</f>
        <v>15</v>
      </c>
      <c r="Y34">
        <f ca="1">OFFSET(Summary!AV$17,0,(ROW()-ROW($C$34))*11)</f>
        <v>2</v>
      </c>
      <c r="Z34">
        <f ca="1">OFFSET(Summary!AW$17,0,(ROW()-ROW($C$34))*11)</f>
        <v>3</v>
      </c>
      <c r="AD34" t="str">
        <f>W34</f>
        <v>Chemical</v>
      </c>
      <c r="AE34" s="39">
        <f t="shared" ref="AE34:AG36" ca="1" si="15">X34/SUM($X34:$Z34)</f>
        <v>0.75</v>
      </c>
      <c r="AF34" s="39">
        <f t="shared" ca="1" si="15"/>
        <v>0.1</v>
      </c>
      <c r="AG34" s="39">
        <f t="shared" ca="1" si="15"/>
        <v>0.15</v>
      </c>
      <c r="AJ34" s="149">
        <f ca="1">AJ33</f>
        <v>0.16428571428571428</v>
      </c>
      <c r="AK34" t="str">
        <f>AD34</f>
        <v>Chemical</v>
      </c>
      <c r="AL34" s="122">
        <f ca="1">INDEX(AE$23:AE$36,MATCH($AJ34,$AC$23:$AC$36,0)+1)</f>
        <v>0.15</v>
      </c>
      <c r="AM34" s="122">
        <f ca="1">INDEX(AF$23:AF$36,MATCH($AJ34,$AC$23:$AC$36,0)+1)</f>
        <v>0.45</v>
      </c>
      <c r="AN34" s="122">
        <f ca="1">INDEX(AG$23:AG$36,MATCH($AJ34,$AC$23:$AC$36,0)+1)</f>
        <v>0.4</v>
      </c>
    </row>
    <row r="35" spans="1:41" x14ac:dyDescent="0.25">
      <c r="A35" s="16"/>
      <c r="B35" t="str">
        <f>$D$2</f>
        <v>Non-EPA</v>
      </c>
      <c r="C35">
        <f ca="1">OFFSET(Summary!N$17,0,(ROW()-ROW($C$34))*11)</f>
        <v>9</v>
      </c>
      <c r="D35">
        <f ca="1">OFFSET(Summary!O$17,0,(ROW()-ROW($C$34))*11)</f>
        <v>4</v>
      </c>
      <c r="E35">
        <f ca="1">OFFSET(Summary!P$17,0,(ROW()-ROW($C$34))*11)</f>
        <v>1</v>
      </c>
      <c r="I35" t="str">
        <f>B35</f>
        <v>Non-EPA</v>
      </c>
      <c r="J35" s="39">
        <f t="shared" ref="J35:J36" ca="1" si="16">C35/SUM($C35:$E35)</f>
        <v>0.6428571428571429</v>
      </c>
      <c r="K35" s="39">
        <f t="shared" ca="1" si="13"/>
        <v>0.2857142857142857</v>
      </c>
      <c r="L35" s="39">
        <f t="shared" ca="1" si="14"/>
        <v>7.1428571428571425E-2</v>
      </c>
      <c r="O35" s="147">
        <f ca="1">O34</f>
        <v>0.12698412698412698</v>
      </c>
      <c r="P35" t="str">
        <f>I35</f>
        <v>Non-EPA</v>
      </c>
      <c r="Q35" s="122">
        <f ca="1">INDEX(J$23:J$36,MATCH($O35,$H$23:$H$36,0)+2)</f>
        <v>0.21428571428571427</v>
      </c>
      <c r="R35" s="122">
        <f ca="1">INDEX(K$23:K$36,MATCH($O35,$H$23:$H$36,0)+2)</f>
        <v>0.42857142857142855</v>
      </c>
      <c r="S35" s="122">
        <f ca="1">INDEX(L$23:L$36,MATCH($O35,$H$23:$H$36,0)+2)</f>
        <v>0.35714285714285715</v>
      </c>
      <c r="V35" s="16"/>
      <c r="W35" t="str">
        <f>$D$7</f>
        <v>Human Factors</v>
      </c>
      <c r="X35">
        <f ca="1">OFFSET(Summary!AU$17,0,(ROW()-ROW($C$34))*11)</f>
        <v>4</v>
      </c>
      <c r="Y35">
        <f ca="1">OFFSET(Summary!AV$17,0,(ROW()-ROW($C$34))*11)</f>
        <v>1</v>
      </c>
      <c r="Z35">
        <f ca="1">OFFSET(Summary!AW$17,0,(ROW()-ROW($C$34))*11)</f>
        <v>0</v>
      </c>
      <c r="AD35" t="str">
        <f>W35</f>
        <v>Human Factors</v>
      </c>
      <c r="AE35" s="39">
        <f t="shared" ca="1" si="15"/>
        <v>0.8</v>
      </c>
      <c r="AF35" s="39">
        <f t="shared" ca="1" si="15"/>
        <v>0.2</v>
      </c>
      <c r="AG35" s="39">
        <f t="shared" ca="1" si="15"/>
        <v>0</v>
      </c>
      <c r="AJ35" s="149">
        <f ca="1">AJ34</f>
        <v>0.16428571428571428</v>
      </c>
      <c r="AK35" t="str">
        <f>AD35</f>
        <v>Human Factors</v>
      </c>
      <c r="AL35" s="122">
        <f ca="1">INDEX(AE$23:AE$36,MATCH($AJ35,$AC$23:$AC$36,0)+2)</f>
        <v>0.2</v>
      </c>
      <c r="AM35" s="122">
        <f ca="1">INDEX(AF$23:AF$36,MATCH($AJ35,$AC$23:$AC$36,0)+2)</f>
        <v>0.6</v>
      </c>
      <c r="AN35" s="122">
        <f ca="1">INDEX(AG$23:AG$36,MATCH($AJ35,$AC$23:$AC$36,0)+2)</f>
        <v>0.2</v>
      </c>
    </row>
    <row r="36" spans="1:41" x14ac:dyDescent="0.25">
      <c r="B36" t="str">
        <f>$E$2</f>
        <v>Unk-EPA</v>
      </c>
      <c r="C36">
        <f ca="1">OFFSET(Summary!N$17,0,(ROW()-ROW($C$34))*11)</f>
        <v>10</v>
      </c>
      <c r="D36">
        <f ca="1">OFFSET(Summary!O$17,0,(ROW()-ROW($C$34))*11)</f>
        <v>1</v>
      </c>
      <c r="E36">
        <f ca="1">OFFSET(Summary!P$17,0,(ROW()-ROW($C$34))*11)</f>
        <v>1</v>
      </c>
      <c r="I36" t="str">
        <f>B36</f>
        <v>Unk-EPA</v>
      </c>
      <c r="J36" s="39">
        <f t="shared" ca="1" si="16"/>
        <v>0.83333333333333337</v>
      </c>
      <c r="K36" s="39">
        <f t="shared" ca="1" si="13"/>
        <v>8.3333333333333329E-2</v>
      </c>
      <c r="L36" s="39">
        <f t="shared" ca="1" si="14"/>
        <v>8.3333333333333329E-2</v>
      </c>
      <c r="O36" s="147">
        <f ca="1">O35</f>
        <v>0.12698412698412698</v>
      </c>
      <c r="P36" t="str">
        <f>I36</f>
        <v>Unk-EPA</v>
      </c>
      <c r="Q36" s="122">
        <f ca="1">INDEX(J$23:J$36,MATCH($O36,$H$23:$H$36,0)+3)</f>
        <v>0.16666666666666666</v>
      </c>
      <c r="R36" s="122">
        <f ca="1">INDEX(K$23:K$36,MATCH($O36,$H$23:$H$36,0)+3)</f>
        <v>0.41666666666666669</v>
      </c>
      <c r="S36" s="122">
        <f ca="1">INDEX(L$23:L$36,MATCH($O36,$H$23:$H$36,0)+3)</f>
        <v>0.41666666666666669</v>
      </c>
      <c r="W36" t="str">
        <f>$E$7</f>
        <v>Other</v>
      </c>
      <c r="X36">
        <f ca="1">OFFSET(Summary!AU$17,0,(ROW()-ROW($C$34))*11)</f>
        <v>5</v>
      </c>
      <c r="Y36">
        <f ca="1">OFFSET(Summary!AV$17,0,(ROW()-ROW($C$34))*11)</f>
        <v>2</v>
      </c>
      <c r="Z36">
        <f ca="1">OFFSET(Summary!AW$17,0,(ROW()-ROW($C$34))*11)</f>
        <v>0</v>
      </c>
      <c r="AD36" t="str">
        <f>W36</f>
        <v>Other</v>
      </c>
      <c r="AE36" s="39">
        <f t="shared" ca="1" si="15"/>
        <v>0.7142857142857143</v>
      </c>
      <c r="AF36" s="39">
        <f t="shared" ca="1" si="15"/>
        <v>0.2857142857142857</v>
      </c>
      <c r="AG36" s="39">
        <f t="shared" ca="1" si="15"/>
        <v>0</v>
      </c>
      <c r="AJ36" s="149">
        <f ca="1">AJ35</f>
        <v>0.16428571428571428</v>
      </c>
      <c r="AK36" t="str">
        <f>AD36</f>
        <v>Other</v>
      </c>
      <c r="AL36" s="122">
        <f ca="1">INDEX(AE$23:AE$36,MATCH($AJ36,$AC$23:$AC$36,0)+3)</f>
        <v>0.14285714285714285</v>
      </c>
      <c r="AM36" s="122">
        <f ca="1">INDEX(AF$23:AF$36,MATCH($AJ36,$AC$23:$AC$36,0)+3)</f>
        <v>0.42857142857142855</v>
      </c>
      <c r="AN36" s="122">
        <f ca="1">INDEX(AG$23:AG$36,MATCH($AJ36,$AC$23:$AC$36,0)+3)</f>
        <v>0.42857142857142855</v>
      </c>
    </row>
    <row r="38" spans="1:41" x14ac:dyDescent="0.25">
      <c r="A38" s="3" t="s">
        <v>404</v>
      </c>
      <c r="H38" s="3" t="s">
        <v>395</v>
      </c>
      <c r="O38" s="3" t="s">
        <v>396</v>
      </c>
      <c r="P38" s="3"/>
      <c r="V38" s="3" t="s">
        <v>404</v>
      </c>
      <c r="AC38" s="3" t="s">
        <v>395</v>
      </c>
      <c r="AJ38" s="3" t="s">
        <v>396</v>
      </c>
      <c r="AK38" s="3"/>
    </row>
    <row r="39" spans="1:41" x14ac:dyDescent="0.25">
      <c r="B39" t="str">
        <f>$C$5</f>
        <v>Physical Hazard</v>
      </c>
      <c r="C39" t="str">
        <f>$C$3</f>
        <v>1st Rank</v>
      </c>
      <c r="D39" t="str">
        <f>$D$3</f>
        <v>2nd Rank</v>
      </c>
      <c r="E39" t="str">
        <f>$E$3</f>
        <v>3rd Rank</v>
      </c>
      <c r="F39" t="str">
        <f>$F$3</f>
        <v>4th Rank</v>
      </c>
      <c r="H39" s="141">
        <f ca="1">AVERAGE(J40:J42)</f>
        <v>0.24206349206349209</v>
      </c>
      <c r="I39" t="str">
        <f>B39</f>
        <v>Physical Hazard</v>
      </c>
      <c r="J39" t="str">
        <f>C39</f>
        <v>1st Rank</v>
      </c>
      <c r="K39" t="str">
        <f>D39</f>
        <v>2nd Rank</v>
      </c>
      <c r="L39" t="str">
        <f>E39</f>
        <v>3rd Rank</v>
      </c>
      <c r="M39" t="str">
        <f>F39</f>
        <v>4th Rank</v>
      </c>
      <c r="O39" s="145">
        <f ca="1">LARGE($H$39:$H$58,1)</f>
        <v>0.36507936507936506</v>
      </c>
      <c r="P39" t="str">
        <f ca="1">INDEX($I$39:$I$57,MATCH(O39,$H$39:$H$57,0))</f>
        <v>ADME</v>
      </c>
      <c r="Q39" t="str">
        <f>J39</f>
        <v>1st Rank</v>
      </c>
      <c r="R39" t="str">
        <f>K39</f>
        <v>2nd Rank</v>
      </c>
      <c r="S39" t="str">
        <f>L39</f>
        <v>3rd Rank</v>
      </c>
      <c r="T39" t="str">
        <f>M39</f>
        <v>4th Rank</v>
      </c>
      <c r="W39" t="str">
        <f>$C$5</f>
        <v>Physical Hazard</v>
      </c>
      <c r="X39" t="str">
        <f>$C$3</f>
        <v>1st Rank</v>
      </c>
      <c r="Y39" t="str">
        <f>$D$3</f>
        <v>2nd Rank</v>
      </c>
      <c r="Z39" t="str">
        <f>$E$3</f>
        <v>3rd Rank</v>
      </c>
      <c r="AA39" t="str">
        <f>$F$3</f>
        <v>4th Rank</v>
      </c>
      <c r="AC39" s="141">
        <f ca="1">AVERAGE(AE40:AE42)</f>
        <v>0.22619047619047619</v>
      </c>
      <c r="AD39" t="str">
        <f>W39</f>
        <v>Physical Hazard</v>
      </c>
      <c r="AE39" t="str">
        <f>X39</f>
        <v>1st Rank</v>
      </c>
      <c r="AF39" t="str">
        <f>Y39</f>
        <v>2nd Rank</v>
      </c>
      <c r="AG39" t="str">
        <f>Z39</f>
        <v>3rd Rank</v>
      </c>
      <c r="AH39" t="str">
        <f>AA39</f>
        <v>4th Rank</v>
      </c>
      <c r="AJ39" s="148">
        <f ca="1">LARGE(AC$39:AC$58,1)</f>
        <v>0.39285714285714285</v>
      </c>
      <c r="AK39" t="str">
        <f ca="1">INDEX($AD$39:$AD$57,MATCH(AJ39,$AC$39:$AC$57,0))</f>
        <v>ADME</v>
      </c>
      <c r="AL39" t="str">
        <f>AE39</f>
        <v>1st Rank</v>
      </c>
      <c r="AM39" t="str">
        <f>AF39</f>
        <v>2nd Rank</v>
      </c>
      <c r="AN39" t="str">
        <f>AG39</f>
        <v>3rd Rank</v>
      </c>
      <c r="AO39" t="str">
        <f>AH39</f>
        <v>4th Rank</v>
      </c>
    </row>
    <row r="40" spans="1:41" x14ac:dyDescent="0.25">
      <c r="B40" t="str">
        <f>$C$2</f>
        <v>EPA</v>
      </c>
      <c r="C40">
        <f ca="1">OFFSET(Summary!N$21,0,(ROW()-ROW($C$40))*11)</f>
        <v>1</v>
      </c>
      <c r="D40">
        <f ca="1">OFFSET(Summary!O$21,0,(ROW()-ROW($C$40))*11)</f>
        <v>1</v>
      </c>
      <c r="E40">
        <f ca="1">OFFSET(Summary!P$21,0,(ROW()-ROW($C$40))*11)</f>
        <v>1</v>
      </c>
      <c r="F40">
        <f ca="1">OFFSET(Summary!Q$21,0,(ROW()-ROW($C$40))*11)</f>
        <v>3</v>
      </c>
      <c r="I40" t="str">
        <f>B40</f>
        <v>EPA</v>
      </c>
      <c r="J40" s="39">
        <f ca="1">C40/SUM($C40:$F40)</f>
        <v>0.16666666666666666</v>
      </c>
      <c r="K40" s="39">
        <f t="shared" ref="K40:M40" ca="1" si="17">D40/SUM($C40:$F40)</f>
        <v>0.16666666666666666</v>
      </c>
      <c r="L40" s="39">
        <f t="shared" ca="1" si="17"/>
        <v>0.16666666666666666</v>
      </c>
      <c r="M40" s="39">
        <f t="shared" ca="1" si="17"/>
        <v>0.5</v>
      </c>
      <c r="O40" s="147">
        <f ca="1">O39</f>
        <v>0.36507936507936506</v>
      </c>
      <c r="P40" t="str">
        <f>I40</f>
        <v>EPA</v>
      </c>
      <c r="Q40" s="122">
        <f ca="1">INDEX(J39:J57,MATCH($O40,H39:H57,0)+1)</f>
        <v>0.33333333333333331</v>
      </c>
      <c r="R40" s="122">
        <f t="shared" ref="R40:T40" ca="1" si="18">INDEX(K$39:K$57,MATCH($O40,$H$39:$H$57,0)+1)</f>
        <v>0.16666666666666666</v>
      </c>
      <c r="S40" s="122">
        <f t="shared" ca="1" si="18"/>
        <v>0.33333333333333331</v>
      </c>
      <c r="T40" s="122">
        <f t="shared" ca="1" si="18"/>
        <v>0.16666666666666666</v>
      </c>
      <c r="W40" t="str">
        <f>$C$7</f>
        <v>Chemical</v>
      </c>
      <c r="X40">
        <f ca="1">OFFSET(Summary!AU$21,0,(ROW()-ROW($C$40))*11)</f>
        <v>5</v>
      </c>
      <c r="Y40">
        <f ca="1">OFFSET(Summary!AV$21,0,(ROW()-ROW($C$40))*11)</f>
        <v>3</v>
      </c>
      <c r="Z40">
        <f ca="1">OFFSET(Summary!AW$21,0,(ROW()-ROW($C$40))*11)</f>
        <v>2</v>
      </c>
      <c r="AA40">
        <f ca="1">OFFSET(Summary!AX$21,0,(ROW()-ROW($C$40))*11)</f>
        <v>10</v>
      </c>
      <c r="AD40" t="str">
        <f>W40</f>
        <v>Chemical</v>
      </c>
      <c r="AE40" s="39">
        <f t="shared" ref="AE40:AH42" ca="1" si="19">X40/SUM($X40:$AA40)</f>
        <v>0.25</v>
      </c>
      <c r="AF40" s="39">
        <f t="shared" ca="1" si="19"/>
        <v>0.15</v>
      </c>
      <c r="AG40" s="39">
        <f t="shared" ca="1" si="19"/>
        <v>0.1</v>
      </c>
      <c r="AH40" s="39">
        <f t="shared" ca="1" si="19"/>
        <v>0.5</v>
      </c>
      <c r="AJ40" s="149">
        <f ca="1">AJ39</f>
        <v>0.39285714285714285</v>
      </c>
      <c r="AK40" t="str">
        <f>AD40</f>
        <v>Chemical</v>
      </c>
      <c r="AL40" s="122">
        <f ca="1">INDEX(AE$39:AE$57,MATCH($AJ40,$AC$39:$AC$57,0)+1)</f>
        <v>0.35</v>
      </c>
      <c r="AM40" s="122">
        <f ca="1">INDEX(AF$39:AF$57,MATCH($AJ40,$AC$39:$AC$57,0)+1)</f>
        <v>0.25</v>
      </c>
      <c r="AN40" s="122">
        <f ca="1">INDEX(AG$39:AG$57,MATCH($AJ40,$AC$39:$AC$57,0)+1)</f>
        <v>0.3</v>
      </c>
      <c r="AO40" s="122">
        <f ca="1">INDEX(AH$39:AH$57,MATCH($AJ40,$AC$39:$AC$57,0)+1)</f>
        <v>0.1</v>
      </c>
    </row>
    <row r="41" spans="1:41" x14ac:dyDescent="0.25">
      <c r="B41" t="str">
        <f>$D$2</f>
        <v>Non-EPA</v>
      </c>
      <c r="C41">
        <f ca="1">OFFSET(Summary!N$21,0,(ROW()-ROW($C$40))*11)</f>
        <v>2</v>
      </c>
      <c r="D41">
        <f ca="1">OFFSET(Summary!O$21,0,(ROW()-ROW($C$40))*11)</f>
        <v>2</v>
      </c>
      <c r="E41">
        <f ca="1">OFFSET(Summary!P$21,0,(ROW()-ROW($C$40))*11)</f>
        <v>1</v>
      </c>
      <c r="F41">
        <f ca="1">OFFSET(Summary!Q$21,0,(ROW()-ROW($C$40))*11)</f>
        <v>9</v>
      </c>
      <c r="I41" t="str">
        <f>B41</f>
        <v>Non-EPA</v>
      </c>
      <c r="J41" s="39">
        <f t="shared" ref="J41:J42" ca="1" si="20">C41/SUM($C41:$F41)</f>
        <v>0.14285714285714285</v>
      </c>
      <c r="K41" s="39">
        <f t="shared" ref="K41:K42" ca="1" si="21">D41/SUM($C41:$F41)</f>
        <v>0.14285714285714285</v>
      </c>
      <c r="L41" s="39">
        <f t="shared" ref="L41:L42" ca="1" si="22">E41/SUM($C41:$F41)</f>
        <v>7.1428571428571425E-2</v>
      </c>
      <c r="M41" s="39">
        <f t="shared" ref="M41:M42" ca="1" si="23">F41/SUM($C41:$F41)</f>
        <v>0.6428571428571429</v>
      </c>
      <c r="O41" s="147">
        <f ca="1">O40</f>
        <v>0.36507936507936506</v>
      </c>
      <c r="P41" t="str">
        <f>I41</f>
        <v>Non-EPA</v>
      </c>
      <c r="Q41" s="122">
        <f ca="1">INDEX(J$39:J$57,MATCH($O41,$H$39:$H$57,0)+2)</f>
        <v>0.42857142857142855</v>
      </c>
      <c r="R41" s="122">
        <f t="shared" ref="R41:T41" ca="1" si="24">INDEX(K$39:K$57,MATCH($O41,$H$39:$H$57,0)+2)</f>
        <v>0.42857142857142855</v>
      </c>
      <c r="S41" s="122">
        <f t="shared" ca="1" si="24"/>
        <v>0.14285714285714285</v>
      </c>
      <c r="T41" s="122">
        <f t="shared" ca="1" si="24"/>
        <v>0</v>
      </c>
      <c r="W41" t="str">
        <f>$D$7</f>
        <v>Human Factors</v>
      </c>
      <c r="X41">
        <f ca="1">OFFSET(Summary!AU$21,0,(ROW()-ROW($C$40))*11)</f>
        <v>0</v>
      </c>
      <c r="Y41">
        <f ca="1">OFFSET(Summary!AV$21,0,(ROW()-ROW($C$40))*11)</f>
        <v>1</v>
      </c>
      <c r="Z41">
        <f ca="1">OFFSET(Summary!AW$21,0,(ROW()-ROW($C$40))*11)</f>
        <v>1</v>
      </c>
      <c r="AA41">
        <f ca="1">OFFSET(Summary!AX$21,0,(ROW()-ROW($C$40))*11)</f>
        <v>3</v>
      </c>
      <c r="AD41" t="str">
        <f>W41</f>
        <v>Human Factors</v>
      </c>
      <c r="AE41" s="39">
        <f t="shared" ca="1" si="19"/>
        <v>0</v>
      </c>
      <c r="AF41" s="39">
        <f t="shared" ca="1" si="19"/>
        <v>0.2</v>
      </c>
      <c r="AG41" s="39">
        <f t="shared" ca="1" si="19"/>
        <v>0.2</v>
      </c>
      <c r="AH41" s="39">
        <f t="shared" ca="1" si="19"/>
        <v>0.6</v>
      </c>
      <c r="AJ41" s="149">
        <f ca="1">AJ40</f>
        <v>0.39285714285714285</v>
      </c>
      <c r="AK41" t="str">
        <f>AD41</f>
        <v>Human Factors</v>
      </c>
      <c r="AL41" s="122">
        <f ca="1">INDEX(AE$39:AE$57,MATCH($AJ41,$AC$39:$AC$57,0)+2)</f>
        <v>0.4</v>
      </c>
      <c r="AM41" s="122">
        <f ca="1">INDEX(AF$39:AF$57,MATCH($AJ41,$AC$39:$AC$57,0)+2)</f>
        <v>0.6</v>
      </c>
      <c r="AN41" s="122">
        <f ca="1">INDEX(AG$39:AG$57,MATCH($AJ41,$AC$39:$AC$57,0)+2)</f>
        <v>0</v>
      </c>
      <c r="AO41" s="122">
        <f ca="1">INDEX(AH$39:AH$57,MATCH($AJ41,$AC$39:$AC$57,0)+2)</f>
        <v>0</v>
      </c>
    </row>
    <row r="42" spans="1:41" x14ac:dyDescent="0.25">
      <c r="B42" t="str">
        <f>$E$2</f>
        <v>Unk-EPA</v>
      </c>
      <c r="C42">
        <f ca="1">OFFSET(Summary!N$21,0,(ROW()-ROW($C$40))*11)</f>
        <v>5</v>
      </c>
      <c r="D42">
        <f ca="1">OFFSET(Summary!O$21,0,(ROW()-ROW($C$40))*11)</f>
        <v>2</v>
      </c>
      <c r="E42">
        <f ca="1">OFFSET(Summary!P$21,0,(ROW()-ROW($C$40))*11)</f>
        <v>1</v>
      </c>
      <c r="F42">
        <f ca="1">OFFSET(Summary!Q$21,0,(ROW()-ROW($C$40))*11)</f>
        <v>4</v>
      </c>
      <c r="I42" t="str">
        <f>B42</f>
        <v>Unk-EPA</v>
      </c>
      <c r="J42" s="39">
        <f t="shared" ca="1" si="20"/>
        <v>0.41666666666666669</v>
      </c>
      <c r="K42" s="39">
        <f t="shared" ca="1" si="21"/>
        <v>0.16666666666666666</v>
      </c>
      <c r="L42" s="39">
        <f t="shared" ca="1" si="22"/>
        <v>8.3333333333333329E-2</v>
      </c>
      <c r="M42" s="39">
        <f t="shared" ca="1" si="23"/>
        <v>0.33333333333333331</v>
      </c>
      <c r="O42" s="147">
        <f ca="1">O41</f>
        <v>0.36507936507936506</v>
      </c>
      <c r="P42" t="str">
        <f>I42</f>
        <v>Unk-EPA</v>
      </c>
      <c r="Q42" s="122">
        <f ca="1">INDEX(J$39:J$57,MATCH($O42,$H$39:$H$57,0)+3)</f>
        <v>0.33333333333333331</v>
      </c>
      <c r="R42" s="122">
        <f t="shared" ref="R42:T42" ca="1" si="25">INDEX(K$39:K$57,MATCH($O42,$H$39:$H$57,0)+3)</f>
        <v>0.16666666666666666</v>
      </c>
      <c r="S42" s="122">
        <f t="shared" ca="1" si="25"/>
        <v>0.33333333333333331</v>
      </c>
      <c r="T42" s="122">
        <f t="shared" ca="1" si="25"/>
        <v>0.16666666666666666</v>
      </c>
      <c r="W42" t="str">
        <f>$E$7</f>
        <v>Other</v>
      </c>
      <c r="X42">
        <f ca="1">OFFSET(Summary!AU$21,0,(ROW()-ROW($C$40))*11)</f>
        <v>3</v>
      </c>
      <c r="Y42">
        <f ca="1">OFFSET(Summary!AV$21,0,(ROW()-ROW($C$40))*11)</f>
        <v>1</v>
      </c>
      <c r="Z42">
        <f ca="1">OFFSET(Summary!AW$21,0,(ROW()-ROW($C$40))*11)</f>
        <v>0</v>
      </c>
      <c r="AA42">
        <f ca="1">OFFSET(Summary!AX$21,0,(ROW()-ROW($C$40))*11)</f>
        <v>3</v>
      </c>
      <c r="AD42" t="str">
        <f>W42</f>
        <v>Other</v>
      </c>
      <c r="AE42" s="39">
        <f t="shared" ca="1" si="19"/>
        <v>0.42857142857142855</v>
      </c>
      <c r="AF42" s="39">
        <f t="shared" ca="1" si="19"/>
        <v>0.14285714285714285</v>
      </c>
      <c r="AG42" s="39">
        <f t="shared" ca="1" si="19"/>
        <v>0</v>
      </c>
      <c r="AH42" s="39">
        <f t="shared" ca="1" si="19"/>
        <v>0.42857142857142855</v>
      </c>
      <c r="AJ42" s="149">
        <f ca="1">AJ41</f>
        <v>0.39285714285714285</v>
      </c>
      <c r="AK42" t="str">
        <f>AD42</f>
        <v>Other</v>
      </c>
      <c r="AL42" s="122">
        <f ca="1">INDEX(AE$39:AE$57,MATCH($AJ42,$AC$39:$AC$57,0)+3)</f>
        <v>0.42857142857142855</v>
      </c>
      <c r="AM42" s="122">
        <f ca="1">INDEX(AF$39:AF$57,MATCH($AJ42,$AC$39:$AC$57,0)+3)</f>
        <v>0.14285714285714285</v>
      </c>
      <c r="AN42" s="122">
        <f ca="1">INDEX(AG$39:AG$57,MATCH($AJ42,$AC$39:$AC$57,0)+3)</f>
        <v>0.2857142857142857</v>
      </c>
      <c r="AO42" s="122">
        <f ca="1">INDEX(AH$39:AH$57,MATCH($AJ42,$AC$39:$AC$57,0)+3)</f>
        <v>0.14285714285714285</v>
      </c>
    </row>
    <row r="43" spans="1:41" x14ac:dyDescent="0.25">
      <c r="O43" s="146"/>
      <c r="AJ43" s="150"/>
    </row>
    <row r="44" spans="1:41" x14ac:dyDescent="0.25">
      <c r="B44" t="str">
        <f>$D$5</f>
        <v>Bioaccumulation</v>
      </c>
      <c r="C44" t="str">
        <f>$C$3</f>
        <v>1st Rank</v>
      </c>
      <c r="D44" t="str">
        <f>$D$3</f>
        <v>2nd Rank</v>
      </c>
      <c r="E44" t="str">
        <f>$E$3</f>
        <v>3rd Rank</v>
      </c>
      <c r="F44" t="str">
        <f>$F$3</f>
        <v>4th Rank</v>
      </c>
      <c r="H44" s="141">
        <f ca="1">AVERAGE(J45:J47)</f>
        <v>0.27380952380952378</v>
      </c>
      <c r="I44" t="str">
        <f>B44</f>
        <v>Bioaccumulation</v>
      </c>
      <c r="J44" t="str">
        <f>C44</f>
        <v>1st Rank</v>
      </c>
      <c r="K44" t="str">
        <f>D44</f>
        <v>2nd Rank</v>
      </c>
      <c r="L44" t="str">
        <f>E44</f>
        <v>3rd Rank</v>
      </c>
      <c r="M44" t="str">
        <f>F44</f>
        <v>4th Rank</v>
      </c>
      <c r="O44" s="145">
        <f ca="1">LARGE($H$39:$H$58,2)</f>
        <v>0.27380952380952378</v>
      </c>
      <c r="P44" t="str">
        <f ca="1">INDEX($I$39:$I$57,MATCH(O44,$H$39:$H$57,0))</f>
        <v>Bioaccumulation</v>
      </c>
      <c r="Q44" t="str">
        <f>J44</f>
        <v>1st Rank</v>
      </c>
      <c r="R44" t="str">
        <f>K44</f>
        <v>2nd Rank</v>
      </c>
      <c r="S44" t="str">
        <f>L44</f>
        <v>3rd Rank</v>
      </c>
      <c r="T44" t="str">
        <f>M44</f>
        <v>4th Rank</v>
      </c>
      <c r="W44" t="str">
        <f>$D$5</f>
        <v>Bioaccumulation</v>
      </c>
      <c r="X44" t="str">
        <f>$C$3</f>
        <v>1st Rank</v>
      </c>
      <c r="Y44" t="str">
        <f>$D$3</f>
        <v>2nd Rank</v>
      </c>
      <c r="Z44" t="str">
        <f>$E$3</f>
        <v>3rd Rank</v>
      </c>
      <c r="AA44" t="str">
        <f>$F$3</f>
        <v>4th Rank</v>
      </c>
      <c r="AC44" s="141">
        <f ca="1">AVERAGE(AE45:AE47)</f>
        <v>0.26428571428571429</v>
      </c>
      <c r="AD44" t="str">
        <f>W44</f>
        <v>Bioaccumulation</v>
      </c>
      <c r="AE44" t="str">
        <f>X44</f>
        <v>1st Rank</v>
      </c>
      <c r="AF44" t="str">
        <f>Y44</f>
        <v>2nd Rank</v>
      </c>
      <c r="AG44" t="str">
        <f>Z44</f>
        <v>3rd Rank</v>
      </c>
      <c r="AH44" t="str">
        <f>AA44</f>
        <v>4th Rank</v>
      </c>
      <c r="AJ44" s="148">
        <f ca="1">LARGE(AC$39:AC$58,2)</f>
        <v>0.26428571428571429</v>
      </c>
      <c r="AK44" t="str">
        <f ca="1">INDEX($AD$39:$AD$57,MATCH(AJ44,$AC$39:$AC$57,0))</f>
        <v>Bioaccumulation</v>
      </c>
      <c r="AL44" t="str">
        <f>AE44</f>
        <v>1st Rank</v>
      </c>
      <c r="AM44" t="str">
        <f>AF44</f>
        <v>2nd Rank</v>
      </c>
      <c r="AN44" t="str">
        <f>AG44</f>
        <v>3rd Rank</v>
      </c>
      <c r="AO44" t="str">
        <f>AH44</f>
        <v>4th Rank</v>
      </c>
    </row>
    <row r="45" spans="1:41" x14ac:dyDescent="0.25">
      <c r="B45" t="str">
        <f>$C$2</f>
        <v>EPA</v>
      </c>
      <c r="C45">
        <f ca="1">OFFSET(Summary!N$22,0,(ROW()-ROW($C$45))*11)</f>
        <v>2</v>
      </c>
      <c r="D45">
        <f ca="1">OFFSET(Summary!O$22,0,(ROW()-ROW($C$45))*11)</f>
        <v>2</v>
      </c>
      <c r="E45">
        <f ca="1">OFFSET(Summary!P$22,0,(ROW()-ROW($C$45))*11)</f>
        <v>2</v>
      </c>
      <c r="F45">
        <f ca="1">OFFSET(Summary!Q$22,0,(ROW()-ROW($C$45))*11)</f>
        <v>0</v>
      </c>
      <c r="I45" t="str">
        <f>B45</f>
        <v>EPA</v>
      </c>
      <c r="J45" s="39">
        <f ca="1">C45/SUM($C45:$F45)</f>
        <v>0.33333333333333331</v>
      </c>
      <c r="K45" s="39">
        <f t="shared" ref="K45:K47" ca="1" si="26">D45/SUM($C45:$F45)</f>
        <v>0.33333333333333331</v>
      </c>
      <c r="L45" s="39">
        <f t="shared" ref="L45:L47" ca="1" si="27">E45/SUM($C45:$F45)</f>
        <v>0.33333333333333331</v>
      </c>
      <c r="M45" s="39">
        <f t="shared" ref="M45:M47" ca="1" si="28">F45/SUM($C45:$F45)</f>
        <v>0</v>
      </c>
      <c r="O45" s="147">
        <f ca="1">O44</f>
        <v>0.27380952380952378</v>
      </c>
      <c r="P45" t="str">
        <f>I45</f>
        <v>EPA</v>
      </c>
      <c r="Q45" s="122">
        <f ca="1">INDEX(J$39:J$57,MATCH($O45,$H$39:$H$57,0)+1)</f>
        <v>0.33333333333333331</v>
      </c>
      <c r="R45" s="122">
        <f t="shared" ref="R45" ca="1" si="29">INDEX(K$39:K$57,MATCH($O45,$H$39:$H$57,0)+1)</f>
        <v>0.33333333333333331</v>
      </c>
      <c r="S45" s="122">
        <f t="shared" ref="S45" ca="1" si="30">INDEX(L$39:L$57,MATCH($O45,$H$39:$H$57,0)+1)</f>
        <v>0.33333333333333331</v>
      </c>
      <c r="T45" s="122">
        <f t="shared" ref="T45" ca="1" si="31">INDEX(M$39:M$57,MATCH($O45,$H$39:$H$57,0)+1)</f>
        <v>0</v>
      </c>
      <c r="W45" t="str">
        <f>$C$7</f>
        <v>Chemical</v>
      </c>
      <c r="X45">
        <f ca="1">OFFSET(Summary!AU$22,0,(ROW()-ROW($C$45))*11)</f>
        <v>5</v>
      </c>
      <c r="Y45">
        <f ca="1">OFFSET(Summary!AV$22,0,(ROW()-ROW($C$45))*11)</f>
        <v>7</v>
      </c>
      <c r="Z45">
        <f ca="1">OFFSET(Summary!AW$22,0,(ROW()-ROW($C$45))*11)</f>
        <v>5</v>
      </c>
      <c r="AA45">
        <f ca="1">OFFSET(Summary!AX$22,0,(ROW()-ROW($C$45))*11)</f>
        <v>3</v>
      </c>
      <c r="AD45" t="str">
        <f>W45</f>
        <v>Chemical</v>
      </c>
      <c r="AE45" s="39">
        <f t="shared" ref="AE45:AH47" ca="1" si="32">X45/SUM($X45:$AA45)</f>
        <v>0.25</v>
      </c>
      <c r="AF45" s="39">
        <f t="shared" ca="1" si="32"/>
        <v>0.35</v>
      </c>
      <c r="AG45" s="39">
        <f t="shared" ca="1" si="32"/>
        <v>0.25</v>
      </c>
      <c r="AH45" s="39">
        <f t="shared" ca="1" si="32"/>
        <v>0.15</v>
      </c>
      <c r="AJ45" s="149">
        <f ca="1">AJ44</f>
        <v>0.26428571428571429</v>
      </c>
      <c r="AK45" t="str">
        <f>AD45</f>
        <v>Chemical</v>
      </c>
      <c r="AL45" s="122">
        <f ca="1">INDEX(AE$39:AE$57,MATCH($AJ45,$AC$39:$AC$57,0)+1)</f>
        <v>0.25</v>
      </c>
      <c r="AM45" s="122">
        <f ca="1">INDEX(AF$39:AF$57,MATCH($AJ45,$AC$39:$AC$57,0)+1)</f>
        <v>0.35</v>
      </c>
      <c r="AN45" s="122">
        <f ca="1">INDEX(AG$39:AG$57,MATCH($AJ45,$AC$39:$AC$57,0)+1)</f>
        <v>0.25</v>
      </c>
      <c r="AO45" s="122">
        <f ca="1">INDEX(AH$39:AH$57,MATCH($AJ45,$AC$39:$AC$57,0)+1)</f>
        <v>0.15</v>
      </c>
    </row>
    <row r="46" spans="1:41" x14ac:dyDescent="0.25">
      <c r="B46" t="str">
        <f>$D$2</f>
        <v>Non-EPA</v>
      </c>
      <c r="C46">
        <f ca="1">OFFSET(Summary!N$22,0,(ROW()-ROW($C$45))*11)</f>
        <v>1</v>
      </c>
      <c r="D46">
        <f ca="1">OFFSET(Summary!O$22,0,(ROW()-ROW($C$45))*11)</f>
        <v>7</v>
      </c>
      <c r="E46">
        <f ca="1">OFFSET(Summary!P$22,0,(ROW()-ROW($C$45))*11)</f>
        <v>2</v>
      </c>
      <c r="F46">
        <f ca="1">OFFSET(Summary!Q$22,0,(ROW()-ROW($C$45))*11)</f>
        <v>4</v>
      </c>
      <c r="I46" t="str">
        <f>B46</f>
        <v>Non-EPA</v>
      </c>
      <c r="J46" s="39">
        <f t="shared" ref="J46:J47" ca="1" si="33">C46/SUM($C46:$F46)</f>
        <v>7.1428571428571425E-2</v>
      </c>
      <c r="K46" s="39">
        <f t="shared" ca="1" si="26"/>
        <v>0.5</v>
      </c>
      <c r="L46" s="39">
        <f t="shared" ca="1" si="27"/>
        <v>0.14285714285714285</v>
      </c>
      <c r="M46" s="39">
        <f t="shared" ca="1" si="28"/>
        <v>0.2857142857142857</v>
      </c>
      <c r="O46" s="147">
        <f ca="1">O45</f>
        <v>0.27380952380952378</v>
      </c>
      <c r="P46" t="str">
        <f>I46</f>
        <v>Non-EPA</v>
      </c>
      <c r="Q46" s="122">
        <f ca="1">INDEX(J$39:J$57,MATCH($O46,$H$39:$H$57,0)+2)</f>
        <v>7.1428571428571425E-2</v>
      </c>
      <c r="R46" s="122">
        <f t="shared" ref="R46" ca="1" si="34">INDEX(K$39:K$57,MATCH($O46,$H$39:$H$57,0)+2)</f>
        <v>0.5</v>
      </c>
      <c r="S46" s="122">
        <f t="shared" ref="S46" ca="1" si="35">INDEX(L$39:L$57,MATCH($O46,$H$39:$H$57,0)+2)</f>
        <v>0.14285714285714285</v>
      </c>
      <c r="T46" s="122">
        <f t="shared" ref="T46" ca="1" si="36">INDEX(M$39:M$57,MATCH($O46,$H$39:$H$57,0)+2)</f>
        <v>0.2857142857142857</v>
      </c>
      <c r="W46" t="str">
        <f>$D$7</f>
        <v>Human Factors</v>
      </c>
      <c r="X46">
        <f ca="1">OFFSET(Summary!AU$22,0,(ROW()-ROW($C$45))*11)</f>
        <v>2</v>
      </c>
      <c r="Y46">
        <f ca="1">OFFSET(Summary!AV$22,0,(ROW()-ROW($C$45))*11)</f>
        <v>2</v>
      </c>
      <c r="Z46">
        <f ca="1">OFFSET(Summary!AW$22,0,(ROW()-ROW($C$45))*11)</f>
        <v>1</v>
      </c>
      <c r="AA46">
        <f ca="1">OFFSET(Summary!AX$22,0,(ROW()-ROW($C$45))*11)</f>
        <v>0</v>
      </c>
      <c r="AD46" t="str">
        <f>W46</f>
        <v>Human Factors</v>
      </c>
      <c r="AE46" s="39">
        <f t="shared" ca="1" si="32"/>
        <v>0.4</v>
      </c>
      <c r="AF46" s="39">
        <f t="shared" ca="1" si="32"/>
        <v>0.4</v>
      </c>
      <c r="AG46" s="39">
        <f t="shared" ca="1" si="32"/>
        <v>0.2</v>
      </c>
      <c r="AH46" s="39">
        <f t="shared" ca="1" si="32"/>
        <v>0</v>
      </c>
      <c r="AJ46" s="149">
        <f ca="1">AJ45</f>
        <v>0.26428571428571429</v>
      </c>
      <c r="AK46" t="str">
        <f>AD46</f>
        <v>Human Factors</v>
      </c>
      <c r="AL46" s="122">
        <f ca="1">INDEX(AE$39:AE$57,MATCH($AJ46,$AC$39:$AC$57,0)+2)</f>
        <v>0.4</v>
      </c>
      <c r="AM46" s="122">
        <f ca="1">INDEX(AF$39:AF$57,MATCH($AJ46,$AC$39:$AC$57,0)+2)</f>
        <v>0.4</v>
      </c>
      <c r="AN46" s="122">
        <f ca="1">INDEX(AG$39:AG$57,MATCH($AJ46,$AC$39:$AC$57,0)+2)</f>
        <v>0.2</v>
      </c>
      <c r="AO46" s="122">
        <f ca="1">INDEX(AH$39:AH$57,MATCH($AJ46,$AC$39:$AC$57,0)+2)</f>
        <v>0</v>
      </c>
    </row>
    <row r="47" spans="1:41" x14ac:dyDescent="0.25">
      <c r="B47" t="str">
        <f>$E$2</f>
        <v>Unk-EPA</v>
      </c>
      <c r="C47">
        <f ca="1">OFFSET(Summary!N$22,0,(ROW()-ROW($C$45))*11)</f>
        <v>5</v>
      </c>
      <c r="D47">
        <f ca="1">OFFSET(Summary!O$22,0,(ROW()-ROW($C$45))*11)</f>
        <v>5</v>
      </c>
      <c r="E47">
        <f ca="1">OFFSET(Summary!P$22,0,(ROW()-ROW($C$45))*11)</f>
        <v>2</v>
      </c>
      <c r="F47">
        <f ca="1">OFFSET(Summary!Q$22,0,(ROW()-ROW($C$45))*11)</f>
        <v>0</v>
      </c>
      <c r="I47" t="str">
        <f>B47</f>
        <v>Unk-EPA</v>
      </c>
      <c r="J47" s="39">
        <f t="shared" ca="1" si="33"/>
        <v>0.41666666666666669</v>
      </c>
      <c r="K47" s="39">
        <f t="shared" ca="1" si="26"/>
        <v>0.41666666666666669</v>
      </c>
      <c r="L47" s="39">
        <f t="shared" ca="1" si="27"/>
        <v>0.16666666666666666</v>
      </c>
      <c r="M47" s="39">
        <f t="shared" ca="1" si="28"/>
        <v>0</v>
      </c>
      <c r="O47" s="147">
        <f ca="1">O46</f>
        <v>0.27380952380952378</v>
      </c>
      <c r="P47" t="str">
        <f>I47</f>
        <v>Unk-EPA</v>
      </c>
      <c r="Q47" s="122">
        <f ca="1">INDEX(J$39:J$57,MATCH($O47,$H$39:$H$57,0)+3)</f>
        <v>0.41666666666666669</v>
      </c>
      <c r="R47" s="122">
        <f t="shared" ref="R47" ca="1" si="37">INDEX(K$39:K$57,MATCH($O47,$H$39:$H$57,0)+3)</f>
        <v>0.41666666666666669</v>
      </c>
      <c r="S47" s="122">
        <f t="shared" ref="S47" ca="1" si="38">INDEX(L$39:L$57,MATCH($O47,$H$39:$H$57,0)+3)</f>
        <v>0.16666666666666666</v>
      </c>
      <c r="T47" s="122">
        <f t="shared" ref="T47" ca="1" si="39">INDEX(M$39:M$57,MATCH($O47,$H$39:$H$57,0)+3)</f>
        <v>0</v>
      </c>
      <c r="W47" t="str">
        <f>$E$7</f>
        <v>Other</v>
      </c>
      <c r="X47">
        <f ca="1">OFFSET(Summary!AU$22,0,(ROW()-ROW($C$45))*11)</f>
        <v>1</v>
      </c>
      <c r="Y47">
        <f ca="1">OFFSET(Summary!AV$22,0,(ROW()-ROW($C$45))*11)</f>
        <v>5</v>
      </c>
      <c r="Z47">
        <f ca="1">OFFSET(Summary!AW$22,0,(ROW()-ROW($C$45))*11)</f>
        <v>0</v>
      </c>
      <c r="AA47">
        <f ca="1">OFFSET(Summary!AX$22,0,(ROW()-ROW($C$45))*11)</f>
        <v>1</v>
      </c>
      <c r="AD47" t="str">
        <f>W47</f>
        <v>Other</v>
      </c>
      <c r="AE47" s="39">
        <f t="shared" ca="1" si="32"/>
        <v>0.14285714285714285</v>
      </c>
      <c r="AF47" s="39">
        <f t="shared" ca="1" si="32"/>
        <v>0.7142857142857143</v>
      </c>
      <c r="AG47" s="39">
        <f t="shared" ca="1" si="32"/>
        <v>0</v>
      </c>
      <c r="AH47" s="39">
        <f t="shared" ca="1" si="32"/>
        <v>0.14285714285714285</v>
      </c>
      <c r="AJ47" s="149">
        <f ca="1">AJ46</f>
        <v>0.26428571428571429</v>
      </c>
      <c r="AK47" t="str">
        <f>AD47</f>
        <v>Other</v>
      </c>
      <c r="AL47" s="122">
        <f ca="1">INDEX(AE$39:AE$57,MATCH($AJ47,$AC$39:$AC$57,0)+3)</f>
        <v>0.14285714285714285</v>
      </c>
      <c r="AM47" s="122">
        <f ca="1">INDEX(AF$39:AF$57,MATCH($AJ47,$AC$39:$AC$57,0)+3)</f>
        <v>0.7142857142857143</v>
      </c>
      <c r="AN47" s="122">
        <f ca="1">INDEX(AG$39:AG$57,MATCH($AJ47,$AC$39:$AC$57,0)+3)</f>
        <v>0</v>
      </c>
      <c r="AO47" s="122">
        <f ca="1">INDEX(AH$39:AH$57,MATCH($AJ47,$AC$39:$AC$57,0)+3)</f>
        <v>0.14285714285714285</v>
      </c>
    </row>
    <row r="48" spans="1:41" x14ac:dyDescent="0.25">
      <c r="O48" s="146"/>
      <c r="AJ48" s="150"/>
    </row>
    <row r="49" spans="1:41" x14ac:dyDescent="0.25">
      <c r="A49" s="3"/>
      <c r="B49" t="str">
        <f>$E$5</f>
        <v>Persistence</v>
      </c>
      <c r="C49" t="str">
        <f>$C$3</f>
        <v>1st Rank</v>
      </c>
      <c r="D49" t="str">
        <f>$D$3</f>
        <v>2nd Rank</v>
      </c>
      <c r="E49" t="str">
        <f>$E$3</f>
        <v>3rd Rank</v>
      </c>
      <c r="F49" t="str">
        <f>$F$3</f>
        <v>4th Rank</v>
      </c>
      <c r="H49" s="141">
        <f ca="1">AVERAGE(J50:J52)</f>
        <v>0.25793650793650796</v>
      </c>
      <c r="I49" t="str">
        <f>B49</f>
        <v>Persistence</v>
      </c>
      <c r="J49" t="str">
        <f>C49</f>
        <v>1st Rank</v>
      </c>
      <c r="K49" t="str">
        <f>D49</f>
        <v>2nd Rank</v>
      </c>
      <c r="L49" t="str">
        <f>E49</f>
        <v>3rd Rank</v>
      </c>
      <c r="M49" t="str">
        <f>F49</f>
        <v>4th Rank</v>
      </c>
      <c r="O49" s="145">
        <f ca="1">LARGE($H$39:$H$58,3)</f>
        <v>0.25793650793650796</v>
      </c>
      <c r="P49" t="str">
        <f ca="1">INDEX($I$39:$I$57,MATCH(O49,$H$39:$H$57,0))</f>
        <v>Persistence</v>
      </c>
      <c r="Q49" t="str">
        <f>J49</f>
        <v>1st Rank</v>
      </c>
      <c r="R49" t="str">
        <f>K49</f>
        <v>2nd Rank</v>
      </c>
      <c r="S49" t="str">
        <f>L49</f>
        <v>3rd Rank</v>
      </c>
      <c r="T49" t="str">
        <f>M49</f>
        <v>4th Rank</v>
      </c>
      <c r="V49" s="3"/>
      <c r="W49" t="str">
        <f>$E$5</f>
        <v>Persistence</v>
      </c>
      <c r="X49" t="str">
        <f>$C$3</f>
        <v>1st Rank</v>
      </c>
      <c r="Y49" t="str">
        <f>$D$3</f>
        <v>2nd Rank</v>
      </c>
      <c r="Z49" t="str">
        <f>$E$3</f>
        <v>3rd Rank</v>
      </c>
      <c r="AA49" t="str">
        <f>$F$3</f>
        <v>4th Rank</v>
      </c>
      <c r="AC49" s="141">
        <f ca="1">AVERAGE(AE50:AE52)</f>
        <v>0.26190476190476192</v>
      </c>
      <c r="AD49" t="str">
        <f>W49</f>
        <v>Persistence</v>
      </c>
      <c r="AE49" t="str">
        <f>X49</f>
        <v>1st Rank</v>
      </c>
      <c r="AF49" t="str">
        <f>Y49</f>
        <v>2nd Rank</v>
      </c>
      <c r="AG49" t="str">
        <f>Z49</f>
        <v>3rd Rank</v>
      </c>
      <c r="AH49" t="str">
        <f>AA49</f>
        <v>4th Rank</v>
      </c>
      <c r="AJ49" s="148">
        <f ca="1">LARGE(AC$39:AC$58,3)</f>
        <v>0.26190476190476192</v>
      </c>
      <c r="AK49" t="str">
        <f ca="1">INDEX($AD$39:$AD$57,MATCH(AJ49,$AC$39:$AC$57,0))</f>
        <v>Persistence</v>
      </c>
      <c r="AL49" t="str">
        <f>AE49</f>
        <v>1st Rank</v>
      </c>
      <c r="AM49" t="str">
        <f>AF49</f>
        <v>2nd Rank</v>
      </c>
      <c r="AN49" t="str">
        <f>AG49</f>
        <v>3rd Rank</v>
      </c>
      <c r="AO49" t="str">
        <f>AH49</f>
        <v>4th Rank</v>
      </c>
    </row>
    <row r="50" spans="1:41" x14ac:dyDescent="0.25">
      <c r="B50" t="str">
        <f>$C$2</f>
        <v>EPA</v>
      </c>
      <c r="C50">
        <f ca="1">OFFSET(Summary!N$23,0,(ROW()-ROW($C$50))*11)</f>
        <v>1</v>
      </c>
      <c r="D50">
        <f ca="1">OFFSET(Summary!O$23,0,(ROW()-ROW($C$50))*11)</f>
        <v>3</v>
      </c>
      <c r="E50">
        <f ca="1">OFFSET(Summary!P$23,0,(ROW()-ROW($C$50))*11)</f>
        <v>1</v>
      </c>
      <c r="F50">
        <f ca="1">OFFSET(Summary!Q$23,0,(ROW()-ROW($C$50))*11)</f>
        <v>1</v>
      </c>
      <c r="I50" t="str">
        <f>B50</f>
        <v>EPA</v>
      </c>
      <c r="J50" s="39">
        <f ca="1">C50/SUM($C50:$F50)</f>
        <v>0.16666666666666666</v>
      </c>
      <c r="K50" s="39">
        <f t="shared" ref="K50:K52" ca="1" si="40">D50/SUM($C50:$F50)</f>
        <v>0.5</v>
      </c>
      <c r="L50" s="39">
        <f t="shared" ref="L50:L52" ca="1" si="41">E50/SUM($C50:$F50)</f>
        <v>0.16666666666666666</v>
      </c>
      <c r="M50" s="39">
        <f t="shared" ref="M50:M52" ca="1" si="42">F50/SUM($C50:$F50)</f>
        <v>0.16666666666666666</v>
      </c>
      <c r="O50" s="147">
        <f ca="1">O49</f>
        <v>0.25793650793650796</v>
      </c>
      <c r="P50" t="str">
        <f>I50</f>
        <v>EPA</v>
      </c>
      <c r="Q50" s="122">
        <f ca="1">INDEX(J$39:J$57,MATCH($O50,$H$39:$H$57,0)+1)</f>
        <v>0.16666666666666666</v>
      </c>
      <c r="R50" s="122">
        <f t="shared" ref="R50" ca="1" si="43">INDEX(K$39:K$57,MATCH($O50,$H$39:$H$57,0)+1)</f>
        <v>0.5</v>
      </c>
      <c r="S50" s="122">
        <f t="shared" ref="S50" ca="1" si="44">INDEX(L$39:L$57,MATCH($O50,$H$39:$H$57,0)+1)</f>
        <v>0.16666666666666666</v>
      </c>
      <c r="T50" s="122">
        <f t="shared" ref="T50" ca="1" si="45">INDEX(M$39:M$57,MATCH($O50,$H$39:$H$57,0)+1)</f>
        <v>0.16666666666666666</v>
      </c>
      <c r="W50" t="str">
        <f>$C$7</f>
        <v>Chemical</v>
      </c>
      <c r="X50">
        <f ca="1">OFFSET(Summary!AU$23,0,(ROW()-ROW($C$50))*11)</f>
        <v>6</v>
      </c>
      <c r="Y50">
        <f ca="1">OFFSET(Summary!AV$23,0,(ROW()-ROW($C$50))*11)</f>
        <v>6</v>
      </c>
      <c r="Z50">
        <f ca="1">OFFSET(Summary!AW$23,0,(ROW()-ROW($C$50))*11)</f>
        <v>6</v>
      </c>
      <c r="AA50">
        <f ca="1">OFFSET(Summary!AX$23,0,(ROW()-ROW($C$50))*11)</f>
        <v>2</v>
      </c>
      <c r="AD50" t="str">
        <f>W50</f>
        <v>Chemical</v>
      </c>
      <c r="AE50" s="39">
        <f t="shared" ref="AE50:AH52" ca="1" si="46">X50/SUM($X50:$AA50)</f>
        <v>0.3</v>
      </c>
      <c r="AF50" s="39">
        <f t="shared" ca="1" si="46"/>
        <v>0.3</v>
      </c>
      <c r="AG50" s="39">
        <f t="shared" ca="1" si="46"/>
        <v>0.3</v>
      </c>
      <c r="AH50" s="39">
        <f t="shared" ca="1" si="46"/>
        <v>0.1</v>
      </c>
      <c r="AJ50" s="149">
        <f ca="1">AJ49</f>
        <v>0.26190476190476192</v>
      </c>
      <c r="AK50" t="str">
        <f>AD50</f>
        <v>Chemical</v>
      </c>
      <c r="AL50" s="122">
        <f ca="1">INDEX(AE$39:AE$57,MATCH($AJ50,$AC$39:$AC$57,0)+1)</f>
        <v>0.3</v>
      </c>
      <c r="AM50" s="122">
        <f ca="1">INDEX(AF$39:AF$57,MATCH($AJ50,$AC$39:$AC$57,0)+1)</f>
        <v>0.3</v>
      </c>
      <c r="AN50" s="122">
        <f ca="1">INDEX(AG$39:AG$57,MATCH($AJ50,$AC$39:$AC$57,0)+1)</f>
        <v>0.3</v>
      </c>
      <c r="AO50" s="122">
        <f ca="1">INDEX(AH$39:AH$57,MATCH($AJ50,$AC$39:$AC$57,0)+1)</f>
        <v>0.1</v>
      </c>
    </row>
    <row r="51" spans="1:41" x14ac:dyDescent="0.25">
      <c r="B51" t="str">
        <f>$D$2</f>
        <v>Non-EPA</v>
      </c>
      <c r="C51">
        <f ca="1">OFFSET(Summary!N$23,0,(ROW()-ROW($C$50))*11)</f>
        <v>5</v>
      </c>
      <c r="D51">
        <f ca="1">OFFSET(Summary!O$23,0,(ROW()-ROW($C$50))*11)</f>
        <v>1</v>
      </c>
      <c r="E51">
        <f ca="1">OFFSET(Summary!P$23,0,(ROW()-ROW($C$50))*11)</f>
        <v>8</v>
      </c>
      <c r="F51">
        <f ca="1">OFFSET(Summary!Q$23,0,(ROW()-ROW($C$50))*11)</f>
        <v>0</v>
      </c>
      <c r="I51" t="str">
        <f>B51</f>
        <v>Non-EPA</v>
      </c>
      <c r="J51" s="39">
        <f t="shared" ref="J51:J52" ca="1" si="47">C51/SUM($C51:$F51)</f>
        <v>0.35714285714285715</v>
      </c>
      <c r="K51" s="39">
        <f t="shared" ca="1" si="40"/>
        <v>7.1428571428571425E-2</v>
      </c>
      <c r="L51" s="39">
        <f t="shared" ca="1" si="41"/>
        <v>0.5714285714285714</v>
      </c>
      <c r="M51" s="39">
        <f t="shared" ca="1" si="42"/>
        <v>0</v>
      </c>
      <c r="O51" s="147">
        <f ca="1">O50</f>
        <v>0.25793650793650796</v>
      </c>
      <c r="P51" t="str">
        <f>I51</f>
        <v>Non-EPA</v>
      </c>
      <c r="Q51" s="122">
        <f ca="1">INDEX(J$39:J$57,MATCH($O51,$H$39:$H$57,0)+2)</f>
        <v>0.35714285714285715</v>
      </c>
      <c r="R51" s="122">
        <f t="shared" ref="R51" ca="1" si="48">INDEX(K$39:K$57,MATCH($O51,$H$39:$H$57,0)+2)</f>
        <v>7.1428571428571425E-2</v>
      </c>
      <c r="S51" s="122">
        <f t="shared" ref="S51" ca="1" si="49">INDEX(L$39:L$57,MATCH($O51,$H$39:$H$57,0)+2)</f>
        <v>0.5714285714285714</v>
      </c>
      <c r="T51" s="122">
        <f t="shared" ref="T51" ca="1" si="50">INDEX(M$39:M$57,MATCH($O51,$H$39:$H$57,0)+2)</f>
        <v>0</v>
      </c>
      <c r="W51" t="str">
        <f>$D$7</f>
        <v>Human Factors</v>
      </c>
      <c r="X51">
        <f ca="1">OFFSET(Summary!AU$23,0,(ROW()-ROW($C$50))*11)</f>
        <v>1</v>
      </c>
      <c r="Y51">
        <f ca="1">OFFSET(Summary!AV$23,0,(ROW()-ROW($C$50))*11)</f>
        <v>2</v>
      </c>
      <c r="Z51">
        <f ca="1">OFFSET(Summary!AW$23,0,(ROW()-ROW($C$50))*11)</f>
        <v>2</v>
      </c>
      <c r="AA51">
        <f ca="1">OFFSET(Summary!AX$23,0,(ROW()-ROW($C$50))*11)</f>
        <v>0</v>
      </c>
      <c r="AD51" t="str">
        <f>W51</f>
        <v>Human Factors</v>
      </c>
      <c r="AE51" s="39">
        <f t="shared" ca="1" si="46"/>
        <v>0.2</v>
      </c>
      <c r="AF51" s="39">
        <f t="shared" ca="1" si="46"/>
        <v>0.4</v>
      </c>
      <c r="AG51" s="39">
        <f t="shared" ca="1" si="46"/>
        <v>0.4</v>
      </c>
      <c r="AH51" s="39">
        <f t="shared" ca="1" si="46"/>
        <v>0</v>
      </c>
      <c r="AJ51" s="149">
        <f ca="1">AJ50</f>
        <v>0.26190476190476192</v>
      </c>
      <c r="AK51" t="str">
        <f>AD51</f>
        <v>Human Factors</v>
      </c>
      <c r="AL51" s="122">
        <f ca="1">INDEX(AE$39:AE$57,MATCH($AJ51,$AC$39:$AC$57,0)+2)</f>
        <v>0.2</v>
      </c>
      <c r="AM51" s="122">
        <f ca="1">INDEX(AF$39:AF$57,MATCH($AJ51,$AC$39:$AC$57,0)+2)</f>
        <v>0.4</v>
      </c>
      <c r="AN51" s="122">
        <f ca="1">INDEX(AG$39:AG$57,MATCH($AJ51,$AC$39:$AC$57,0)+2)</f>
        <v>0.4</v>
      </c>
      <c r="AO51" s="122">
        <f ca="1">INDEX(AH$39:AH$57,MATCH($AJ51,$AC$39:$AC$57,0)+2)</f>
        <v>0</v>
      </c>
    </row>
    <row r="52" spans="1:41" x14ac:dyDescent="0.25">
      <c r="B52" t="str">
        <f>$E$2</f>
        <v>Unk-EPA</v>
      </c>
      <c r="C52">
        <f ca="1">OFFSET(Summary!N$23,0,(ROW()-ROW($C$50))*11)</f>
        <v>3</v>
      </c>
      <c r="D52">
        <f ca="1">OFFSET(Summary!O$23,0,(ROW()-ROW($C$50))*11)</f>
        <v>5</v>
      </c>
      <c r="E52">
        <f ca="1">OFFSET(Summary!P$23,0,(ROW()-ROW($C$50))*11)</f>
        <v>3</v>
      </c>
      <c r="F52">
        <f ca="1">OFFSET(Summary!Q$23,0,(ROW()-ROW($C$50))*11)</f>
        <v>1</v>
      </c>
      <c r="I52" t="str">
        <f>B52</f>
        <v>Unk-EPA</v>
      </c>
      <c r="J52" s="39">
        <f t="shared" ca="1" si="47"/>
        <v>0.25</v>
      </c>
      <c r="K52" s="39">
        <f t="shared" ca="1" si="40"/>
        <v>0.41666666666666669</v>
      </c>
      <c r="L52" s="39">
        <f t="shared" ca="1" si="41"/>
        <v>0.25</v>
      </c>
      <c r="M52" s="39">
        <f t="shared" ca="1" si="42"/>
        <v>8.3333333333333329E-2</v>
      </c>
      <c r="O52" s="147">
        <f ca="1">O51</f>
        <v>0.25793650793650796</v>
      </c>
      <c r="P52" t="str">
        <f>I52</f>
        <v>Unk-EPA</v>
      </c>
      <c r="Q52" s="122">
        <f ca="1">INDEX(J$39:J$57,MATCH($O52,$H$39:$H$57,0)+3)</f>
        <v>0.25</v>
      </c>
      <c r="R52" s="122">
        <f t="shared" ref="R52" ca="1" si="51">INDEX(K$39:K$57,MATCH($O52,$H$39:$H$57,0)+3)</f>
        <v>0.41666666666666669</v>
      </c>
      <c r="S52" s="122">
        <f t="shared" ref="S52" ca="1" si="52">INDEX(L$39:L$57,MATCH($O52,$H$39:$H$57,0)+3)</f>
        <v>0.25</v>
      </c>
      <c r="T52" s="122">
        <f t="shared" ref="T52" ca="1" si="53">INDEX(M$39:M$57,MATCH($O52,$H$39:$H$57,0)+3)</f>
        <v>8.3333333333333329E-2</v>
      </c>
      <c r="W52" t="str">
        <f>$E$7</f>
        <v>Other</v>
      </c>
      <c r="X52">
        <f ca="1">OFFSET(Summary!AU$23,0,(ROW()-ROW($C$50))*11)</f>
        <v>2</v>
      </c>
      <c r="Y52">
        <f ca="1">OFFSET(Summary!AV$23,0,(ROW()-ROW($C$50))*11)</f>
        <v>1</v>
      </c>
      <c r="Z52">
        <f ca="1">OFFSET(Summary!AW$23,0,(ROW()-ROW($C$50))*11)</f>
        <v>4</v>
      </c>
      <c r="AA52">
        <f ca="1">OFFSET(Summary!AX$23,0,(ROW()-ROW($C$50))*11)</f>
        <v>0</v>
      </c>
      <c r="AD52" t="str">
        <f>W52</f>
        <v>Other</v>
      </c>
      <c r="AE52" s="39">
        <f t="shared" ca="1" si="46"/>
        <v>0.2857142857142857</v>
      </c>
      <c r="AF52" s="39">
        <f t="shared" ca="1" si="46"/>
        <v>0.14285714285714285</v>
      </c>
      <c r="AG52" s="39">
        <f t="shared" ca="1" si="46"/>
        <v>0.5714285714285714</v>
      </c>
      <c r="AH52" s="39">
        <f t="shared" ca="1" si="46"/>
        <v>0</v>
      </c>
      <c r="AJ52" s="149">
        <f ca="1">AJ51</f>
        <v>0.26190476190476192</v>
      </c>
      <c r="AK52" t="str">
        <f>AD52</f>
        <v>Other</v>
      </c>
      <c r="AL52" s="122">
        <f ca="1">INDEX(AE$39:AE$57,MATCH($AJ52,$AC$39:$AC$57,0)+3)</f>
        <v>0.2857142857142857</v>
      </c>
      <c r="AM52" s="122">
        <f ca="1">INDEX(AF$39:AF$57,MATCH($AJ52,$AC$39:$AC$57,0)+3)</f>
        <v>0.14285714285714285</v>
      </c>
      <c r="AN52" s="122">
        <f ca="1">INDEX(AG$39:AG$57,MATCH($AJ52,$AC$39:$AC$57,0)+3)</f>
        <v>0.5714285714285714</v>
      </c>
      <c r="AO52" s="122">
        <f ca="1">INDEX(AH$39:AH$57,MATCH($AJ52,$AC$39:$AC$57,0)+3)</f>
        <v>0</v>
      </c>
    </row>
    <row r="53" spans="1:41" x14ac:dyDescent="0.25">
      <c r="O53" s="146"/>
      <c r="AJ53" s="150"/>
    </row>
    <row r="54" spans="1:41" x14ac:dyDescent="0.25">
      <c r="B54" t="str">
        <f>$F$5</f>
        <v>ADME</v>
      </c>
      <c r="C54" t="str">
        <f>$C$3</f>
        <v>1st Rank</v>
      </c>
      <c r="D54" t="str">
        <f>$D$3</f>
        <v>2nd Rank</v>
      </c>
      <c r="E54" t="str">
        <f>$E$3</f>
        <v>3rd Rank</v>
      </c>
      <c r="F54" t="str">
        <f>$F$3</f>
        <v>4th Rank</v>
      </c>
      <c r="H54" s="141">
        <f ca="1">AVERAGE(J55:J57)</f>
        <v>0.36507936507936506</v>
      </c>
      <c r="I54" t="str">
        <f>B54</f>
        <v>ADME</v>
      </c>
      <c r="J54" t="str">
        <f>C54</f>
        <v>1st Rank</v>
      </c>
      <c r="K54" t="str">
        <f>D54</f>
        <v>2nd Rank</v>
      </c>
      <c r="L54" t="str">
        <f>E54</f>
        <v>3rd Rank</v>
      </c>
      <c r="M54" t="str">
        <f>F54</f>
        <v>4th Rank</v>
      </c>
      <c r="O54" s="145">
        <f ca="1">LARGE($H$39:$H$58,4)</f>
        <v>0.24206349206349209</v>
      </c>
      <c r="P54" t="str">
        <f ca="1">INDEX($I$39:$I$57,MATCH(O54,$H$39:$H$57,0))</f>
        <v>Physical Hazard</v>
      </c>
      <c r="Q54" t="str">
        <f>J54</f>
        <v>1st Rank</v>
      </c>
      <c r="R54" t="str">
        <f>K54</f>
        <v>2nd Rank</v>
      </c>
      <c r="S54" t="str">
        <f>L54</f>
        <v>3rd Rank</v>
      </c>
      <c r="T54" t="str">
        <f>M54</f>
        <v>4th Rank</v>
      </c>
      <c r="W54" t="str">
        <f>$F$5</f>
        <v>ADME</v>
      </c>
      <c r="X54" t="str">
        <f>$C$3</f>
        <v>1st Rank</v>
      </c>
      <c r="Y54" t="str">
        <f>$D$3</f>
        <v>2nd Rank</v>
      </c>
      <c r="Z54" t="str">
        <f>$E$3</f>
        <v>3rd Rank</v>
      </c>
      <c r="AA54" t="str">
        <f>$F$3</f>
        <v>4th Rank</v>
      </c>
      <c r="AC54" s="141">
        <f ca="1">AVERAGE(AE55:AE57)</f>
        <v>0.39285714285714285</v>
      </c>
      <c r="AD54" t="str">
        <f>W54</f>
        <v>ADME</v>
      </c>
      <c r="AE54" t="str">
        <f>X54</f>
        <v>1st Rank</v>
      </c>
      <c r="AF54" t="str">
        <f>Y54</f>
        <v>2nd Rank</v>
      </c>
      <c r="AG54" t="str">
        <f>Z54</f>
        <v>3rd Rank</v>
      </c>
      <c r="AH54" t="str">
        <f>AA54</f>
        <v>4th Rank</v>
      </c>
      <c r="AJ54" s="148">
        <f ca="1">LARGE(AC$39:AC$58,4)</f>
        <v>0.22619047619047619</v>
      </c>
      <c r="AK54" t="str">
        <f ca="1">INDEX($AD$39:$AD$57,MATCH(AJ54,$AC$39:$AC$57,0))</f>
        <v>Physical Hazard</v>
      </c>
      <c r="AL54" t="str">
        <f>AE54</f>
        <v>1st Rank</v>
      </c>
      <c r="AM54" t="str">
        <f>AF54</f>
        <v>2nd Rank</v>
      </c>
      <c r="AN54" t="str">
        <f>AG54</f>
        <v>3rd Rank</v>
      </c>
      <c r="AO54" t="str">
        <f>AH54</f>
        <v>4th Rank</v>
      </c>
    </row>
    <row r="55" spans="1:41" x14ac:dyDescent="0.25">
      <c r="B55" t="str">
        <f>$C$2</f>
        <v>EPA</v>
      </c>
      <c r="C55">
        <f ca="1">OFFSET(Summary!N$24,0,(ROW()-ROW($C$55))*11)</f>
        <v>2</v>
      </c>
      <c r="D55">
        <f ca="1">OFFSET(Summary!O$24,0,(ROW()-ROW($C$55))*11)</f>
        <v>1</v>
      </c>
      <c r="E55">
        <f ca="1">OFFSET(Summary!P$24,0,(ROW()-ROW($C$55))*11)</f>
        <v>2</v>
      </c>
      <c r="F55">
        <f ca="1">OFFSET(Summary!Q$24,0,(ROW()-ROW($C$55))*11)</f>
        <v>1</v>
      </c>
      <c r="I55" t="str">
        <f>B55</f>
        <v>EPA</v>
      </c>
      <c r="J55" s="39">
        <f ca="1">C55/SUM($C55:$F55)</f>
        <v>0.33333333333333331</v>
      </c>
      <c r="K55" s="39">
        <f t="shared" ref="K55:K57" ca="1" si="54">D55/SUM($C55:$F55)</f>
        <v>0.16666666666666666</v>
      </c>
      <c r="L55" s="39">
        <f t="shared" ref="L55:L57" ca="1" si="55">E55/SUM($C55:$F55)</f>
        <v>0.33333333333333331</v>
      </c>
      <c r="M55" s="39">
        <f t="shared" ref="M55:M57" ca="1" si="56">F55/SUM($C55:$F55)</f>
        <v>0.16666666666666666</v>
      </c>
      <c r="O55" s="147">
        <f ca="1">O54</f>
        <v>0.24206349206349209</v>
      </c>
      <c r="P55" t="str">
        <f>I55</f>
        <v>EPA</v>
      </c>
      <c r="Q55" s="122">
        <f ca="1">INDEX(J$39:J$57,MATCH($O55,$H$39:$H$57,0)+1)</f>
        <v>0.16666666666666666</v>
      </c>
      <c r="R55" s="122">
        <f t="shared" ref="R55" ca="1" si="57">INDEX(K$39:K$57,MATCH($O55,$H$39:$H$57,0)+1)</f>
        <v>0.16666666666666666</v>
      </c>
      <c r="S55" s="122">
        <f t="shared" ref="S55" ca="1" si="58">INDEX(L$39:L$57,MATCH($O55,$H$39:$H$57,0)+1)</f>
        <v>0.16666666666666666</v>
      </c>
      <c r="T55" s="122">
        <f t="shared" ref="T55" ca="1" si="59">INDEX(M$39:M$57,MATCH($O55,$H$39:$H$57,0)+1)</f>
        <v>0.5</v>
      </c>
      <c r="W55" t="str">
        <f>$C$7</f>
        <v>Chemical</v>
      </c>
      <c r="X55">
        <f ca="1">OFFSET(Summary!AU$24,0,(ROW()-ROW($C$55))*11)</f>
        <v>7</v>
      </c>
      <c r="Y55">
        <f ca="1">OFFSET(Summary!AV$24,0,(ROW()-ROW($C$55))*11)</f>
        <v>5</v>
      </c>
      <c r="Z55">
        <f ca="1">OFFSET(Summary!AW$24,0,(ROW()-ROW($C$55))*11)</f>
        <v>6</v>
      </c>
      <c r="AA55">
        <f ca="1">OFFSET(Summary!AX$24,0,(ROW()-ROW($C$55))*11)</f>
        <v>2</v>
      </c>
      <c r="AD55" t="str">
        <f>W55</f>
        <v>Chemical</v>
      </c>
      <c r="AE55" s="39">
        <f t="shared" ref="AE55:AH57" ca="1" si="60">X55/SUM($X55:$AA55)</f>
        <v>0.35</v>
      </c>
      <c r="AF55" s="39">
        <f t="shared" ca="1" si="60"/>
        <v>0.25</v>
      </c>
      <c r="AG55" s="39">
        <f t="shared" ca="1" si="60"/>
        <v>0.3</v>
      </c>
      <c r="AH55" s="39">
        <f t="shared" ca="1" si="60"/>
        <v>0.1</v>
      </c>
      <c r="AJ55" s="149">
        <f ca="1">AJ54</f>
        <v>0.22619047619047619</v>
      </c>
      <c r="AK55" t="str">
        <f>AD55</f>
        <v>Chemical</v>
      </c>
      <c r="AL55" s="122">
        <f ca="1">INDEX(AE$39:AE$57,MATCH($AJ55,$AC$39:$AC$57,0)+1)</f>
        <v>0.25</v>
      </c>
      <c r="AM55" s="122">
        <f ca="1">INDEX(AF$39:AF$57,MATCH($AJ55,$AC$39:$AC$57,0)+1)</f>
        <v>0.15</v>
      </c>
      <c r="AN55" s="122">
        <f ca="1">INDEX(AG$39:AG$57,MATCH($AJ55,$AC$39:$AC$57,0)+1)</f>
        <v>0.1</v>
      </c>
      <c r="AO55" s="122">
        <f ca="1">INDEX(AH$39:AH$57,MATCH($AJ55,$AC$39:$AC$57,0)+1)</f>
        <v>0.5</v>
      </c>
    </row>
    <row r="56" spans="1:41" x14ac:dyDescent="0.25">
      <c r="B56" t="str">
        <f>$D$2</f>
        <v>Non-EPA</v>
      </c>
      <c r="C56">
        <f ca="1">OFFSET(Summary!N$24,0,(ROW()-ROW($C$55))*11)</f>
        <v>6</v>
      </c>
      <c r="D56">
        <f ca="1">OFFSET(Summary!O$24,0,(ROW()-ROW($C$55))*11)</f>
        <v>6</v>
      </c>
      <c r="E56">
        <f ca="1">OFFSET(Summary!P$24,0,(ROW()-ROW($C$55))*11)</f>
        <v>2</v>
      </c>
      <c r="F56">
        <f ca="1">OFFSET(Summary!Q$24,0,(ROW()-ROW($C$55))*11)</f>
        <v>0</v>
      </c>
      <c r="I56" t="str">
        <f>B56</f>
        <v>Non-EPA</v>
      </c>
      <c r="J56" s="39">
        <f t="shared" ref="J56:J57" ca="1" si="61">C56/SUM($C56:$F56)</f>
        <v>0.42857142857142855</v>
      </c>
      <c r="K56" s="39">
        <f t="shared" ca="1" si="54"/>
        <v>0.42857142857142855</v>
      </c>
      <c r="L56" s="39">
        <f t="shared" ca="1" si="55"/>
        <v>0.14285714285714285</v>
      </c>
      <c r="M56" s="39">
        <f t="shared" ca="1" si="56"/>
        <v>0</v>
      </c>
      <c r="O56" s="147">
        <f ca="1">O55</f>
        <v>0.24206349206349209</v>
      </c>
      <c r="P56" t="str">
        <f>I56</f>
        <v>Non-EPA</v>
      </c>
      <c r="Q56" s="122">
        <f ca="1">INDEX(J$39:J$57,MATCH($O56,$H$39:$H$57,0)+2)</f>
        <v>0.14285714285714285</v>
      </c>
      <c r="R56" s="122">
        <f t="shared" ref="R56" ca="1" si="62">INDEX(K$39:K$57,MATCH($O56,$H$39:$H$57,0)+2)</f>
        <v>0.14285714285714285</v>
      </c>
      <c r="S56" s="122">
        <f t="shared" ref="S56" ca="1" si="63">INDEX(L$39:L$57,MATCH($O56,$H$39:$H$57,0)+2)</f>
        <v>7.1428571428571425E-2</v>
      </c>
      <c r="T56" s="122">
        <f t="shared" ref="T56" ca="1" si="64">INDEX(M$39:M$57,MATCH($O56,$H$39:$H$57,0)+2)</f>
        <v>0.6428571428571429</v>
      </c>
      <c r="W56" t="str">
        <f>$D$7</f>
        <v>Human Factors</v>
      </c>
      <c r="X56">
        <f ca="1">OFFSET(Summary!AU$24,0,(ROW()-ROW($C$55))*11)</f>
        <v>2</v>
      </c>
      <c r="Y56">
        <f ca="1">OFFSET(Summary!AV$24,0,(ROW()-ROW($C$55))*11)</f>
        <v>3</v>
      </c>
      <c r="Z56">
        <f ca="1">OFFSET(Summary!AW$24,0,(ROW()-ROW($C$55))*11)</f>
        <v>0</v>
      </c>
      <c r="AA56">
        <f ca="1">OFFSET(Summary!AX$24,0,(ROW()-ROW($C$55))*11)</f>
        <v>0</v>
      </c>
      <c r="AD56" t="str">
        <f>W56</f>
        <v>Human Factors</v>
      </c>
      <c r="AE56" s="39">
        <f t="shared" ca="1" si="60"/>
        <v>0.4</v>
      </c>
      <c r="AF56" s="39">
        <f t="shared" ca="1" si="60"/>
        <v>0.6</v>
      </c>
      <c r="AG56" s="39">
        <f t="shared" ca="1" si="60"/>
        <v>0</v>
      </c>
      <c r="AH56" s="39">
        <f t="shared" ca="1" si="60"/>
        <v>0</v>
      </c>
      <c r="AJ56" s="149">
        <f ca="1">AJ55</f>
        <v>0.22619047619047619</v>
      </c>
      <c r="AK56" t="str">
        <f>AD56</f>
        <v>Human Factors</v>
      </c>
      <c r="AL56" s="122">
        <f ca="1">INDEX(AE$39:AE$57,MATCH($AJ56,$AC$39:$AC$57,0)+2)</f>
        <v>0</v>
      </c>
      <c r="AM56" s="122">
        <f ca="1">INDEX(AF$39:AF$57,MATCH($AJ56,$AC$39:$AC$57,0)+2)</f>
        <v>0.2</v>
      </c>
      <c r="AN56" s="122">
        <f ca="1">INDEX(AG$39:AG$57,MATCH($AJ56,$AC$39:$AC$57,0)+2)</f>
        <v>0.2</v>
      </c>
      <c r="AO56" s="122">
        <f ca="1">INDEX(AH$39:AH$57,MATCH($AJ56,$AC$39:$AC$57,0)+2)</f>
        <v>0.6</v>
      </c>
    </row>
    <row r="57" spans="1:41" x14ac:dyDescent="0.25">
      <c r="B57" t="str">
        <f>$E$2</f>
        <v>Unk-EPA</v>
      </c>
      <c r="C57">
        <f ca="1">OFFSET(Summary!N$24,0,(ROW()-ROW($C$55))*11)</f>
        <v>4</v>
      </c>
      <c r="D57">
        <f ca="1">OFFSET(Summary!O$24,0,(ROW()-ROW($C$55))*11)</f>
        <v>2</v>
      </c>
      <c r="E57">
        <f ca="1">OFFSET(Summary!P$24,0,(ROW()-ROW($C$55))*11)</f>
        <v>4</v>
      </c>
      <c r="F57">
        <f ca="1">OFFSET(Summary!Q$24,0,(ROW()-ROW($C$55))*11)</f>
        <v>2</v>
      </c>
      <c r="I57" t="str">
        <f>B57</f>
        <v>Unk-EPA</v>
      </c>
      <c r="J57" s="39">
        <f t="shared" ca="1" si="61"/>
        <v>0.33333333333333331</v>
      </c>
      <c r="K57" s="39">
        <f t="shared" ca="1" si="54"/>
        <v>0.16666666666666666</v>
      </c>
      <c r="L57" s="39">
        <f t="shared" ca="1" si="55"/>
        <v>0.33333333333333331</v>
      </c>
      <c r="M57" s="39">
        <f t="shared" ca="1" si="56"/>
        <v>0.16666666666666666</v>
      </c>
      <c r="O57" s="147">
        <f ca="1">O56</f>
        <v>0.24206349206349209</v>
      </c>
      <c r="P57" t="str">
        <f>I57</f>
        <v>Unk-EPA</v>
      </c>
      <c r="Q57" s="122">
        <f ca="1">INDEX(J$39:J$57,MATCH($O57,$H$39:$H$57,0)+3)</f>
        <v>0.41666666666666669</v>
      </c>
      <c r="R57" s="122">
        <f t="shared" ref="R57" ca="1" si="65">INDEX(K$39:K$57,MATCH($O57,$H$39:$H$57,0)+3)</f>
        <v>0.16666666666666666</v>
      </c>
      <c r="S57" s="122">
        <f t="shared" ref="S57" ca="1" si="66">INDEX(L$39:L$57,MATCH($O57,$H$39:$H$57,0)+3)</f>
        <v>8.3333333333333329E-2</v>
      </c>
      <c r="T57" s="122">
        <f t="shared" ref="T57" ca="1" si="67">INDEX(M$39:M$57,MATCH($O57,$H$39:$H$57,0)+3)</f>
        <v>0.33333333333333331</v>
      </c>
      <c r="W57" t="str">
        <f>$E$7</f>
        <v>Other</v>
      </c>
      <c r="X57">
        <f ca="1">OFFSET(Summary!AU$24,0,(ROW()-ROW($C$55))*11)</f>
        <v>3</v>
      </c>
      <c r="Y57">
        <f ca="1">OFFSET(Summary!AV$24,0,(ROW()-ROW($C$55))*11)</f>
        <v>1</v>
      </c>
      <c r="Z57">
        <f ca="1">OFFSET(Summary!AW$24,0,(ROW()-ROW($C$55))*11)</f>
        <v>2</v>
      </c>
      <c r="AA57">
        <f ca="1">OFFSET(Summary!AX$24,0,(ROW()-ROW($C$55))*11)</f>
        <v>1</v>
      </c>
      <c r="AD57" t="str">
        <f>W57</f>
        <v>Other</v>
      </c>
      <c r="AE57" s="39">
        <f t="shared" ca="1" si="60"/>
        <v>0.42857142857142855</v>
      </c>
      <c r="AF57" s="39">
        <f t="shared" ca="1" si="60"/>
        <v>0.14285714285714285</v>
      </c>
      <c r="AG57" s="39">
        <f t="shared" ca="1" si="60"/>
        <v>0.2857142857142857</v>
      </c>
      <c r="AH57" s="39">
        <f t="shared" ca="1" si="60"/>
        <v>0.14285714285714285</v>
      </c>
      <c r="AJ57" s="149">
        <f ca="1">AJ56</f>
        <v>0.22619047619047619</v>
      </c>
      <c r="AK57" t="str">
        <f>AD57</f>
        <v>Other</v>
      </c>
      <c r="AL57" s="122">
        <f ca="1">INDEX(AE$39:AE$57,MATCH($AJ57,$AC$39:$AC$57,0)+3)</f>
        <v>0.42857142857142855</v>
      </c>
      <c r="AM57" s="122">
        <f ca="1">INDEX(AF$39:AF$57,MATCH($AJ57,$AC$39:$AC$57,0)+3)</f>
        <v>0.14285714285714285</v>
      </c>
      <c r="AN57" s="122">
        <f ca="1">INDEX(AG$39:AG$57,MATCH($AJ57,$AC$39:$AC$57,0)+3)</f>
        <v>0</v>
      </c>
      <c r="AO57" s="122">
        <f ca="1">INDEX(AH$39:AH$57,MATCH($AJ57,$AC$39:$AC$57,0)+3)</f>
        <v>0.42857142857142855</v>
      </c>
    </row>
    <row r="59" spans="1:41" x14ac:dyDescent="0.25">
      <c r="A59" s="3" t="s">
        <v>405</v>
      </c>
      <c r="H59" s="3" t="s">
        <v>397</v>
      </c>
      <c r="O59" s="3" t="s">
        <v>398</v>
      </c>
      <c r="P59" s="3"/>
      <c r="V59" s="3" t="s">
        <v>405</v>
      </c>
      <c r="AC59" s="3" t="s">
        <v>397</v>
      </c>
      <c r="AJ59" s="3" t="s">
        <v>398</v>
      </c>
      <c r="AK59" s="3"/>
    </row>
    <row r="60" spans="1:41" x14ac:dyDescent="0.25">
      <c r="B60" t="str">
        <f>$C$6</f>
        <v>Subject</v>
      </c>
      <c r="C60" t="str">
        <f>$C$3</f>
        <v>1st Rank</v>
      </c>
      <c r="D60" t="str">
        <f>$D$3</f>
        <v>2nd Rank</v>
      </c>
      <c r="E60" t="str">
        <f>$E$3</f>
        <v>3rd Rank</v>
      </c>
      <c r="F60" t="str">
        <f>$F$3</f>
        <v>4th Rank</v>
      </c>
      <c r="H60" s="141">
        <f ca="1">AVERAGE(J61:J63)</f>
        <v>0.12380952380952381</v>
      </c>
      <c r="I60" t="str">
        <f>B60</f>
        <v>Subject</v>
      </c>
      <c r="J60" t="str">
        <f>C60</f>
        <v>1st Rank</v>
      </c>
      <c r="K60" t="str">
        <f>D60</f>
        <v>2nd Rank</v>
      </c>
      <c r="L60" t="str">
        <f>E60</f>
        <v>3rd Rank</v>
      </c>
      <c r="M60" t="str">
        <f>F60</f>
        <v>4th Rank</v>
      </c>
      <c r="O60" s="145">
        <f ca="1">LARGE($H$60:$H$78,1)</f>
        <v>0.53333333333333333</v>
      </c>
      <c r="P60" t="str">
        <f ca="1">INDEX($I$60:$I$79,MATCH(O60,$H$60:$H$79,0))</f>
        <v>Activity</v>
      </c>
      <c r="Q60" t="str">
        <f>J60</f>
        <v>1st Rank</v>
      </c>
      <c r="R60" t="str">
        <f>K60</f>
        <v>2nd Rank</v>
      </c>
      <c r="S60" t="str">
        <f>L60</f>
        <v>3rd Rank</v>
      </c>
      <c r="T60" t="str">
        <f>M60</f>
        <v>4th Rank</v>
      </c>
      <c r="W60" t="str">
        <f>$C$6</f>
        <v>Subject</v>
      </c>
      <c r="X60" t="str">
        <f>$C$3</f>
        <v>1st Rank</v>
      </c>
      <c r="Y60" t="str">
        <f>$D$3</f>
        <v>2nd Rank</v>
      </c>
      <c r="Z60" t="str">
        <f>$E$3</f>
        <v>3rd Rank</v>
      </c>
      <c r="AA60" t="str">
        <f>$F$3</f>
        <v>4th Rank</v>
      </c>
      <c r="AC60" s="141">
        <f ca="1">AVERAGE(AE61:AE63)</f>
        <v>7.407407407407407E-2</v>
      </c>
      <c r="AD60" t="str">
        <f>W60</f>
        <v>Subject</v>
      </c>
      <c r="AE60" t="str">
        <f>X60</f>
        <v>1st Rank</v>
      </c>
      <c r="AF60" t="str">
        <f>Y60</f>
        <v>2nd Rank</v>
      </c>
      <c r="AG60" t="str">
        <f>Z60</f>
        <v>3rd Rank</v>
      </c>
      <c r="AH60" t="str">
        <f>AA60</f>
        <v>4th Rank</v>
      </c>
      <c r="AJ60" s="148">
        <f ca="1">LARGE($AC$60:$AC$78,1)</f>
        <v>0.47989417989417987</v>
      </c>
      <c r="AK60" t="str">
        <f ca="1">INDEX($AD$60:$AD$78,MATCH(AJ60,$AC$60:$AC$78,0))</f>
        <v>Activity</v>
      </c>
      <c r="AL60" t="str">
        <f>AE60</f>
        <v>1st Rank</v>
      </c>
      <c r="AM60" t="str">
        <f>AF60</f>
        <v>2nd Rank</v>
      </c>
      <c r="AN60" t="str">
        <f>AG60</f>
        <v>3rd Rank</v>
      </c>
      <c r="AO60" t="str">
        <f>AH60</f>
        <v>4th Rank</v>
      </c>
    </row>
    <row r="61" spans="1:41" x14ac:dyDescent="0.25">
      <c r="B61" t="str">
        <f>$C$2</f>
        <v>EPA</v>
      </c>
      <c r="C61">
        <f ca="1">OFFSET(Summary!N$28,0,(ROW()-ROW($C$61))*11)</f>
        <v>0</v>
      </c>
      <c r="D61">
        <f ca="1">OFFSET(Summary!O$28,0,(ROW()-ROW($C$61))*11)</f>
        <v>2</v>
      </c>
      <c r="E61">
        <f ca="1">OFFSET(Summary!P$28,0,(ROW()-ROW($C$61))*11)</f>
        <v>1</v>
      </c>
      <c r="F61">
        <f ca="1">OFFSET(Summary!Q$28,0,(ROW()-ROW($C$61))*11)</f>
        <v>3</v>
      </c>
      <c r="I61" t="str">
        <f>B61</f>
        <v>EPA</v>
      </c>
      <c r="J61" s="39">
        <f ca="1">C61/SUM($C61:$F61)</f>
        <v>0</v>
      </c>
      <c r="K61" s="39">
        <f t="shared" ref="K61:M63" ca="1" si="68">D61/SUM($C61:$F61)</f>
        <v>0.33333333333333331</v>
      </c>
      <c r="L61" s="39">
        <f t="shared" ca="1" si="68"/>
        <v>0.16666666666666666</v>
      </c>
      <c r="M61" s="39">
        <f t="shared" ca="1" si="68"/>
        <v>0.5</v>
      </c>
      <c r="O61" s="147">
        <f ca="1">O60</f>
        <v>0.53333333333333333</v>
      </c>
      <c r="P61" t="str">
        <f>I61</f>
        <v>EPA</v>
      </c>
      <c r="Q61" s="122">
        <f ca="1">INDEX(J$60:J$78,MATCH($O61,$H$60:$H$78,0)+1)</f>
        <v>0.5</v>
      </c>
      <c r="R61" s="122">
        <f t="shared" ref="R61:T61" ca="1" si="69">INDEX(K$60:K$78,MATCH($O61,$H$60:$H$78,0)+1)</f>
        <v>0.16666666666666666</v>
      </c>
      <c r="S61" s="122">
        <f t="shared" ca="1" si="69"/>
        <v>0.33333333333333331</v>
      </c>
      <c r="T61" s="122">
        <f t="shared" ca="1" si="69"/>
        <v>0</v>
      </c>
      <c r="W61" t="str">
        <f>$C$7</f>
        <v>Chemical</v>
      </c>
      <c r="X61">
        <f ca="1">OFFSET(Summary!AU$28,0,(ROW()-ROW($C$61))*11)</f>
        <v>4</v>
      </c>
      <c r="Y61">
        <f ca="1">OFFSET(Summary!AV$28,0,(ROW()-ROW($C$61))*11)</f>
        <v>2</v>
      </c>
      <c r="Z61">
        <f ca="1">OFFSET(Summary!AW$28,0,(ROW()-ROW($C$61))*11)</f>
        <v>5</v>
      </c>
      <c r="AA61">
        <f ca="1">OFFSET(Summary!AX$28,0,(ROW()-ROW($C$61))*11)</f>
        <v>7</v>
      </c>
      <c r="AD61" t="str">
        <f>W61</f>
        <v>Chemical</v>
      </c>
      <c r="AE61" s="39">
        <f t="shared" ref="AE61:AH63" ca="1" si="70">X61/SUM($X61:$AA61)</f>
        <v>0.22222222222222221</v>
      </c>
      <c r="AF61" s="39">
        <f t="shared" ca="1" si="70"/>
        <v>0.1111111111111111</v>
      </c>
      <c r="AG61" s="39">
        <f t="shared" ca="1" si="70"/>
        <v>0.27777777777777779</v>
      </c>
      <c r="AH61" s="39">
        <f t="shared" ca="1" si="70"/>
        <v>0.3888888888888889</v>
      </c>
      <c r="AJ61" s="149">
        <f ca="1">AJ60</f>
        <v>0.47989417989417987</v>
      </c>
      <c r="AK61" t="str">
        <f>AD61</f>
        <v>Chemical</v>
      </c>
      <c r="AL61" s="122">
        <f ca="1">INDEX(AE$60:AE$78,MATCH($AJ61,$AC$60:$AC$78,0)+1)</f>
        <v>0.61111111111111116</v>
      </c>
      <c r="AM61" s="122">
        <f ca="1">INDEX(AF$60:AF$78,MATCH($AJ61,$AC$60:$AC$78,0)+1)</f>
        <v>0.27777777777777779</v>
      </c>
      <c r="AN61" s="122">
        <f ca="1">INDEX(AG$60:AG$78,MATCH($AJ61,$AC$60:$AC$78,0)+1)</f>
        <v>5.5555555555555552E-2</v>
      </c>
      <c r="AO61" s="122">
        <f ca="1">INDEX(AH$60:AH$78,MATCH($AJ61,$AC$60:$AC$78,0)+1)</f>
        <v>5.5555555555555552E-2</v>
      </c>
    </row>
    <row r="62" spans="1:41" x14ac:dyDescent="0.25">
      <c r="B62" t="str">
        <f>$D$2</f>
        <v>Non-EPA</v>
      </c>
      <c r="C62">
        <f ca="1">OFFSET(Summary!N$28,0,(ROW()-ROW($C$61))*11)</f>
        <v>1</v>
      </c>
      <c r="D62">
        <f ca="1">OFFSET(Summary!O$28,0,(ROW()-ROW($C$61))*11)</f>
        <v>2</v>
      </c>
      <c r="E62">
        <f ca="1">OFFSET(Summary!P$28,0,(ROW()-ROW($C$61))*11)</f>
        <v>5</v>
      </c>
      <c r="F62">
        <f ca="1">OFFSET(Summary!Q$28,0,(ROW()-ROW($C$61))*11)</f>
        <v>6</v>
      </c>
      <c r="I62" t="str">
        <f>B62</f>
        <v>Non-EPA</v>
      </c>
      <c r="J62" s="39">
        <f ca="1">C62/SUM($C62:$F62)</f>
        <v>7.1428571428571425E-2</v>
      </c>
      <c r="K62" s="39">
        <f t="shared" ca="1" si="68"/>
        <v>0.14285714285714285</v>
      </c>
      <c r="L62" s="39">
        <f t="shared" ca="1" si="68"/>
        <v>0.35714285714285715</v>
      </c>
      <c r="M62" s="39">
        <f t="shared" ca="1" si="68"/>
        <v>0.42857142857142855</v>
      </c>
      <c r="O62" s="147">
        <f ca="1">O61</f>
        <v>0.53333333333333333</v>
      </c>
      <c r="P62" t="str">
        <f>I62</f>
        <v>Non-EPA</v>
      </c>
      <c r="Q62" s="122">
        <f ca="1">INDEX(J$60:J$78,MATCH($O62,$H$60:$H$78,0)+2)</f>
        <v>0.5</v>
      </c>
      <c r="R62" s="122">
        <f t="shared" ref="R62:T62" ca="1" si="71">INDEX(K$60:K$78,MATCH($O62,$H$60:$H$78,0)+2)</f>
        <v>0.2857142857142857</v>
      </c>
      <c r="S62" s="122">
        <f t="shared" ca="1" si="71"/>
        <v>7.1428571428571425E-2</v>
      </c>
      <c r="T62" s="122">
        <f t="shared" ca="1" si="71"/>
        <v>0.14285714285714285</v>
      </c>
      <c r="W62" t="str">
        <f>$D$7</f>
        <v>Human Factors</v>
      </c>
      <c r="X62">
        <f ca="1">OFFSET(Summary!AU$28,0,(ROW()-ROW($C$61))*11)</f>
        <v>0</v>
      </c>
      <c r="Y62">
        <f ca="1">OFFSET(Summary!AV$28,0,(ROW()-ROW($C$61))*11)</f>
        <v>1</v>
      </c>
      <c r="Z62">
        <f ca="1">OFFSET(Summary!AW$28,0,(ROW()-ROW($C$61))*11)</f>
        <v>3</v>
      </c>
      <c r="AA62">
        <f ca="1">OFFSET(Summary!AX$28,0,(ROW()-ROW($C$61))*11)</f>
        <v>1</v>
      </c>
      <c r="AD62" t="str">
        <f>W62</f>
        <v>Human Factors</v>
      </c>
      <c r="AE62" s="39">
        <f t="shared" ca="1" si="70"/>
        <v>0</v>
      </c>
      <c r="AF62" s="39">
        <f t="shared" ca="1" si="70"/>
        <v>0.2</v>
      </c>
      <c r="AG62" s="39">
        <f t="shared" ca="1" si="70"/>
        <v>0.6</v>
      </c>
      <c r="AH62" s="39">
        <f t="shared" ca="1" si="70"/>
        <v>0.2</v>
      </c>
      <c r="AJ62" s="149">
        <f ca="1">AJ61</f>
        <v>0.47989417989417987</v>
      </c>
      <c r="AK62" t="str">
        <f>AD62</f>
        <v>Human Factors</v>
      </c>
      <c r="AL62" s="122">
        <f ca="1">INDEX(AE$60:AE$78,MATCH($AJ62,$AC$60:$AC$78,0)+2)</f>
        <v>0.4</v>
      </c>
      <c r="AM62" s="122">
        <f ca="1">INDEX(AF$60:AF$78,MATCH($AJ62,$AC$60:$AC$78,0)+2)</f>
        <v>0.2</v>
      </c>
      <c r="AN62" s="122">
        <f ca="1">INDEX(AG$60:AG$78,MATCH($AJ62,$AC$60:$AC$78,0)+2)</f>
        <v>0.4</v>
      </c>
      <c r="AO62" s="122">
        <f ca="1">INDEX(AH$60:AH$78,MATCH($AJ62,$AC$60:$AC$78,0)+2)</f>
        <v>0</v>
      </c>
    </row>
    <row r="63" spans="1:41" x14ac:dyDescent="0.25">
      <c r="B63" t="str">
        <f>$E$2</f>
        <v>Unk-EPA</v>
      </c>
      <c r="C63">
        <f ca="1">OFFSET(Summary!N$28,0,(ROW()-ROW($C$61))*11)</f>
        <v>3</v>
      </c>
      <c r="D63">
        <f ca="1">OFFSET(Summary!O$28,0,(ROW()-ROW($C$61))*11)</f>
        <v>2</v>
      </c>
      <c r="E63">
        <f ca="1">OFFSET(Summary!P$28,0,(ROW()-ROW($C$61))*11)</f>
        <v>3</v>
      </c>
      <c r="F63">
        <f ca="1">OFFSET(Summary!Q$28,0,(ROW()-ROW($C$61))*11)</f>
        <v>2</v>
      </c>
      <c r="I63" t="str">
        <f>B63</f>
        <v>Unk-EPA</v>
      </c>
      <c r="J63" s="39">
        <f ca="1">C63/SUM($C63:$F63)</f>
        <v>0.3</v>
      </c>
      <c r="K63" s="39">
        <f t="shared" ca="1" si="68"/>
        <v>0.2</v>
      </c>
      <c r="L63" s="39">
        <f t="shared" ca="1" si="68"/>
        <v>0.3</v>
      </c>
      <c r="M63" s="39">
        <f t="shared" ca="1" si="68"/>
        <v>0.2</v>
      </c>
      <c r="O63" s="147">
        <f ca="1">O62</f>
        <v>0.53333333333333333</v>
      </c>
      <c r="P63" t="str">
        <f>I63</f>
        <v>Unk-EPA</v>
      </c>
      <c r="Q63" s="122">
        <f ca="1">INDEX(J$60:J$78,MATCH($O63,$H$60:$H$78,0)+3)</f>
        <v>0.6</v>
      </c>
      <c r="R63" s="122">
        <f t="shared" ref="R63:T63" ca="1" si="72">INDEX(K$60:K$78,MATCH($O63,$H$60:$H$78,0)+3)</f>
        <v>0.3</v>
      </c>
      <c r="S63" s="122">
        <f t="shared" ca="1" si="72"/>
        <v>0.1</v>
      </c>
      <c r="T63" s="122">
        <f t="shared" ca="1" si="72"/>
        <v>0</v>
      </c>
      <c r="W63" t="str">
        <f>$E$7</f>
        <v>Other</v>
      </c>
      <c r="X63">
        <f ca="1">OFFSET(Summary!AU$28,0,(ROW()-ROW($C$61))*11)</f>
        <v>0</v>
      </c>
      <c r="Y63">
        <f ca="1">OFFSET(Summary!AV$28,0,(ROW()-ROW($C$61))*11)</f>
        <v>3</v>
      </c>
      <c r="Z63">
        <f ca="1">OFFSET(Summary!AW$28,0,(ROW()-ROW($C$61))*11)</f>
        <v>1</v>
      </c>
      <c r="AA63">
        <f ca="1">OFFSET(Summary!AX$28,0,(ROW()-ROW($C$61))*11)</f>
        <v>3</v>
      </c>
      <c r="AD63" t="str">
        <f>W63</f>
        <v>Other</v>
      </c>
      <c r="AE63" s="39">
        <f t="shared" ca="1" si="70"/>
        <v>0</v>
      </c>
      <c r="AF63" s="39">
        <f t="shared" ca="1" si="70"/>
        <v>0.42857142857142855</v>
      </c>
      <c r="AG63" s="39">
        <f t="shared" ca="1" si="70"/>
        <v>0.14285714285714285</v>
      </c>
      <c r="AH63" s="39">
        <f t="shared" ca="1" si="70"/>
        <v>0.42857142857142855</v>
      </c>
      <c r="AJ63" s="149">
        <f ca="1">AJ62</f>
        <v>0.47989417989417987</v>
      </c>
      <c r="AK63" t="str">
        <f>AD63</f>
        <v>Other</v>
      </c>
      <c r="AL63" s="122">
        <f ca="1">INDEX(AE$60:AE$78,MATCH($AJ63,$AC$60:$AC$78,0)+3)</f>
        <v>0.42857142857142855</v>
      </c>
      <c r="AM63" s="122">
        <f ca="1">INDEX(AF$60:AF$78,MATCH($AJ63,$AC$60:$AC$78,0)+3)</f>
        <v>0.2857142857142857</v>
      </c>
      <c r="AN63" s="122">
        <f ca="1">INDEX(AG$60:AG$78,MATCH($AJ63,$AC$60:$AC$78,0)+3)</f>
        <v>0.14285714285714285</v>
      </c>
      <c r="AO63" s="122">
        <f ca="1">INDEX(AH$60:AH$78,MATCH($AJ63,$AC$60:$AC$78,0)+3)</f>
        <v>0.14285714285714285</v>
      </c>
    </row>
    <row r="64" spans="1:41" x14ac:dyDescent="0.25">
      <c r="O64" s="146"/>
      <c r="AJ64" s="150"/>
    </row>
    <row r="65" spans="1:41" x14ac:dyDescent="0.25">
      <c r="B65" t="str">
        <f>$D$6</f>
        <v>Environment</v>
      </c>
      <c r="C65" t="str">
        <f>$C$3</f>
        <v>1st Rank</v>
      </c>
      <c r="D65" t="str">
        <f>$D$3</f>
        <v>2nd Rank</v>
      </c>
      <c r="E65" t="str">
        <f>$E$3</f>
        <v>3rd Rank</v>
      </c>
      <c r="F65" t="str">
        <f>$F$3</f>
        <v>4th Rank</v>
      </c>
      <c r="H65" s="141">
        <f ca="1">AVERAGE(J66:J68)</f>
        <v>7.9365079365079361E-2</v>
      </c>
      <c r="I65" t="str">
        <f>B65</f>
        <v>Environment</v>
      </c>
      <c r="J65" t="str">
        <f>C65</f>
        <v>1st Rank</v>
      </c>
      <c r="K65" t="str">
        <f>D65</f>
        <v>2nd Rank</v>
      </c>
      <c r="L65" t="str">
        <f>E65</f>
        <v>3rd Rank</v>
      </c>
      <c r="M65" t="str">
        <f>F65</f>
        <v>4th Rank</v>
      </c>
      <c r="O65" s="145">
        <f ca="1">LARGE($H$60:$H$78,2)</f>
        <v>0.48571428571428577</v>
      </c>
      <c r="P65" t="str">
        <f ca="1">INDEX($I$60:$I$79,MATCH(O65,$H$60:$H$79,0))</f>
        <v>Ubiquity</v>
      </c>
      <c r="Q65" t="str">
        <f>J65</f>
        <v>1st Rank</v>
      </c>
      <c r="R65" t="str">
        <f>K65</f>
        <v>2nd Rank</v>
      </c>
      <c r="S65" t="str">
        <f>L65</f>
        <v>3rd Rank</v>
      </c>
      <c r="T65" t="str">
        <f>M65</f>
        <v>4th Rank</v>
      </c>
      <c r="W65" t="str">
        <f>$D$6</f>
        <v>Environment</v>
      </c>
      <c r="X65" t="str">
        <f>$C$3</f>
        <v>1st Rank</v>
      </c>
      <c r="Y65" t="str">
        <f>$D$3</f>
        <v>2nd Rank</v>
      </c>
      <c r="Z65" t="str">
        <f>$E$3</f>
        <v>3rd Rank</v>
      </c>
      <c r="AA65" t="str">
        <f>$F$3</f>
        <v>4th Rank</v>
      </c>
      <c r="AC65" s="141">
        <f ca="1">AVERAGE(AE66:AE68)</f>
        <v>0.13333333333333333</v>
      </c>
      <c r="AD65" t="str">
        <f>W65</f>
        <v>Environment</v>
      </c>
      <c r="AE65" t="str">
        <f>X65</f>
        <v>1st Rank</v>
      </c>
      <c r="AF65" t="str">
        <f>Y65</f>
        <v>2nd Rank</v>
      </c>
      <c r="AG65" t="str">
        <f>Z65</f>
        <v>3rd Rank</v>
      </c>
      <c r="AH65" t="str">
        <f>AA65</f>
        <v>4th Rank</v>
      </c>
      <c r="AJ65" s="148">
        <f ca="1">LARGE($AC$60:$AC$78,2)</f>
        <v>0.47195767195767191</v>
      </c>
      <c r="AK65" t="str">
        <f ca="1">INDEX($AD$60:$AD$78,MATCH(AJ65,$AC$60:$AC$78,0))</f>
        <v>Ubiquity</v>
      </c>
      <c r="AL65" t="str">
        <f>AE65</f>
        <v>1st Rank</v>
      </c>
      <c r="AM65" t="str">
        <f>AF65</f>
        <v>2nd Rank</v>
      </c>
      <c r="AN65" t="str">
        <f>AG65</f>
        <v>3rd Rank</v>
      </c>
      <c r="AO65" t="str">
        <f>AH65</f>
        <v>4th Rank</v>
      </c>
    </row>
    <row r="66" spans="1:41" x14ac:dyDescent="0.25">
      <c r="B66" t="str">
        <f>$C$2</f>
        <v>EPA</v>
      </c>
      <c r="C66">
        <f ca="1">OFFSET(Summary!N$29,0,(ROW()-ROW($C$66))*11)</f>
        <v>1</v>
      </c>
      <c r="D66">
        <f ca="1">OFFSET(Summary!O$29,0,(ROW()-ROW($C$66))*11)</f>
        <v>1</v>
      </c>
      <c r="E66">
        <f ca="1">OFFSET(Summary!P$29,0,(ROW()-ROW($C$66))*11)</f>
        <v>3</v>
      </c>
      <c r="F66">
        <f ca="1">OFFSET(Summary!Q$29,0,(ROW()-ROW($C$66))*11)</f>
        <v>1</v>
      </c>
      <c r="I66" t="str">
        <f>B66</f>
        <v>EPA</v>
      </c>
      <c r="J66" s="39">
        <f ca="1">C66/SUM($C66:$F66)</f>
        <v>0.16666666666666666</v>
      </c>
      <c r="K66" s="39">
        <f t="shared" ref="K66:K68" ca="1" si="73">D66/SUM($C66:$F66)</f>
        <v>0.16666666666666666</v>
      </c>
      <c r="L66" s="39">
        <f t="shared" ref="L66:L68" ca="1" si="74">E66/SUM($C66:$F66)</f>
        <v>0.5</v>
      </c>
      <c r="M66" s="39">
        <f t="shared" ref="M66:M68" ca="1" si="75">F66/SUM($C66:$F66)</f>
        <v>0.16666666666666666</v>
      </c>
      <c r="O66" s="147">
        <f ca="1">O65</f>
        <v>0.48571428571428577</v>
      </c>
      <c r="P66" t="str">
        <f>I66</f>
        <v>EPA</v>
      </c>
      <c r="Q66" s="122">
        <f ca="1">INDEX(J$60:J$78,MATCH($O66,$H$60:$H$78,0)+1)</f>
        <v>0.5</v>
      </c>
      <c r="R66" s="122">
        <f t="shared" ref="R66" ca="1" si="76">INDEX(K$60:K$78,MATCH($O66,$H$60:$H$78,0)+1)</f>
        <v>0.16666666666666666</v>
      </c>
      <c r="S66" s="122">
        <f t="shared" ref="S66" ca="1" si="77">INDEX(L$60:L$78,MATCH($O66,$H$60:$H$78,0)+1)</f>
        <v>0.16666666666666666</v>
      </c>
      <c r="T66" s="122">
        <f t="shared" ref="T66" ca="1" si="78">INDEX(M$60:M$78,MATCH($O66,$H$60:$H$78,0)+1)</f>
        <v>0.16666666666666666</v>
      </c>
      <c r="W66" t="str">
        <f>$C$7</f>
        <v>Chemical</v>
      </c>
      <c r="X66">
        <f ca="1">OFFSET(Summary!AU$29,0,(ROW()-ROW($C$66))*11)</f>
        <v>0</v>
      </c>
      <c r="Y66">
        <f ca="1">OFFSET(Summary!AV$29,0,(ROW()-ROW($C$66))*11)</f>
        <v>4</v>
      </c>
      <c r="Z66">
        <f ca="1">OFFSET(Summary!AW$29,0,(ROW()-ROW($C$66))*11)</f>
        <v>9</v>
      </c>
      <c r="AA66">
        <f ca="1">OFFSET(Summary!AX$29,0,(ROW()-ROW($C$66))*11)</f>
        <v>5</v>
      </c>
      <c r="AD66" t="str">
        <f>W66</f>
        <v>Chemical</v>
      </c>
      <c r="AE66" s="39">
        <f t="shared" ref="AE66:AH68" ca="1" si="79">X66/SUM($X66:$AA66)</f>
        <v>0</v>
      </c>
      <c r="AF66" s="39">
        <f t="shared" ca="1" si="79"/>
        <v>0.22222222222222221</v>
      </c>
      <c r="AG66" s="39">
        <f t="shared" ca="1" si="79"/>
        <v>0.5</v>
      </c>
      <c r="AH66" s="39">
        <f t="shared" ca="1" si="79"/>
        <v>0.27777777777777779</v>
      </c>
      <c r="AJ66" s="149">
        <f ca="1">AJ65</f>
        <v>0.47195767195767191</v>
      </c>
      <c r="AK66" t="str">
        <f>AD66</f>
        <v>Chemical</v>
      </c>
      <c r="AL66" s="122">
        <f ca="1">INDEX(AE$60:AE$78,MATCH($AJ66,$AC$60:$AC$78,0)+1)</f>
        <v>0.44444444444444442</v>
      </c>
      <c r="AM66" s="122">
        <f ca="1">INDEX(AF$60:AF$78,MATCH($AJ66,$AC$60:$AC$78,0)+1)</f>
        <v>0.27777777777777779</v>
      </c>
      <c r="AN66" s="122">
        <f ca="1">INDEX(AG$60:AG$78,MATCH($AJ66,$AC$60:$AC$78,0)+1)</f>
        <v>0.22222222222222221</v>
      </c>
      <c r="AO66" s="122">
        <f ca="1">INDEX(AH$60:AH$78,MATCH($AJ66,$AC$60:$AC$78,0)+1)</f>
        <v>5.5555555555555552E-2</v>
      </c>
    </row>
    <row r="67" spans="1:41" x14ac:dyDescent="0.25">
      <c r="B67" t="str">
        <f>$D$2</f>
        <v>Non-EPA</v>
      </c>
      <c r="C67">
        <f ca="1">OFFSET(Summary!N$29,0,(ROW()-ROW($C$66))*11)</f>
        <v>1</v>
      </c>
      <c r="D67">
        <f ca="1">OFFSET(Summary!O$29,0,(ROW()-ROW($C$66))*11)</f>
        <v>5</v>
      </c>
      <c r="E67">
        <f ca="1">OFFSET(Summary!P$29,0,(ROW()-ROW($C$66))*11)</f>
        <v>6</v>
      </c>
      <c r="F67">
        <f ca="1">OFFSET(Summary!Q$29,0,(ROW()-ROW($C$66))*11)</f>
        <v>2</v>
      </c>
      <c r="I67" t="str">
        <f>B67</f>
        <v>Non-EPA</v>
      </c>
      <c r="J67" s="39">
        <f ca="1">C67/SUM($C67:$F67)</f>
        <v>7.1428571428571425E-2</v>
      </c>
      <c r="K67" s="39">
        <f t="shared" ca="1" si="73"/>
        <v>0.35714285714285715</v>
      </c>
      <c r="L67" s="39">
        <f t="shared" ca="1" si="74"/>
        <v>0.42857142857142855</v>
      </c>
      <c r="M67" s="39">
        <f t="shared" ca="1" si="75"/>
        <v>0.14285714285714285</v>
      </c>
      <c r="O67" s="147">
        <f ca="1">O66</f>
        <v>0.48571428571428577</v>
      </c>
      <c r="P67" t="str">
        <f>I67</f>
        <v>Non-EPA</v>
      </c>
      <c r="Q67" s="122">
        <f ca="1">INDEX(J$60:J$78,MATCH($O67,$H$60:$H$78,0)+2)</f>
        <v>0.35714285714285715</v>
      </c>
      <c r="R67" s="122">
        <f t="shared" ref="R67" ca="1" si="80">INDEX(K$60:K$78,MATCH($O67,$H$60:$H$78,0)+2)</f>
        <v>0.21428571428571427</v>
      </c>
      <c r="S67" s="122">
        <f t="shared" ref="S67" ca="1" si="81">INDEX(L$60:L$78,MATCH($O67,$H$60:$H$78,0)+2)</f>
        <v>0.2857142857142857</v>
      </c>
      <c r="T67" s="122">
        <f t="shared" ref="T67" ca="1" si="82">INDEX(M$60:M$78,MATCH($O67,$H$60:$H$78,0)+2)</f>
        <v>0.14285714285714285</v>
      </c>
      <c r="W67" t="str">
        <f>$D$7</f>
        <v>Human Factors</v>
      </c>
      <c r="X67">
        <f ca="1">OFFSET(Summary!AU$29,0,(ROW()-ROW($C$66))*11)</f>
        <v>2</v>
      </c>
      <c r="Y67">
        <f ca="1">OFFSET(Summary!AV$29,0,(ROW()-ROW($C$66))*11)</f>
        <v>2</v>
      </c>
      <c r="Z67">
        <f ca="1">OFFSET(Summary!AW$29,0,(ROW()-ROW($C$66))*11)</f>
        <v>0</v>
      </c>
      <c r="AA67">
        <f ca="1">OFFSET(Summary!AX$29,0,(ROW()-ROW($C$66))*11)</f>
        <v>1</v>
      </c>
      <c r="AD67" t="str">
        <f>W67</f>
        <v>Human Factors</v>
      </c>
      <c r="AE67" s="39">
        <f t="shared" ca="1" si="79"/>
        <v>0.4</v>
      </c>
      <c r="AF67" s="39">
        <f t="shared" ca="1" si="79"/>
        <v>0.4</v>
      </c>
      <c r="AG67" s="39">
        <f t="shared" ca="1" si="79"/>
        <v>0</v>
      </c>
      <c r="AH67" s="39">
        <f t="shared" ca="1" si="79"/>
        <v>0.2</v>
      </c>
      <c r="AJ67" s="149">
        <f ca="1">AJ66</f>
        <v>0.47195767195767191</v>
      </c>
      <c r="AK67" t="str">
        <f>AD67</f>
        <v>Human Factors</v>
      </c>
      <c r="AL67" s="122">
        <f ca="1">INDEX(AE$60:AE$78,MATCH($AJ67,$AC$60:$AC$78,0)+2)</f>
        <v>0.4</v>
      </c>
      <c r="AM67" s="122">
        <f ca="1">INDEX(AF$60:AF$78,MATCH($AJ67,$AC$60:$AC$78,0)+2)</f>
        <v>0</v>
      </c>
      <c r="AN67" s="122">
        <f ca="1">INDEX(AG$60:AG$78,MATCH($AJ67,$AC$60:$AC$78,0)+2)</f>
        <v>0.4</v>
      </c>
      <c r="AO67" s="122">
        <f ca="1">INDEX(AH$60:AH$78,MATCH($AJ67,$AC$60:$AC$78,0)+2)</f>
        <v>0.2</v>
      </c>
    </row>
    <row r="68" spans="1:41" x14ac:dyDescent="0.25">
      <c r="B68" t="str">
        <f>$E$2</f>
        <v>Unk-EPA</v>
      </c>
      <c r="C68">
        <f ca="1">OFFSET(Summary!N$29,0,(ROW()-ROW($C$66))*11)</f>
        <v>0</v>
      </c>
      <c r="D68">
        <f ca="1">OFFSET(Summary!O$29,0,(ROW()-ROW($C$66))*11)</f>
        <v>3</v>
      </c>
      <c r="E68">
        <f ca="1">OFFSET(Summary!P$29,0,(ROW()-ROW($C$66))*11)</f>
        <v>4</v>
      </c>
      <c r="F68">
        <f ca="1">OFFSET(Summary!Q$29,0,(ROW()-ROW($C$66))*11)</f>
        <v>3</v>
      </c>
      <c r="I68" t="str">
        <f>B68</f>
        <v>Unk-EPA</v>
      </c>
      <c r="J68" s="39">
        <f ca="1">C68/SUM($C68:$F68)</f>
        <v>0</v>
      </c>
      <c r="K68" s="39">
        <f t="shared" ca="1" si="73"/>
        <v>0.3</v>
      </c>
      <c r="L68" s="39">
        <f t="shared" ca="1" si="74"/>
        <v>0.4</v>
      </c>
      <c r="M68" s="39">
        <f t="shared" ca="1" si="75"/>
        <v>0.3</v>
      </c>
      <c r="O68" s="147">
        <f ca="1">O67</f>
        <v>0.48571428571428577</v>
      </c>
      <c r="P68" t="str">
        <f>I68</f>
        <v>Unk-EPA</v>
      </c>
      <c r="Q68" s="122">
        <f ca="1">INDEX(J$60:J$78,MATCH($O68,$H$60:$H$78,0)+3)</f>
        <v>0.6</v>
      </c>
      <c r="R68" s="122">
        <f t="shared" ref="R68" ca="1" si="83">INDEX(K$60:K$78,MATCH($O68,$H$60:$H$78,0)+3)</f>
        <v>0.1</v>
      </c>
      <c r="S68" s="122">
        <f t="shared" ref="S68" ca="1" si="84">INDEX(L$60:L$78,MATCH($O68,$H$60:$H$78,0)+3)</f>
        <v>0.2</v>
      </c>
      <c r="T68" s="122">
        <f t="shared" ref="T68" ca="1" si="85">INDEX(M$60:M$78,MATCH($O68,$H$60:$H$78,0)+3)</f>
        <v>0.1</v>
      </c>
      <c r="W68" t="str">
        <f>$E$7</f>
        <v>Other</v>
      </c>
      <c r="X68">
        <f ca="1">OFFSET(Summary!AU$29,0,(ROW()-ROW($C$66))*11)</f>
        <v>0</v>
      </c>
      <c r="Y68">
        <f ca="1">OFFSET(Summary!AV$29,0,(ROW()-ROW($C$66))*11)</f>
        <v>3</v>
      </c>
      <c r="Z68">
        <f ca="1">OFFSET(Summary!AW$29,0,(ROW()-ROW($C$66))*11)</f>
        <v>4</v>
      </c>
      <c r="AA68">
        <f ca="1">OFFSET(Summary!AX$29,0,(ROW()-ROW($C$66))*11)</f>
        <v>0</v>
      </c>
      <c r="AD68" t="str">
        <f>W68</f>
        <v>Other</v>
      </c>
      <c r="AE68" s="39">
        <f t="shared" ca="1" si="79"/>
        <v>0</v>
      </c>
      <c r="AF68" s="39">
        <f t="shared" ca="1" si="79"/>
        <v>0.42857142857142855</v>
      </c>
      <c r="AG68" s="39">
        <f t="shared" ca="1" si="79"/>
        <v>0.5714285714285714</v>
      </c>
      <c r="AH68" s="39">
        <f t="shared" ca="1" si="79"/>
        <v>0</v>
      </c>
      <c r="AJ68" s="149">
        <f ca="1">AJ67</f>
        <v>0.47195767195767191</v>
      </c>
      <c r="AK68" t="str">
        <f>AD68</f>
        <v>Other</v>
      </c>
      <c r="AL68" s="122">
        <f ca="1">INDEX(AE$60:AE$78,MATCH($AJ68,$AC$60:$AC$78,0)+3)</f>
        <v>0.5714285714285714</v>
      </c>
      <c r="AM68" s="122">
        <f ca="1">INDEX(AF$60:AF$78,MATCH($AJ68,$AC$60:$AC$78,0)+3)</f>
        <v>0</v>
      </c>
      <c r="AN68" s="122">
        <f ca="1">INDEX(AG$60:AG$78,MATCH($AJ68,$AC$60:$AC$78,0)+3)</f>
        <v>0.14285714285714285</v>
      </c>
      <c r="AO68" s="122">
        <f ca="1">INDEX(AH$60:AH$78,MATCH($AJ68,$AC$60:$AC$78,0)+3)</f>
        <v>0.2857142857142857</v>
      </c>
    </row>
    <row r="69" spans="1:41" x14ac:dyDescent="0.25">
      <c r="O69" s="146"/>
      <c r="AJ69" s="150"/>
    </row>
    <row r="70" spans="1:41" x14ac:dyDescent="0.25">
      <c r="B70" t="str">
        <f>$E$6</f>
        <v>Activity</v>
      </c>
      <c r="C70" t="str">
        <f>$C$3</f>
        <v>1st Rank</v>
      </c>
      <c r="D70" t="str">
        <f>$D$3</f>
        <v>2nd Rank</v>
      </c>
      <c r="E70" t="str">
        <f>$E$3</f>
        <v>3rd Rank</v>
      </c>
      <c r="F70" t="str">
        <f>$F$3</f>
        <v>4th Rank</v>
      </c>
      <c r="H70" s="141">
        <f ca="1">AVERAGE(J71:J73)</f>
        <v>0.53333333333333333</v>
      </c>
      <c r="I70" t="str">
        <f>B70</f>
        <v>Activity</v>
      </c>
      <c r="J70" t="str">
        <f>C70</f>
        <v>1st Rank</v>
      </c>
      <c r="K70" t="str">
        <f>D70</f>
        <v>2nd Rank</v>
      </c>
      <c r="L70" t="str">
        <f>E70</f>
        <v>3rd Rank</v>
      </c>
      <c r="M70" t="str">
        <f>F70</f>
        <v>4th Rank</v>
      </c>
      <c r="O70" s="145">
        <f ca="1">LARGE($H$60:$H$78,3)</f>
        <v>0.12380952380952381</v>
      </c>
      <c r="P70" t="str">
        <f ca="1">INDEX($I$60:$I$79,MATCH(O70,$H$60:$H$79,0))</f>
        <v>Subject</v>
      </c>
      <c r="Q70" t="str">
        <f>J70</f>
        <v>1st Rank</v>
      </c>
      <c r="R70" t="str">
        <f>K70</f>
        <v>2nd Rank</v>
      </c>
      <c r="S70" t="str">
        <f>L70</f>
        <v>3rd Rank</v>
      </c>
      <c r="T70" t="str">
        <f>M70</f>
        <v>4th Rank</v>
      </c>
      <c r="W70" t="str">
        <f>$E$6</f>
        <v>Activity</v>
      </c>
      <c r="X70" t="str">
        <f>$C$3</f>
        <v>1st Rank</v>
      </c>
      <c r="Y70" t="str">
        <f>$D$3</f>
        <v>2nd Rank</v>
      </c>
      <c r="Z70" t="str">
        <f>$E$3</f>
        <v>3rd Rank</v>
      </c>
      <c r="AA70" t="str">
        <f>$F$3</f>
        <v>4th Rank</v>
      </c>
      <c r="AC70" s="141">
        <f ca="1">AVERAGE(AE71:AE73)</f>
        <v>0.47989417989417987</v>
      </c>
      <c r="AD70" t="str">
        <f>W70</f>
        <v>Activity</v>
      </c>
      <c r="AE70" t="str">
        <f>X70</f>
        <v>1st Rank</v>
      </c>
      <c r="AF70" t="str">
        <f>Y70</f>
        <v>2nd Rank</v>
      </c>
      <c r="AG70" t="str">
        <f>Z70</f>
        <v>3rd Rank</v>
      </c>
      <c r="AH70" t="str">
        <f>AA70</f>
        <v>4th Rank</v>
      </c>
      <c r="AJ70" s="148">
        <f ca="1">LARGE($AC$60:$AC$78,3)</f>
        <v>0.13333333333333333</v>
      </c>
      <c r="AK70" t="str">
        <f ca="1">INDEX($AD$60:$AD$78,MATCH(AJ70,$AC$60:$AC$78,0))</f>
        <v>Environment</v>
      </c>
      <c r="AL70" t="str">
        <f>AE70</f>
        <v>1st Rank</v>
      </c>
      <c r="AM70" t="str">
        <f>AF70</f>
        <v>2nd Rank</v>
      </c>
      <c r="AN70" t="str">
        <f>AG70</f>
        <v>3rd Rank</v>
      </c>
      <c r="AO70" t="str">
        <f>AH70</f>
        <v>4th Rank</v>
      </c>
    </row>
    <row r="71" spans="1:41" x14ac:dyDescent="0.25">
      <c r="B71" t="str">
        <f>$C$2</f>
        <v>EPA</v>
      </c>
      <c r="C71">
        <f ca="1">OFFSET(Summary!N$30,0,(ROW()-ROW($C$71))*11)</f>
        <v>3</v>
      </c>
      <c r="D71">
        <f ca="1">OFFSET(Summary!O$30,0,(ROW()-ROW($C$71))*11)</f>
        <v>1</v>
      </c>
      <c r="E71">
        <f ca="1">OFFSET(Summary!P$30,0,(ROW()-ROW($C$71))*11)</f>
        <v>2</v>
      </c>
      <c r="F71">
        <f ca="1">OFFSET(Summary!Q$30,0,(ROW()-ROW($C$71))*11)</f>
        <v>0</v>
      </c>
      <c r="I71" t="str">
        <f>B71</f>
        <v>EPA</v>
      </c>
      <c r="J71" s="39">
        <f ca="1">C71/SUM($C71:$F71)</f>
        <v>0.5</v>
      </c>
      <c r="K71" s="39">
        <f t="shared" ref="K71:K73" ca="1" si="86">D71/SUM($C71:$F71)</f>
        <v>0.16666666666666666</v>
      </c>
      <c r="L71" s="39">
        <f t="shared" ref="L71:L73" ca="1" si="87">E71/SUM($C71:$F71)</f>
        <v>0.33333333333333331</v>
      </c>
      <c r="M71" s="39">
        <f t="shared" ref="M71:M73" ca="1" si="88">F71/SUM($C71:$F71)</f>
        <v>0</v>
      </c>
      <c r="O71" s="147">
        <f ca="1">O70</f>
        <v>0.12380952380952381</v>
      </c>
      <c r="P71" t="str">
        <f>I71</f>
        <v>EPA</v>
      </c>
      <c r="Q71" s="122">
        <f ca="1">INDEX(J$60:J$78,MATCH($O71,$H$60:$H$78,0)+1)</f>
        <v>0</v>
      </c>
      <c r="R71" s="122">
        <f t="shared" ref="R71" ca="1" si="89">INDEX(K$60:K$78,MATCH($O71,$H$60:$H$78,0)+1)</f>
        <v>0.33333333333333331</v>
      </c>
      <c r="S71" s="122">
        <f t="shared" ref="S71" ca="1" si="90">INDEX(L$60:L$78,MATCH($O71,$H$60:$H$78,0)+1)</f>
        <v>0.16666666666666666</v>
      </c>
      <c r="T71" s="122">
        <f t="shared" ref="T71" ca="1" si="91">INDEX(M$60:M$78,MATCH($O71,$H$60:$H$78,0)+1)</f>
        <v>0.5</v>
      </c>
      <c r="W71" t="str">
        <f>$C$7</f>
        <v>Chemical</v>
      </c>
      <c r="X71">
        <f ca="1">OFFSET(Summary!AU$30,0,(ROW()-ROW($C$71))*11)</f>
        <v>11</v>
      </c>
      <c r="Y71">
        <f ca="1">OFFSET(Summary!AV$30,0,(ROW()-ROW($C$71))*11)</f>
        <v>5</v>
      </c>
      <c r="Z71">
        <f ca="1">OFFSET(Summary!AW$30,0,(ROW()-ROW($C$71))*11)</f>
        <v>1</v>
      </c>
      <c r="AA71">
        <f ca="1">OFFSET(Summary!AX$30,0,(ROW()-ROW($C$71))*11)</f>
        <v>1</v>
      </c>
      <c r="AD71" t="str">
        <f>W71</f>
        <v>Chemical</v>
      </c>
      <c r="AE71" s="39">
        <f t="shared" ref="AE71:AH73" ca="1" si="92">X71/SUM($X71:$AA71)</f>
        <v>0.61111111111111116</v>
      </c>
      <c r="AF71" s="39">
        <f t="shared" ca="1" si="92"/>
        <v>0.27777777777777779</v>
      </c>
      <c r="AG71" s="39">
        <f t="shared" ca="1" si="92"/>
        <v>5.5555555555555552E-2</v>
      </c>
      <c r="AH71" s="39">
        <f t="shared" ca="1" si="92"/>
        <v>5.5555555555555552E-2</v>
      </c>
      <c r="AJ71" s="149">
        <f ca="1">AJ70</f>
        <v>0.13333333333333333</v>
      </c>
      <c r="AK71" t="str">
        <f>AD71</f>
        <v>Chemical</v>
      </c>
      <c r="AL71" s="122">
        <f ca="1">INDEX(AE$60:AE$78,MATCH($AJ71,$AC$60:$AC$78,0)+1)</f>
        <v>0</v>
      </c>
      <c r="AM71" s="122">
        <f ca="1">INDEX(AF$60:AF$78,MATCH($AJ71,$AC$60:$AC$78,0)+1)</f>
        <v>0.22222222222222221</v>
      </c>
      <c r="AN71" s="122">
        <f ca="1">INDEX(AG$60:AG$78,MATCH($AJ71,$AC$60:$AC$78,0)+1)</f>
        <v>0.5</v>
      </c>
      <c r="AO71" s="122">
        <f ca="1">INDEX(AH$60:AH$78,MATCH($AJ71,$AC$60:$AC$78,0)+1)</f>
        <v>0.27777777777777779</v>
      </c>
    </row>
    <row r="72" spans="1:41" x14ac:dyDescent="0.25">
      <c r="B72" t="str">
        <f>$D$2</f>
        <v>Non-EPA</v>
      </c>
      <c r="C72">
        <f ca="1">OFFSET(Summary!N$30,0,(ROW()-ROW($C$71))*11)</f>
        <v>7</v>
      </c>
      <c r="D72">
        <f ca="1">OFFSET(Summary!O$30,0,(ROW()-ROW($C$71))*11)</f>
        <v>4</v>
      </c>
      <c r="E72">
        <f ca="1">OFFSET(Summary!P$30,0,(ROW()-ROW($C$71))*11)</f>
        <v>1</v>
      </c>
      <c r="F72">
        <f ca="1">OFFSET(Summary!Q$30,0,(ROW()-ROW($C$71))*11)</f>
        <v>2</v>
      </c>
      <c r="I72" t="str">
        <f>B72</f>
        <v>Non-EPA</v>
      </c>
      <c r="J72" s="39">
        <f ca="1">C72/SUM($C72:$F72)</f>
        <v>0.5</v>
      </c>
      <c r="K72" s="39">
        <f t="shared" ca="1" si="86"/>
        <v>0.2857142857142857</v>
      </c>
      <c r="L72" s="39">
        <f t="shared" ca="1" si="87"/>
        <v>7.1428571428571425E-2</v>
      </c>
      <c r="M72" s="39">
        <f t="shared" ca="1" si="88"/>
        <v>0.14285714285714285</v>
      </c>
      <c r="O72" s="147">
        <f ca="1">O71</f>
        <v>0.12380952380952381</v>
      </c>
      <c r="P72" t="str">
        <f>I72</f>
        <v>Non-EPA</v>
      </c>
      <c r="Q72" s="122">
        <f ca="1">INDEX(J$60:J$78,MATCH($O72,$H$60:$H$78,0)+2)</f>
        <v>7.1428571428571425E-2</v>
      </c>
      <c r="R72" s="122">
        <f t="shared" ref="R72" ca="1" si="93">INDEX(K$60:K$78,MATCH($O72,$H$60:$H$78,0)+2)</f>
        <v>0.14285714285714285</v>
      </c>
      <c r="S72" s="122">
        <f t="shared" ref="S72" ca="1" si="94">INDEX(L$60:L$78,MATCH($O72,$H$60:$H$78,0)+2)</f>
        <v>0.35714285714285715</v>
      </c>
      <c r="T72" s="122">
        <f t="shared" ref="T72" ca="1" si="95">INDEX(M$60:M$78,MATCH($O72,$H$60:$H$78,0)+2)</f>
        <v>0.42857142857142855</v>
      </c>
      <c r="W72" t="str">
        <f>$D$7</f>
        <v>Human Factors</v>
      </c>
      <c r="X72">
        <f ca="1">OFFSET(Summary!AU$30,0,(ROW()-ROW($C$71))*11)</f>
        <v>2</v>
      </c>
      <c r="Y72">
        <f ca="1">OFFSET(Summary!AV$30,0,(ROW()-ROW($C$71))*11)</f>
        <v>1</v>
      </c>
      <c r="Z72">
        <f ca="1">OFFSET(Summary!AW$30,0,(ROW()-ROW($C$71))*11)</f>
        <v>2</v>
      </c>
      <c r="AA72">
        <f ca="1">OFFSET(Summary!AX$30,0,(ROW()-ROW($C$71))*11)</f>
        <v>0</v>
      </c>
      <c r="AD72" t="str">
        <f>W72</f>
        <v>Human Factors</v>
      </c>
      <c r="AE72" s="39">
        <f t="shared" ca="1" si="92"/>
        <v>0.4</v>
      </c>
      <c r="AF72" s="39">
        <f t="shared" ca="1" si="92"/>
        <v>0.2</v>
      </c>
      <c r="AG72" s="39">
        <f t="shared" ca="1" si="92"/>
        <v>0.4</v>
      </c>
      <c r="AH72" s="39">
        <f t="shared" ca="1" si="92"/>
        <v>0</v>
      </c>
      <c r="AJ72" s="149">
        <f ca="1">AJ71</f>
        <v>0.13333333333333333</v>
      </c>
      <c r="AK72" t="str">
        <f>AD72</f>
        <v>Human Factors</v>
      </c>
      <c r="AL72" s="122">
        <f ca="1">INDEX(AE$60:AE$78,MATCH($AJ72,$AC$60:$AC$78,0)+2)</f>
        <v>0.4</v>
      </c>
      <c r="AM72" s="122">
        <f ca="1">INDEX(AF$60:AF$78,MATCH($AJ72,$AC$60:$AC$78,0)+2)</f>
        <v>0.4</v>
      </c>
      <c r="AN72" s="122">
        <f ca="1">INDEX(AG$60:AG$78,MATCH($AJ72,$AC$60:$AC$78,0)+2)</f>
        <v>0</v>
      </c>
      <c r="AO72" s="122">
        <f ca="1">INDEX(AH$60:AH$78,MATCH($AJ72,$AC$60:$AC$78,0)+2)</f>
        <v>0.2</v>
      </c>
    </row>
    <row r="73" spans="1:41" x14ac:dyDescent="0.25">
      <c r="B73" t="str">
        <f>$E$2</f>
        <v>Unk-EPA</v>
      </c>
      <c r="C73">
        <f ca="1">OFFSET(Summary!N$30,0,(ROW()-ROW($C$71))*11)</f>
        <v>6</v>
      </c>
      <c r="D73">
        <f ca="1">OFFSET(Summary!O$30,0,(ROW()-ROW($C$71))*11)</f>
        <v>3</v>
      </c>
      <c r="E73">
        <f ca="1">OFFSET(Summary!P$30,0,(ROW()-ROW($C$71))*11)</f>
        <v>1</v>
      </c>
      <c r="F73">
        <f ca="1">OFFSET(Summary!Q$30,0,(ROW()-ROW($C$71))*11)</f>
        <v>0</v>
      </c>
      <c r="I73" t="str">
        <f>B73</f>
        <v>Unk-EPA</v>
      </c>
      <c r="J73" s="39">
        <f ca="1">C73/SUM($C73:$F73)</f>
        <v>0.6</v>
      </c>
      <c r="K73" s="39">
        <f t="shared" ca="1" si="86"/>
        <v>0.3</v>
      </c>
      <c r="L73" s="39">
        <f t="shared" ca="1" si="87"/>
        <v>0.1</v>
      </c>
      <c r="M73" s="39">
        <f t="shared" ca="1" si="88"/>
        <v>0</v>
      </c>
      <c r="O73" s="147">
        <f ca="1">O72</f>
        <v>0.12380952380952381</v>
      </c>
      <c r="P73" t="str">
        <f>I73</f>
        <v>Unk-EPA</v>
      </c>
      <c r="Q73" s="122">
        <f ca="1">INDEX(J$60:J$78,MATCH($O73,$H$60:$H$78,0)+3)</f>
        <v>0.3</v>
      </c>
      <c r="R73" s="122">
        <f t="shared" ref="R73" ca="1" si="96">INDEX(K$60:K$78,MATCH($O73,$H$60:$H$78,0)+3)</f>
        <v>0.2</v>
      </c>
      <c r="S73" s="122">
        <f t="shared" ref="S73" ca="1" si="97">INDEX(L$60:L$78,MATCH($O73,$H$60:$H$78,0)+3)</f>
        <v>0.3</v>
      </c>
      <c r="T73" s="122">
        <f t="shared" ref="T73" ca="1" si="98">INDEX(M$60:M$78,MATCH($O73,$H$60:$H$78,0)+3)</f>
        <v>0.2</v>
      </c>
      <c r="W73" t="str">
        <f>$E$7</f>
        <v>Other</v>
      </c>
      <c r="X73">
        <f ca="1">OFFSET(Summary!AU$30,0,(ROW()-ROW($C$71))*11)</f>
        <v>3</v>
      </c>
      <c r="Y73">
        <f ca="1">OFFSET(Summary!AV$30,0,(ROW()-ROW($C$71))*11)</f>
        <v>2</v>
      </c>
      <c r="Z73">
        <f ca="1">OFFSET(Summary!AW$30,0,(ROW()-ROW($C$71))*11)</f>
        <v>1</v>
      </c>
      <c r="AA73">
        <f ca="1">OFFSET(Summary!AX$30,0,(ROW()-ROW($C$71))*11)</f>
        <v>1</v>
      </c>
      <c r="AD73" t="str">
        <f>W73</f>
        <v>Other</v>
      </c>
      <c r="AE73" s="39">
        <f t="shared" ca="1" si="92"/>
        <v>0.42857142857142855</v>
      </c>
      <c r="AF73" s="39">
        <f t="shared" ca="1" si="92"/>
        <v>0.2857142857142857</v>
      </c>
      <c r="AG73" s="39">
        <f t="shared" ca="1" si="92"/>
        <v>0.14285714285714285</v>
      </c>
      <c r="AH73" s="39">
        <f t="shared" ca="1" si="92"/>
        <v>0.14285714285714285</v>
      </c>
      <c r="AJ73" s="149">
        <f ca="1">AJ72</f>
        <v>0.13333333333333333</v>
      </c>
      <c r="AK73" t="str">
        <f>AD73</f>
        <v>Other</v>
      </c>
      <c r="AL73" s="122">
        <f ca="1">INDEX(AE$60:AE$78,MATCH($AJ73,$AC$60:$AC$78,0)+3)</f>
        <v>0</v>
      </c>
      <c r="AM73" s="122">
        <f ca="1">INDEX(AF$60:AF$78,MATCH($AJ73,$AC$60:$AC$78,0)+3)</f>
        <v>0.42857142857142855</v>
      </c>
      <c r="AN73" s="122">
        <f ca="1">INDEX(AG$60:AG$78,MATCH($AJ73,$AC$60:$AC$78,0)+3)</f>
        <v>0.5714285714285714</v>
      </c>
      <c r="AO73" s="122">
        <f ca="1">INDEX(AH$60:AH$78,MATCH($AJ73,$AC$60:$AC$78,0)+3)</f>
        <v>0</v>
      </c>
    </row>
    <row r="74" spans="1:41" x14ac:dyDescent="0.25">
      <c r="O74" s="146"/>
      <c r="AJ74" s="150"/>
    </row>
    <row r="75" spans="1:41" x14ac:dyDescent="0.25">
      <c r="B75" t="str">
        <f>$F$6</f>
        <v>Ubiquity</v>
      </c>
      <c r="C75" t="str">
        <f>$C$3</f>
        <v>1st Rank</v>
      </c>
      <c r="D75" t="str">
        <f>$D$3</f>
        <v>2nd Rank</v>
      </c>
      <c r="E75" t="str">
        <f>$E$3</f>
        <v>3rd Rank</v>
      </c>
      <c r="F75" t="str">
        <f>$F$3</f>
        <v>4th Rank</v>
      </c>
      <c r="H75" s="141">
        <f ca="1">AVERAGE(J76:J78)</f>
        <v>0.48571428571428577</v>
      </c>
      <c r="I75" t="str">
        <f>B75</f>
        <v>Ubiquity</v>
      </c>
      <c r="J75" t="str">
        <f>C75</f>
        <v>1st Rank</v>
      </c>
      <c r="K75" t="str">
        <f>D75</f>
        <v>2nd Rank</v>
      </c>
      <c r="L75" t="str">
        <f>E75</f>
        <v>3rd Rank</v>
      </c>
      <c r="M75" t="str">
        <f>F75</f>
        <v>4th Rank</v>
      </c>
      <c r="O75" s="145">
        <f ca="1">LARGE($H$60:$H$78,4)</f>
        <v>7.9365079365079361E-2</v>
      </c>
      <c r="P75" t="str">
        <f ca="1">INDEX($I$60:$I$79,MATCH(O75,$H$60:$H$79,0))</f>
        <v>Environment</v>
      </c>
      <c r="Q75" t="str">
        <f>J75</f>
        <v>1st Rank</v>
      </c>
      <c r="R75" t="str">
        <f>K75</f>
        <v>2nd Rank</v>
      </c>
      <c r="S75" t="str">
        <f>L75</f>
        <v>3rd Rank</v>
      </c>
      <c r="T75" t="str">
        <f>M75</f>
        <v>4th Rank</v>
      </c>
      <c r="W75" t="str">
        <f>$F$6</f>
        <v>Ubiquity</v>
      </c>
      <c r="X75" t="str">
        <f>$C$3</f>
        <v>1st Rank</v>
      </c>
      <c r="Y75" t="str">
        <f>$D$3</f>
        <v>2nd Rank</v>
      </c>
      <c r="Z75" t="str">
        <f>$E$3</f>
        <v>3rd Rank</v>
      </c>
      <c r="AA75" t="str">
        <f>$F$3</f>
        <v>4th Rank</v>
      </c>
      <c r="AC75" s="141">
        <f ca="1">AVERAGE(AE76:AE78)</f>
        <v>0.47195767195767191</v>
      </c>
      <c r="AD75" t="str">
        <f>W75</f>
        <v>Ubiquity</v>
      </c>
      <c r="AE75" t="str">
        <f>X75</f>
        <v>1st Rank</v>
      </c>
      <c r="AF75" t="str">
        <f>Y75</f>
        <v>2nd Rank</v>
      </c>
      <c r="AG75" t="str">
        <f>Z75</f>
        <v>3rd Rank</v>
      </c>
      <c r="AH75" t="str">
        <f>AA75</f>
        <v>4th Rank</v>
      </c>
      <c r="AJ75" s="148">
        <f ca="1">LARGE($AC$60:$AC$78,4)</f>
        <v>7.407407407407407E-2</v>
      </c>
      <c r="AK75" t="str">
        <f ca="1">INDEX($AD$60:$AD$78,MATCH(AJ75,$AC$60:$AC$78,0))</f>
        <v>Subject</v>
      </c>
      <c r="AL75" t="str">
        <f>AE75</f>
        <v>1st Rank</v>
      </c>
      <c r="AM75" t="str">
        <f>AF75</f>
        <v>2nd Rank</v>
      </c>
      <c r="AN75" t="str">
        <f>AG75</f>
        <v>3rd Rank</v>
      </c>
      <c r="AO75" t="str">
        <f>AH75</f>
        <v>4th Rank</v>
      </c>
    </row>
    <row r="76" spans="1:41" x14ac:dyDescent="0.25">
      <c r="B76" t="str">
        <f>$C$2</f>
        <v>EPA</v>
      </c>
      <c r="C76">
        <f ca="1">OFFSET(Summary!N$31,0,(ROW()-ROW($C$76))*11)</f>
        <v>3</v>
      </c>
      <c r="D76">
        <f ca="1">OFFSET(Summary!O$31,0,(ROW()-ROW($C$76))*11)</f>
        <v>1</v>
      </c>
      <c r="E76">
        <f ca="1">OFFSET(Summary!P$31,0,(ROW()-ROW($C$76))*11)</f>
        <v>1</v>
      </c>
      <c r="F76">
        <f ca="1">OFFSET(Summary!Q$31,0,(ROW()-ROW($C$76))*11)</f>
        <v>1</v>
      </c>
      <c r="I76" t="str">
        <f>B76</f>
        <v>EPA</v>
      </c>
      <c r="J76" s="39">
        <f ca="1">C76/SUM($C76:$F76)</f>
        <v>0.5</v>
      </c>
      <c r="K76" s="39">
        <f t="shared" ref="K76:K78" ca="1" si="99">D76/SUM($C76:$F76)</f>
        <v>0.16666666666666666</v>
      </c>
      <c r="L76" s="39">
        <f t="shared" ref="L76:L78" ca="1" si="100">E76/SUM($C76:$F76)</f>
        <v>0.16666666666666666</v>
      </c>
      <c r="M76" s="39">
        <f t="shared" ref="M76:M78" ca="1" si="101">F76/SUM($C76:$F76)</f>
        <v>0.16666666666666666</v>
      </c>
      <c r="O76" s="147">
        <f ca="1">O75</f>
        <v>7.9365079365079361E-2</v>
      </c>
      <c r="P76" t="str">
        <f>I76</f>
        <v>EPA</v>
      </c>
      <c r="Q76" s="122">
        <f ca="1">INDEX(J$60:J$78,MATCH($O76,$H$60:$H$78,0)+1)</f>
        <v>0.16666666666666666</v>
      </c>
      <c r="R76" s="122">
        <f t="shared" ref="R76" ca="1" si="102">INDEX(K$60:K$78,MATCH($O76,$H$60:$H$78,0)+1)</f>
        <v>0.16666666666666666</v>
      </c>
      <c r="S76" s="122">
        <f t="shared" ref="S76" ca="1" si="103">INDEX(L$60:L$78,MATCH($O76,$H$60:$H$78,0)+1)</f>
        <v>0.5</v>
      </c>
      <c r="T76" s="122">
        <f t="shared" ref="T76" ca="1" si="104">INDEX(M$60:M$78,MATCH($O76,$H$60:$H$78,0)+1)</f>
        <v>0.16666666666666666</v>
      </c>
      <c r="W76" t="str">
        <f>$C$7</f>
        <v>Chemical</v>
      </c>
      <c r="X76">
        <f ca="1">OFFSET(Summary!AU$31,0,(ROW()-ROW($C$76))*11)</f>
        <v>8</v>
      </c>
      <c r="Y76">
        <f ca="1">OFFSET(Summary!AV$31,0,(ROW()-ROW($C$76))*11)</f>
        <v>5</v>
      </c>
      <c r="Z76">
        <f ca="1">OFFSET(Summary!AW$31,0,(ROW()-ROW($C$76))*11)</f>
        <v>4</v>
      </c>
      <c r="AA76">
        <f ca="1">OFFSET(Summary!AX$31,0,(ROW()-ROW($C$76))*11)</f>
        <v>1</v>
      </c>
      <c r="AD76" t="str">
        <f>W76</f>
        <v>Chemical</v>
      </c>
      <c r="AE76" s="39">
        <f t="shared" ref="AE76:AH78" ca="1" si="105">X76/SUM($X76:$AA76)</f>
        <v>0.44444444444444442</v>
      </c>
      <c r="AF76" s="39">
        <f t="shared" ca="1" si="105"/>
        <v>0.27777777777777779</v>
      </c>
      <c r="AG76" s="39">
        <f t="shared" ca="1" si="105"/>
        <v>0.22222222222222221</v>
      </c>
      <c r="AH76" s="39">
        <f t="shared" ca="1" si="105"/>
        <v>5.5555555555555552E-2</v>
      </c>
      <c r="AJ76" s="149">
        <f ca="1">AJ75</f>
        <v>7.407407407407407E-2</v>
      </c>
      <c r="AK76" t="str">
        <f>AD76</f>
        <v>Chemical</v>
      </c>
      <c r="AL76" s="122">
        <f ca="1">INDEX(AE$60:AE$78,MATCH($AJ76,$AC$60:$AC$78,0)+1)</f>
        <v>0.22222222222222221</v>
      </c>
      <c r="AM76" s="122">
        <f ca="1">INDEX(AF$60:AF$78,MATCH($AJ76,$AC$60:$AC$78,0)+1)</f>
        <v>0.1111111111111111</v>
      </c>
      <c r="AN76" s="122">
        <f ca="1">INDEX(AG$60:AG$78,MATCH($AJ76,$AC$60:$AC$78,0)+1)</f>
        <v>0.27777777777777779</v>
      </c>
      <c r="AO76" s="122">
        <f ca="1">INDEX(AH$60:AH$78,MATCH($AJ76,$AC$60:$AC$78,0)+1)</f>
        <v>0.3888888888888889</v>
      </c>
    </row>
    <row r="77" spans="1:41" x14ac:dyDescent="0.25">
      <c r="B77" t="str">
        <f>$D$2</f>
        <v>Non-EPA</v>
      </c>
      <c r="C77">
        <f ca="1">OFFSET(Summary!N$31,0,(ROW()-ROW($C$76))*11)</f>
        <v>5</v>
      </c>
      <c r="D77">
        <f ca="1">OFFSET(Summary!O$31,0,(ROW()-ROW($C$76))*11)</f>
        <v>3</v>
      </c>
      <c r="E77">
        <f ca="1">OFFSET(Summary!P$31,0,(ROW()-ROW($C$76))*11)</f>
        <v>4</v>
      </c>
      <c r="F77">
        <f ca="1">OFFSET(Summary!Q$31,0,(ROW()-ROW($C$76))*11)</f>
        <v>2</v>
      </c>
      <c r="I77" t="str">
        <f>B77</f>
        <v>Non-EPA</v>
      </c>
      <c r="J77" s="39">
        <f ca="1">C77/SUM($C77:$F77)</f>
        <v>0.35714285714285715</v>
      </c>
      <c r="K77" s="39">
        <f t="shared" ca="1" si="99"/>
        <v>0.21428571428571427</v>
      </c>
      <c r="L77" s="39">
        <f t="shared" ca="1" si="100"/>
        <v>0.2857142857142857</v>
      </c>
      <c r="M77" s="39">
        <f t="shared" ca="1" si="101"/>
        <v>0.14285714285714285</v>
      </c>
      <c r="O77" s="147">
        <f ca="1">O76</f>
        <v>7.9365079365079361E-2</v>
      </c>
      <c r="P77" t="str">
        <f>I77</f>
        <v>Non-EPA</v>
      </c>
      <c r="Q77" s="122">
        <f ca="1">INDEX(J$60:J$78,MATCH($O77,$H$60:$H$78,0)+2)</f>
        <v>7.1428571428571425E-2</v>
      </c>
      <c r="R77" s="122">
        <f t="shared" ref="R77" ca="1" si="106">INDEX(K$60:K$78,MATCH($O77,$H$60:$H$78,0)+2)</f>
        <v>0.35714285714285715</v>
      </c>
      <c r="S77" s="122">
        <f t="shared" ref="S77" ca="1" si="107">INDEX(L$60:L$78,MATCH($O77,$H$60:$H$78,0)+2)</f>
        <v>0.42857142857142855</v>
      </c>
      <c r="T77" s="122">
        <f t="shared" ref="T77" ca="1" si="108">INDEX(M$60:M$78,MATCH($O77,$H$60:$H$78,0)+2)</f>
        <v>0.14285714285714285</v>
      </c>
      <c r="W77" t="str">
        <f>$D$7</f>
        <v>Human Factors</v>
      </c>
      <c r="X77">
        <f ca="1">OFFSET(Summary!AU$31,0,(ROW()-ROW($C$76))*11)</f>
        <v>2</v>
      </c>
      <c r="Y77">
        <f ca="1">OFFSET(Summary!AV$31,0,(ROW()-ROW($C$76))*11)</f>
        <v>0</v>
      </c>
      <c r="Z77">
        <f ca="1">OFFSET(Summary!AW$31,0,(ROW()-ROW($C$76))*11)</f>
        <v>2</v>
      </c>
      <c r="AA77">
        <f ca="1">OFFSET(Summary!AX$31,0,(ROW()-ROW($C$76))*11)</f>
        <v>1</v>
      </c>
      <c r="AD77" t="str">
        <f>W77</f>
        <v>Human Factors</v>
      </c>
      <c r="AE77" s="39">
        <f t="shared" ca="1" si="105"/>
        <v>0.4</v>
      </c>
      <c r="AF77" s="39">
        <f t="shared" ca="1" si="105"/>
        <v>0</v>
      </c>
      <c r="AG77" s="39">
        <f t="shared" ca="1" si="105"/>
        <v>0.4</v>
      </c>
      <c r="AH77" s="39">
        <f t="shared" ca="1" si="105"/>
        <v>0.2</v>
      </c>
      <c r="AJ77" s="149">
        <f ca="1">AJ76</f>
        <v>7.407407407407407E-2</v>
      </c>
      <c r="AK77" t="str">
        <f>AD77</f>
        <v>Human Factors</v>
      </c>
      <c r="AL77" s="122">
        <f ca="1">INDEX(AE$60:AE$78,MATCH($AJ77,$AC$60:$AC$78,0)+2)</f>
        <v>0</v>
      </c>
      <c r="AM77" s="122">
        <f ca="1">INDEX(AF$60:AF$78,MATCH($AJ77,$AC$60:$AC$78,0)+2)</f>
        <v>0.2</v>
      </c>
      <c r="AN77" s="122">
        <f ca="1">INDEX(AG$60:AG$78,MATCH($AJ77,$AC$60:$AC$78,0)+2)</f>
        <v>0.6</v>
      </c>
      <c r="AO77" s="122">
        <f ca="1">INDEX(AH$60:AH$78,MATCH($AJ77,$AC$60:$AC$78,0)+2)</f>
        <v>0.2</v>
      </c>
    </row>
    <row r="78" spans="1:41" x14ac:dyDescent="0.25">
      <c r="B78" t="str">
        <f>$E$2</f>
        <v>Unk-EPA</v>
      </c>
      <c r="C78">
        <f ca="1">OFFSET(Summary!N$31,0,(ROW()-ROW($C$76))*11)</f>
        <v>6</v>
      </c>
      <c r="D78">
        <f ca="1">OFFSET(Summary!O$31,0,(ROW()-ROW($C$76))*11)</f>
        <v>1</v>
      </c>
      <c r="E78">
        <f ca="1">OFFSET(Summary!P$31,0,(ROW()-ROW($C$76))*11)</f>
        <v>2</v>
      </c>
      <c r="F78">
        <f ca="1">OFFSET(Summary!Q$31,0,(ROW()-ROW($C$76))*11)</f>
        <v>1</v>
      </c>
      <c r="I78" t="str">
        <f>B78</f>
        <v>Unk-EPA</v>
      </c>
      <c r="J78" s="39">
        <f ca="1">C78/SUM($C78:$F78)</f>
        <v>0.6</v>
      </c>
      <c r="K78" s="39">
        <f t="shared" ca="1" si="99"/>
        <v>0.1</v>
      </c>
      <c r="L78" s="39">
        <f t="shared" ca="1" si="100"/>
        <v>0.2</v>
      </c>
      <c r="M78" s="39">
        <f t="shared" ca="1" si="101"/>
        <v>0.1</v>
      </c>
      <c r="O78" s="147">
        <f ca="1">O77</f>
        <v>7.9365079365079361E-2</v>
      </c>
      <c r="P78" t="str">
        <f>I78</f>
        <v>Unk-EPA</v>
      </c>
      <c r="Q78" s="122">
        <f ca="1">INDEX(J$60:J$78,MATCH($O78,$H$60:$H$78,0)+3)</f>
        <v>0</v>
      </c>
      <c r="R78" s="122">
        <f t="shared" ref="R78" ca="1" si="109">INDEX(K$60:K$78,MATCH($O78,$H$60:$H$78,0)+3)</f>
        <v>0.3</v>
      </c>
      <c r="S78" s="122">
        <f t="shared" ref="S78" ca="1" si="110">INDEX(L$60:L$78,MATCH($O78,$H$60:$H$78,0)+3)</f>
        <v>0.4</v>
      </c>
      <c r="T78" s="122">
        <f t="shared" ref="T78" ca="1" si="111">INDEX(M$60:M$78,MATCH($O78,$H$60:$H$78,0)+3)</f>
        <v>0.3</v>
      </c>
      <c r="W78" t="str">
        <f>$E$7</f>
        <v>Other</v>
      </c>
      <c r="X78">
        <f ca="1">OFFSET(Summary!AU$31,0,(ROW()-ROW($C$76))*11)</f>
        <v>4</v>
      </c>
      <c r="Y78">
        <f ca="1">OFFSET(Summary!AV$31,0,(ROW()-ROW($C$76))*11)</f>
        <v>0</v>
      </c>
      <c r="Z78">
        <f ca="1">OFFSET(Summary!AW$31,0,(ROW()-ROW($C$76))*11)</f>
        <v>1</v>
      </c>
      <c r="AA78">
        <f ca="1">OFFSET(Summary!AX$31,0,(ROW()-ROW($C$76))*11)</f>
        <v>2</v>
      </c>
      <c r="AD78" t="str">
        <f>W78</f>
        <v>Other</v>
      </c>
      <c r="AE78" s="39">
        <f t="shared" ca="1" si="105"/>
        <v>0.5714285714285714</v>
      </c>
      <c r="AF78" s="39">
        <f t="shared" ca="1" si="105"/>
        <v>0</v>
      </c>
      <c r="AG78" s="39">
        <f t="shared" ca="1" si="105"/>
        <v>0.14285714285714285</v>
      </c>
      <c r="AH78" s="39">
        <f t="shared" ca="1" si="105"/>
        <v>0.2857142857142857</v>
      </c>
      <c r="AJ78" s="149">
        <f ca="1">AJ77</f>
        <v>7.407407407407407E-2</v>
      </c>
      <c r="AK78" t="str">
        <f>AD78</f>
        <v>Other</v>
      </c>
      <c r="AL78" s="122">
        <f ca="1">INDEX(AE$60:AE$78,MATCH($AJ78,$AC$60:$AC$78,0)+3)</f>
        <v>0</v>
      </c>
      <c r="AM78" s="122">
        <f ca="1">INDEX(AF$60:AF$78,MATCH($AJ78,$AC$60:$AC$78,0)+3)</f>
        <v>0.42857142857142855</v>
      </c>
      <c r="AN78" s="122">
        <f ca="1">INDEX(AG$60:AG$78,MATCH($AJ78,$AC$60:$AC$78,0)+3)</f>
        <v>0.14285714285714285</v>
      </c>
      <c r="AO78" s="122">
        <f ca="1">INDEX(AH$60:AH$78,MATCH($AJ78,$AC$60:$AC$78,0)+3)</f>
        <v>0.42857142857142855</v>
      </c>
    </row>
    <row r="80" spans="1:41" x14ac:dyDescent="0.25">
      <c r="A80" s="3" t="s">
        <v>406</v>
      </c>
      <c r="H80" s="3" t="s">
        <v>399</v>
      </c>
      <c r="O80" s="3" t="s">
        <v>400</v>
      </c>
      <c r="P80" s="3"/>
      <c r="V80" s="3" t="s">
        <v>406</v>
      </c>
      <c r="AC80" s="3" t="s">
        <v>399</v>
      </c>
      <c r="AJ80" s="3" t="s">
        <v>400</v>
      </c>
      <c r="AK80" s="3"/>
    </row>
    <row r="81" spans="2:41" x14ac:dyDescent="0.25">
      <c r="B81" t="str">
        <f>$C$6</f>
        <v>Subject</v>
      </c>
      <c r="C81" t="str">
        <f>$C$3</f>
        <v>1st Rank</v>
      </c>
      <c r="D81" t="str">
        <f>$D$3</f>
        <v>2nd Rank</v>
      </c>
      <c r="E81" t="str">
        <f>$E$3</f>
        <v>3rd Rank</v>
      </c>
      <c r="F81" t="str">
        <f>$F$3</f>
        <v>4th Rank</v>
      </c>
      <c r="H81" s="141">
        <f ca="1">AVERAGE(J82:J84)</f>
        <v>0.23492063492063489</v>
      </c>
      <c r="I81" t="str">
        <f>B81</f>
        <v>Subject</v>
      </c>
      <c r="J81" t="str">
        <f>C81</f>
        <v>1st Rank</v>
      </c>
      <c r="K81" t="str">
        <f>D81</f>
        <v>2nd Rank</v>
      </c>
      <c r="L81" t="str">
        <f>E81</f>
        <v>3rd Rank</v>
      </c>
      <c r="M81" t="str">
        <f>F81</f>
        <v>4th Rank</v>
      </c>
      <c r="O81" s="145">
        <f ca="1">LARGE($H$81:$H$99,1)</f>
        <v>0.49047619047619051</v>
      </c>
      <c r="P81" t="str">
        <f ca="1">INDEX($I$81:$I$99,MATCH(O81,$H$81:$H$99,0))</f>
        <v>Activity</v>
      </c>
      <c r="Q81" t="str">
        <f>J81</f>
        <v>1st Rank</v>
      </c>
      <c r="R81" t="str">
        <f>K81</f>
        <v>2nd Rank</v>
      </c>
      <c r="S81" t="str">
        <f>L81</f>
        <v>3rd Rank</v>
      </c>
      <c r="T81" t="str">
        <f>M81</f>
        <v>4th Rank</v>
      </c>
      <c r="W81" t="str">
        <f>$C$6</f>
        <v>Subject</v>
      </c>
      <c r="X81" t="str">
        <f>$C$3</f>
        <v>1st Rank</v>
      </c>
      <c r="Y81" t="str">
        <f>$D$3</f>
        <v>2nd Rank</v>
      </c>
      <c r="Z81" t="str">
        <f>$E$3</f>
        <v>3rd Rank</v>
      </c>
      <c r="AA81" t="str">
        <f>$F$3</f>
        <v>4th Rank</v>
      </c>
      <c r="AC81" s="141">
        <f ca="1">AVERAGE(AE82:AE84)</f>
        <v>0.15925925925925927</v>
      </c>
      <c r="AD81" t="str">
        <f>W81</f>
        <v>Subject</v>
      </c>
      <c r="AE81" t="str">
        <f>X81</f>
        <v>1st Rank</v>
      </c>
      <c r="AF81" t="str">
        <f>Y81</f>
        <v>2nd Rank</v>
      </c>
      <c r="AG81" t="str">
        <f>Z81</f>
        <v>3rd Rank</v>
      </c>
      <c r="AH81" t="str">
        <f>AA81</f>
        <v>4th Rank</v>
      </c>
      <c r="AJ81" s="148">
        <f ca="1">LARGE($AC$81:$AC$99,1)</f>
        <v>0.5095238095238096</v>
      </c>
      <c r="AK81" t="str">
        <f ca="1">INDEX($AD$81:$AD$99,MATCH(AJ81,$AC$81:$AC$99,0))</f>
        <v>Activity</v>
      </c>
      <c r="AL81" t="str">
        <f>AE81</f>
        <v>1st Rank</v>
      </c>
      <c r="AM81" t="str">
        <f>AF81</f>
        <v>2nd Rank</v>
      </c>
      <c r="AN81" t="str">
        <f>AG81</f>
        <v>3rd Rank</v>
      </c>
      <c r="AO81" t="str">
        <f>AH81</f>
        <v>4th Rank</v>
      </c>
    </row>
    <row r="82" spans="2:41" x14ac:dyDescent="0.25">
      <c r="B82" t="str">
        <f>$C$2</f>
        <v>EPA</v>
      </c>
      <c r="C82">
        <f ca="1">OFFSET(Summary!N$35,0,(ROW()-ROW($C$82))*11)</f>
        <v>2</v>
      </c>
      <c r="D82">
        <f ca="1">OFFSET(Summary!O$35,0,(ROW()-ROW($C$82))*11)</f>
        <v>1</v>
      </c>
      <c r="E82">
        <f ca="1">OFFSET(Summary!P$35,0,(ROW()-ROW($C$82))*11)</f>
        <v>3</v>
      </c>
      <c r="F82">
        <f ca="1">OFFSET(Summary!Q$35,0,(ROW()-ROW($C$82))*11)</f>
        <v>0</v>
      </c>
      <c r="I82" t="str">
        <f>B82</f>
        <v>EPA</v>
      </c>
      <c r="J82" s="39">
        <f ca="1">C82/SUM($C82:$F82)</f>
        <v>0.33333333333333331</v>
      </c>
      <c r="K82" s="39">
        <f t="shared" ref="K82:M84" ca="1" si="112">D82/SUM($C82:$F82)</f>
        <v>0.16666666666666666</v>
      </c>
      <c r="L82" s="39">
        <f t="shared" ca="1" si="112"/>
        <v>0.5</v>
      </c>
      <c r="M82" s="39">
        <f t="shared" ca="1" si="112"/>
        <v>0</v>
      </c>
      <c r="O82" s="147">
        <f ca="1">O81</f>
        <v>0.49047619047619051</v>
      </c>
      <c r="P82" t="str">
        <f>I82</f>
        <v>EPA</v>
      </c>
      <c r="Q82" s="122">
        <f ca="1">INDEX(J$81:J$99,MATCH($O82,$H$81:$H$99,0)+1)</f>
        <v>0.5</v>
      </c>
      <c r="R82" s="122">
        <f t="shared" ref="R82:T82" ca="1" si="113">INDEX(K$81:K$99,MATCH($O82,$H$81:$H$99,0)+1)</f>
        <v>0.33333333333333331</v>
      </c>
      <c r="S82" s="122">
        <f t="shared" ca="1" si="113"/>
        <v>0.16666666666666666</v>
      </c>
      <c r="T82" s="122">
        <f t="shared" ca="1" si="113"/>
        <v>0</v>
      </c>
      <c r="W82" t="str">
        <f>$C$7</f>
        <v>Chemical</v>
      </c>
      <c r="X82">
        <f ca="1">OFFSET(Summary!AU$35,0,(ROW()-ROW($C$82))*11)</f>
        <v>5</v>
      </c>
      <c r="Y82">
        <f ca="1">OFFSET(Summary!AV$35,0,(ROW()-ROW($C$82))*11)</f>
        <v>3</v>
      </c>
      <c r="Z82">
        <f ca="1">OFFSET(Summary!AW$35,0,(ROW()-ROW($C$82))*11)</f>
        <v>8</v>
      </c>
      <c r="AA82">
        <f ca="1">OFFSET(Summary!AX$35,0,(ROW()-ROW($C$82))*11)</f>
        <v>2</v>
      </c>
      <c r="AD82" t="str">
        <f>W82</f>
        <v>Chemical</v>
      </c>
      <c r="AE82" s="39">
        <f t="shared" ref="AE82:AH84" ca="1" si="114">X82/SUM($X82:$AA82)</f>
        <v>0.27777777777777779</v>
      </c>
      <c r="AF82" s="39">
        <f t="shared" ca="1" si="114"/>
        <v>0.16666666666666666</v>
      </c>
      <c r="AG82" s="39">
        <f t="shared" ca="1" si="114"/>
        <v>0.44444444444444442</v>
      </c>
      <c r="AH82" s="39">
        <f t="shared" ca="1" si="114"/>
        <v>0.1111111111111111</v>
      </c>
      <c r="AJ82" s="149">
        <f ca="1">AJ81</f>
        <v>0.5095238095238096</v>
      </c>
      <c r="AK82" t="str">
        <f>AD82</f>
        <v>Chemical</v>
      </c>
      <c r="AL82" s="122">
        <f ca="1">INDEX(AE$81:AE$99,MATCH($AJ82,$AC$81:$AC$99,0)+1)</f>
        <v>0.5</v>
      </c>
      <c r="AM82" s="122">
        <f ca="1">INDEX(AF$81:AF$99,MATCH($AJ82,$AC$81:$AC$99,0)+1)</f>
        <v>0.3888888888888889</v>
      </c>
      <c r="AN82" s="122">
        <f ca="1">INDEX(AG$81:AG$99,MATCH($AJ82,$AC$81:$AC$99,0)+1)</f>
        <v>5.5555555555555552E-2</v>
      </c>
      <c r="AO82" s="122">
        <f ca="1">INDEX(AH$81:AH$99,MATCH($AJ82,$AC$81:$AC$99,0)+1)</f>
        <v>5.5555555555555552E-2</v>
      </c>
    </row>
    <row r="83" spans="2:41" x14ac:dyDescent="0.25">
      <c r="B83" t="str">
        <f>$D$2</f>
        <v>Non-EPA</v>
      </c>
      <c r="C83">
        <f ca="1">OFFSET(Summary!N$35,0,(ROW()-ROW($C$82))*11)</f>
        <v>1</v>
      </c>
      <c r="D83">
        <f ca="1">OFFSET(Summary!O$35,0,(ROW()-ROW($C$82))*11)</f>
        <v>2</v>
      </c>
      <c r="E83">
        <f ca="1">OFFSET(Summary!P$35,0,(ROW()-ROW($C$82))*11)</f>
        <v>9</v>
      </c>
      <c r="F83">
        <f ca="1">OFFSET(Summary!Q$35,0,(ROW()-ROW($C$82))*11)</f>
        <v>2</v>
      </c>
      <c r="I83" t="str">
        <f>B83</f>
        <v>Non-EPA</v>
      </c>
      <c r="J83" s="39">
        <f t="shared" ref="J83:J84" ca="1" si="115">C83/SUM($C83:$F83)</f>
        <v>7.1428571428571425E-2</v>
      </c>
      <c r="K83" s="39">
        <f t="shared" ca="1" si="112"/>
        <v>0.14285714285714285</v>
      </c>
      <c r="L83" s="39">
        <f t="shared" ca="1" si="112"/>
        <v>0.6428571428571429</v>
      </c>
      <c r="M83" s="39">
        <f t="shared" ca="1" si="112"/>
        <v>0.14285714285714285</v>
      </c>
      <c r="O83" s="147">
        <f ca="1">O82</f>
        <v>0.49047619047619051</v>
      </c>
      <c r="P83" t="str">
        <f>I83</f>
        <v>Non-EPA</v>
      </c>
      <c r="Q83" s="122">
        <f ca="1">INDEX(J$81:J$99,MATCH($O83,$H$81:$H$99,0)+2)</f>
        <v>0.5714285714285714</v>
      </c>
      <c r="R83" s="122">
        <f t="shared" ref="R83:T83" ca="1" si="116">INDEX(K$81:K$99,MATCH($O83,$H$81:$H$99,0)+2)</f>
        <v>0.35714285714285715</v>
      </c>
      <c r="S83" s="122">
        <f t="shared" ca="1" si="116"/>
        <v>0</v>
      </c>
      <c r="T83" s="122">
        <f t="shared" ca="1" si="116"/>
        <v>7.1428571428571425E-2</v>
      </c>
      <c r="W83" t="str">
        <f>$D$7</f>
        <v>Human Factors</v>
      </c>
      <c r="X83">
        <f ca="1">OFFSET(Summary!AU$35,0,(ROW()-ROW($C$82))*11)</f>
        <v>1</v>
      </c>
      <c r="Y83">
        <f ca="1">OFFSET(Summary!AV$35,0,(ROW()-ROW($C$82))*11)</f>
        <v>1</v>
      </c>
      <c r="Z83">
        <f ca="1">OFFSET(Summary!AW$35,0,(ROW()-ROW($C$82))*11)</f>
        <v>3</v>
      </c>
      <c r="AA83">
        <f ca="1">OFFSET(Summary!AX$35,0,(ROW()-ROW($C$82))*11)</f>
        <v>0</v>
      </c>
      <c r="AD83" t="str">
        <f>W83</f>
        <v>Human Factors</v>
      </c>
      <c r="AE83" s="39">
        <f t="shared" ca="1" si="114"/>
        <v>0.2</v>
      </c>
      <c r="AF83" s="39">
        <f t="shared" ca="1" si="114"/>
        <v>0.2</v>
      </c>
      <c r="AG83" s="39">
        <f t="shared" ca="1" si="114"/>
        <v>0.6</v>
      </c>
      <c r="AH83" s="39">
        <f t="shared" ca="1" si="114"/>
        <v>0</v>
      </c>
      <c r="AJ83" s="149">
        <f ca="1">AJ82</f>
        <v>0.5095238095238096</v>
      </c>
      <c r="AK83" t="str">
        <f>AD83</f>
        <v>Human Factors</v>
      </c>
      <c r="AL83" s="122">
        <f ca="1">INDEX(AE$81:AE$99,MATCH($AJ83,$AC$81:$AC$99,0)+2)</f>
        <v>0.6</v>
      </c>
      <c r="AM83" s="122">
        <f ca="1">INDEX(AF$81:AF$99,MATCH($AJ83,$AC$81:$AC$99,0)+2)</f>
        <v>0.2</v>
      </c>
      <c r="AN83" s="122">
        <f ca="1">INDEX(AG$81:AG$99,MATCH($AJ83,$AC$81:$AC$99,0)+2)</f>
        <v>0.2</v>
      </c>
      <c r="AO83" s="122">
        <f ca="1">INDEX(AH$81:AH$99,MATCH($AJ83,$AC$81:$AC$99,0)+2)</f>
        <v>0</v>
      </c>
    </row>
    <row r="84" spans="2:41" x14ac:dyDescent="0.25">
      <c r="B84" t="str">
        <f>$E$2</f>
        <v>Unk-EPA</v>
      </c>
      <c r="C84">
        <f ca="1">OFFSET(Summary!N$35,0,(ROW()-ROW($C$82))*11)</f>
        <v>3</v>
      </c>
      <c r="D84">
        <f ca="1">OFFSET(Summary!O$35,0,(ROW()-ROW($C$82))*11)</f>
        <v>4</v>
      </c>
      <c r="E84">
        <f ca="1">OFFSET(Summary!P$35,0,(ROW()-ROW($C$82))*11)</f>
        <v>3</v>
      </c>
      <c r="F84">
        <f ca="1">OFFSET(Summary!Q$35,0,(ROW()-ROW($C$82))*11)</f>
        <v>0</v>
      </c>
      <c r="I84" t="str">
        <f>B84</f>
        <v>Unk-EPA</v>
      </c>
      <c r="J84" s="39">
        <f t="shared" ca="1" si="115"/>
        <v>0.3</v>
      </c>
      <c r="K84" s="39">
        <f t="shared" ca="1" si="112"/>
        <v>0.4</v>
      </c>
      <c r="L84" s="39">
        <f t="shared" ca="1" si="112"/>
        <v>0.3</v>
      </c>
      <c r="M84" s="39">
        <f t="shared" ca="1" si="112"/>
        <v>0</v>
      </c>
      <c r="O84" s="147">
        <f ca="1">O83</f>
        <v>0.49047619047619051</v>
      </c>
      <c r="P84" t="str">
        <f>I84</f>
        <v>Unk-EPA</v>
      </c>
      <c r="Q84" s="122">
        <f ca="1">INDEX(J$81:J$99,MATCH($O84,$H$81:$H$99,0)+3)</f>
        <v>0.4</v>
      </c>
      <c r="R84" s="122">
        <f t="shared" ref="R84:T84" ca="1" si="117">INDEX(K$81:K$99,MATCH($O84,$H$81:$H$99,0)+3)</f>
        <v>0.4</v>
      </c>
      <c r="S84" s="122">
        <f t="shared" ca="1" si="117"/>
        <v>0.2</v>
      </c>
      <c r="T84" s="122">
        <f t="shared" ca="1" si="117"/>
        <v>0</v>
      </c>
      <c r="W84" t="str">
        <f>$E$7</f>
        <v>Other</v>
      </c>
      <c r="X84">
        <f ca="1">OFFSET(Summary!AU$35,0,(ROW()-ROW($C$82))*11)</f>
        <v>0</v>
      </c>
      <c r="Y84">
        <f ca="1">OFFSET(Summary!AV$35,0,(ROW()-ROW($C$82))*11)</f>
        <v>3</v>
      </c>
      <c r="Z84">
        <f ca="1">OFFSET(Summary!AW$35,0,(ROW()-ROW($C$82))*11)</f>
        <v>4</v>
      </c>
      <c r="AA84">
        <f ca="1">OFFSET(Summary!AX$35,0,(ROW()-ROW($C$82))*11)</f>
        <v>0</v>
      </c>
      <c r="AD84" t="str">
        <f>W84</f>
        <v>Other</v>
      </c>
      <c r="AE84" s="39">
        <f t="shared" ca="1" si="114"/>
        <v>0</v>
      </c>
      <c r="AF84" s="39">
        <f t="shared" ca="1" si="114"/>
        <v>0.42857142857142855</v>
      </c>
      <c r="AG84" s="39">
        <f t="shared" ca="1" si="114"/>
        <v>0.5714285714285714</v>
      </c>
      <c r="AH84" s="39">
        <f t="shared" ca="1" si="114"/>
        <v>0</v>
      </c>
      <c r="AJ84" s="149">
        <f ca="1">AJ83</f>
        <v>0.5095238095238096</v>
      </c>
      <c r="AK84" t="str">
        <f>AD84</f>
        <v>Other</v>
      </c>
      <c r="AL84" s="122">
        <f ca="1">INDEX(AE$81:AE$99,MATCH($AJ84,$AC$81:$AC$99,0)+3)</f>
        <v>0.42857142857142855</v>
      </c>
      <c r="AM84" s="122">
        <f ca="1">INDEX(AF$81:AF$99,MATCH($AJ84,$AC$81:$AC$99,0)+3)</f>
        <v>0.42857142857142855</v>
      </c>
      <c r="AN84" s="122">
        <f ca="1">INDEX(AG$81:AG$99,MATCH($AJ84,$AC$81:$AC$99,0)+3)</f>
        <v>0.14285714285714285</v>
      </c>
      <c r="AO84" s="122">
        <f ca="1">INDEX(AH$81:AH$99,MATCH($AJ84,$AC$81:$AC$99,0)+3)</f>
        <v>0</v>
      </c>
    </row>
    <row r="85" spans="2:41" x14ac:dyDescent="0.25">
      <c r="O85" s="146"/>
      <c r="AJ85" s="150"/>
    </row>
    <row r="86" spans="2:41" x14ac:dyDescent="0.25">
      <c r="B86" t="str">
        <f>$D$6</f>
        <v>Environment</v>
      </c>
      <c r="C86" t="str">
        <f>$C$3</f>
        <v>1st Rank</v>
      </c>
      <c r="D86" t="str">
        <f>$D$3</f>
        <v>2nd Rank</v>
      </c>
      <c r="E86" t="str">
        <f>$E$3</f>
        <v>3rd Rank</v>
      </c>
      <c r="F86" t="str">
        <f>$F$3</f>
        <v>4th Rank</v>
      </c>
      <c r="H86" s="141">
        <f ca="1">AVERAGE(J87:J89)</f>
        <v>0</v>
      </c>
      <c r="I86" t="str">
        <f>B86</f>
        <v>Environment</v>
      </c>
      <c r="J86" t="str">
        <f>C86</f>
        <v>1st Rank</v>
      </c>
      <c r="K86" t="str">
        <f>D86</f>
        <v>2nd Rank</v>
      </c>
      <c r="L86" t="str">
        <f>E86</f>
        <v>3rd Rank</v>
      </c>
      <c r="M86" t="str">
        <f>F86</f>
        <v>4th Rank</v>
      </c>
      <c r="O86" s="145">
        <f ca="1">LARGE($H$81:$H$99,2)</f>
        <v>0.3746031746031746</v>
      </c>
      <c r="P86" t="str">
        <f ca="1">INDEX($I$81:$I$99,MATCH(O86,$H$81:$H$99,0))</f>
        <v>Ubiquity</v>
      </c>
      <c r="Q86" t="str">
        <f>J86</f>
        <v>1st Rank</v>
      </c>
      <c r="R86" t="str">
        <f>K86</f>
        <v>2nd Rank</v>
      </c>
      <c r="S86" t="str">
        <f>L86</f>
        <v>3rd Rank</v>
      </c>
      <c r="T86" t="str">
        <f>M86</f>
        <v>4th Rank</v>
      </c>
      <c r="W86" t="str">
        <f>$D$6</f>
        <v>Environment</v>
      </c>
      <c r="X86" t="str">
        <f>$C$3</f>
        <v>1st Rank</v>
      </c>
      <c r="Y86" t="str">
        <f>$D$3</f>
        <v>2nd Rank</v>
      </c>
      <c r="Z86" t="str">
        <f>$E$3</f>
        <v>3rd Rank</v>
      </c>
      <c r="AA86" t="str">
        <f>$F$3</f>
        <v>4th Rank</v>
      </c>
      <c r="AC86" s="141">
        <f ca="1">AVERAGE(AE87:AE89)</f>
        <v>0</v>
      </c>
      <c r="AD86" t="str">
        <f>W86</f>
        <v>Environment</v>
      </c>
      <c r="AE86" t="str">
        <f>X86</f>
        <v>1st Rank</v>
      </c>
      <c r="AF86" t="str">
        <f>Y86</f>
        <v>2nd Rank</v>
      </c>
      <c r="AG86" t="str">
        <f>Z86</f>
        <v>3rd Rank</v>
      </c>
      <c r="AH86" t="str">
        <f>AA86</f>
        <v>4th Rank</v>
      </c>
      <c r="AJ86" s="148">
        <f ca="1">LARGE($AC$81:$AC$99,2)</f>
        <v>0.38677248677248671</v>
      </c>
      <c r="AK86" t="str">
        <f ca="1">INDEX($AD$81:$AD$99,MATCH(AJ86,$AC$81:$AC$99,0))</f>
        <v>Ubiquity</v>
      </c>
      <c r="AL86" t="str">
        <f>AE86</f>
        <v>1st Rank</v>
      </c>
      <c r="AM86" t="str">
        <f>AF86</f>
        <v>2nd Rank</v>
      </c>
      <c r="AN86" t="str">
        <f>AG86</f>
        <v>3rd Rank</v>
      </c>
      <c r="AO86" t="str">
        <f>AH86</f>
        <v>4th Rank</v>
      </c>
    </row>
    <row r="87" spans="2:41" x14ac:dyDescent="0.25">
      <c r="B87" t="str">
        <f>$C$2</f>
        <v>EPA</v>
      </c>
      <c r="C87">
        <f ca="1">OFFSET(Summary!N$36,0,(ROW()-ROW($C$87))*11)</f>
        <v>0</v>
      </c>
      <c r="D87">
        <f ca="1">OFFSET(Summary!O$36,0,(ROW()-ROW($C$87))*11)</f>
        <v>1</v>
      </c>
      <c r="E87">
        <f ca="1">OFFSET(Summary!P$36,0,(ROW()-ROW($C$87))*11)</f>
        <v>2</v>
      </c>
      <c r="F87">
        <f ca="1">OFFSET(Summary!Q$36,0,(ROW()-ROW($C$87))*11)</f>
        <v>3</v>
      </c>
      <c r="I87" t="str">
        <f>B87</f>
        <v>EPA</v>
      </c>
      <c r="J87" s="39">
        <f ca="1">C87/SUM($C87:$F87)</f>
        <v>0</v>
      </c>
      <c r="K87" s="39">
        <f t="shared" ref="K87:K89" ca="1" si="118">D87/SUM($C87:$F87)</f>
        <v>0.16666666666666666</v>
      </c>
      <c r="L87" s="39">
        <f t="shared" ref="L87:L89" ca="1" si="119">E87/SUM($C87:$F87)</f>
        <v>0.33333333333333331</v>
      </c>
      <c r="M87" s="39">
        <f t="shared" ref="M87:M89" ca="1" si="120">F87/SUM($C87:$F87)</f>
        <v>0.5</v>
      </c>
      <c r="O87" s="147">
        <f ca="1">O86</f>
        <v>0.3746031746031746</v>
      </c>
      <c r="P87" t="str">
        <f>I87</f>
        <v>EPA</v>
      </c>
      <c r="Q87" s="122">
        <f ca="1">INDEX(J$81:J$99,MATCH($O87,$H$81:$H$99,0)+1)</f>
        <v>0.16666666666666666</v>
      </c>
      <c r="R87" s="122">
        <f t="shared" ref="R87" ca="1" si="121">INDEX(K$81:K$99,MATCH($O87,$H$81:$H$99,0)+1)</f>
        <v>0.5</v>
      </c>
      <c r="S87" s="122">
        <f t="shared" ref="S87" ca="1" si="122">INDEX(L$81:L$99,MATCH($O87,$H$81:$H$99,0)+1)</f>
        <v>0</v>
      </c>
      <c r="T87" s="122">
        <f t="shared" ref="T87" ca="1" si="123">INDEX(M$81:M$99,MATCH($O87,$H$81:$H$99,0)+1)</f>
        <v>0.33333333333333331</v>
      </c>
      <c r="W87" t="str">
        <f>$C$7</f>
        <v>Chemical</v>
      </c>
      <c r="X87">
        <f ca="1">OFFSET(Summary!AU$36,0,(ROW()-ROW($C$87))*11)</f>
        <v>0</v>
      </c>
      <c r="Y87">
        <f ca="1">OFFSET(Summary!AV$36,0,(ROW()-ROW($C$87))*11)</f>
        <v>2</v>
      </c>
      <c r="Z87">
        <f ca="1">OFFSET(Summary!AW$36,0,(ROW()-ROW($C$87))*11)</f>
        <v>7</v>
      </c>
      <c r="AA87">
        <f ca="1">OFFSET(Summary!AX$36,0,(ROW()-ROW($C$87))*11)</f>
        <v>9</v>
      </c>
      <c r="AD87" t="str">
        <f>W87</f>
        <v>Chemical</v>
      </c>
      <c r="AE87" s="39">
        <f t="shared" ref="AE87:AH89" ca="1" si="124">X87/SUM($X87:$AA87)</f>
        <v>0</v>
      </c>
      <c r="AF87" s="39">
        <f t="shared" ca="1" si="124"/>
        <v>0.1111111111111111</v>
      </c>
      <c r="AG87" s="39">
        <f t="shared" ca="1" si="124"/>
        <v>0.3888888888888889</v>
      </c>
      <c r="AH87" s="39">
        <f t="shared" ca="1" si="124"/>
        <v>0.5</v>
      </c>
      <c r="AJ87" s="149">
        <f ca="1">AJ86</f>
        <v>0.38677248677248671</v>
      </c>
      <c r="AK87" t="str">
        <f>AD87</f>
        <v>Chemical</v>
      </c>
      <c r="AL87" s="122">
        <f ca="1">INDEX(AE$81:AE$99,MATCH($AJ87,$AC$81:$AC$99,0)+1)</f>
        <v>0.3888888888888889</v>
      </c>
      <c r="AM87" s="122">
        <f ca="1">INDEX(AF$81:AF$99,MATCH($AJ87,$AC$81:$AC$99,0)+1)</f>
        <v>0.3888888888888889</v>
      </c>
      <c r="AN87" s="122">
        <f ca="1">INDEX(AG$81:AG$99,MATCH($AJ87,$AC$81:$AC$99,0)+1)</f>
        <v>0.1111111111111111</v>
      </c>
      <c r="AO87" s="122">
        <f ca="1">INDEX(AH$81:AH$99,MATCH($AJ87,$AC$81:$AC$99,0)+1)</f>
        <v>0.1111111111111111</v>
      </c>
    </row>
    <row r="88" spans="2:41" x14ac:dyDescent="0.25">
      <c r="B88" t="str">
        <f>$D$2</f>
        <v>Non-EPA</v>
      </c>
      <c r="C88">
        <f ca="1">OFFSET(Summary!N$36,0,(ROW()-ROW($C$87))*11)</f>
        <v>0</v>
      </c>
      <c r="D88">
        <f ca="1">OFFSET(Summary!O$36,0,(ROW()-ROW($C$87))*11)</f>
        <v>2</v>
      </c>
      <c r="E88">
        <f ca="1">OFFSET(Summary!P$36,0,(ROW()-ROW($C$87))*11)</f>
        <v>4</v>
      </c>
      <c r="F88">
        <f ca="1">OFFSET(Summary!Q$36,0,(ROW()-ROW($C$87))*11)</f>
        <v>8</v>
      </c>
      <c r="I88" t="str">
        <f>B88</f>
        <v>Non-EPA</v>
      </c>
      <c r="J88" s="39">
        <f t="shared" ref="J88:J89" ca="1" si="125">C88/SUM($C88:$F88)</f>
        <v>0</v>
      </c>
      <c r="K88" s="39">
        <f t="shared" ca="1" si="118"/>
        <v>0.14285714285714285</v>
      </c>
      <c r="L88" s="39">
        <f t="shared" ca="1" si="119"/>
        <v>0.2857142857142857</v>
      </c>
      <c r="M88" s="39">
        <f t="shared" ca="1" si="120"/>
        <v>0.5714285714285714</v>
      </c>
      <c r="O88" s="147">
        <f ca="1">O87</f>
        <v>0.3746031746031746</v>
      </c>
      <c r="P88" t="str">
        <f>I88</f>
        <v>Non-EPA</v>
      </c>
      <c r="Q88" s="122">
        <f ca="1">INDEX(J$81:J$99,MATCH($O88,$H$81:$H$99,0)+2)</f>
        <v>0.35714285714285715</v>
      </c>
      <c r="R88" s="122">
        <f t="shared" ref="R88" ca="1" si="126">INDEX(K$81:K$99,MATCH($O88,$H$81:$H$99,0)+2)</f>
        <v>0.35714285714285715</v>
      </c>
      <c r="S88" s="122">
        <f t="shared" ref="S88" ca="1" si="127">INDEX(L$81:L$99,MATCH($O88,$H$81:$H$99,0)+2)</f>
        <v>0.14285714285714285</v>
      </c>
      <c r="T88" s="122">
        <f t="shared" ref="T88" ca="1" si="128">INDEX(M$81:M$99,MATCH($O88,$H$81:$H$99,0)+2)</f>
        <v>0.14285714285714285</v>
      </c>
      <c r="W88" t="str">
        <f>$D$7</f>
        <v>Human Factors</v>
      </c>
      <c r="X88">
        <f ca="1">OFFSET(Summary!AU$36,0,(ROW()-ROW($C$87))*11)</f>
        <v>0</v>
      </c>
      <c r="Y88">
        <f ca="1">OFFSET(Summary!AV$36,0,(ROW()-ROW($C$87))*11)</f>
        <v>2</v>
      </c>
      <c r="Z88">
        <f ca="1">OFFSET(Summary!AW$36,0,(ROW()-ROW($C$87))*11)</f>
        <v>1</v>
      </c>
      <c r="AA88">
        <f ca="1">OFFSET(Summary!AX$36,0,(ROW()-ROW($C$87))*11)</f>
        <v>2</v>
      </c>
      <c r="AD88" t="str">
        <f>W88</f>
        <v>Human Factors</v>
      </c>
      <c r="AE88" s="39">
        <f t="shared" ca="1" si="124"/>
        <v>0</v>
      </c>
      <c r="AF88" s="39">
        <f t="shared" ca="1" si="124"/>
        <v>0.4</v>
      </c>
      <c r="AG88" s="39">
        <f t="shared" ca="1" si="124"/>
        <v>0.2</v>
      </c>
      <c r="AH88" s="39">
        <f t="shared" ca="1" si="124"/>
        <v>0.4</v>
      </c>
      <c r="AJ88" s="149">
        <f ca="1">AJ87</f>
        <v>0.38677248677248671</v>
      </c>
      <c r="AK88" t="str">
        <f>AD88</f>
        <v>Human Factors</v>
      </c>
      <c r="AL88" s="122">
        <f ca="1">INDEX(AE$81:AE$99,MATCH($AJ88,$AC$81:$AC$99,0)+2)</f>
        <v>0.2</v>
      </c>
      <c r="AM88" s="122">
        <f ca="1">INDEX(AF$81:AF$99,MATCH($AJ88,$AC$81:$AC$99,0)+2)</f>
        <v>0.4</v>
      </c>
      <c r="AN88" s="122">
        <f ca="1">INDEX(AG$81:AG$99,MATCH($AJ88,$AC$81:$AC$99,0)+2)</f>
        <v>0.2</v>
      </c>
      <c r="AO88" s="122">
        <f ca="1">INDEX(AH$81:AH$99,MATCH($AJ88,$AC$81:$AC$99,0)+2)</f>
        <v>0.2</v>
      </c>
    </row>
    <row r="89" spans="2:41" x14ac:dyDescent="0.25">
      <c r="B89" t="str">
        <f>$E$2</f>
        <v>Unk-EPA</v>
      </c>
      <c r="C89">
        <f ca="1">OFFSET(Summary!N$36,0,(ROW()-ROW($C$87))*11)</f>
        <v>0</v>
      </c>
      <c r="D89">
        <f ca="1">OFFSET(Summary!O$36,0,(ROW()-ROW($C$87))*11)</f>
        <v>3</v>
      </c>
      <c r="E89">
        <f ca="1">OFFSET(Summary!P$36,0,(ROW()-ROW($C$87))*11)</f>
        <v>3</v>
      </c>
      <c r="F89">
        <f ca="1">OFFSET(Summary!Q$36,0,(ROW()-ROW($C$87))*11)</f>
        <v>4</v>
      </c>
      <c r="I89" t="str">
        <f>B89</f>
        <v>Unk-EPA</v>
      </c>
      <c r="J89" s="39">
        <f t="shared" ca="1" si="125"/>
        <v>0</v>
      </c>
      <c r="K89" s="39">
        <f t="shared" ca="1" si="118"/>
        <v>0.3</v>
      </c>
      <c r="L89" s="39">
        <f t="shared" ca="1" si="119"/>
        <v>0.3</v>
      </c>
      <c r="M89" s="39">
        <f t="shared" ca="1" si="120"/>
        <v>0.4</v>
      </c>
      <c r="O89" s="147">
        <f ca="1">O88</f>
        <v>0.3746031746031746</v>
      </c>
      <c r="P89" t="str">
        <f>I89</f>
        <v>Unk-EPA</v>
      </c>
      <c r="Q89" s="122">
        <f ca="1">INDEX(J$81:J$99,MATCH($O89,$H$81:$H$99,0)+3)</f>
        <v>0.6</v>
      </c>
      <c r="R89" s="122">
        <f t="shared" ref="R89" ca="1" si="129">INDEX(K$81:K$99,MATCH($O89,$H$81:$H$99,0)+3)</f>
        <v>0.1</v>
      </c>
      <c r="S89" s="122">
        <f t="shared" ref="S89" ca="1" si="130">INDEX(L$81:L$99,MATCH($O89,$H$81:$H$99,0)+3)</f>
        <v>0.2</v>
      </c>
      <c r="T89" s="122">
        <f t="shared" ref="T89" ca="1" si="131">INDEX(M$81:M$99,MATCH($O89,$H$81:$H$99,0)+3)</f>
        <v>0.1</v>
      </c>
      <c r="W89" t="str">
        <f>$E$7</f>
        <v>Other</v>
      </c>
      <c r="X89">
        <f ca="1">OFFSET(Summary!AU$36,0,(ROW()-ROW($C$87))*11)</f>
        <v>0</v>
      </c>
      <c r="Y89">
        <f ca="1">OFFSET(Summary!AV$36,0,(ROW()-ROW($C$87))*11)</f>
        <v>2</v>
      </c>
      <c r="Z89">
        <f ca="1">OFFSET(Summary!AW$36,0,(ROW()-ROW($C$87))*11)</f>
        <v>1</v>
      </c>
      <c r="AA89">
        <f ca="1">OFFSET(Summary!AX$36,0,(ROW()-ROW($C$87))*11)</f>
        <v>4</v>
      </c>
      <c r="AD89" t="str">
        <f>W89</f>
        <v>Other</v>
      </c>
      <c r="AE89" s="39">
        <f t="shared" ca="1" si="124"/>
        <v>0</v>
      </c>
      <c r="AF89" s="39">
        <f t="shared" ca="1" si="124"/>
        <v>0.2857142857142857</v>
      </c>
      <c r="AG89" s="39">
        <f t="shared" ca="1" si="124"/>
        <v>0.14285714285714285</v>
      </c>
      <c r="AH89" s="39">
        <f t="shared" ca="1" si="124"/>
        <v>0.5714285714285714</v>
      </c>
      <c r="AJ89" s="149">
        <f ca="1">AJ88</f>
        <v>0.38677248677248671</v>
      </c>
      <c r="AK89" t="str">
        <f>AD89</f>
        <v>Other</v>
      </c>
      <c r="AL89" s="122">
        <f ca="1">INDEX(AE$81:AE$99,MATCH($AJ89,$AC$81:$AC$99,0)+3)</f>
        <v>0.5714285714285714</v>
      </c>
      <c r="AM89" s="122">
        <f ca="1">INDEX(AF$81:AF$99,MATCH($AJ89,$AC$81:$AC$99,0)+3)</f>
        <v>0</v>
      </c>
      <c r="AN89" s="122">
        <f ca="1">INDEX(AG$81:AG$99,MATCH($AJ89,$AC$81:$AC$99,0)+3)</f>
        <v>0.14285714285714285</v>
      </c>
      <c r="AO89" s="122">
        <f ca="1">INDEX(AH$81:AH$99,MATCH($AJ89,$AC$81:$AC$99,0)+3)</f>
        <v>0.2857142857142857</v>
      </c>
    </row>
    <row r="90" spans="2:41" x14ac:dyDescent="0.25">
      <c r="O90" s="146"/>
      <c r="AJ90" s="150"/>
    </row>
    <row r="91" spans="2:41" x14ac:dyDescent="0.25">
      <c r="B91" t="str">
        <f>$E$6</f>
        <v>Activity</v>
      </c>
      <c r="C91" t="str">
        <f>$C$3</f>
        <v>1st Rank</v>
      </c>
      <c r="D91" t="str">
        <f>$D$3</f>
        <v>2nd Rank</v>
      </c>
      <c r="E91" t="str">
        <f>$E$3</f>
        <v>3rd Rank</v>
      </c>
      <c r="F91" t="str">
        <f>$F$3</f>
        <v>4th Rank</v>
      </c>
      <c r="H91" s="141">
        <f ca="1">AVERAGE(J92:J94)</f>
        <v>0.49047619047619051</v>
      </c>
      <c r="I91" t="str">
        <f>B91</f>
        <v>Activity</v>
      </c>
      <c r="J91" t="str">
        <f>C91</f>
        <v>1st Rank</v>
      </c>
      <c r="K91" t="str">
        <f>D91</f>
        <v>2nd Rank</v>
      </c>
      <c r="L91" t="str">
        <f>E91</f>
        <v>3rd Rank</v>
      </c>
      <c r="M91" t="str">
        <f>F91</f>
        <v>4th Rank</v>
      </c>
      <c r="O91" s="145">
        <f ca="1">LARGE($H$81:$H$99,3)</f>
        <v>0.23492063492063489</v>
      </c>
      <c r="P91" t="str">
        <f ca="1">INDEX($I$81:$I$99,MATCH(O91,$H$81:$H$99,0))</f>
        <v>Subject</v>
      </c>
      <c r="Q91" t="str">
        <f>J91</f>
        <v>1st Rank</v>
      </c>
      <c r="R91" t="str">
        <f>K91</f>
        <v>2nd Rank</v>
      </c>
      <c r="S91" t="str">
        <f>L91</f>
        <v>3rd Rank</v>
      </c>
      <c r="T91" t="str">
        <f>M91</f>
        <v>4th Rank</v>
      </c>
      <c r="W91" t="str">
        <f>$E$6</f>
        <v>Activity</v>
      </c>
      <c r="X91" t="str">
        <f>$C$3</f>
        <v>1st Rank</v>
      </c>
      <c r="Y91" t="str">
        <f>$D$3</f>
        <v>2nd Rank</v>
      </c>
      <c r="Z91" t="str">
        <f>$E$3</f>
        <v>3rd Rank</v>
      </c>
      <c r="AA91" t="str">
        <f>$F$3</f>
        <v>4th Rank</v>
      </c>
      <c r="AC91" s="141">
        <f ca="1">AVERAGE(AE92:AE94)</f>
        <v>0.5095238095238096</v>
      </c>
      <c r="AD91" t="str">
        <f>W91</f>
        <v>Activity</v>
      </c>
      <c r="AE91" t="str">
        <f>X91</f>
        <v>1st Rank</v>
      </c>
      <c r="AF91" t="str">
        <f>Y91</f>
        <v>2nd Rank</v>
      </c>
      <c r="AG91" t="str">
        <f>Z91</f>
        <v>3rd Rank</v>
      </c>
      <c r="AH91" t="str">
        <f>AA91</f>
        <v>4th Rank</v>
      </c>
      <c r="AJ91" s="148">
        <f ca="1">LARGE($AC$81:$AC$99,3)</f>
        <v>0.15925925925925927</v>
      </c>
      <c r="AK91" t="str">
        <f ca="1">INDEX($AD$81:$AD$99,MATCH(AJ91,$AC$81:$AC$99,0))</f>
        <v>Subject</v>
      </c>
      <c r="AL91" t="str">
        <f>AE91</f>
        <v>1st Rank</v>
      </c>
      <c r="AM91" t="str">
        <f>AF91</f>
        <v>2nd Rank</v>
      </c>
      <c r="AN91" t="str">
        <f>AG91</f>
        <v>3rd Rank</v>
      </c>
      <c r="AO91" t="str">
        <f>AH91</f>
        <v>4th Rank</v>
      </c>
    </row>
    <row r="92" spans="2:41" x14ac:dyDescent="0.25">
      <c r="B92" t="str">
        <f>$C$2</f>
        <v>EPA</v>
      </c>
      <c r="C92">
        <f ca="1">OFFSET(Summary!N$37,0,(ROW()-ROW($C$92))*11)</f>
        <v>3</v>
      </c>
      <c r="D92">
        <f ca="1">OFFSET(Summary!O$37,0,(ROW()-ROW($C$92))*11)</f>
        <v>2</v>
      </c>
      <c r="E92">
        <f ca="1">OFFSET(Summary!P$37,0,(ROW()-ROW($C$92))*11)</f>
        <v>1</v>
      </c>
      <c r="F92">
        <f ca="1">OFFSET(Summary!Q$37,0,(ROW()-ROW($C$92))*11)</f>
        <v>0</v>
      </c>
      <c r="I92" t="str">
        <f>B92</f>
        <v>EPA</v>
      </c>
      <c r="J92" s="39">
        <f ca="1">C92/SUM($C92:$F92)</f>
        <v>0.5</v>
      </c>
      <c r="K92" s="39">
        <f t="shared" ref="K92:K94" ca="1" si="132">D92/SUM($C92:$F92)</f>
        <v>0.33333333333333331</v>
      </c>
      <c r="L92" s="39">
        <f t="shared" ref="L92:L94" ca="1" si="133">E92/SUM($C92:$F92)</f>
        <v>0.16666666666666666</v>
      </c>
      <c r="M92" s="39">
        <f t="shared" ref="M92:M94" ca="1" si="134">F92/SUM($C92:$F92)</f>
        <v>0</v>
      </c>
      <c r="O92" s="147">
        <f ca="1">O91</f>
        <v>0.23492063492063489</v>
      </c>
      <c r="P92" t="str">
        <f>I92</f>
        <v>EPA</v>
      </c>
      <c r="Q92" s="122">
        <f ca="1">INDEX(J$81:J$99,MATCH($O92,$H$81:$H$99,0)+1)</f>
        <v>0.33333333333333331</v>
      </c>
      <c r="R92" s="122">
        <f t="shared" ref="R92" ca="1" si="135">INDEX(K$81:K$99,MATCH($O92,$H$81:$H$99,0)+1)</f>
        <v>0.16666666666666666</v>
      </c>
      <c r="S92" s="122">
        <f t="shared" ref="S92" ca="1" si="136">INDEX(L$81:L$99,MATCH($O92,$H$81:$H$99,0)+1)</f>
        <v>0.5</v>
      </c>
      <c r="T92" s="122">
        <f t="shared" ref="T92" ca="1" si="137">INDEX(M$81:M$99,MATCH($O92,$H$81:$H$99,0)+1)</f>
        <v>0</v>
      </c>
      <c r="W92" t="str">
        <f>$C$7</f>
        <v>Chemical</v>
      </c>
      <c r="X92">
        <f ca="1">OFFSET(Summary!AU$37,0,(ROW()-ROW($C$92))*11)</f>
        <v>9</v>
      </c>
      <c r="Y92">
        <f ca="1">OFFSET(Summary!AV$37,0,(ROW()-ROW($C$92))*11)</f>
        <v>7</v>
      </c>
      <c r="Z92">
        <f ca="1">OFFSET(Summary!AW$37,0,(ROW()-ROW($C$92))*11)</f>
        <v>1</v>
      </c>
      <c r="AA92">
        <f ca="1">OFFSET(Summary!AX$37,0,(ROW()-ROW($C$92))*11)</f>
        <v>1</v>
      </c>
      <c r="AD92" t="str">
        <f>W92</f>
        <v>Chemical</v>
      </c>
      <c r="AE92" s="39">
        <f t="shared" ref="AE92:AH94" ca="1" si="138">X92/SUM($X92:$AA92)</f>
        <v>0.5</v>
      </c>
      <c r="AF92" s="39">
        <f t="shared" ca="1" si="138"/>
        <v>0.3888888888888889</v>
      </c>
      <c r="AG92" s="39">
        <f t="shared" ca="1" si="138"/>
        <v>5.5555555555555552E-2</v>
      </c>
      <c r="AH92" s="39">
        <f t="shared" ca="1" si="138"/>
        <v>5.5555555555555552E-2</v>
      </c>
      <c r="AJ92" s="149">
        <f ca="1">AJ91</f>
        <v>0.15925925925925927</v>
      </c>
      <c r="AK92" t="str">
        <f>AD92</f>
        <v>Chemical</v>
      </c>
      <c r="AL92" s="122">
        <f ca="1">INDEX(AE$81:AE$99,MATCH($AJ92,$AC$81:$AC$99,0)+1)</f>
        <v>0.27777777777777779</v>
      </c>
      <c r="AM92" s="122">
        <f ca="1">INDEX(AF$81:AF$99,MATCH($AJ92,$AC$81:$AC$99,0)+1)</f>
        <v>0.16666666666666666</v>
      </c>
      <c r="AN92" s="122">
        <f ca="1">INDEX(AG$81:AG$99,MATCH($AJ92,$AC$81:$AC$99,0)+1)</f>
        <v>0.44444444444444442</v>
      </c>
      <c r="AO92" s="122">
        <f ca="1">INDEX(AH$81:AH$99,MATCH($AJ92,$AC$81:$AC$99,0)+1)</f>
        <v>0.1111111111111111</v>
      </c>
    </row>
    <row r="93" spans="2:41" x14ac:dyDescent="0.25">
      <c r="B93" t="str">
        <f>$D$2</f>
        <v>Non-EPA</v>
      </c>
      <c r="C93">
        <f ca="1">OFFSET(Summary!N$37,0,(ROW()-ROW($C$92))*11)</f>
        <v>8</v>
      </c>
      <c r="D93">
        <f ca="1">OFFSET(Summary!O$37,0,(ROW()-ROW($C$92))*11)</f>
        <v>5</v>
      </c>
      <c r="E93">
        <f ca="1">OFFSET(Summary!P$37,0,(ROW()-ROW($C$92))*11)</f>
        <v>0</v>
      </c>
      <c r="F93">
        <f ca="1">OFFSET(Summary!Q$37,0,(ROW()-ROW($C$92))*11)</f>
        <v>1</v>
      </c>
      <c r="I93" t="str">
        <f>B93</f>
        <v>Non-EPA</v>
      </c>
      <c r="J93" s="39">
        <f t="shared" ref="J93:J94" ca="1" si="139">C93/SUM($C93:$F93)</f>
        <v>0.5714285714285714</v>
      </c>
      <c r="K93" s="39">
        <f t="shared" ca="1" si="132"/>
        <v>0.35714285714285715</v>
      </c>
      <c r="L93" s="39">
        <f t="shared" ca="1" si="133"/>
        <v>0</v>
      </c>
      <c r="M93" s="39">
        <f t="shared" ca="1" si="134"/>
        <v>7.1428571428571425E-2</v>
      </c>
      <c r="O93" s="147">
        <f ca="1">O92</f>
        <v>0.23492063492063489</v>
      </c>
      <c r="P93" t="str">
        <f>I93</f>
        <v>Non-EPA</v>
      </c>
      <c r="Q93" s="122">
        <f ca="1">INDEX(J$81:J$99,MATCH($O93,$H$81:$H$99,0)+2)</f>
        <v>7.1428571428571425E-2</v>
      </c>
      <c r="R93" s="122">
        <f t="shared" ref="R93" ca="1" si="140">INDEX(K$81:K$99,MATCH($O93,$H$81:$H$99,0)+2)</f>
        <v>0.14285714285714285</v>
      </c>
      <c r="S93" s="122">
        <f t="shared" ref="S93" ca="1" si="141">INDEX(L$81:L$99,MATCH($O93,$H$81:$H$99,0)+2)</f>
        <v>0.6428571428571429</v>
      </c>
      <c r="T93" s="122">
        <f t="shared" ref="T93" ca="1" si="142">INDEX(M$81:M$99,MATCH($O93,$H$81:$H$99,0)+2)</f>
        <v>0.14285714285714285</v>
      </c>
      <c r="W93" t="str">
        <f>$D$7</f>
        <v>Human Factors</v>
      </c>
      <c r="X93">
        <f ca="1">OFFSET(Summary!AU$37,0,(ROW()-ROW($C$92))*11)</f>
        <v>3</v>
      </c>
      <c r="Y93">
        <f ca="1">OFFSET(Summary!AV$37,0,(ROW()-ROW($C$92))*11)</f>
        <v>1</v>
      </c>
      <c r="Z93">
        <f ca="1">OFFSET(Summary!AW$37,0,(ROW()-ROW($C$92))*11)</f>
        <v>1</v>
      </c>
      <c r="AA93">
        <f ca="1">OFFSET(Summary!AX$37,0,(ROW()-ROW($C$92))*11)</f>
        <v>0</v>
      </c>
      <c r="AD93" t="str">
        <f>W93</f>
        <v>Human Factors</v>
      </c>
      <c r="AE93" s="39">
        <f t="shared" ca="1" si="138"/>
        <v>0.6</v>
      </c>
      <c r="AF93" s="39">
        <f t="shared" ca="1" si="138"/>
        <v>0.2</v>
      </c>
      <c r="AG93" s="39">
        <f t="shared" ca="1" si="138"/>
        <v>0.2</v>
      </c>
      <c r="AH93" s="39">
        <f t="shared" ca="1" si="138"/>
        <v>0</v>
      </c>
      <c r="AJ93" s="149">
        <f ca="1">AJ92</f>
        <v>0.15925925925925927</v>
      </c>
      <c r="AK93" t="str">
        <f>AD93</f>
        <v>Human Factors</v>
      </c>
      <c r="AL93" s="122">
        <f ca="1">INDEX(AE$81:AE$99,MATCH($AJ93,$AC$81:$AC$99,0)+2)</f>
        <v>0.2</v>
      </c>
      <c r="AM93" s="122">
        <f ca="1">INDEX(AF$81:AF$99,MATCH($AJ93,$AC$81:$AC$99,0)+2)</f>
        <v>0.2</v>
      </c>
      <c r="AN93" s="122">
        <f ca="1">INDEX(AG$81:AG$99,MATCH($AJ93,$AC$81:$AC$99,0)+2)</f>
        <v>0.6</v>
      </c>
      <c r="AO93" s="122">
        <f ca="1">INDEX(AH$81:AH$99,MATCH($AJ93,$AC$81:$AC$99,0)+2)</f>
        <v>0</v>
      </c>
    </row>
    <row r="94" spans="2:41" x14ac:dyDescent="0.25">
      <c r="B94" t="str">
        <f>$E$2</f>
        <v>Unk-EPA</v>
      </c>
      <c r="C94">
        <f ca="1">OFFSET(Summary!N$37,0,(ROW()-ROW($C$92))*11)</f>
        <v>4</v>
      </c>
      <c r="D94">
        <f ca="1">OFFSET(Summary!O$37,0,(ROW()-ROW($C$92))*11)</f>
        <v>4</v>
      </c>
      <c r="E94">
        <f ca="1">OFFSET(Summary!P$37,0,(ROW()-ROW($C$92))*11)</f>
        <v>2</v>
      </c>
      <c r="F94">
        <f ca="1">OFFSET(Summary!Q$37,0,(ROW()-ROW($C$92))*11)</f>
        <v>0</v>
      </c>
      <c r="I94" t="str">
        <f>B94</f>
        <v>Unk-EPA</v>
      </c>
      <c r="J94" s="39">
        <f t="shared" ca="1" si="139"/>
        <v>0.4</v>
      </c>
      <c r="K94" s="39">
        <f t="shared" ca="1" si="132"/>
        <v>0.4</v>
      </c>
      <c r="L94" s="39">
        <f t="shared" ca="1" si="133"/>
        <v>0.2</v>
      </c>
      <c r="M94" s="39">
        <f t="shared" ca="1" si="134"/>
        <v>0</v>
      </c>
      <c r="O94" s="147">
        <f ca="1">O93</f>
        <v>0.23492063492063489</v>
      </c>
      <c r="P94" t="str">
        <f>I94</f>
        <v>Unk-EPA</v>
      </c>
      <c r="Q94" s="122">
        <f ca="1">INDEX(J$81:J$99,MATCH($O94,$H$81:$H$99,0)+3)</f>
        <v>0.3</v>
      </c>
      <c r="R94" s="122">
        <f t="shared" ref="R94" ca="1" si="143">INDEX(K$81:K$99,MATCH($O94,$H$81:$H$99,0)+3)</f>
        <v>0.4</v>
      </c>
      <c r="S94" s="122">
        <f t="shared" ref="S94" ca="1" si="144">INDEX(L$81:L$99,MATCH($O94,$H$81:$H$99,0)+3)</f>
        <v>0.3</v>
      </c>
      <c r="T94" s="122">
        <f t="shared" ref="T94" ca="1" si="145">INDEX(M$81:M$99,MATCH($O94,$H$81:$H$99,0)+3)</f>
        <v>0</v>
      </c>
      <c r="W94" t="str">
        <f>$E$7</f>
        <v>Other</v>
      </c>
      <c r="X94">
        <f ca="1">OFFSET(Summary!AU$37,0,(ROW()-ROW($C$92))*11)</f>
        <v>3</v>
      </c>
      <c r="Y94">
        <f ca="1">OFFSET(Summary!AV$37,0,(ROW()-ROW($C$92))*11)</f>
        <v>3</v>
      </c>
      <c r="Z94">
        <f ca="1">OFFSET(Summary!AW$37,0,(ROW()-ROW($C$92))*11)</f>
        <v>1</v>
      </c>
      <c r="AA94">
        <f ca="1">OFFSET(Summary!AX$37,0,(ROW()-ROW($C$92))*11)</f>
        <v>0</v>
      </c>
      <c r="AD94" t="str">
        <f>W94</f>
        <v>Other</v>
      </c>
      <c r="AE94" s="39">
        <f t="shared" ca="1" si="138"/>
        <v>0.42857142857142855</v>
      </c>
      <c r="AF94" s="39">
        <f t="shared" ca="1" si="138"/>
        <v>0.42857142857142855</v>
      </c>
      <c r="AG94" s="39">
        <f t="shared" ca="1" si="138"/>
        <v>0.14285714285714285</v>
      </c>
      <c r="AH94" s="39">
        <f t="shared" ca="1" si="138"/>
        <v>0</v>
      </c>
      <c r="AJ94" s="149">
        <f ca="1">AJ93</f>
        <v>0.15925925925925927</v>
      </c>
      <c r="AK94" t="str">
        <f>AD94</f>
        <v>Other</v>
      </c>
      <c r="AL94" s="122">
        <f ca="1">INDEX(AE$81:AE$99,MATCH($AJ94,$AC$81:$AC$99,0)+3)</f>
        <v>0</v>
      </c>
      <c r="AM94" s="122">
        <f ca="1">INDEX(AF$81:AF$99,MATCH($AJ94,$AC$81:$AC$99,0)+3)</f>
        <v>0.42857142857142855</v>
      </c>
      <c r="AN94" s="122">
        <f ca="1">INDEX(AG$81:AG$99,MATCH($AJ94,$AC$81:$AC$99,0)+3)</f>
        <v>0.5714285714285714</v>
      </c>
      <c r="AO94" s="122">
        <f ca="1">INDEX(AH$81:AH$99,MATCH($AJ94,$AC$81:$AC$99,0)+3)</f>
        <v>0</v>
      </c>
    </row>
    <row r="95" spans="2:41" x14ac:dyDescent="0.25">
      <c r="O95" s="146"/>
      <c r="AJ95" s="150"/>
    </row>
    <row r="96" spans="2:41" x14ac:dyDescent="0.25">
      <c r="B96" t="str">
        <f>$F$6</f>
        <v>Ubiquity</v>
      </c>
      <c r="C96" t="str">
        <f>$C$3</f>
        <v>1st Rank</v>
      </c>
      <c r="D96" t="str">
        <f>$D$3</f>
        <v>2nd Rank</v>
      </c>
      <c r="E96" t="str">
        <f>$E$3</f>
        <v>3rd Rank</v>
      </c>
      <c r="F96" t="str">
        <f>$F$3</f>
        <v>4th Rank</v>
      </c>
      <c r="H96" s="141">
        <f ca="1">AVERAGE(J97:J99)</f>
        <v>0.3746031746031746</v>
      </c>
      <c r="I96" t="str">
        <f>B96</f>
        <v>Ubiquity</v>
      </c>
      <c r="J96" t="str">
        <f>C96</f>
        <v>1st Rank</v>
      </c>
      <c r="K96" t="str">
        <f>D96</f>
        <v>2nd Rank</v>
      </c>
      <c r="L96" t="str">
        <f>E96</f>
        <v>3rd Rank</v>
      </c>
      <c r="M96" t="str">
        <f>F96</f>
        <v>4th Rank</v>
      </c>
      <c r="O96" s="145">
        <f ca="1">LARGE($H$81:$H$99,4)</f>
        <v>0</v>
      </c>
      <c r="P96" t="str">
        <f ca="1">INDEX($I$81:$I$99,MATCH(O96,$H$81:$H$99,0))</f>
        <v>Environment</v>
      </c>
      <c r="Q96" t="str">
        <f>J96</f>
        <v>1st Rank</v>
      </c>
      <c r="R96" t="str">
        <f>K96</f>
        <v>2nd Rank</v>
      </c>
      <c r="S96" t="str">
        <f>L96</f>
        <v>3rd Rank</v>
      </c>
      <c r="T96" t="str">
        <f>M96</f>
        <v>4th Rank</v>
      </c>
      <c r="W96" t="str">
        <f>$F$6</f>
        <v>Ubiquity</v>
      </c>
      <c r="X96" t="str">
        <f>$C$3</f>
        <v>1st Rank</v>
      </c>
      <c r="Y96" t="str">
        <f>$D$3</f>
        <v>2nd Rank</v>
      </c>
      <c r="Z96" t="str">
        <f>$E$3</f>
        <v>3rd Rank</v>
      </c>
      <c r="AA96" t="str">
        <f>$F$3</f>
        <v>4th Rank</v>
      </c>
      <c r="AC96" s="141">
        <f ca="1">AVERAGE(AE97:AE99)</f>
        <v>0.38677248677248671</v>
      </c>
      <c r="AD96" t="str">
        <f>W96</f>
        <v>Ubiquity</v>
      </c>
      <c r="AE96" t="str">
        <f>X96</f>
        <v>1st Rank</v>
      </c>
      <c r="AF96" t="str">
        <f>Y96</f>
        <v>2nd Rank</v>
      </c>
      <c r="AG96" t="str">
        <f>Z96</f>
        <v>3rd Rank</v>
      </c>
      <c r="AH96" t="str">
        <f>AA96</f>
        <v>4th Rank</v>
      </c>
      <c r="AJ96" s="148">
        <f ca="1">LARGE($AC$81:$AC$99,4)</f>
        <v>0</v>
      </c>
      <c r="AK96" t="str">
        <f ca="1">INDEX($AD$81:$AD$99,MATCH(AJ96,$AC$81:$AC$99,0))</f>
        <v>Environment</v>
      </c>
      <c r="AL96" t="str">
        <f>AE96</f>
        <v>1st Rank</v>
      </c>
      <c r="AM96" t="str">
        <f>AF96</f>
        <v>2nd Rank</v>
      </c>
      <c r="AN96" t="str">
        <f>AG96</f>
        <v>3rd Rank</v>
      </c>
      <c r="AO96" t="str">
        <f>AH96</f>
        <v>4th Rank</v>
      </c>
    </row>
    <row r="97" spans="1:41" x14ac:dyDescent="0.25">
      <c r="B97" t="str">
        <f>$C$2</f>
        <v>EPA</v>
      </c>
      <c r="C97">
        <f ca="1">OFFSET(Summary!N$38,0,(ROW()-ROW($C$97))*11)</f>
        <v>1</v>
      </c>
      <c r="D97">
        <f ca="1">OFFSET(Summary!O$38,0,(ROW()-ROW($C$97))*11)</f>
        <v>3</v>
      </c>
      <c r="E97">
        <f ca="1">OFFSET(Summary!P$38,0,(ROW()-ROW($C$97))*11)</f>
        <v>0</v>
      </c>
      <c r="F97">
        <f ca="1">OFFSET(Summary!Q$38,0,(ROW()-ROW($C$97))*11)</f>
        <v>2</v>
      </c>
      <c r="I97" t="str">
        <f>B97</f>
        <v>EPA</v>
      </c>
      <c r="J97" s="39">
        <f ca="1">C97/SUM($C97:$F97)</f>
        <v>0.16666666666666666</v>
      </c>
      <c r="K97" s="39">
        <f t="shared" ref="K97:K99" ca="1" si="146">D97/SUM($C97:$F97)</f>
        <v>0.5</v>
      </c>
      <c r="L97" s="39">
        <f t="shared" ref="L97:L99" ca="1" si="147">E97/SUM($C97:$F97)</f>
        <v>0</v>
      </c>
      <c r="M97" s="39">
        <f t="shared" ref="M97:M99" ca="1" si="148">F97/SUM($C97:$F97)</f>
        <v>0.33333333333333331</v>
      </c>
      <c r="O97" s="147">
        <f ca="1">O96</f>
        <v>0</v>
      </c>
      <c r="P97" t="str">
        <f>I97</f>
        <v>EPA</v>
      </c>
      <c r="Q97" s="122">
        <f ca="1">INDEX(J$81:J$99,MATCH($O97,$H$81:$H$99,0)+1)</f>
        <v>0</v>
      </c>
      <c r="R97" s="122">
        <f t="shared" ref="R97" ca="1" si="149">INDEX(K$81:K$99,MATCH($O97,$H$81:$H$99,0)+1)</f>
        <v>0.16666666666666666</v>
      </c>
      <c r="S97" s="122">
        <f t="shared" ref="S97" ca="1" si="150">INDEX(L$81:L$99,MATCH($O97,$H$81:$H$99,0)+1)</f>
        <v>0.33333333333333331</v>
      </c>
      <c r="T97" s="122">
        <f t="shared" ref="T97" ca="1" si="151">INDEX(M$81:M$99,MATCH($O97,$H$81:$H$99,0)+1)</f>
        <v>0.5</v>
      </c>
      <c r="W97" t="str">
        <f>$C$7</f>
        <v>Chemical</v>
      </c>
      <c r="X97">
        <f ca="1">OFFSET(Summary!AU$38,0,(ROW()-ROW($C$97))*11)</f>
        <v>7</v>
      </c>
      <c r="Y97">
        <f ca="1">OFFSET(Summary!AV$38,0,(ROW()-ROW($C$97))*11)</f>
        <v>7</v>
      </c>
      <c r="Z97">
        <f ca="1">OFFSET(Summary!AW$38,0,(ROW()-ROW($C$97))*11)</f>
        <v>2</v>
      </c>
      <c r="AA97">
        <f ca="1">OFFSET(Summary!AX$38,0,(ROW()-ROW($C$97))*11)</f>
        <v>2</v>
      </c>
      <c r="AD97" t="str">
        <f>W97</f>
        <v>Chemical</v>
      </c>
      <c r="AE97" s="39">
        <f t="shared" ref="AE97:AH99" ca="1" si="152">X97/SUM($X97:$AA97)</f>
        <v>0.3888888888888889</v>
      </c>
      <c r="AF97" s="39">
        <f t="shared" ca="1" si="152"/>
        <v>0.3888888888888889</v>
      </c>
      <c r="AG97" s="39">
        <f t="shared" ca="1" si="152"/>
        <v>0.1111111111111111</v>
      </c>
      <c r="AH97" s="39">
        <f t="shared" ca="1" si="152"/>
        <v>0.1111111111111111</v>
      </c>
      <c r="AJ97" s="149">
        <f ca="1">AJ96</f>
        <v>0</v>
      </c>
      <c r="AK97" t="str">
        <f>AD97</f>
        <v>Chemical</v>
      </c>
      <c r="AL97" s="122">
        <f ca="1">INDEX(AE$81:AE$99,MATCH($AJ97,$AC$81:$AC$99,0)+1)</f>
        <v>0</v>
      </c>
      <c r="AM97" s="122">
        <f ca="1">INDEX(AF$81:AF$99,MATCH($AJ97,$AC$81:$AC$99,0)+1)</f>
        <v>0.1111111111111111</v>
      </c>
      <c r="AN97" s="122">
        <f ca="1">INDEX(AG$81:AG$99,MATCH($AJ97,$AC$81:$AC$99,0)+1)</f>
        <v>0.3888888888888889</v>
      </c>
      <c r="AO97" s="122">
        <f ca="1">INDEX(AH$81:AH$99,MATCH($AJ97,$AC$81:$AC$99,0)+1)</f>
        <v>0.5</v>
      </c>
    </row>
    <row r="98" spans="1:41" x14ac:dyDescent="0.25">
      <c r="B98" t="str">
        <f>$D$2</f>
        <v>Non-EPA</v>
      </c>
      <c r="C98">
        <f ca="1">OFFSET(Summary!N$38,0,(ROW()-ROW($C$97))*11)</f>
        <v>5</v>
      </c>
      <c r="D98">
        <f ca="1">OFFSET(Summary!O$38,0,(ROW()-ROW($C$97))*11)</f>
        <v>5</v>
      </c>
      <c r="E98">
        <f ca="1">OFFSET(Summary!P$38,0,(ROW()-ROW($C$97))*11)</f>
        <v>2</v>
      </c>
      <c r="F98">
        <f ca="1">OFFSET(Summary!Q$38,0,(ROW()-ROW($C$97))*11)</f>
        <v>2</v>
      </c>
      <c r="I98" t="str">
        <f>B98</f>
        <v>Non-EPA</v>
      </c>
      <c r="J98" s="39">
        <f t="shared" ref="J98:J99" ca="1" si="153">C98/SUM($C98:$F98)</f>
        <v>0.35714285714285715</v>
      </c>
      <c r="K98" s="39">
        <f t="shared" ca="1" si="146"/>
        <v>0.35714285714285715</v>
      </c>
      <c r="L98" s="39">
        <f t="shared" ca="1" si="147"/>
        <v>0.14285714285714285</v>
      </c>
      <c r="M98" s="39">
        <f t="shared" ca="1" si="148"/>
        <v>0.14285714285714285</v>
      </c>
      <c r="O98" s="147">
        <f ca="1">O97</f>
        <v>0</v>
      </c>
      <c r="P98" t="str">
        <f>I98</f>
        <v>Non-EPA</v>
      </c>
      <c r="Q98" s="122">
        <f ca="1">INDEX(J$81:J$99,MATCH($O98,$H$81:$H$99,0)+2)</f>
        <v>0</v>
      </c>
      <c r="R98" s="122">
        <f t="shared" ref="R98" ca="1" si="154">INDEX(K$81:K$99,MATCH($O98,$H$81:$H$99,0)+2)</f>
        <v>0.14285714285714285</v>
      </c>
      <c r="S98" s="122">
        <f t="shared" ref="S98" ca="1" si="155">INDEX(L$81:L$99,MATCH($O98,$H$81:$H$99,0)+2)</f>
        <v>0.2857142857142857</v>
      </c>
      <c r="T98" s="122">
        <f t="shared" ref="T98" ca="1" si="156">INDEX(M$81:M$99,MATCH($O98,$H$81:$H$99,0)+2)</f>
        <v>0.5714285714285714</v>
      </c>
      <c r="W98" t="str">
        <f>$D$7</f>
        <v>Human Factors</v>
      </c>
      <c r="X98">
        <f ca="1">OFFSET(Summary!AU$38,0,(ROW()-ROW($C$97))*11)</f>
        <v>1</v>
      </c>
      <c r="Y98">
        <f ca="1">OFFSET(Summary!AV$38,0,(ROW()-ROW($C$97))*11)</f>
        <v>2</v>
      </c>
      <c r="Z98">
        <f ca="1">OFFSET(Summary!AW$38,0,(ROW()-ROW($C$97))*11)</f>
        <v>1</v>
      </c>
      <c r="AA98">
        <f ca="1">OFFSET(Summary!AX$38,0,(ROW()-ROW($C$97))*11)</f>
        <v>1</v>
      </c>
      <c r="AD98" t="str">
        <f>W98</f>
        <v>Human Factors</v>
      </c>
      <c r="AE98" s="39">
        <f t="shared" ca="1" si="152"/>
        <v>0.2</v>
      </c>
      <c r="AF98" s="39">
        <f t="shared" ca="1" si="152"/>
        <v>0.4</v>
      </c>
      <c r="AG98" s="39">
        <f t="shared" ca="1" si="152"/>
        <v>0.2</v>
      </c>
      <c r="AH98" s="39">
        <f t="shared" ca="1" si="152"/>
        <v>0.2</v>
      </c>
      <c r="AJ98" s="149">
        <f ca="1">AJ97</f>
        <v>0</v>
      </c>
      <c r="AK98" t="str">
        <f>AD98</f>
        <v>Human Factors</v>
      </c>
      <c r="AL98" s="122">
        <f ca="1">INDEX(AE$81:AE$99,MATCH($AJ98,$AC$81:$AC$99,0)+2)</f>
        <v>0</v>
      </c>
      <c r="AM98" s="122">
        <f ca="1">INDEX(AF$81:AF$99,MATCH($AJ98,$AC$81:$AC$99,0)+2)</f>
        <v>0.4</v>
      </c>
      <c r="AN98" s="122">
        <f ca="1">INDEX(AG$81:AG$99,MATCH($AJ98,$AC$81:$AC$99,0)+2)</f>
        <v>0.2</v>
      </c>
      <c r="AO98" s="122">
        <f ca="1">INDEX(AH$81:AH$99,MATCH($AJ98,$AC$81:$AC$99,0)+2)</f>
        <v>0.4</v>
      </c>
    </row>
    <row r="99" spans="1:41" x14ac:dyDescent="0.25">
      <c r="B99" t="str">
        <f>$E$2</f>
        <v>Unk-EPA</v>
      </c>
      <c r="C99">
        <f ca="1">OFFSET(Summary!N$38,0,(ROW()-ROW($C$97))*11)</f>
        <v>6</v>
      </c>
      <c r="D99">
        <f ca="1">OFFSET(Summary!O$38,0,(ROW()-ROW($C$97))*11)</f>
        <v>1</v>
      </c>
      <c r="E99">
        <f ca="1">OFFSET(Summary!P$38,0,(ROW()-ROW($C$97))*11)</f>
        <v>2</v>
      </c>
      <c r="F99">
        <f ca="1">OFFSET(Summary!Q$38,0,(ROW()-ROW($C$97))*11)</f>
        <v>1</v>
      </c>
      <c r="I99" t="str">
        <f>B99</f>
        <v>Unk-EPA</v>
      </c>
      <c r="J99" s="39">
        <f t="shared" ca="1" si="153"/>
        <v>0.6</v>
      </c>
      <c r="K99" s="39">
        <f t="shared" ca="1" si="146"/>
        <v>0.1</v>
      </c>
      <c r="L99" s="39">
        <f t="shared" ca="1" si="147"/>
        <v>0.2</v>
      </c>
      <c r="M99" s="39">
        <f t="shared" ca="1" si="148"/>
        <v>0.1</v>
      </c>
      <c r="O99" s="147">
        <f ca="1">O98</f>
        <v>0</v>
      </c>
      <c r="P99" t="str">
        <f>I99</f>
        <v>Unk-EPA</v>
      </c>
      <c r="Q99" s="122">
        <f ca="1">INDEX(J$81:J$99,MATCH($O99,$H$81:$H$99,0)+3)</f>
        <v>0</v>
      </c>
      <c r="R99" s="122">
        <f t="shared" ref="R99" ca="1" si="157">INDEX(K$81:K$99,MATCH($O99,$H$81:$H$99,0)+3)</f>
        <v>0.3</v>
      </c>
      <c r="S99" s="122">
        <f t="shared" ref="S99" ca="1" si="158">INDEX(L$81:L$99,MATCH($O99,$H$81:$H$99,0)+3)</f>
        <v>0.3</v>
      </c>
      <c r="T99" s="122">
        <f t="shared" ref="T99" ca="1" si="159">INDEX(M$81:M$99,MATCH($O99,$H$81:$H$99,0)+3)</f>
        <v>0.4</v>
      </c>
      <c r="W99" t="str">
        <f>$E$7</f>
        <v>Other</v>
      </c>
      <c r="X99">
        <f ca="1">OFFSET(Summary!AU$38,0,(ROW()-ROW($C$97))*11)</f>
        <v>4</v>
      </c>
      <c r="Y99">
        <f ca="1">OFFSET(Summary!AV$38,0,(ROW()-ROW($C$97))*11)</f>
        <v>0</v>
      </c>
      <c r="Z99">
        <f ca="1">OFFSET(Summary!AW$38,0,(ROW()-ROW($C$97))*11)</f>
        <v>1</v>
      </c>
      <c r="AA99">
        <f ca="1">OFFSET(Summary!AX$38,0,(ROW()-ROW($C$97))*11)</f>
        <v>2</v>
      </c>
      <c r="AD99" t="str">
        <f>W99</f>
        <v>Other</v>
      </c>
      <c r="AE99" s="39">
        <f t="shared" ca="1" si="152"/>
        <v>0.5714285714285714</v>
      </c>
      <c r="AF99" s="39">
        <f t="shared" ca="1" si="152"/>
        <v>0</v>
      </c>
      <c r="AG99" s="39">
        <f t="shared" ca="1" si="152"/>
        <v>0.14285714285714285</v>
      </c>
      <c r="AH99" s="39">
        <f t="shared" ca="1" si="152"/>
        <v>0.2857142857142857</v>
      </c>
      <c r="AJ99" s="149">
        <f ca="1">AJ98</f>
        <v>0</v>
      </c>
      <c r="AK99" t="str">
        <f>AD99</f>
        <v>Other</v>
      </c>
      <c r="AL99" s="122">
        <f ca="1">INDEX(AE$81:AE$99,MATCH($AJ99,$AC$81:$AC$99,0)+3)</f>
        <v>0</v>
      </c>
      <c r="AM99" s="122">
        <f ca="1">INDEX(AF$81:AF$99,MATCH($AJ99,$AC$81:$AC$99,0)+3)</f>
        <v>0.2857142857142857</v>
      </c>
      <c r="AN99" s="122">
        <f ca="1">INDEX(AG$81:AG$99,MATCH($AJ99,$AC$81:$AC$99,0)+3)</f>
        <v>0.14285714285714285</v>
      </c>
      <c r="AO99" s="122">
        <f ca="1">INDEX(AH$81:AH$99,MATCH($AJ99,$AC$81:$AC$99,0)+3)</f>
        <v>0.5714285714285714</v>
      </c>
    </row>
    <row r="101" spans="1:41" x14ac:dyDescent="0.25">
      <c r="A101" s="3" t="s">
        <v>407</v>
      </c>
      <c r="H101" s="3" t="s">
        <v>401</v>
      </c>
      <c r="O101" s="3" t="s">
        <v>402</v>
      </c>
      <c r="P101" s="3"/>
      <c r="V101" s="3" t="s">
        <v>407</v>
      </c>
      <c r="AC101" s="3" t="s">
        <v>401</v>
      </c>
      <c r="AJ101" s="3" t="s">
        <v>402</v>
      </c>
      <c r="AK101" s="3"/>
    </row>
    <row r="102" spans="1:41" x14ac:dyDescent="0.25">
      <c r="B102" t="str">
        <f>$C$6</f>
        <v>Subject</v>
      </c>
      <c r="C102" t="str">
        <f>$C$3</f>
        <v>1st Rank</v>
      </c>
      <c r="D102" t="str">
        <f>$D$3</f>
        <v>2nd Rank</v>
      </c>
      <c r="E102" t="str">
        <f>$E$3</f>
        <v>3rd Rank</v>
      </c>
      <c r="F102" t="str">
        <f>$F$3</f>
        <v>4th Rank</v>
      </c>
      <c r="H102" s="141">
        <f ca="1">AVERAGE(J103:J105)</f>
        <v>5.7142857142857141E-2</v>
      </c>
      <c r="I102" t="str">
        <f>B102</f>
        <v>Subject</v>
      </c>
      <c r="J102" t="str">
        <f>C102</f>
        <v>1st Rank</v>
      </c>
      <c r="K102" t="str">
        <f>D102</f>
        <v>2nd Rank</v>
      </c>
      <c r="L102" t="str">
        <f>E102</f>
        <v>3rd Rank</v>
      </c>
      <c r="M102" t="str">
        <f>F102</f>
        <v>4th Rank</v>
      </c>
      <c r="O102" s="145">
        <f ca="1">LARGE($H$102:$H$120,1)</f>
        <v>0.51587301587301593</v>
      </c>
      <c r="P102" t="str">
        <f ca="1">INDEX($I$102:$I$120,MATCH(O102,$H$102:$H$120,0))</f>
        <v>Ubiquity</v>
      </c>
      <c r="Q102" t="str">
        <f>J102</f>
        <v>1st Rank</v>
      </c>
      <c r="R102" t="str">
        <f>K102</f>
        <v>2nd Rank</v>
      </c>
      <c r="S102" t="str">
        <f>L102</f>
        <v>3rd Rank</v>
      </c>
      <c r="T102" t="str">
        <f>M102</f>
        <v>4th Rank</v>
      </c>
      <c r="W102" t="str">
        <f>$C$6</f>
        <v>Subject</v>
      </c>
      <c r="X102" t="str">
        <f>$C$3</f>
        <v>1st Rank</v>
      </c>
      <c r="Y102" t="str">
        <f>$D$3</f>
        <v>2nd Rank</v>
      </c>
      <c r="Z102" t="str">
        <f>$E$3</f>
        <v>3rd Rank</v>
      </c>
      <c r="AA102" t="str">
        <f>$F$3</f>
        <v>4th Rank</v>
      </c>
      <c r="AC102" s="141">
        <f ca="1">AVERAGE(AE103:AE105)</f>
        <v>8.5185185185185183E-2</v>
      </c>
      <c r="AD102" t="str">
        <f>W102</f>
        <v>Subject</v>
      </c>
      <c r="AE102" t="str">
        <f>X102</f>
        <v>1st Rank</v>
      </c>
      <c r="AF102" t="str">
        <f>Y102</f>
        <v>2nd Rank</v>
      </c>
      <c r="AG102" t="str">
        <f>Z102</f>
        <v>3rd Rank</v>
      </c>
      <c r="AH102" t="str">
        <f>AA102</f>
        <v>4th Rank</v>
      </c>
      <c r="AJ102" s="148">
        <f ca="1">LARGE($AC$102:$AC$120,1)</f>
        <v>0.49841269841269842</v>
      </c>
      <c r="AK102" t="str">
        <f ca="1">INDEX($AD$102:$AD$120,MATCH(AJ102,$AC$102:$AC$120,0))</f>
        <v>Ubiquity</v>
      </c>
      <c r="AL102" t="str">
        <f>AE102</f>
        <v>1st Rank</v>
      </c>
      <c r="AM102" t="str">
        <f>AF102</f>
        <v>2nd Rank</v>
      </c>
      <c r="AN102" t="str">
        <f>AG102</f>
        <v>3rd Rank</v>
      </c>
      <c r="AO102" t="str">
        <f>AH102</f>
        <v>4th Rank</v>
      </c>
    </row>
    <row r="103" spans="1:41" x14ac:dyDescent="0.25">
      <c r="B103" t="str">
        <f>$C$2</f>
        <v>EPA</v>
      </c>
      <c r="C103">
        <f ca="1">OFFSET(Summary!N$42,0,(ROW()-ROW($C$103))*11)</f>
        <v>0</v>
      </c>
      <c r="D103">
        <f ca="1">OFFSET(Summary!O$42,0,(ROW()-ROW($C$103))*11)</f>
        <v>1</v>
      </c>
      <c r="E103">
        <f ca="1">OFFSET(Summary!P$42,0,(ROW()-ROW($C$103))*11)</f>
        <v>3</v>
      </c>
      <c r="F103">
        <f ca="1">OFFSET(Summary!Q$42,0,(ROW()-ROW($C$103))*11)</f>
        <v>2</v>
      </c>
      <c r="I103" t="str">
        <f>B103</f>
        <v>EPA</v>
      </c>
      <c r="J103" s="39">
        <f ca="1">C103/SUM($C103:$F103)</f>
        <v>0</v>
      </c>
      <c r="K103" s="39">
        <f t="shared" ref="K103:K105" ca="1" si="160">D103/SUM($C103:$F103)</f>
        <v>0.16666666666666666</v>
      </c>
      <c r="L103" s="39">
        <f t="shared" ref="L103:L105" ca="1" si="161">E103/SUM($C103:$F103)</f>
        <v>0.5</v>
      </c>
      <c r="M103" s="39">
        <f t="shared" ref="M103:M105" ca="1" si="162">F103/SUM($C103:$F103)</f>
        <v>0.33333333333333331</v>
      </c>
      <c r="O103" s="147">
        <f ca="1">O102</f>
        <v>0.51587301587301593</v>
      </c>
      <c r="P103" t="str">
        <f>I103</f>
        <v>EPA</v>
      </c>
      <c r="Q103" s="122">
        <f ca="1">INDEX(J$102:J$120,MATCH($O103,$H$102:$H$120,0)+1)</f>
        <v>0.33333333333333331</v>
      </c>
      <c r="R103" s="122">
        <f t="shared" ref="R103:T103" ca="1" si="163">INDEX(K$102:K$120,MATCH($O103,$H$102:$H$120,0)+1)</f>
        <v>0.5</v>
      </c>
      <c r="S103" s="122">
        <f t="shared" ca="1" si="163"/>
        <v>0</v>
      </c>
      <c r="T103" s="122">
        <f t="shared" ca="1" si="163"/>
        <v>0.16666666666666666</v>
      </c>
      <c r="W103" t="str">
        <f>$C$7</f>
        <v>Chemical</v>
      </c>
      <c r="X103">
        <f ca="1">OFFSET(Summary!AU$42,0,(ROW()-ROW($C$103))*11)</f>
        <v>1</v>
      </c>
      <c r="Y103">
        <f ca="1">OFFSET(Summary!AV$42,0,(ROW()-ROW($C$103))*11)</f>
        <v>3</v>
      </c>
      <c r="Z103">
        <f ca="1">OFFSET(Summary!AW$42,0,(ROW()-ROW($C$103))*11)</f>
        <v>6</v>
      </c>
      <c r="AA103">
        <f ca="1">OFFSET(Summary!AX$42,0,(ROW()-ROW($C$103))*11)</f>
        <v>8</v>
      </c>
      <c r="AD103" t="str">
        <f>W103</f>
        <v>Chemical</v>
      </c>
      <c r="AE103" s="39">
        <f t="shared" ref="AE103:AH105" ca="1" si="164">X103/SUM($X103:$AA103)</f>
        <v>5.5555555555555552E-2</v>
      </c>
      <c r="AF103" s="39">
        <f t="shared" ca="1" si="164"/>
        <v>0.16666666666666666</v>
      </c>
      <c r="AG103" s="39">
        <f t="shared" ca="1" si="164"/>
        <v>0.33333333333333331</v>
      </c>
      <c r="AH103" s="39">
        <f t="shared" ca="1" si="164"/>
        <v>0.44444444444444442</v>
      </c>
      <c r="AJ103" s="149">
        <f ca="1">AJ102</f>
        <v>0.49841269841269842</v>
      </c>
      <c r="AK103" t="str">
        <f>AD103</f>
        <v>Chemical</v>
      </c>
      <c r="AL103" s="122">
        <f ca="1">INDEX(AE$102:AE$120,MATCH($AJ103,$AC$102:$AC$120,0)+1)</f>
        <v>0.66666666666666663</v>
      </c>
      <c r="AM103" s="122">
        <f ca="1">INDEX(AF$102:AF$120,MATCH($AJ103,$AC$102:$AC$120,0)+1)</f>
        <v>0.33333333333333331</v>
      </c>
      <c r="AN103" s="122">
        <f ca="1">INDEX(AG$102:AG$120,MATCH($AJ103,$AC$102:$AC$120,0)+1)</f>
        <v>0</v>
      </c>
      <c r="AO103" s="122">
        <f ca="1">INDEX(AH$102:AH$120,MATCH($AJ103,$AC$102:$AC$120,0)+1)</f>
        <v>0</v>
      </c>
    </row>
    <row r="104" spans="1:41" x14ac:dyDescent="0.25">
      <c r="B104" t="str">
        <f>$D$2</f>
        <v>Non-EPA</v>
      </c>
      <c r="C104">
        <f ca="1">OFFSET(Summary!N$42,0,(ROW()-ROW($C$103))*11)</f>
        <v>1</v>
      </c>
      <c r="D104">
        <f ca="1">OFFSET(Summary!O$42,0,(ROW()-ROW($C$103))*11)</f>
        <v>2</v>
      </c>
      <c r="E104">
        <f ca="1">OFFSET(Summary!P$42,0,(ROW()-ROW($C$103))*11)</f>
        <v>3</v>
      </c>
      <c r="F104">
        <f ca="1">OFFSET(Summary!Q$42,0,(ROW()-ROW($C$103))*11)</f>
        <v>8</v>
      </c>
      <c r="I104" t="str">
        <f>B104</f>
        <v>Non-EPA</v>
      </c>
      <c r="J104" s="39">
        <f t="shared" ref="J104:J105" ca="1" si="165">C104/SUM($C104:$F104)</f>
        <v>7.1428571428571425E-2</v>
      </c>
      <c r="K104" s="39">
        <f t="shared" ca="1" si="160"/>
        <v>0.14285714285714285</v>
      </c>
      <c r="L104" s="39">
        <f t="shared" ca="1" si="161"/>
        <v>0.21428571428571427</v>
      </c>
      <c r="M104" s="39">
        <f t="shared" ca="1" si="162"/>
        <v>0.5714285714285714</v>
      </c>
      <c r="O104" s="147">
        <f ca="1">O103</f>
        <v>0.51587301587301593</v>
      </c>
      <c r="P104" t="str">
        <f>I104</f>
        <v>Non-EPA</v>
      </c>
      <c r="Q104" s="122">
        <f ca="1">INDEX(J$102:J$120,MATCH($O104,$H$102:$H$120,0)+2)</f>
        <v>0.7142857142857143</v>
      </c>
      <c r="R104" s="122">
        <f t="shared" ref="R104:T104" ca="1" si="166">INDEX(K$102:K$120,MATCH($O104,$H$102:$H$120,0)+2)</f>
        <v>0.14285714285714285</v>
      </c>
      <c r="S104" s="122">
        <f t="shared" ca="1" si="166"/>
        <v>7.1428571428571425E-2</v>
      </c>
      <c r="T104" s="122">
        <f t="shared" ca="1" si="166"/>
        <v>7.1428571428571425E-2</v>
      </c>
      <c r="W104" t="str">
        <f>$D$7</f>
        <v>Human Factors</v>
      </c>
      <c r="X104">
        <f ca="1">OFFSET(Summary!AU$42,0,(ROW()-ROW($C$103))*11)</f>
        <v>1</v>
      </c>
      <c r="Y104">
        <f ca="1">OFFSET(Summary!AV$42,0,(ROW()-ROW($C$103))*11)</f>
        <v>0</v>
      </c>
      <c r="Z104">
        <f ca="1">OFFSET(Summary!AW$42,0,(ROW()-ROW($C$103))*11)</f>
        <v>1</v>
      </c>
      <c r="AA104">
        <f ca="1">OFFSET(Summary!AX$42,0,(ROW()-ROW($C$103))*11)</f>
        <v>3</v>
      </c>
      <c r="AD104" t="str">
        <f>W104</f>
        <v>Human Factors</v>
      </c>
      <c r="AE104" s="39">
        <f t="shared" ca="1" si="164"/>
        <v>0.2</v>
      </c>
      <c r="AF104" s="39">
        <f t="shared" ca="1" si="164"/>
        <v>0</v>
      </c>
      <c r="AG104" s="39">
        <f t="shared" ca="1" si="164"/>
        <v>0.2</v>
      </c>
      <c r="AH104" s="39">
        <f t="shared" ca="1" si="164"/>
        <v>0.6</v>
      </c>
      <c r="AJ104" s="149">
        <f ca="1">AJ103</f>
        <v>0.49841269841269842</v>
      </c>
      <c r="AK104" t="str">
        <f>AD104</f>
        <v>Human Factors</v>
      </c>
      <c r="AL104" s="122">
        <f ca="1">INDEX(AE$102:AE$120,MATCH($AJ104,$AC$102:$AC$120,0)+2)</f>
        <v>0.4</v>
      </c>
      <c r="AM104" s="122">
        <f ca="1">INDEX(AF$102:AF$120,MATCH($AJ104,$AC$102:$AC$120,0)+2)</f>
        <v>0.4</v>
      </c>
      <c r="AN104" s="122">
        <f ca="1">INDEX(AG$102:AG$120,MATCH($AJ104,$AC$102:$AC$120,0)+2)</f>
        <v>0.2</v>
      </c>
      <c r="AO104" s="122">
        <f ca="1">INDEX(AH$102:AH$120,MATCH($AJ104,$AC$102:$AC$120,0)+2)</f>
        <v>0</v>
      </c>
    </row>
    <row r="105" spans="1:41" x14ac:dyDescent="0.25">
      <c r="B105" t="str">
        <f>$E$2</f>
        <v>Unk-EPA</v>
      </c>
      <c r="C105">
        <f ca="1">OFFSET(Summary!N$42,0,(ROW()-ROW($C$103))*11)</f>
        <v>1</v>
      </c>
      <c r="D105">
        <f ca="1">OFFSET(Summary!O$42,0,(ROW()-ROW($C$103))*11)</f>
        <v>1</v>
      </c>
      <c r="E105">
        <f ca="1">OFFSET(Summary!P$42,0,(ROW()-ROW($C$103))*11)</f>
        <v>6</v>
      </c>
      <c r="F105">
        <f ca="1">OFFSET(Summary!Q$42,0,(ROW()-ROW($C$103))*11)</f>
        <v>2</v>
      </c>
      <c r="I105" t="str">
        <f>B105</f>
        <v>Unk-EPA</v>
      </c>
      <c r="J105" s="39">
        <f t="shared" ca="1" si="165"/>
        <v>0.1</v>
      </c>
      <c r="K105" s="39">
        <f t="shared" ca="1" si="160"/>
        <v>0.1</v>
      </c>
      <c r="L105" s="39">
        <f t="shared" ca="1" si="161"/>
        <v>0.6</v>
      </c>
      <c r="M105" s="39">
        <f t="shared" ca="1" si="162"/>
        <v>0.2</v>
      </c>
      <c r="O105" s="147">
        <f ca="1">O104</f>
        <v>0.51587301587301593</v>
      </c>
      <c r="P105" t="str">
        <f>I105</f>
        <v>Unk-EPA</v>
      </c>
      <c r="Q105" s="122">
        <f ca="1">INDEX(J$102:J$120,MATCH($O105,$H$102:$H$120,0)+3)</f>
        <v>0.5</v>
      </c>
      <c r="R105" s="122">
        <f t="shared" ref="R105:T105" ca="1" si="167">INDEX(K$102:K$120,MATCH($O105,$H$102:$H$120,0)+3)</f>
        <v>0.5</v>
      </c>
      <c r="S105" s="122">
        <f t="shared" ca="1" si="167"/>
        <v>0</v>
      </c>
      <c r="T105" s="122">
        <f t="shared" ca="1" si="167"/>
        <v>0</v>
      </c>
      <c r="W105" t="str">
        <f>$E$7</f>
        <v>Other</v>
      </c>
      <c r="X105">
        <f ca="1">OFFSET(Summary!AU$42,0,(ROW()-ROW($C$103))*11)</f>
        <v>0</v>
      </c>
      <c r="Y105">
        <f ca="1">OFFSET(Summary!AV$42,0,(ROW()-ROW($C$103))*11)</f>
        <v>1</v>
      </c>
      <c r="Z105">
        <f ca="1">OFFSET(Summary!AW$42,0,(ROW()-ROW($C$103))*11)</f>
        <v>5</v>
      </c>
      <c r="AA105">
        <f ca="1">OFFSET(Summary!AX$42,0,(ROW()-ROW($C$103))*11)</f>
        <v>1</v>
      </c>
      <c r="AD105" t="str">
        <f>W105</f>
        <v>Other</v>
      </c>
      <c r="AE105" s="39">
        <f t="shared" ca="1" si="164"/>
        <v>0</v>
      </c>
      <c r="AF105" s="39">
        <f t="shared" ca="1" si="164"/>
        <v>0.14285714285714285</v>
      </c>
      <c r="AG105" s="39">
        <f t="shared" ca="1" si="164"/>
        <v>0.7142857142857143</v>
      </c>
      <c r="AH105" s="39">
        <f t="shared" ca="1" si="164"/>
        <v>0.14285714285714285</v>
      </c>
      <c r="AJ105" s="149">
        <f ca="1">AJ104</f>
        <v>0.49841269841269842</v>
      </c>
      <c r="AK105" t="str">
        <f>AD105</f>
        <v>Other</v>
      </c>
      <c r="AL105" s="122">
        <f ca="1">INDEX(AE$102:AE$120,MATCH($AJ105,$AC$102:$AC$120,0)+3)</f>
        <v>0.42857142857142855</v>
      </c>
      <c r="AM105" s="122">
        <f ca="1">INDEX(AF$102:AF$120,MATCH($AJ105,$AC$102:$AC$120,0)+3)</f>
        <v>0.2857142857142857</v>
      </c>
      <c r="AN105" s="122">
        <f ca="1">INDEX(AG$102:AG$120,MATCH($AJ105,$AC$102:$AC$120,0)+3)</f>
        <v>0</v>
      </c>
      <c r="AO105" s="122">
        <f ca="1">INDEX(AH$102:AH$120,MATCH($AJ105,$AC$102:$AC$120,0)+3)</f>
        <v>0.2857142857142857</v>
      </c>
    </row>
    <row r="106" spans="1:41" x14ac:dyDescent="0.25">
      <c r="O106" s="146"/>
      <c r="AJ106" s="150"/>
    </row>
    <row r="107" spans="1:41" x14ac:dyDescent="0.25">
      <c r="B107" t="str">
        <f>$D$6</f>
        <v>Environment</v>
      </c>
      <c r="C107" t="str">
        <f>$C$3</f>
        <v>1st Rank</v>
      </c>
      <c r="D107" t="str">
        <f>$D$3</f>
        <v>2nd Rank</v>
      </c>
      <c r="E107" t="str">
        <f>$E$3</f>
        <v>3rd Rank</v>
      </c>
      <c r="F107" t="str">
        <f>$F$3</f>
        <v>4th Rank</v>
      </c>
      <c r="H107" s="141">
        <f ca="1">AVERAGE(J108:J110)</f>
        <v>0.34920634920634913</v>
      </c>
      <c r="I107" t="str">
        <f>B107</f>
        <v>Environment</v>
      </c>
      <c r="J107" t="str">
        <f>C107</f>
        <v>1st Rank</v>
      </c>
      <c r="K107" t="str">
        <f>D107</f>
        <v>2nd Rank</v>
      </c>
      <c r="L107" t="str">
        <f>E107</f>
        <v>3rd Rank</v>
      </c>
      <c r="M107" t="str">
        <f>F107</f>
        <v>4th Rank</v>
      </c>
      <c r="O107" s="145">
        <f ca="1">LARGE($H$102:$H$120,2)</f>
        <v>0.34920634920634913</v>
      </c>
      <c r="P107" t="str">
        <f ca="1">INDEX($I$102:$I$120,MATCH(O107,$H$102:$H$120,0))</f>
        <v>Environment</v>
      </c>
      <c r="Q107" t="str">
        <f>J107</f>
        <v>1st Rank</v>
      </c>
      <c r="R107" t="str">
        <f>K107</f>
        <v>2nd Rank</v>
      </c>
      <c r="S107" t="str">
        <f>L107</f>
        <v>3rd Rank</v>
      </c>
      <c r="T107" t="str">
        <f>M107</f>
        <v>4th Rank</v>
      </c>
      <c r="W107" t="str">
        <f>$D$6</f>
        <v>Environment</v>
      </c>
      <c r="X107" t="str">
        <f>$C$3</f>
        <v>1st Rank</v>
      </c>
      <c r="Y107" t="str">
        <f>$D$3</f>
        <v>2nd Rank</v>
      </c>
      <c r="Z107" t="str">
        <f>$E$3</f>
        <v>3rd Rank</v>
      </c>
      <c r="AA107" t="str">
        <f>$F$3</f>
        <v>4th Rank</v>
      </c>
      <c r="AC107" s="141">
        <f ca="1">AVERAGE(AE108:AE110)</f>
        <v>0.35873015873015873</v>
      </c>
      <c r="AD107" t="str">
        <f>W107</f>
        <v>Environment</v>
      </c>
      <c r="AE107" t="str">
        <f>X107</f>
        <v>1st Rank</v>
      </c>
      <c r="AF107" t="str">
        <f>Y107</f>
        <v>2nd Rank</v>
      </c>
      <c r="AG107" t="str">
        <f>Z107</f>
        <v>3rd Rank</v>
      </c>
      <c r="AH107" t="str">
        <f>AA107</f>
        <v>4th Rank</v>
      </c>
      <c r="AJ107" s="148">
        <f ca="1">LARGE($AC$102:$AC$120,2)</f>
        <v>0.35873015873015873</v>
      </c>
      <c r="AK107" t="str">
        <f ca="1">INDEX($AD$102:$AD$120,MATCH(AJ107,$AC$102:$AC$120,0))</f>
        <v>Environment</v>
      </c>
      <c r="AL107" t="str">
        <f>AE107</f>
        <v>1st Rank</v>
      </c>
      <c r="AM107" t="str">
        <f>AF107</f>
        <v>2nd Rank</v>
      </c>
      <c r="AN107" t="str">
        <f>AG107</f>
        <v>3rd Rank</v>
      </c>
      <c r="AO107" t="str">
        <f>AH107</f>
        <v>4th Rank</v>
      </c>
    </row>
    <row r="108" spans="1:41" x14ac:dyDescent="0.25">
      <c r="B108" t="str">
        <f>$C$2</f>
        <v>EPA</v>
      </c>
      <c r="C108">
        <f ca="1">OFFSET(Summary!N$43,0,(ROW()-ROW($C$108))*11)</f>
        <v>2</v>
      </c>
      <c r="D108">
        <f ca="1">OFFSET(Summary!O$43,0,(ROW()-ROW($C$108))*11)</f>
        <v>2</v>
      </c>
      <c r="E108">
        <f ca="1">OFFSET(Summary!P$43,0,(ROW()-ROW($C$108))*11)</f>
        <v>1</v>
      </c>
      <c r="F108">
        <f ca="1">OFFSET(Summary!Q$43,0,(ROW()-ROW($C$108))*11)</f>
        <v>1</v>
      </c>
      <c r="I108" t="str">
        <f>B108</f>
        <v>EPA</v>
      </c>
      <c r="J108" s="39">
        <f ca="1">C108/SUM($C108:$F108)</f>
        <v>0.33333333333333331</v>
      </c>
      <c r="K108" s="39">
        <f t="shared" ref="K108:K110" ca="1" si="168">D108/SUM($C108:$F108)</f>
        <v>0.33333333333333331</v>
      </c>
      <c r="L108" s="39">
        <f t="shared" ref="L108:L110" ca="1" si="169">E108/SUM($C108:$F108)</f>
        <v>0.16666666666666666</v>
      </c>
      <c r="M108" s="39">
        <f t="shared" ref="M108:M110" ca="1" si="170">F108/SUM($C108:$F108)</f>
        <v>0.16666666666666666</v>
      </c>
      <c r="O108" s="147">
        <f ca="1">O107</f>
        <v>0.34920634920634913</v>
      </c>
      <c r="P108" t="str">
        <f>I108</f>
        <v>EPA</v>
      </c>
      <c r="Q108" s="122">
        <f ca="1">INDEX(J$102:J$120,MATCH($O108,$H$102:$H$120,0)+1)</f>
        <v>0.33333333333333331</v>
      </c>
      <c r="R108" s="122">
        <f t="shared" ref="R108" ca="1" si="171">INDEX(K$102:K$120,MATCH($O108,$H$102:$H$120,0)+1)</f>
        <v>0.33333333333333331</v>
      </c>
      <c r="S108" s="122">
        <f t="shared" ref="S108" ca="1" si="172">INDEX(L$102:L$120,MATCH($O108,$H$102:$H$120,0)+1)</f>
        <v>0.16666666666666666</v>
      </c>
      <c r="T108" s="122">
        <f t="shared" ref="T108" ca="1" si="173">INDEX(M$102:M$120,MATCH($O108,$H$102:$H$120,0)+1)</f>
        <v>0.16666666666666666</v>
      </c>
      <c r="W108" t="str">
        <f>$C$7</f>
        <v>Chemical</v>
      </c>
      <c r="X108">
        <f ca="1">OFFSET(Summary!AU$43,0,(ROW()-ROW($C$108))*11)</f>
        <v>6</v>
      </c>
      <c r="Y108">
        <f ca="1">OFFSET(Summary!AV$43,0,(ROW()-ROW($C$108))*11)</f>
        <v>5</v>
      </c>
      <c r="Z108">
        <f ca="1">OFFSET(Summary!AW$43,0,(ROW()-ROW($C$108))*11)</f>
        <v>5</v>
      </c>
      <c r="AA108">
        <f ca="1">OFFSET(Summary!AX$43,0,(ROW()-ROW($C$108))*11)</f>
        <v>2</v>
      </c>
      <c r="AD108" t="str">
        <f>W108</f>
        <v>Chemical</v>
      </c>
      <c r="AE108" s="39">
        <f t="shared" ref="AE108:AH110" ca="1" si="174">X108/SUM($X108:$AA108)</f>
        <v>0.33333333333333331</v>
      </c>
      <c r="AF108" s="39">
        <f t="shared" ca="1" si="174"/>
        <v>0.27777777777777779</v>
      </c>
      <c r="AG108" s="39">
        <f t="shared" ca="1" si="174"/>
        <v>0.27777777777777779</v>
      </c>
      <c r="AH108" s="39">
        <f t="shared" ca="1" si="174"/>
        <v>0.1111111111111111</v>
      </c>
      <c r="AJ108" s="149">
        <f ca="1">AJ107</f>
        <v>0.35873015873015873</v>
      </c>
      <c r="AK108" t="str">
        <f>AD108</f>
        <v>Chemical</v>
      </c>
      <c r="AL108" s="122">
        <f ca="1">INDEX(AE$102:AE$120,MATCH($AJ108,$AC$102:$AC$120,0)+1)</f>
        <v>0.33333333333333331</v>
      </c>
      <c r="AM108" s="122">
        <f ca="1">INDEX(AF$102:AF$120,MATCH($AJ108,$AC$102:$AC$120,0)+1)</f>
        <v>0.27777777777777779</v>
      </c>
      <c r="AN108" s="122">
        <f ca="1">INDEX(AG$102:AG$120,MATCH($AJ108,$AC$102:$AC$120,0)+1)</f>
        <v>0.27777777777777779</v>
      </c>
      <c r="AO108" s="122">
        <f ca="1">INDEX(AH$102:AH$120,MATCH($AJ108,$AC$102:$AC$120,0)+1)</f>
        <v>0.1111111111111111</v>
      </c>
    </row>
    <row r="109" spans="1:41" x14ac:dyDescent="0.25">
      <c r="B109" t="str">
        <f>$D$2</f>
        <v>Non-EPA</v>
      </c>
      <c r="C109">
        <f ca="1">OFFSET(Summary!N$43,0,(ROW()-ROW($C$108))*11)</f>
        <v>3</v>
      </c>
      <c r="D109">
        <f ca="1">OFFSET(Summary!O$43,0,(ROW()-ROW($C$108))*11)</f>
        <v>4</v>
      </c>
      <c r="E109">
        <f ca="1">OFFSET(Summary!P$43,0,(ROW()-ROW($C$108))*11)</f>
        <v>5</v>
      </c>
      <c r="F109">
        <f ca="1">OFFSET(Summary!Q$43,0,(ROW()-ROW($C$108))*11)</f>
        <v>2</v>
      </c>
      <c r="I109" t="str">
        <f>B109</f>
        <v>Non-EPA</v>
      </c>
      <c r="J109" s="39">
        <f t="shared" ref="J109:J110" ca="1" si="175">C109/SUM($C109:$F109)</f>
        <v>0.21428571428571427</v>
      </c>
      <c r="K109" s="39">
        <f t="shared" ca="1" si="168"/>
        <v>0.2857142857142857</v>
      </c>
      <c r="L109" s="39">
        <f t="shared" ca="1" si="169"/>
        <v>0.35714285714285715</v>
      </c>
      <c r="M109" s="39">
        <f t="shared" ca="1" si="170"/>
        <v>0.14285714285714285</v>
      </c>
      <c r="O109" s="147">
        <f ca="1">O108</f>
        <v>0.34920634920634913</v>
      </c>
      <c r="P109" t="str">
        <f>I109</f>
        <v>Non-EPA</v>
      </c>
      <c r="Q109" s="122">
        <f ca="1">INDEX(J$102:J$120,MATCH($O109,$H$102:$H$120,0)+2)</f>
        <v>0.21428571428571427</v>
      </c>
      <c r="R109" s="122">
        <f t="shared" ref="R109" ca="1" si="176">INDEX(K$102:K$120,MATCH($O109,$H$102:$H$120,0)+2)</f>
        <v>0.2857142857142857</v>
      </c>
      <c r="S109" s="122">
        <f t="shared" ref="S109" ca="1" si="177">INDEX(L$102:L$120,MATCH($O109,$H$102:$H$120,0)+2)</f>
        <v>0.35714285714285715</v>
      </c>
      <c r="T109" s="122">
        <f t="shared" ref="T109" ca="1" si="178">INDEX(M$102:M$120,MATCH($O109,$H$102:$H$120,0)+2)</f>
        <v>0.14285714285714285</v>
      </c>
      <c r="W109" t="str">
        <f>$D$7</f>
        <v>Human Factors</v>
      </c>
      <c r="X109">
        <f ca="1">OFFSET(Summary!AU$43,0,(ROW()-ROW($C$108))*11)</f>
        <v>3</v>
      </c>
      <c r="Y109">
        <f ca="1">OFFSET(Summary!AV$43,0,(ROW()-ROW($C$108))*11)</f>
        <v>1</v>
      </c>
      <c r="Z109">
        <f ca="1">OFFSET(Summary!AW$43,0,(ROW()-ROW($C$108))*11)</f>
        <v>1</v>
      </c>
      <c r="AA109">
        <f ca="1">OFFSET(Summary!AX$43,0,(ROW()-ROW($C$108))*11)</f>
        <v>0</v>
      </c>
      <c r="AD109" t="str">
        <f>W109</f>
        <v>Human Factors</v>
      </c>
      <c r="AE109" s="39">
        <f t="shared" ca="1" si="174"/>
        <v>0.6</v>
      </c>
      <c r="AF109" s="39">
        <f t="shared" ca="1" si="174"/>
        <v>0.2</v>
      </c>
      <c r="AG109" s="39">
        <f t="shared" ca="1" si="174"/>
        <v>0.2</v>
      </c>
      <c r="AH109" s="39">
        <f t="shared" ca="1" si="174"/>
        <v>0</v>
      </c>
      <c r="AJ109" s="149">
        <f ca="1">AJ108</f>
        <v>0.35873015873015873</v>
      </c>
      <c r="AK109" t="str">
        <f>AD109</f>
        <v>Human Factors</v>
      </c>
      <c r="AL109" s="122">
        <f ca="1">INDEX(AE$102:AE$120,MATCH($AJ109,$AC$102:$AC$120,0)+2)</f>
        <v>0.6</v>
      </c>
      <c r="AM109" s="122">
        <f ca="1">INDEX(AF$102:AF$120,MATCH($AJ109,$AC$102:$AC$120,0)+2)</f>
        <v>0.2</v>
      </c>
      <c r="AN109" s="122">
        <f ca="1">INDEX(AG$102:AG$120,MATCH($AJ109,$AC$102:$AC$120,0)+2)</f>
        <v>0.2</v>
      </c>
      <c r="AO109" s="122">
        <f ca="1">INDEX(AH$102:AH$120,MATCH($AJ109,$AC$102:$AC$120,0)+2)</f>
        <v>0</v>
      </c>
    </row>
    <row r="110" spans="1:41" x14ac:dyDescent="0.25">
      <c r="B110" t="str">
        <f>$E$2</f>
        <v>Unk-EPA</v>
      </c>
      <c r="C110">
        <f ca="1">OFFSET(Summary!N$43,0,(ROW()-ROW($C$108))*11)</f>
        <v>5</v>
      </c>
      <c r="D110">
        <f ca="1">OFFSET(Summary!O$43,0,(ROW()-ROW($C$108))*11)</f>
        <v>3</v>
      </c>
      <c r="E110">
        <f ca="1">OFFSET(Summary!P$43,0,(ROW()-ROW($C$108))*11)</f>
        <v>1</v>
      </c>
      <c r="F110">
        <f ca="1">OFFSET(Summary!Q$43,0,(ROW()-ROW($C$108))*11)</f>
        <v>1</v>
      </c>
      <c r="I110" t="str">
        <f>B110</f>
        <v>Unk-EPA</v>
      </c>
      <c r="J110" s="39">
        <f t="shared" ca="1" si="175"/>
        <v>0.5</v>
      </c>
      <c r="K110" s="39">
        <f t="shared" ca="1" si="168"/>
        <v>0.3</v>
      </c>
      <c r="L110" s="39">
        <f t="shared" ca="1" si="169"/>
        <v>0.1</v>
      </c>
      <c r="M110" s="39">
        <f t="shared" ca="1" si="170"/>
        <v>0.1</v>
      </c>
      <c r="O110" s="147">
        <f ca="1">O109</f>
        <v>0.34920634920634913</v>
      </c>
      <c r="P110" t="str">
        <f>I110</f>
        <v>Unk-EPA</v>
      </c>
      <c r="Q110" s="122">
        <f ca="1">INDEX(J$102:J$120,MATCH($O110,$H$102:$H$120,0)+3)</f>
        <v>0.5</v>
      </c>
      <c r="R110" s="122">
        <f t="shared" ref="R110" ca="1" si="179">INDEX(K$102:K$120,MATCH($O110,$H$102:$H$120,0)+3)</f>
        <v>0.3</v>
      </c>
      <c r="S110" s="122">
        <f t="shared" ref="S110" ca="1" si="180">INDEX(L$102:L$120,MATCH($O110,$H$102:$H$120,0)+3)</f>
        <v>0.1</v>
      </c>
      <c r="T110" s="122">
        <f t="shared" ref="T110" ca="1" si="181">INDEX(M$102:M$120,MATCH($O110,$H$102:$H$120,0)+3)</f>
        <v>0.1</v>
      </c>
      <c r="W110" t="str">
        <f>$E$7</f>
        <v>Other</v>
      </c>
      <c r="X110">
        <f ca="1">OFFSET(Summary!AU$43,0,(ROW()-ROW($C$108))*11)</f>
        <v>1</v>
      </c>
      <c r="Y110">
        <f ca="1">OFFSET(Summary!AV$43,0,(ROW()-ROW($C$108))*11)</f>
        <v>3</v>
      </c>
      <c r="Z110">
        <f ca="1">OFFSET(Summary!AW$43,0,(ROW()-ROW($C$108))*11)</f>
        <v>1</v>
      </c>
      <c r="AA110">
        <f ca="1">OFFSET(Summary!AX$43,0,(ROW()-ROW($C$108))*11)</f>
        <v>2</v>
      </c>
      <c r="AD110" t="str">
        <f>W110</f>
        <v>Other</v>
      </c>
      <c r="AE110" s="39">
        <f t="shared" ca="1" si="174"/>
        <v>0.14285714285714285</v>
      </c>
      <c r="AF110" s="39">
        <f t="shared" ca="1" si="174"/>
        <v>0.42857142857142855</v>
      </c>
      <c r="AG110" s="39">
        <f t="shared" ca="1" si="174"/>
        <v>0.14285714285714285</v>
      </c>
      <c r="AH110" s="39">
        <f t="shared" ca="1" si="174"/>
        <v>0.2857142857142857</v>
      </c>
      <c r="AJ110" s="149">
        <f ca="1">AJ109</f>
        <v>0.35873015873015873</v>
      </c>
      <c r="AK110" t="str">
        <f>AD110</f>
        <v>Other</v>
      </c>
      <c r="AL110" s="122">
        <f ca="1">INDEX(AE$102:AE$120,MATCH($AJ110,$AC$102:$AC$120,0)+3)</f>
        <v>0.14285714285714285</v>
      </c>
      <c r="AM110" s="122">
        <f ca="1">INDEX(AF$102:AF$120,MATCH($AJ110,$AC$102:$AC$120,0)+3)</f>
        <v>0.42857142857142855</v>
      </c>
      <c r="AN110" s="122">
        <f ca="1">INDEX(AG$102:AG$120,MATCH($AJ110,$AC$102:$AC$120,0)+3)</f>
        <v>0.14285714285714285</v>
      </c>
      <c r="AO110" s="122">
        <f ca="1">INDEX(AH$102:AH$120,MATCH($AJ110,$AC$102:$AC$120,0)+3)</f>
        <v>0.2857142857142857</v>
      </c>
    </row>
    <row r="111" spans="1:41" x14ac:dyDescent="0.25">
      <c r="O111" s="146"/>
      <c r="AJ111" s="150"/>
    </row>
    <row r="112" spans="1:41" x14ac:dyDescent="0.25">
      <c r="B112" t="str">
        <f>$E$6</f>
        <v>Activity</v>
      </c>
      <c r="C112" t="str">
        <f>$C$3</f>
        <v>1st Rank</v>
      </c>
      <c r="D112" t="str">
        <f>$D$3</f>
        <v>2nd Rank</v>
      </c>
      <c r="E112" t="str">
        <f>$E$3</f>
        <v>3rd Rank</v>
      </c>
      <c r="F112" t="str">
        <f>$F$3</f>
        <v>4th Rank</v>
      </c>
      <c r="H112" s="141">
        <f ca="1">AVERAGE(J113:J115)</f>
        <v>0.2253968253968254</v>
      </c>
      <c r="I112" t="str">
        <f>B112</f>
        <v>Activity</v>
      </c>
      <c r="J112" t="str">
        <f>C112</f>
        <v>1st Rank</v>
      </c>
      <c r="K112" t="str">
        <f>D112</f>
        <v>2nd Rank</v>
      </c>
      <c r="L112" t="str">
        <f>E112</f>
        <v>3rd Rank</v>
      </c>
      <c r="M112" t="str">
        <f>F112</f>
        <v>4th Rank</v>
      </c>
      <c r="O112" s="145">
        <f ca="1">LARGE($H$102:$H$120,3)</f>
        <v>0.2253968253968254</v>
      </c>
      <c r="P112" t="str">
        <f ca="1">INDEX($I$102:$I$120,MATCH(O112,$H$102:$H$120,0))</f>
        <v>Activity</v>
      </c>
      <c r="Q112" t="str">
        <f>J112</f>
        <v>1st Rank</v>
      </c>
      <c r="R112" t="str">
        <f>K112</f>
        <v>2nd Rank</v>
      </c>
      <c r="S112" t="str">
        <f>L112</f>
        <v>3rd Rank</v>
      </c>
      <c r="T112" t="str">
        <f>M112</f>
        <v>4th Rank</v>
      </c>
      <c r="W112" t="str">
        <f>$E$6</f>
        <v>Activity</v>
      </c>
      <c r="X112" t="str">
        <f>$C$3</f>
        <v>1st Rank</v>
      </c>
      <c r="Y112" t="str">
        <f>$D$3</f>
        <v>2nd Rank</v>
      </c>
      <c r="Z112" t="str">
        <f>$E$3</f>
        <v>3rd Rank</v>
      </c>
      <c r="AA112" t="str">
        <f>$F$3</f>
        <v>4th Rank</v>
      </c>
      <c r="AC112" s="141">
        <f ca="1">AVERAGE(AE113:AE115)</f>
        <v>0.22751322751322753</v>
      </c>
      <c r="AD112" t="str">
        <f>W112</f>
        <v>Activity</v>
      </c>
      <c r="AE112" t="str">
        <f>X112</f>
        <v>1st Rank</v>
      </c>
      <c r="AF112" t="str">
        <f>Y112</f>
        <v>2nd Rank</v>
      </c>
      <c r="AG112" t="str">
        <f>Z112</f>
        <v>3rd Rank</v>
      </c>
      <c r="AH112" t="str">
        <f>AA112</f>
        <v>4th Rank</v>
      </c>
      <c r="AJ112" s="148">
        <f ca="1">LARGE($AC$102:$AC$120,3)</f>
        <v>0.22751322751322753</v>
      </c>
      <c r="AK112" t="str">
        <f ca="1">INDEX($AD$102:$AD$120,MATCH(AJ112,$AC$102:$AC$120,0))</f>
        <v>Activity</v>
      </c>
      <c r="AL112" t="str">
        <f>AE112</f>
        <v>1st Rank</v>
      </c>
      <c r="AM112" t="str">
        <f>AF112</f>
        <v>2nd Rank</v>
      </c>
      <c r="AN112" t="str">
        <f>AG112</f>
        <v>3rd Rank</v>
      </c>
      <c r="AO112" t="str">
        <f>AH112</f>
        <v>4th Rank</v>
      </c>
    </row>
    <row r="113" spans="2:41" x14ac:dyDescent="0.25">
      <c r="B113" t="str">
        <f>$C$2</f>
        <v>EPA</v>
      </c>
      <c r="C113">
        <f ca="1">OFFSET(Summary!N$44,0,(ROW()-ROW($C$113))*11)</f>
        <v>2</v>
      </c>
      <c r="D113">
        <f ca="1">OFFSET(Summary!O$44,0,(ROW()-ROW($C$113))*11)</f>
        <v>1</v>
      </c>
      <c r="E113">
        <f ca="1">OFFSET(Summary!P$44,0,(ROW()-ROW($C$113))*11)</f>
        <v>2</v>
      </c>
      <c r="F113">
        <f ca="1">OFFSET(Summary!Q$44,0,(ROW()-ROW($C$113))*11)</f>
        <v>1</v>
      </c>
      <c r="I113" t="str">
        <f>B113</f>
        <v>EPA</v>
      </c>
      <c r="J113" s="39">
        <f ca="1">C113/SUM($C113:$F113)</f>
        <v>0.33333333333333331</v>
      </c>
      <c r="K113" s="39">
        <f t="shared" ref="K113:K115" ca="1" si="182">D113/SUM($C113:$F113)</f>
        <v>0.16666666666666666</v>
      </c>
      <c r="L113" s="39">
        <f t="shared" ref="L113:L115" ca="1" si="183">E113/SUM($C113:$F113)</f>
        <v>0.33333333333333331</v>
      </c>
      <c r="M113" s="39">
        <f t="shared" ref="M113:M115" ca="1" si="184">F113/SUM($C113:$F113)</f>
        <v>0.16666666666666666</v>
      </c>
      <c r="O113" s="147">
        <f ca="1">O112</f>
        <v>0.2253968253968254</v>
      </c>
      <c r="P113" t="str">
        <f>I113</f>
        <v>EPA</v>
      </c>
      <c r="Q113" s="122">
        <f ca="1">INDEX(J$102:J$120,MATCH($O113,$H$102:$H$120,0)+1)</f>
        <v>0.33333333333333331</v>
      </c>
      <c r="R113" s="122">
        <f t="shared" ref="R113" ca="1" si="185">INDEX(K$102:K$120,MATCH($O113,$H$102:$H$120,0)+1)</f>
        <v>0.16666666666666666</v>
      </c>
      <c r="S113" s="122">
        <f t="shared" ref="S113" ca="1" si="186">INDEX(L$102:L$120,MATCH($O113,$H$102:$H$120,0)+1)</f>
        <v>0.33333333333333331</v>
      </c>
      <c r="T113" s="122">
        <f t="shared" ref="T113" ca="1" si="187">INDEX(M$102:M$120,MATCH($O113,$H$102:$H$120,0)+1)</f>
        <v>0.16666666666666666</v>
      </c>
      <c r="W113" s="55" t="str">
        <f>$C$7</f>
        <v>Chemical</v>
      </c>
      <c r="X113">
        <f ca="1">OFFSET(Summary!AU$44,0,(ROW()-ROW($C$113))*11)</f>
        <v>2</v>
      </c>
      <c r="Y113">
        <f ca="1">OFFSET(Summary!AV$44,0,(ROW()-ROW($C$113))*11)</f>
        <v>6</v>
      </c>
      <c r="Z113">
        <f ca="1">OFFSET(Summary!AW$44,0,(ROW()-ROW($C$113))*11)</f>
        <v>5</v>
      </c>
      <c r="AA113">
        <f ca="1">OFFSET(Summary!AX$44,0,(ROW()-ROW($C$113))*11)</f>
        <v>5</v>
      </c>
      <c r="AD113" t="str">
        <f>W113</f>
        <v>Chemical</v>
      </c>
      <c r="AE113" s="39">
        <f t="shared" ref="AE113:AH115" ca="1" si="188">X113/SUM($X113:$AA113)</f>
        <v>0.1111111111111111</v>
      </c>
      <c r="AF113" s="39">
        <f t="shared" ca="1" si="188"/>
        <v>0.33333333333333331</v>
      </c>
      <c r="AG113" s="39">
        <f t="shared" ca="1" si="188"/>
        <v>0.27777777777777779</v>
      </c>
      <c r="AH113" s="39">
        <f t="shared" ca="1" si="188"/>
        <v>0.27777777777777779</v>
      </c>
      <c r="AJ113" s="149">
        <f ca="1">AJ112</f>
        <v>0.22751322751322753</v>
      </c>
      <c r="AK113" t="str">
        <f>AD113</f>
        <v>Chemical</v>
      </c>
      <c r="AL113" s="122">
        <f ca="1">INDEX(AE$102:AE$120,MATCH($AJ113,$AC$102:$AC$120,0)+1)</f>
        <v>0.1111111111111111</v>
      </c>
      <c r="AM113" s="122">
        <f ca="1">INDEX(AF$102:AF$120,MATCH($AJ113,$AC$102:$AC$120,0)+1)</f>
        <v>0.33333333333333331</v>
      </c>
      <c r="AN113" s="122">
        <f ca="1">INDEX(AG$102:AG$120,MATCH($AJ113,$AC$102:$AC$120,0)+1)</f>
        <v>0.27777777777777779</v>
      </c>
      <c r="AO113" s="122">
        <f ca="1">INDEX(AH$102:AH$120,MATCH($AJ113,$AC$102:$AC$120,0)+1)</f>
        <v>0.27777777777777779</v>
      </c>
    </row>
    <row r="114" spans="2:41" x14ac:dyDescent="0.25">
      <c r="B114" t="str">
        <f>$D$2</f>
        <v>Non-EPA</v>
      </c>
      <c r="C114">
        <f ca="1">OFFSET(Summary!N$44,0,(ROW()-ROW($C$113))*11)</f>
        <v>2</v>
      </c>
      <c r="D114">
        <f ca="1">OFFSET(Summary!O$44,0,(ROW()-ROW($C$113))*11)</f>
        <v>7</v>
      </c>
      <c r="E114">
        <f ca="1">OFFSET(Summary!P$44,0,(ROW()-ROW($C$113))*11)</f>
        <v>3</v>
      </c>
      <c r="F114">
        <f ca="1">OFFSET(Summary!Q$44,0,(ROW()-ROW($C$113))*11)</f>
        <v>2</v>
      </c>
      <c r="I114" t="str">
        <f>B114</f>
        <v>Non-EPA</v>
      </c>
      <c r="J114" s="39">
        <f t="shared" ref="J114:J115" ca="1" si="189">C114/SUM($C114:$F114)</f>
        <v>0.14285714285714285</v>
      </c>
      <c r="K114" s="39">
        <f t="shared" ca="1" si="182"/>
        <v>0.5</v>
      </c>
      <c r="L114" s="39">
        <f t="shared" ca="1" si="183"/>
        <v>0.21428571428571427</v>
      </c>
      <c r="M114" s="39">
        <f t="shared" ca="1" si="184"/>
        <v>0.14285714285714285</v>
      </c>
      <c r="O114" s="147">
        <f ca="1">O113</f>
        <v>0.2253968253968254</v>
      </c>
      <c r="P114" t="str">
        <f>I114</f>
        <v>Non-EPA</v>
      </c>
      <c r="Q114" s="122">
        <f ca="1">INDEX(J$102:J$120,MATCH($O114,$H$102:$H$120,0)+2)</f>
        <v>0.14285714285714285</v>
      </c>
      <c r="R114" s="122">
        <f t="shared" ref="R114" ca="1" si="190">INDEX(K$102:K$120,MATCH($O114,$H$102:$H$120,0)+2)</f>
        <v>0.5</v>
      </c>
      <c r="S114" s="122">
        <f t="shared" ref="S114" ca="1" si="191">INDEX(L$102:L$120,MATCH($O114,$H$102:$H$120,0)+2)</f>
        <v>0.21428571428571427</v>
      </c>
      <c r="T114" s="122">
        <f t="shared" ref="T114" ca="1" si="192">INDEX(M$102:M$120,MATCH($O114,$H$102:$H$120,0)+2)</f>
        <v>0.14285714285714285</v>
      </c>
      <c r="W114" s="55" t="str">
        <f>$D$7</f>
        <v>Human Factors</v>
      </c>
      <c r="X114">
        <f ca="1">OFFSET(Summary!AU$44,0,(ROW()-ROW($C$113))*11)</f>
        <v>0</v>
      </c>
      <c r="Y114">
        <f ca="1">OFFSET(Summary!AV$44,0,(ROW()-ROW($C$113))*11)</f>
        <v>3</v>
      </c>
      <c r="Z114">
        <f ca="1">OFFSET(Summary!AW$44,0,(ROW()-ROW($C$113))*11)</f>
        <v>2</v>
      </c>
      <c r="AA114">
        <f ca="1">OFFSET(Summary!AX$44,0,(ROW()-ROW($C$113))*11)</f>
        <v>0</v>
      </c>
      <c r="AD114" t="str">
        <f>W114</f>
        <v>Human Factors</v>
      </c>
      <c r="AE114" s="39">
        <f t="shared" ca="1" si="188"/>
        <v>0</v>
      </c>
      <c r="AF114" s="39">
        <f t="shared" ca="1" si="188"/>
        <v>0.6</v>
      </c>
      <c r="AG114" s="39">
        <f t="shared" ca="1" si="188"/>
        <v>0.4</v>
      </c>
      <c r="AH114" s="39">
        <f t="shared" ca="1" si="188"/>
        <v>0</v>
      </c>
      <c r="AJ114" s="149">
        <f ca="1">AJ113</f>
        <v>0.22751322751322753</v>
      </c>
      <c r="AK114" t="str">
        <f>AD114</f>
        <v>Human Factors</v>
      </c>
      <c r="AL114" s="122">
        <f ca="1">INDEX(AE$102:AE$120,MATCH($AJ114,$AC$102:$AC$120,0)+2)</f>
        <v>0</v>
      </c>
      <c r="AM114" s="122">
        <f ca="1">INDEX(AF$102:AF$120,MATCH($AJ114,$AC$102:$AC$120,0)+2)</f>
        <v>0.6</v>
      </c>
      <c r="AN114" s="122">
        <f ca="1">INDEX(AG$102:AG$120,MATCH($AJ114,$AC$102:$AC$120,0)+2)</f>
        <v>0.4</v>
      </c>
      <c r="AO114" s="122">
        <f ca="1">INDEX(AH$102:AH$120,MATCH($AJ114,$AC$102:$AC$120,0)+2)</f>
        <v>0</v>
      </c>
    </row>
    <row r="115" spans="2:41" x14ac:dyDescent="0.25">
      <c r="B115" t="str">
        <f>$E$2</f>
        <v>Unk-EPA</v>
      </c>
      <c r="C115">
        <f ca="1">OFFSET(Summary!N$44,0,(ROW()-ROW($C$113))*11)</f>
        <v>2</v>
      </c>
      <c r="D115">
        <f ca="1">OFFSET(Summary!O$44,0,(ROW()-ROW($C$113))*11)</f>
        <v>2</v>
      </c>
      <c r="E115">
        <f ca="1">OFFSET(Summary!P$44,0,(ROW()-ROW($C$113))*11)</f>
        <v>3</v>
      </c>
      <c r="F115">
        <f ca="1">OFFSET(Summary!Q$44,0,(ROW()-ROW($C$113))*11)</f>
        <v>3</v>
      </c>
      <c r="I115" t="str">
        <f>B115</f>
        <v>Unk-EPA</v>
      </c>
      <c r="J115" s="39">
        <f t="shared" ca="1" si="189"/>
        <v>0.2</v>
      </c>
      <c r="K115" s="39">
        <f t="shared" ca="1" si="182"/>
        <v>0.2</v>
      </c>
      <c r="L115" s="39">
        <f t="shared" ca="1" si="183"/>
        <v>0.3</v>
      </c>
      <c r="M115" s="39">
        <f t="shared" ca="1" si="184"/>
        <v>0.3</v>
      </c>
      <c r="O115" s="147">
        <f ca="1">O114</f>
        <v>0.2253968253968254</v>
      </c>
      <c r="P115" t="str">
        <f>I115</f>
        <v>Unk-EPA</v>
      </c>
      <c r="Q115" s="122">
        <f ca="1">INDEX(J$102:J$120,MATCH($O115,$H$102:$H$120,0)+3)</f>
        <v>0.2</v>
      </c>
      <c r="R115" s="122">
        <f t="shared" ref="R115" ca="1" si="193">INDEX(K$102:K$120,MATCH($O115,$H$102:$H$120,0)+3)</f>
        <v>0.2</v>
      </c>
      <c r="S115" s="122">
        <f t="shared" ref="S115" ca="1" si="194">INDEX(L$102:L$120,MATCH($O115,$H$102:$H$120,0)+3)</f>
        <v>0.3</v>
      </c>
      <c r="T115" s="122">
        <f t="shared" ref="T115" ca="1" si="195">INDEX(M$102:M$120,MATCH($O115,$H$102:$H$120,0)+3)</f>
        <v>0.3</v>
      </c>
      <c r="W115" s="55" t="str">
        <f>$E$7</f>
        <v>Other</v>
      </c>
      <c r="X115">
        <f ca="1">OFFSET(Summary!AU$44,0,(ROW()-ROW($C$113))*11)</f>
        <v>4</v>
      </c>
      <c r="Y115">
        <f ca="1">OFFSET(Summary!AV$44,0,(ROW()-ROW($C$113))*11)</f>
        <v>1</v>
      </c>
      <c r="Z115">
        <f ca="1">OFFSET(Summary!AW$44,0,(ROW()-ROW($C$113))*11)</f>
        <v>1</v>
      </c>
      <c r="AA115">
        <f ca="1">OFFSET(Summary!AX$44,0,(ROW()-ROW($C$113))*11)</f>
        <v>1</v>
      </c>
      <c r="AD115" t="str">
        <f>W115</f>
        <v>Other</v>
      </c>
      <c r="AE115" s="39">
        <f t="shared" ca="1" si="188"/>
        <v>0.5714285714285714</v>
      </c>
      <c r="AF115" s="39">
        <f t="shared" ca="1" si="188"/>
        <v>0.14285714285714285</v>
      </c>
      <c r="AG115" s="39">
        <f t="shared" ca="1" si="188"/>
        <v>0.14285714285714285</v>
      </c>
      <c r="AH115" s="39">
        <f t="shared" ca="1" si="188"/>
        <v>0.14285714285714285</v>
      </c>
      <c r="AJ115" s="149">
        <f ca="1">AJ114</f>
        <v>0.22751322751322753</v>
      </c>
      <c r="AK115" t="str">
        <f>AD115</f>
        <v>Other</v>
      </c>
      <c r="AL115" s="122">
        <f ca="1">INDEX(AE$102:AE$120,MATCH($AJ115,$AC$102:$AC$120,0)+3)</f>
        <v>0.5714285714285714</v>
      </c>
      <c r="AM115" s="122">
        <f ca="1">INDEX(AF$102:AF$120,MATCH($AJ115,$AC$102:$AC$120,0)+3)</f>
        <v>0.14285714285714285</v>
      </c>
      <c r="AN115" s="122">
        <f ca="1">INDEX(AG$102:AG$120,MATCH($AJ115,$AC$102:$AC$120,0)+3)</f>
        <v>0.14285714285714285</v>
      </c>
      <c r="AO115" s="122">
        <f ca="1">INDEX(AH$102:AH$120,MATCH($AJ115,$AC$102:$AC$120,0)+3)</f>
        <v>0.14285714285714285</v>
      </c>
    </row>
    <row r="116" spans="2:41" x14ac:dyDescent="0.25">
      <c r="O116" s="146"/>
      <c r="AJ116" s="150"/>
    </row>
    <row r="117" spans="2:41" x14ac:dyDescent="0.25">
      <c r="B117" t="str">
        <f>$F$6</f>
        <v>Ubiquity</v>
      </c>
      <c r="C117" t="str">
        <f>$C$3</f>
        <v>1st Rank</v>
      </c>
      <c r="D117" t="str">
        <f>$D$3</f>
        <v>2nd Rank</v>
      </c>
      <c r="E117" t="str">
        <f>$E$3</f>
        <v>3rd Rank</v>
      </c>
      <c r="F117" t="str">
        <f>$F$3</f>
        <v>4th Rank</v>
      </c>
      <c r="H117" s="141">
        <f ca="1">AVERAGE(J118:J120)</f>
        <v>0.51587301587301593</v>
      </c>
      <c r="I117" t="str">
        <f>B117</f>
        <v>Ubiquity</v>
      </c>
      <c r="J117" t="str">
        <f>C117</f>
        <v>1st Rank</v>
      </c>
      <c r="K117" t="str">
        <f>D117</f>
        <v>2nd Rank</v>
      </c>
      <c r="L117" t="str">
        <f>E117</f>
        <v>3rd Rank</v>
      </c>
      <c r="M117" t="str">
        <f>F117</f>
        <v>4th Rank</v>
      </c>
      <c r="O117" s="145">
        <f ca="1">LARGE($H$102:$H$120,4)</f>
        <v>5.7142857142857141E-2</v>
      </c>
      <c r="P117" t="str">
        <f ca="1">INDEX($I$102:$I$120,MATCH(O117,$H$102:$H$120,0))</f>
        <v>Subject</v>
      </c>
      <c r="Q117" t="str">
        <f>J117</f>
        <v>1st Rank</v>
      </c>
      <c r="R117" t="str">
        <f>K117</f>
        <v>2nd Rank</v>
      </c>
      <c r="S117" t="str">
        <f>L117</f>
        <v>3rd Rank</v>
      </c>
      <c r="T117" t="str">
        <f>M117</f>
        <v>4th Rank</v>
      </c>
      <c r="W117" t="str">
        <f>$F$6</f>
        <v>Ubiquity</v>
      </c>
      <c r="X117" t="str">
        <f>$C$3</f>
        <v>1st Rank</v>
      </c>
      <c r="Y117" t="str">
        <f>$D$3</f>
        <v>2nd Rank</v>
      </c>
      <c r="Z117" t="str">
        <f>$E$3</f>
        <v>3rd Rank</v>
      </c>
      <c r="AA117" t="str">
        <f>$F$3</f>
        <v>4th Rank</v>
      </c>
      <c r="AC117" s="141">
        <f ca="1">AVERAGE(AE118:AE120)</f>
        <v>0.49841269841269842</v>
      </c>
      <c r="AD117" t="str">
        <f>W117</f>
        <v>Ubiquity</v>
      </c>
      <c r="AE117" t="str">
        <f>X117</f>
        <v>1st Rank</v>
      </c>
      <c r="AF117" t="str">
        <f>Y117</f>
        <v>2nd Rank</v>
      </c>
      <c r="AG117" t="str">
        <f>Z117</f>
        <v>3rd Rank</v>
      </c>
      <c r="AH117" t="str">
        <f>AA117</f>
        <v>4th Rank</v>
      </c>
      <c r="AJ117" s="148">
        <f ca="1">LARGE($AC$102:$AC$120,4)</f>
        <v>8.5185185185185183E-2</v>
      </c>
      <c r="AK117" t="str">
        <f ca="1">INDEX($AD$102:$AD$120,MATCH(AJ117,$AC$102:$AC$120,0))</f>
        <v>Subject</v>
      </c>
      <c r="AL117" t="str">
        <f>AE117</f>
        <v>1st Rank</v>
      </c>
      <c r="AM117" t="str">
        <f>AF117</f>
        <v>2nd Rank</v>
      </c>
      <c r="AN117" t="str">
        <f>AG117</f>
        <v>3rd Rank</v>
      </c>
      <c r="AO117" t="str">
        <f>AH117</f>
        <v>4th Rank</v>
      </c>
    </row>
    <row r="118" spans="2:41" x14ac:dyDescent="0.25">
      <c r="B118" t="str">
        <f>$C$2</f>
        <v>EPA</v>
      </c>
      <c r="C118">
        <f ca="1">OFFSET(Summary!N$45,0,(ROW()-ROW($C$118))*11)</f>
        <v>2</v>
      </c>
      <c r="D118">
        <f ca="1">OFFSET(Summary!O$45,0,(ROW()-ROW($C$118))*11)</f>
        <v>3</v>
      </c>
      <c r="E118">
        <f ca="1">OFFSET(Summary!P$45,0,(ROW()-ROW($C$118))*11)</f>
        <v>0</v>
      </c>
      <c r="F118">
        <f ca="1">OFFSET(Summary!Q$45,0,(ROW()-ROW($C$118))*11)</f>
        <v>1</v>
      </c>
      <c r="I118" t="str">
        <f>B118</f>
        <v>EPA</v>
      </c>
      <c r="J118" s="39">
        <f ca="1">C118/SUM($C118:$F118)</f>
        <v>0.33333333333333331</v>
      </c>
      <c r="K118" s="39">
        <f t="shared" ref="K118:K120" ca="1" si="196">D118/SUM($C118:$F118)</f>
        <v>0.5</v>
      </c>
      <c r="L118" s="39">
        <f t="shared" ref="L118:L120" ca="1" si="197">E118/SUM($C118:$F118)</f>
        <v>0</v>
      </c>
      <c r="M118" s="39">
        <f t="shared" ref="M118:M120" ca="1" si="198">F118/SUM($C118:$F118)</f>
        <v>0.16666666666666666</v>
      </c>
      <c r="O118" s="147">
        <f ca="1">O117</f>
        <v>5.7142857142857141E-2</v>
      </c>
      <c r="P118" t="str">
        <f>I118</f>
        <v>EPA</v>
      </c>
      <c r="Q118" s="122">
        <f ca="1">INDEX(J$102:J$120,MATCH($O118,$H$102:$H$120,0)+1)</f>
        <v>0</v>
      </c>
      <c r="R118" s="122">
        <f t="shared" ref="R118" ca="1" si="199">INDEX(K$102:K$120,MATCH($O118,$H$102:$H$120,0)+1)</f>
        <v>0.16666666666666666</v>
      </c>
      <c r="S118" s="122">
        <f t="shared" ref="S118" ca="1" si="200">INDEX(L$102:L$120,MATCH($O118,$H$102:$H$120,0)+1)</f>
        <v>0.5</v>
      </c>
      <c r="T118" s="122">
        <f t="shared" ref="T118" ca="1" si="201">INDEX(M$102:M$120,MATCH($O118,$H$102:$H$120,0)+1)</f>
        <v>0.33333333333333331</v>
      </c>
      <c r="W118" s="55" t="str">
        <f>$C$7</f>
        <v>Chemical</v>
      </c>
      <c r="X118">
        <f ca="1">OFFSET(Summary!AU$45,0,(ROW()-ROW($C$118))*11)</f>
        <v>12</v>
      </c>
      <c r="Y118">
        <f ca="1">OFFSET(Summary!AV$45,0,(ROW()-ROW($C$118))*11)</f>
        <v>6</v>
      </c>
      <c r="Z118">
        <f ca="1">OFFSET(Summary!AW$45,0,(ROW()-ROW($C$118))*11)</f>
        <v>0</v>
      </c>
      <c r="AA118">
        <f ca="1">OFFSET(Summary!AX$45,0,(ROW()-ROW($C$118))*11)</f>
        <v>0</v>
      </c>
      <c r="AD118" t="str">
        <f>W118</f>
        <v>Chemical</v>
      </c>
      <c r="AE118" s="39">
        <f t="shared" ref="AE118:AH120" ca="1" si="202">X118/SUM($X118:$AA118)</f>
        <v>0.66666666666666663</v>
      </c>
      <c r="AF118" s="39">
        <f t="shared" ca="1" si="202"/>
        <v>0.33333333333333331</v>
      </c>
      <c r="AG118" s="39">
        <f t="shared" ca="1" si="202"/>
        <v>0</v>
      </c>
      <c r="AH118" s="39">
        <f t="shared" ca="1" si="202"/>
        <v>0</v>
      </c>
      <c r="AJ118" s="149">
        <f ca="1">AJ117</f>
        <v>8.5185185185185183E-2</v>
      </c>
      <c r="AK118" t="str">
        <f>AD118</f>
        <v>Chemical</v>
      </c>
      <c r="AL118" s="122">
        <f ca="1">INDEX(AE$102:AE$120,MATCH($AJ118,$AC$102:$AC$120,0)+1)</f>
        <v>5.5555555555555552E-2</v>
      </c>
      <c r="AM118" s="122">
        <f ca="1">INDEX(AF$102:AF$120,MATCH($AJ118,$AC$102:$AC$120,0)+1)</f>
        <v>0.16666666666666666</v>
      </c>
      <c r="AN118" s="122">
        <f ca="1">INDEX(AG$102:AG$120,MATCH($AJ118,$AC$102:$AC$120,0)+1)</f>
        <v>0.33333333333333331</v>
      </c>
      <c r="AO118" s="122">
        <f ca="1">INDEX(AH$102:AH$120,MATCH($AJ118,$AC$102:$AC$120,0)+1)</f>
        <v>0.44444444444444442</v>
      </c>
    </row>
    <row r="119" spans="2:41" x14ac:dyDescent="0.25">
      <c r="B119" t="str">
        <f>$D$2</f>
        <v>Non-EPA</v>
      </c>
      <c r="C119">
        <f ca="1">OFFSET(Summary!N$45,0,(ROW()-ROW($C$118))*11)</f>
        <v>10</v>
      </c>
      <c r="D119">
        <f ca="1">OFFSET(Summary!O$45,0,(ROW()-ROW($C$118))*11)</f>
        <v>2</v>
      </c>
      <c r="E119">
        <f ca="1">OFFSET(Summary!P$45,0,(ROW()-ROW($C$118))*11)</f>
        <v>1</v>
      </c>
      <c r="F119">
        <f ca="1">OFFSET(Summary!Q$45,0,(ROW()-ROW($C$118))*11)</f>
        <v>1</v>
      </c>
      <c r="I119" t="str">
        <f>B119</f>
        <v>Non-EPA</v>
      </c>
      <c r="J119" s="39">
        <f t="shared" ref="J119:J120" ca="1" si="203">C119/SUM($C119:$F119)</f>
        <v>0.7142857142857143</v>
      </c>
      <c r="K119" s="39">
        <f t="shared" ca="1" si="196"/>
        <v>0.14285714285714285</v>
      </c>
      <c r="L119" s="39">
        <f t="shared" ca="1" si="197"/>
        <v>7.1428571428571425E-2</v>
      </c>
      <c r="M119" s="39">
        <f t="shared" ca="1" si="198"/>
        <v>7.1428571428571425E-2</v>
      </c>
      <c r="O119" s="147">
        <f ca="1">O118</f>
        <v>5.7142857142857141E-2</v>
      </c>
      <c r="P119" t="str">
        <f>I119</f>
        <v>Non-EPA</v>
      </c>
      <c r="Q119" s="122">
        <f ca="1">INDEX(J$102:J$120,MATCH($O119,$H$102:$H$120,0)+2)</f>
        <v>7.1428571428571425E-2</v>
      </c>
      <c r="R119" s="122">
        <f t="shared" ref="R119" ca="1" si="204">INDEX(K$102:K$120,MATCH($O119,$H$102:$H$120,0)+2)</f>
        <v>0.14285714285714285</v>
      </c>
      <c r="S119" s="122">
        <f t="shared" ref="S119" ca="1" si="205">INDEX(L$102:L$120,MATCH($O119,$H$102:$H$120,0)+2)</f>
        <v>0.21428571428571427</v>
      </c>
      <c r="T119" s="122">
        <f t="shared" ref="T119" ca="1" si="206">INDEX(M$102:M$120,MATCH($O119,$H$102:$H$120,0)+2)</f>
        <v>0.5714285714285714</v>
      </c>
      <c r="W119" s="55" t="str">
        <f>$D$7</f>
        <v>Human Factors</v>
      </c>
      <c r="X119">
        <f ca="1">OFFSET(Summary!AU$45,0,(ROW()-ROW($C$118))*11)</f>
        <v>2</v>
      </c>
      <c r="Y119">
        <f ca="1">OFFSET(Summary!AV$45,0,(ROW()-ROW($C$118))*11)</f>
        <v>2</v>
      </c>
      <c r="Z119">
        <f ca="1">OFFSET(Summary!AW$45,0,(ROW()-ROW($C$118))*11)</f>
        <v>1</v>
      </c>
      <c r="AA119">
        <f ca="1">OFFSET(Summary!AX$45,0,(ROW()-ROW($C$118))*11)</f>
        <v>0</v>
      </c>
      <c r="AD119" t="str">
        <f>W119</f>
        <v>Human Factors</v>
      </c>
      <c r="AE119" s="39">
        <f t="shared" ca="1" si="202"/>
        <v>0.4</v>
      </c>
      <c r="AF119" s="39">
        <f t="shared" ca="1" si="202"/>
        <v>0.4</v>
      </c>
      <c r="AG119" s="39">
        <f t="shared" ca="1" si="202"/>
        <v>0.2</v>
      </c>
      <c r="AH119" s="39">
        <f t="shared" ca="1" si="202"/>
        <v>0</v>
      </c>
      <c r="AJ119" s="149">
        <f ca="1">AJ118</f>
        <v>8.5185185185185183E-2</v>
      </c>
      <c r="AK119" t="str">
        <f>AD119</f>
        <v>Human Factors</v>
      </c>
      <c r="AL119" s="122">
        <f ca="1">INDEX(AE$102:AE$120,MATCH($AJ119,$AC$102:$AC$120,0)+2)</f>
        <v>0.2</v>
      </c>
      <c r="AM119" s="122">
        <f ca="1">INDEX(AF$102:AF$120,MATCH($AJ119,$AC$102:$AC$120,0)+2)</f>
        <v>0</v>
      </c>
      <c r="AN119" s="122">
        <f ca="1">INDEX(AG$102:AG$120,MATCH($AJ119,$AC$102:$AC$120,0)+2)</f>
        <v>0.2</v>
      </c>
      <c r="AO119" s="122">
        <f ca="1">INDEX(AH$102:AH$120,MATCH($AJ119,$AC$102:$AC$120,0)+2)</f>
        <v>0.6</v>
      </c>
    </row>
    <row r="120" spans="2:41" x14ac:dyDescent="0.25">
      <c r="B120" t="str">
        <f>$E$2</f>
        <v>Unk-EPA</v>
      </c>
      <c r="C120">
        <f ca="1">OFFSET(Summary!N$45,0,(ROW()-ROW($C$118))*11)</f>
        <v>5</v>
      </c>
      <c r="D120">
        <f ca="1">OFFSET(Summary!O$45,0,(ROW()-ROW($C$118))*11)</f>
        <v>5</v>
      </c>
      <c r="E120">
        <f ca="1">OFFSET(Summary!P$45,0,(ROW()-ROW($C$118))*11)</f>
        <v>0</v>
      </c>
      <c r="F120">
        <f ca="1">OFFSET(Summary!Q$45,0,(ROW()-ROW($C$118))*11)</f>
        <v>0</v>
      </c>
      <c r="I120" t="str">
        <f>B120</f>
        <v>Unk-EPA</v>
      </c>
      <c r="J120" s="39">
        <f t="shared" ca="1" si="203"/>
        <v>0.5</v>
      </c>
      <c r="K120" s="39">
        <f t="shared" ca="1" si="196"/>
        <v>0.5</v>
      </c>
      <c r="L120" s="39">
        <f t="shared" ca="1" si="197"/>
        <v>0</v>
      </c>
      <c r="M120" s="39">
        <f t="shared" ca="1" si="198"/>
        <v>0</v>
      </c>
      <c r="O120" s="147">
        <f ca="1">O119</f>
        <v>5.7142857142857141E-2</v>
      </c>
      <c r="P120" t="str">
        <f>I120</f>
        <v>Unk-EPA</v>
      </c>
      <c r="Q120" s="122">
        <f ca="1">INDEX(J$102:J$120,MATCH($O120,$H$102:$H$120,0)+3)</f>
        <v>0.1</v>
      </c>
      <c r="R120" s="122">
        <f t="shared" ref="R120" ca="1" si="207">INDEX(K$102:K$120,MATCH($O120,$H$102:$H$120,0)+3)</f>
        <v>0.1</v>
      </c>
      <c r="S120" s="122">
        <f t="shared" ref="S120" ca="1" si="208">INDEX(L$102:L$120,MATCH($O120,$H$102:$H$120,0)+3)</f>
        <v>0.6</v>
      </c>
      <c r="T120" s="122">
        <f t="shared" ref="T120" ca="1" si="209">INDEX(M$102:M$120,MATCH($O120,$H$102:$H$120,0)+3)</f>
        <v>0.2</v>
      </c>
      <c r="W120" s="55" t="str">
        <f>$E$7</f>
        <v>Other</v>
      </c>
      <c r="X120">
        <f ca="1">OFFSET(Summary!AU$45,0,(ROW()-ROW($C$118))*11)</f>
        <v>3</v>
      </c>
      <c r="Y120">
        <f ca="1">OFFSET(Summary!AV$45,0,(ROW()-ROW($C$118))*11)</f>
        <v>2</v>
      </c>
      <c r="Z120">
        <f ca="1">OFFSET(Summary!AW$45,0,(ROW()-ROW($C$118))*11)</f>
        <v>0</v>
      </c>
      <c r="AA120">
        <f ca="1">OFFSET(Summary!AX$45,0,(ROW()-ROW($C$118))*11)</f>
        <v>2</v>
      </c>
      <c r="AD120" t="str">
        <f>W120</f>
        <v>Other</v>
      </c>
      <c r="AE120" s="39">
        <f t="shared" ca="1" si="202"/>
        <v>0.42857142857142855</v>
      </c>
      <c r="AF120" s="39">
        <f t="shared" ca="1" si="202"/>
        <v>0.2857142857142857</v>
      </c>
      <c r="AG120" s="39">
        <f t="shared" ca="1" si="202"/>
        <v>0</v>
      </c>
      <c r="AH120" s="39">
        <f t="shared" ca="1" si="202"/>
        <v>0.2857142857142857</v>
      </c>
      <c r="AJ120" s="149">
        <f ca="1">AJ119</f>
        <v>8.5185185185185183E-2</v>
      </c>
      <c r="AK120" t="str">
        <f>AD120</f>
        <v>Other</v>
      </c>
      <c r="AL120" s="122">
        <f ca="1">INDEX(AE$102:AE$120,MATCH($AJ120,$AC$102:$AC$120,0)+3)</f>
        <v>0</v>
      </c>
      <c r="AM120" s="122">
        <f ca="1">INDEX(AF$102:AF$120,MATCH($AJ120,$AC$102:$AC$120,0)+3)</f>
        <v>0.14285714285714285</v>
      </c>
      <c r="AN120" s="122">
        <f ca="1">INDEX(AG$102:AG$120,MATCH($AJ120,$AC$102:$AC$120,0)+3)</f>
        <v>0.7142857142857143</v>
      </c>
      <c r="AO120" s="122">
        <f ca="1">INDEX(AH$102:AH$120,MATCH($AJ120,$AC$102:$AC$120,0)+3)</f>
        <v>0.14285714285714285</v>
      </c>
    </row>
    <row r="151" spans="15:26" x14ac:dyDescent="0.25">
      <c r="O151" t="s">
        <v>352</v>
      </c>
      <c r="P151">
        <v>3</v>
      </c>
      <c r="Q151">
        <v>6</v>
      </c>
      <c r="R151">
        <v>5</v>
      </c>
    </row>
    <row r="153" spans="15:26" x14ac:dyDescent="0.25">
      <c r="O153" t="s">
        <v>353</v>
      </c>
      <c r="P153">
        <v>2</v>
      </c>
      <c r="Q153">
        <v>5</v>
      </c>
      <c r="R153">
        <v>5</v>
      </c>
    </row>
    <row r="156" spans="15:26" x14ac:dyDescent="0.25">
      <c r="P156" t="s">
        <v>290</v>
      </c>
      <c r="Q156" t="s">
        <v>291</v>
      </c>
      <c r="R156" t="s">
        <v>292</v>
      </c>
      <c r="T156" t="s">
        <v>290</v>
      </c>
      <c r="U156" t="s">
        <v>291</v>
      </c>
      <c r="V156" t="s">
        <v>292</v>
      </c>
      <c r="X156" t="s">
        <v>290</v>
      </c>
      <c r="Y156" t="s">
        <v>291</v>
      </c>
      <c r="Z156" t="s">
        <v>292</v>
      </c>
    </row>
    <row r="157" spans="15:26" x14ac:dyDescent="0.25">
      <c r="O157" t="s">
        <v>349</v>
      </c>
      <c r="P157" s="122">
        <f t="shared" ref="P157:R159" si="210">P163/P$166</f>
        <v>0</v>
      </c>
      <c r="Q157" s="122">
        <f t="shared" si="210"/>
        <v>0.21428571428571427</v>
      </c>
      <c r="R157" s="122">
        <f t="shared" si="210"/>
        <v>0.16666666666666666</v>
      </c>
      <c r="S157" s="122"/>
      <c r="T157" s="122">
        <f t="shared" ref="T157:V159" si="211">T163/T$166</f>
        <v>0.16666666666666666</v>
      </c>
      <c r="U157" s="122">
        <f t="shared" si="211"/>
        <v>0.21428571428571427</v>
      </c>
      <c r="V157" s="122">
        <f t="shared" si="211"/>
        <v>0.16666666666666666</v>
      </c>
      <c r="W157" s="122"/>
      <c r="X157" s="122">
        <f t="shared" ref="X157:Z159" si="212">X163/X$166</f>
        <v>0.83333333333333337</v>
      </c>
      <c r="Y157" s="122">
        <f t="shared" si="212"/>
        <v>0.6428571428571429</v>
      </c>
      <c r="Z157" s="122">
        <f t="shared" si="212"/>
        <v>0.83333333333333337</v>
      </c>
    </row>
    <row r="158" spans="15:26" x14ac:dyDescent="0.25">
      <c r="O158" t="s">
        <v>350</v>
      </c>
      <c r="P158" s="122">
        <f t="shared" si="210"/>
        <v>0.66666666666666663</v>
      </c>
      <c r="Q158" s="122">
        <f t="shared" si="210"/>
        <v>0.42857142857142855</v>
      </c>
      <c r="R158" s="122">
        <f t="shared" si="210"/>
        <v>0.41666666666666669</v>
      </c>
      <c r="S158" s="122"/>
      <c r="T158" s="122">
        <f t="shared" si="211"/>
        <v>0.33333333333333331</v>
      </c>
      <c r="U158" s="122">
        <f t="shared" si="211"/>
        <v>0.2857142857142857</v>
      </c>
      <c r="V158" s="122">
        <f t="shared" si="211"/>
        <v>0.5</v>
      </c>
      <c r="W158" s="122"/>
      <c r="X158" s="122">
        <f t="shared" si="212"/>
        <v>0</v>
      </c>
      <c r="Y158" s="122">
        <f t="shared" si="212"/>
        <v>0.2857142857142857</v>
      </c>
      <c r="Z158" s="122">
        <f t="shared" si="212"/>
        <v>8.3333333333333329E-2</v>
      </c>
    </row>
    <row r="159" spans="15:26" x14ac:dyDescent="0.25">
      <c r="O159" t="s">
        <v>351</v>
      </c>
      <c r="P159" s="122">
        <f t="shared" si="210"/>
        <v>0.33333333333333331</v>
      </c>
      <c r="Q159" s="122">
        <f t="shared" si="210"/>
        <v>0.35714285714285715</v>
      </c>
      <c r="R159" s="122">
        <f t="shared" si="210"/>
        <v>0.41666666666666669</v>
      </c>
      <c r="S159" s="122"/>
      <c r="T159" s="122">
        <f t="shared" si="211"/>
        <v>0.5</v>
      </c>
      <c r="U159" s="122">
        <f t="shared" si="211"/>
        <v>0.5</v>
      </c>
      <c r="V159" s="122">
        <f t="shared" si="211"/>
        <v>0.33333333333333331</v>
      </c>
      <c r="W159" s="122"/>
      <c r="X159" s="122">
        <f t="shared" si="212"/>
        <v>0.16666666666666666</v>
      </c>
      <c r="Y159" s="122">
        <f t="shared" si="212"/>
        <v>7.1428571428571425E-2</v>
      </c>
      <c r="Z159" s="122">
        <f t="shared" si="212"/>
        <v>8.3333333333333329E-2</v>
      </c>
    </row>
    <row r="162" spans="15:26" x14ac:dyDescent="0.25">
      <c r="P162" t="s">
        <v>290</v>
      </c>
      <c r="Q162" t="s">
        <v>291</v>
      </c>
      <c r="R162" t="s">
        <v>292</v>
      </c>
      <c r="T162" t="s">
        <v>290</v>
      </c>
      <c r="U162" t="s">
        <v>291</v>
      </c>
      <c r="V162" t="s">
        <v>292</v>
      </c>
      <c r="X162" t="s">
        <v>290</v>
      </c>
      <c r="Y162" t="s">
        <v>291</v>
      </c>
      <c r="Z162" t="s">
        <v>292</v>
      </c>
    </row>
    <row r="163" spans="15:26" x14ac:dyDescent="0.25">
      <c r="O163" t="s">
        <v>349</v>
      </c>
      <c r="P163">
        <v>0</v>
      </c>
      <c r="Q163">
        <v>3</v>
      </c>
      <c r="R163">
        <v>2</v>
      </c>
      <c r="T163">
        <v>1</v>
      </c>
      <c r="U163">
        <v>3</v>
      </c>
      <c r="V163">
        <v>2</v>
      </c>
      <c r="X163">
        <v>5</v>
      </c>
      <c r="Y163">
        <v>9</v>
      </c>
      <c r="Z163">
        <v>10</v>
      </c>
    </row>
    <row r="164" spans="15:26" x14ac:dyDescent="0.25">
      <c r="O164" t="s">
        <v>350</v>
      </c>
      <c r="P164">
        <v>4</v>
      </c>
      <c r="Q164">
        <v>6</v>
      </c>
      <c r="R164">
        <v>5</v>
      </c>
      <c r="T164">
        <v>2</v>
      </c>
      <c r="U164">
        <v>4</v>
      </c>
      <c r="V164">
        <v>6</v>
      </c>
      <c r="X164">
        <v>0</v>
      </c>
      <c r="Y164">
        <v>4</v>
      </c>
      <c r="Z164">
        <v>1</v>
      </c>
    </row>
    <row r="165" spans="15:26" x14ac:dyDescent="0.25">
      <c r="O165" t="s">
        <v>351</v>
      </c>
      <c r="P165">
        <v>2</v>
      </c>
      <c r="Q165">
        <v>5</v>
      </c>
      <c r="R165">
        <v>5</v>
      </c>
      <c r="T165">
        <v>3</v>
      </c>
      <c r="U165">
        <v>7</v>
      </c>
      <c r="V165">
        <v>4</v>
      </c>
      <c r="X165">
        <v>1</v>
      </c>
      <c r="Y165">
        <v>1</v>
      </c>
      <c r="Z165">
        <v>1</v>
      </c>
    </row>
    <row r="166" spans="15:26" x14ac:dyDescent="0.25">
      <c r="P166">
        <f>SUM(P163:P165)</f>
        <v>6</v>
      </c>
      <c r="Q166">
        <f>SUM(Q163:Q165)</f>
        <v>14</v>
      </c>
      <c r="R166">
        <f>SUM(R163:R165)</f>
        <v>12</v>
      </c>
      <c r="T166">
        <f>SUM(T163:T165)</f>
        <v>6</v>
      </c>
      <c r="U166">
        <f>SUM(U163:U165)</f>
        <v>14</v>
      </c>
      <c r="V166">
        <f>SUM(V163:V165)</f>
        <v>12</v>
      </c>
      <c r="X166">
        <f>SUM(X163:X165)</f>
        <v>6</v>
      </c>
      <c r="Y166">
        <f>SUM(Y163:Y165)</f>
        <v>14</v>
      </c>
      <c r="Z166">
        <f>SUM(Z163:Z165)</f>
        <v>12</v>
      </c>
    </row>
    <row r="172" spans="15:26" x14ac:dyDescent="0.25">
      <c r="Q172" s="3" t="s">
        <v>290</v>
      </c>
      <c r="R172" t="s">
        <v>349</v>
      </c>
      <c r="S172" t="s">
        <v>350</v>
      </c>
      <c r="T172" t="s">
        <v>351</v>
      </c>
    </row>
    <row r="173" spans="15:26" x14ac:dyDescent="0.25">
      <c r="Q173" t="s">
        <v>348</v>
      </c>
      <c r="R173">
        <v>0</v>
      </c>
      <c r="S173">
        <v>4</v>
      </c>
      <c r="T173">
        <v>2</v>
      </c>
    </row>
    <row r="174" spans="15:26" x14ac:dyDescent="0.25">
      <c r="Q174" s="16" t="s">
        <v>111</v>
      </c>
      <c r="R174">
        <v>1</v>
      </c>
      <c r="S174">
        <v>2</v>
      </c>
      <c r="T174">
        <v>3</v>
      </c>
    </row>
    <row r="175" spans="15:26" x14ac:dyDescent="0.25">
      <c r="Q175" s="16" t="s">
        <v>112</v>
      </c>
      <c r="R175">
        <v>5</v>
      </c>
      <c r="S175">
        <v>0</v>
      </c>
      <c r="T175">
        <v>1</v>
      </c>
    </row>
    <row r="177" spans="17:20" x14ac:dyDescent="0.25">
      <c r="Q177" s="3" t="s">
        <v>291</v>
      </c>
      <c r="R177" t="s">
        <v>349</v>
      </c>
      <c r="S177" t="s">
        <v>350</v>
      </c>
      <c r="T177" t="s">
        <v>351</v>
      </c>
    </row>
    <row r="178" spans="17:20" x14ac:dyDescent="0.25">
      <c r="Q178" t="s">
        <v>348</v>
      </c>
      <c r="R178">
        <v>3</v>
      </c>
      <c r="S178">
        <v>6</v>
      </c>
      <c r="T178">
        <v>5</v>
      </c>
    </row>
    <row r="179" spans="17:20" x14ac:dyDescent="0.25">
      <c r="Q179" s="16" t="s">
        <v>111</v>
      </c>
      <c r="R179">
        <v>3</v>
      </c>
      <c r="S179">
        <v>4</v>
      </c>
      <c r="T179">
        <v>7</v>
      </c>
    </row>
    <row r="180" spans="17:20" x14ac:dyDescent="0.25">
      <c r="Q180" s="16" t="s">
        <v>112</v>
      </c>
      <c r="R180">
        <v>9</v>
      </c>
      <c r="S180">
        <v>4</v>
      </c>
      <c r="T180">
        <v>1</v>
      </c>
    </row>
    <row r="183" spans="17:20" x14ac:dyDescent="0.25">
      <c r="Q183" s="3" t="s">
        <v>347</v>
      </c>
      <c r="R183" t="s">
        <v>349</v>
      </c>
      <c r="S183" t="s">
        <v>350</v>
      </c>
      <c r="T183" t="s">
        <v>351</v>
      </c>
    </row>
    <row r="184" spans="17:20" x14ac:dyDescent="0.25">
      <c r="Q184" t="s">
        <v>348</v>
      </c>
      <c r="R184">
        <v>2</v>
      </c>
      <c r="S184">
        <v>5</v>
      </c>
      <c r="T184">
        <v>5</v>
      </c>
    </row>
    <row r="185" spans="17:20" x14ac:dyDescent="0.25">
      <c r="Q185" s="16" t="s">
        <v>111</v>
      </c>
      <c r="R185">
        <v>2</v>
      </c>
      <c r="S185">
        <v>6</v>
      </c>
      <c r="T185">
        <v>4</v>
      </c>
    </row>
    <row r="186" spans="17:20" x14ac:dyDescent="0.25">
      <c r="Q186" s="16" t="s">
        <v>112</v>
      </c>
      <c r="R186">
        <v>10</v>
      </c>
      <c r="S186">
        <v>1</v>
      </c>
      <c r="T186">
        <v>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O28"/>
  <sheetViews>
    <sheetView zoomScale="85" zoomScaleNormal="85" workbookViewId="0">
      <selection activeCell="L10" sqref="L10"/>
    </sheetView>
  </sheetViews>
  <sheetFormatPr defaultRowHeight="15" x14ac:dyDescent="0.25"/>
  <cols>
    <col min="14" max="15" width="0" hidden="1" customWidth="1"/>
  </cols>
  <sheetData>
    <row r="1" spans="14:15" x14ac:dyDescent="0.25">
      <c r="N1" s="143" t="s">
        <v>290</v>
      </c>
      <c r="O1" s="143" t="s">
        <v>99</v>
      </c>
    </row>
    <row r="2" spans="14:15" x14ac:dyDescent="0.25">
      <c r="N2" s="3" t="s">
        <v>15</v>
      </c>
      <c r="O2" s="3" t="s">
        <v>15</v>
      </c>
    </row>
    <row r="3" spans="14:15" x14ac:dyDescent="0.25">
      <c r="N3" t="str">
        <f ca="1">'Chart Data'!P12</f>
        <v>Life Cycle Properties</v>
      </c>
      <c r="O3" t="str">
        <f ca="1">'Chart Data'!AK12</f>
        <v>Life Cycle Properties</v>
      </c>
    </row>
    <row r="4" spans="14:15" x14ac:dyDescent="0.25">
      <c r="N4" t="str">
        <f ca="1">'Chart Data'!P17</f>
        <v>Chemical Properties</v>
      </c>
      <c r="O4" t="str">
        <f ca="1">'Chart Data'!AK17</f>
        <v>Chemical Properties</v>
      </c>
    </row>
    <row r="5" spans="14:15" x14ac:dyDescent="0.25">
      <c r="N5" s="3" t="s">
        <v>19</v>
      </c>
      <c r="O5" s="3" t="s">
        <v>19</v>
      </c>
    </row>
    <row r="6" spans="14:15" x14ac:dyDescent="0.25">
      <c r="N6" t="str">
        <f ca="1">'Chart Data'!P23</f>
        <v>Consumer Use Phase</v>
      </c>
      <c r="O6" t="str">
        <f ca="1">'Chart Data'!AK23</f>
        <v>Consumer Use Phase</v>
      </c>
    </row>
    <row r="7" spans="14:15" x14ac:dyDescent="0.25">
      <c r="N7" t="str">
        <f ca="1">'Chart Data'!P28</f>
        <v>Production Phase</v>
      </c>
      <c r="O7" t="str">
        <f ca="1">'Chart Data'!AK28</f>
        <v>Production Phase</v>
      </c>
    </row>
    <row r="8" spans="14:15" x14ac:dyDescent="0.25">
      <c r="N8" t="str">
        <f ca="1">'Chart Data'!P33</f>
        <v>Disposal Phase</v>
      </c>
      <c r="O8" t="str">
        <f ca="1">'Chart Data'!AK33</f>
        <v>Disposal Phase</v>
      </c>
    </row>
    <row r="9" spans="14:15" x14ac:dyDescent="0.25">
      <c r="N9" s="3" t="s">
        <v>24</v>
      </c>
      <c r="O9" s="3" t="s">
        <v>24</v>
      </c>
    </row>
    <row r="10" spans="14:15" x14ac:dyDescent="0.25">
      <c r="N10" t="str">
        <f ca="1">'Chart Data'!P39</f>
        <v>ADME</v>
      </c>
      <c r="O10" t="str">
        <f ca="1">'Chart Data'!AK39</f>
        <v>ADME</v>
      </c>
    </row>
    <row r="11" spans="14:15" x14ac:dyDescent="0.25">
      <c r="N11" t="str">
        <f ca="1">'Chart Data'!P44</f>
        <v>Bioaccumulation</v>
      </c>
      <c r="O11" t="str">
        <f ca="1">'Chart Data'!AK44</f>
        <v>Bioaccumulation</v>
      </c>
    </row>
    <row r="12" spans="14:15" x14ac:dyDescent="0.25">
      <c r="N12" t="str">
        <f ca="1">'Chart Data'!P49</f>
        <v>Persistence</v>
      </c>
      <c r="O12" t="str">
        <f ca="1">'Chart Data'!AK49</f>
        <v>Persistence</v>
      </c>
    </row>
    <row r="13" spans="14:15" x14ac:dyDescent="0.25">
      <c r="N13" t="str">
        <f ca="1">'Chart Data'!P54</f>
        <v>Physical Hazard</v>
      </c>
      <c r="O13" t="str">
        <f ca="1">'Chart Data'!AK54</f>
        <v>Physical Hazard</v>
      </c>
    </row>
    <row r="14" spans="14:15" x14ac:dyDescent="0.25">
      <c r="N14" s="3" t="s">
        <v>29</v>
      </c>
      <c r="O14" s="3" t="s">
        <v>29</v>
      </c>
    </row>
    <row r="15" spans="14:15" x14ac:dyDescent="0.25">
      <c r="N15" t="str">
        <f ca="1">'Chart Data'!P60</f>
        <v>Activity</v>
      </c>
      <c r="O15" t="str">
        <f ca="1">'Chart Data'!AK60</f>
        <v>Activity</v>
      </c>
    </row>
    <row r="16" spans="14:15" x14ac:dyDescent="0.25">
      <c r="N16" t="str">
        <f ca="1">'Chart Data'!P65</f>
        <v>Ubiquity</v>
      </c>
      <c r="O16" t="str">
        <f ca="1">'Chart Data'!AK65</f>
        <v>Ubiquity</v>
      </c>
    </row>
    <row r="17" spans="14:15" x14ac:dyDescent="0.25">
      <c r="N17" t="str">
        <f ca="1">'Chart Data'!P70</f>
        <v>Subject</v>
      </c>
      <c r="O17" t="str">
        <f ca="1">'Chart Data'!AK70</f>
        <v>Environment</v>
      </c>
    </row>
    <row r="18" spans="14:15" x14ac:dyDescent="0.25">
      <c r="N18" t="str">
        <f ca="1">'Chart Data'!P75</f>
        <v>Environment</v>
      </c>
      <c r="O18" t="str">
        <f ca="1">'Chart Data'!AK75</f>
        <v>Subject</v>
      </c>
    </row>
    <row r="19" spans="14:15" x14ac:dyDescent="0.25">
      <c r="N19" s="3" t="s">
        <v>34</v>
      </c>
      <c r="O19" s="3" t="s">
        <v>34</v>
      </c>
    </row>
    <row r="20" spans="14:15" x14ac:dyDescent="0.25">
      <c r="N20" t="str">
        <f ca="1">'Chart Data'!P81</f>
        <v>Activity</v>
      </c>
      <c r="O20" t="str">
        <f ca="1">'Chart Data'!AK81</f>
        <v>Activity</v>
      </c>
    </row>
    <row r="21" spans="14:15" x14ac:dyDescent="0.25">
      <c r="N21" t="str">
        <f ca="1">'Chart Data'!P86</f>
        <v>Ubiquity</v>
      </c>
      <c r="O21" t="str">
        <f ca="1">'Chart Data'!AK86</f>
        <v>Ubiquity</v>
      </c>
    </row>
    <row r="22" spans="14:15" x14ac:dyDescent="0.25">
      <c r="N22" t="str">
        <f ca="1">'Chart Data'!P91</f>
        <v>Subject</v>
      </c>
      <c r="O22" t="str">
        <f ca="1">'Chart Data'!AK91</f>
        <v>Subject</v>
      </c>
    </row>
    <row r="23" spans="14:15" x14ac:dyDescent="0.25">
      <c r="N23" t="str">
        <f ca="1">'Chart Data'!P96</f>
        <v>Environment</v>
      </c>
      <c r="O23" t="str">
        <f ca="1">'Chart Data'!AK96</f>
        <v>Environment</v>
      </c>
    </row>
    <row r="24" spans="14:15" x14ac:dyDescent="0.25">
      <c r="N24" s="3" t="s">
        <v>39</v>
      </c>
      <c r="O24" s="3" t="s">
        <v>39</v>
      </c>
    </row>
    <row r="25" spans="14:15" x14ac:dyDescent="0.25">
      <c r="N25" t="str">
        <f ca="1">'Chart Data'!P102</f>
        <v>Ubiquity</v>
      </c>
      <c r="O25" t="str">
        <f ca="1">'Chart Data'!AK102</f>
        <v>Ubiquity</v>
      </c>
    </row>
    <row r="26" spans="14:15" x14ac:dyDescent="0.25">
      <c r="N26" t="str">
        <f ca="1">'Chart Data'!P107</f>
        <v>Environment</v>
      </c>
      <c r="O26" t="str">
        <f ca="1">'Chart Data'!AK107</f>
        <v>Environment</v>
      </c>
    </row>
    <row r="27" spans="14:15" x14ac:dyDescent="0.25">
      <c r="N27" t="str">
        <f ca="1">'Chart Data'!P112</f>
        <v>Activity</v>
      </c>
      <c r="O27" t="str">
        <f ca="1">'Chart Data'!AK112</f>
        <v>Activity</v>
      </c>
    </row>
    <row r="28" spans="14:15" x14ac:dyDescent="0.25">
      <c r="N28" t="str">
        <f ca="1">'Chart Data'!P117</f>
        <v>Subject</v>
      </c>
      <c r="O28" t="str">
        <f ca="1">'Chart Data'!AK117</f>
        <v>Subject</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workbookViewId="0">
      <selection activeCell="P10" sqref="P10"/>
    </sheetView>
  </sheetViews>
  <sheetFormatPr defaultRowHeight="15" x14ac:dyDescent="0.25"/>
  <cols>
    <col min="2" max="2" width="36.85546875" bestFit="1" customWidth="1"/>
    <col min="3" max="8" width="10.7109375" customWidth="1"/>
    <col min="10" max="10" width="16.42578125" customWidth="1"/>
    <col min="11" max="11" width="9.5703125" bestFit="1" customWidth="1"/>
    <col min="14" max="14" width="9.140625" style="8"/>
    <col min="17" max="17" width="9.140625" style="8"/>
    <col min="21" max="21" width="9.140625" style="8"/>
    <col min="25" max="25" width="9.140625" style="8"/>
    <col min="29" max="29" width="9.140625" style="8"/>
    <col min="33" max="33" width="9.140625" style="8"/>
  </cols>
  <sheetData>
    <row r="1" spans="1:36" x14ac:dyDescent="0.25">
      <c r="A1" s="154"/>
      <c r="B1" s="154"/>
      <c r="C1" s="154"/>
      <c r="D1" s="154"/>
      <c r="E1" s="154"/>
      <c r="F1" s="154"/>
      <c r="G1" s="154"/>
      <c r="H1" s="154"/>
      <c r="I1" s="154"/>
      <c r="L1" t="s">
        <v>104</v>
      </c>
      <c r="M1" t="s">
        <v>105</v>
      </c>
      <c r="N1" s="8" t="s">
        <v>111</v>
      </c>
      <c r="O1" t="s">
        <v>112</v>
      </c>
      <c r="P1" t="s">
        <v>113</v>
      </c>
      <c r="Q1" s="8" t="s">
        <v>383</v>
      </c>
      <c r="R1" t="s">
        <v>135</v>
      </c>
      <c r="S1" t="s">
        <v>384</v>
      </c>
      <c r="T1" t="s">
        <v>137</v>
      </c>
      <c r="U1" s="8" t="s">
        <v>412</v>
      </c>
      <c r="V1" t="s">
        <v>413</v>
      </c>
      <c r="W1" t="s">
        <v>414</v>
      </c>
      <c r="X1" t="s">
        <v>415</v>
      </c>
      <c r="Y1" s="8" t="s">
        <v>416</v>
      </c>
      <c r="Z1" t="s">
        <v>417</v>
      </c>
      <c r="AA1" t="s">
        <v>418</v>
      </c>
      <c r="AB1" t="s">
        <v>419</v>
      </c>
      <c r="AC1" s="8" t="s">
        <v>420</v>
      </c>
      <c r="AD1" t="s">
        <v>421</v>
      </c>
      <c r="AE1" t="s">
        <v>422</v>
      </c>
      <c r="AF1" t="s">
        <v>423</v>
      </c>
    </row>
    <row r="2" spans="1:36" ht="32.25" thickBot="1" x14ac:dyDescent="0.3">
      <c r="A2" s="154"/>
      <c r="B2" s="155"/>
      <c r="C2" s="159" t="s">
        <v>426</v>
      </c>
      <c r="D2" s="159" t="s">
        <v>378</v>
      </c>
      <c r="E2" s="159" t="s">
        <v>379</v>
      </c>
      <c r="F2" s="159" t="s">
        <v>427</v>
      </c>
      <c r="G2" s="159" t="s">
        <v>425</v>
      </c>
      <c r="H2" s="159" t="s">
        <v>424</v>
      </c>
      <c r="I2" s="155"/>
      <c r="J2" s="9"/>
      <c r="K2" s="126"/>
      <c r="L2" s="126" t="s">
        <v>355</v>
      </c>
      <c r="M2" s="126" t="s">
        <v>354</v>
      </c>
      <c r="N2" s="181" t="s">
        <v>356</v>
      </c>
      <c r="O2" s="126" t="s">
        <v>357</v>
      </c>
      <c r="P2" s="126" t="s">
        <v>358</v>
      </c>
      <c r="Q2" s="181" t="s">
        <v>359</v>
      </c>
      <c r="R2" s="126" t="s">
        <v>360</v>
      </c>
      <c r="S2" s="126" t="s">
        <v>361</v>
      </c>
      <c r="T2" s="126" t="s">
        <v>362</v>
      </c>
      <c r="U2" s="181" t="s">
        <v>363</v>
      </c>
      <c r="V2" s="126" t="s">
        <v>364</v>
      </c>
      <c r="W2" s="126" t="s">
        <v>365</v>
      </c>
      <c r="X2" s="126" t="s">
        <v>366</v>
      </c>
      <c r="Y2" s="181" t="s">
        <v>367</v>
      </c>
      <c r="Z2" s="126" t="s">
        <v>368</v>
      </c>
      <c r="AA2" s="126" t="s">
        <v>369</v>
      </c>
      <c r="AB2" s="126" t="s">
        <v>370</v>
      </c>
      <c r="AC2" s="181" t="s">
        <v>371</v>
      </c>
      <c r="AD2" s="126" t="s">
        <v>372</v>
      </c>
      <c r="AE2" s="126" t="s">
        <v>373</v>
      </c>
      <c r="AF2" s="126" t="s">
        <v>374</v>
      </c>
    </row>
    <row r="3" spans="1:36" s="16" customFormat="1" ht="24.95" customHeight="1" x14ac:dyDescent="0.25">
      <c r="A3" s="156"/>
      <c r="B3" s="160" t="s">
        <v>104</v>
      </c>
      <c r="C3" s="161">
        <f t="shared" ref="C3:C23" ca="1" si="0">AVERAGE(INDIRECT(J3))</f>
        <v>0.49976804894832477</v>
      </c>
      <c r="D3" s="162">
        <f t="shared" ref="D3:D23" ca="1" si="1">COUNT(INDIRECT(J3))</f>
        <v>30</v>
      </c>
      <c r="E3" s="163">
        <f t="shared" ref="E3:E23" ca="1" si="2">STDEV(INDIRECT(J3))</f>
        <v>0.15114159640304003</v>
      </c>
      <c r="F3" s="163">
        <v>0.5</v>
      </c>
      <c r="G3" s="163">
        <f ca="1">(C3-F3)/(E3/SQRT(D3))</f>
        <v>-8.4056822385801724E-3</v>
      </c>
      <c r="H3" s="164">
        <f t="shared" ref="H3:H23" ca="1" si="3">TDIST(ABS(G3),(D3-1),2)</f>
        <v>0.99335087401031585</v>
      </c>
      <c r="I3" s="157"/>
      <c r="J3" s="152" t="s">
        <v>355</v>
      </c>
      <c r="L3" s="179">
        <f t="array" ref="L3:L34" ca="1">IF(INDIRECT(L2)="",NA(),INDIRECT(L2))</f>
        <v>0.5524861878453039</v>
      </c>
      <c r="M3" s="179">
        <f t="array" ref="M3:M34" ca="1">IF(INDIRECT(M2)="",NA(),INDIRECT(M2))</f>
        <v>0.44751381215469616</v>
      </c>
      <c r="N3" s="179">
        <f t="array" ref="N3:N34" ca="1">IF(INDIRECT(N2)="",NA(),INDIRECT(N2))</f>
        <v>0.30418250950570341</v>
      </c>
      <c r="O3" s="179">
        <f t="array" ref="O3:O34" ca="1">IF(INDIRECT(O2)="",NA(),INDIRECT(O2))</f>
        <v>0.38022813688212925</v>
      </c>
      <c r="P3" s="179">
        <f t="array" ref="P3:P34" ca="1">IF(INDIRECT(P2)="",NA(),INDIRECT(P2))</f>
        <v>0.31558935361216728</v>
      </c>
      <c r="Q3" s="179">
        <f t="array" ref="Q3:Q34" ca="1">IF(INDIRECT(Q2)="",NA(),INDIRECT(Q2))</f>
        <v>0.31948881789137379</v>
      </c>
      <c r="R3" s="179">
        <f t="array" ref="R3:R34" ca="1">IF(INDIRECT(R2)="",NA(),INDIRECT(R2))</f>
        <v>0.2108626198083067</v>
      </c>
      <c r="S3" s="179">
        <f t="array" ref="S3:S34" ca="1">IF(INDIRECT(S2)="",NA(),INDIRECT(S2))</f>
        <v>0.20766773162939298</v>
      </c>
      <c r="T3" s="179">
        <f t="array" ref="T3:T34" ca="1">IF(INDIRECT(T2)="",NA(),INDIRECT(T2))</f>
        <v>0.26198083067092653</v>
      </c>
      <c r="U3" s="179">
        <f t="array" ref="U3:U34" ca="1">IF(INDIRECT(U2)="",NA(),INDIRECT(U2))</f>
        <v>0.29761904761904762</v>
      </c>
      <c r="V3" s="179">
        <f t="array" ref="V3:V34" ca="1">IF(INDIRECT(V2)="",NA(),INDIRECT(V2))</f>
        <v>0.25892857142857145</v>
      </c>
      <c r="W3" s="179">
        <f t="array" ref="W3:W34" ca="1">IF(INDIRECT(W2)="",NA(),INDIRECT(W2))</f>
        <v>0.22023809523809523</v>
      </c>
      <c r="X3" s="179">
        <f t="array" ref="X3:X34" ca="1">IF(INDIRECT(X2)="",NA(),INDIRECT(X2))</f>
        <v>0.22321428571428573</v>
      </c>
      <c r="Y3" s="179">
        <f t="array" ref="Y3:Y34" ca="1">IF(INDIRECT(Y2)="",NA(),INDIRECT(Y2))</f>
        <v>0.33783783783783783</v>
      </c>
      <c r="Z3" s="179">
        <f t="array" ref="Z3:Z34" ca="1">IF(INDIRECT(Z2)="",NA(),INDIRECT(Z2))</f>
        <v>0.30067567567567566</v>
      </c>
      <c r="AA3" s="179">
        <f t="array" ref="AA3:AA34" ca="1">IF(INDIRECT(AA2)="",NA(),INDIRECT(AA2))</f>
        <v>0.17567567567567569</v>
      </c>
      <c r="AB3" s="179">
        <f t="array" ref="AB3:AB34" ca="1">IF(INDIRECT(AB2)="",NA(),INDIRECT(AB2))</f>
        <v>0.1858108108108108</v>
      </c>
      <c r="AC3" s="179">
        <f t="array" ref="AC3:AC34" ca="1">IF(INDIRECT(AC2)="",NA(),INDIRECT(AC2))</f>
        <v>0.29673590504451036</v>
      </c>
      <c r="AD3" s="179">
        <f t="array" ref="AD3:AD34" ca="1">IF(INDIRECT(AD2)="",NA(),INDIRECT(AD2))</f>
        <v>0.26706231454005935</v>
      </c>
      <c r="AE3" s="179">
        <f t="array" ref="AE3:AE34" ca="1">IF(INDIRECT(AE2)="",NA(),INDIRECT(AE2))</f>
        <v>0.17804154302670624</v>
      </c>
      <c r="AF3" s="179">
        <f t="array" ref="AF3:AF34" ca="1">IF(INDIRECT(AF2)="",NA(),INDIRECT(AF2))</f>
        <v>0.25816023738872401</v>
      </c>
      <c r="AG3" s="185">
        <v>1</v>
      </c>
      <c r="AH3" s="185">
        <v>2</v>
      </c>
      <c r="AI3" s="186">
        <v>3</v>
      </c>
      <c r="AJ3" s="186">
        <v>4</v>
      </c>
    </row>
    <row r="4" spans="1:36" s="16" customFormat="1" ht="24.95" customHeight="1" thickBot="1" x14ac:dyDescent="0.3">
      <c r="A4" s="156"/>
      <c r="B4" s="170" t="s">
        <v>105</v>
      </c>
      <c r="C4" s="171">
        <f t="shared" ca="1" si="0"/>
        <v>0.50023195105167528</v>
      </c>
      <c r="D4" s="172">
        <f t="shared" ca="1" si="1"/>
        <v>30</v>
      </c>
      <c r="E4" s="173">
        <f t="shared" ca="1" si="2"/>
        <v>0.15114159640304012</v>
      </c>
      <c r="F4" s="173">
        <v>0.5</v>
      </c>
      <c r="G4" s="173">
        <f t="shared" ref="G4:G23" ca="1" si="4">(C4-F4)/(E4/SQRT(D4))</f>
        <v>8.4056822385821794E-3</v>
      </c>
      <c r="H4" s="174">
        <f t="shared" ca="1" si="3"/>
        <v>0.9933508740103143</v>
      </c>
      <c r="I4" s="157"/>
      <c r="J4" s="153" t="s">
        <v>354</v>
      </c>
      <c r="L4" s="179">
        <f ca="1"/>
        <v>0.44444444444444442</v>
      </c>
      <c r="M4" s="179">
        <f ca="1"/>
        <v>0.55555555555555558</v>
      </c>
      <c r="N4" s="179">
        <f ca="1"/>
        <v>0.52910052910052907</v>
      </c>
      <c r="O4" s="179">
        <f ca="1"/>
        <v>0.31746031746031744</v>
      </c>
      <c r="P4" s="179">
        <f ca="1"/>
        <v>0.15343915343915343</v>
      </c>
      <c r="Q4" s="179">
        <f ca="1"/>
        <v>8.0168776371308023E-2</v>
      </c>
      <c r="R4" s="179">
        <f ca="1"/>
        <v>0.18565400843881857</v>
      </c>
      <c r="S4" s="179">
        <f ca="1"/>
        <v>0.31223628691983124</v>
      </c>
      <c r="T4" s="179">
        <f ca="1"/>
        <v>0.4219409282700422</v>
      </c>
      <c r="U4" s="179">
        <f ca="1"/>
        <v>0.44247787610619471</v>
      </c>
      <c r="V4" s="179">
        <f ca="1"/>
        <v>0.30530973451327431</v>
      </c>
      <c r="W4" s="179">
        <f ca="1"/>
        <v>0.12831858407079647</v>
      </c>
      <c r="X4" s="179">
        <f ca="1"/>
        <v>0.12389380530973451</v>
      </c>
      <c r="Y4" s="179">
        <f ca="1"/>
        <v>0.39215686274509803</v>
      </c>
      <c r="Z4" s="179">
        <f ca="1"/>
        <v>0.30980392156862746</v>
      </c>
      <c r="AA4" s="179">
        <f ca="1"/>
        <v>0.19607843137254902</v>
      </c>
      <c r="AB4" s="179">
        <f ca="1"/>
        <v>0.10196078431372549</v>
      </c>
      <c r="AC4" s="179">
        <f ca="1"/>
        <v>0.42735042735042733</v>
      </c>
      <c r="AD4" s="179">
        <f ca="1"/>
        <v>0.13675213675213677</v>
      </c>
      <c r="AE4" s="179">
        <f ca="1"/>
        <v>0.12820512820512819</v>
      </c>
      <c r="AF4" s="179">
        <f ca="1"/>
        <v>0.30769230769230771</v>
      </c>
      <c r="AG4" s="185">
        <v>1</v>
      </c>
      <c r="AH4" s="185">
        <v>2</v>
      </c>
      <c r="AI4" s="186">
        <v>3</v>
      </c>
      <c r="AJ4" s="186">
        <v>4</v>
      </c>
    </row>
    <row r="5" spans="1:36" s="16" customFormat="1" ht="24.95" customHeight="1" x14ac:dyDescent="0.25">
      <c r="A5" s="156"/>
      <c r="B5" s="160" t="s">
        <v>111</v>
      </c>
      <c r="C5" s="175">
        <f t="shared" ca="1" si="0"/>
        <v>0.26744911169447882</v>
      </c>
      <c r="D5" s="176">
        <f t="shared" ca="1" si="1"/>
        <v>30</v>
      </c>
      <c r="E5" s="177">
        <f t="shared" ca="1" si="2"/>
        <v>0.13283284844229817</v>
      </c>
      <c r="F5" s="177">
        <v>0.33333333333333331</v>
      </c>
      <c r="G5" s="177">
        <f t="shared" ca="1" si="4"/>
        <v>-2.7166679626648418</v>
      </c>
      <c r="H5" s="178">
        <f t="shared" ca="1" si="3"/>
        <v>1.1002143360776566E-2</v>
      </c>
      <c r="I5" s="157"/>
      <c r="J5" s="153" t="s">
        <v>356</v>
      </c>
      <c r="L5" s="179">
        <f ca="1"/>
        <v>0.60396039603960405</v>
      </c>
      <c r="M5" s="179">
        <f ca="1"/>
        <v>0.39603960396039606</v>
      </c>
      <c r="N5" s="179">
        <f ca="1"/>
        <v>0.2</v>
      </c>
      <c r="O5" s="179">
        <f ca="1"/>
        <v>0.5</v>
      </c>
      <c r="P5" s="179">
        <f ca="1"/>
        <v>0.3</v>
      </c>
      <c r="Q5" s="179">
        <f ca="1"/>
        <v>0.1</v>
      </c>
      <c r="R5" s="179">
        <f ca="1"/>
        <v>0.2</v>
      </c>
      <c r="S5" s="179">
        <f ca="1"/>
        <v>0.2</v>
      </c>
      <c r="T5" s="179">
        <f ca="1"/>
        <v>0.5</v>
      </c>
      <c r="U5" s="179">
        <f ca="1"/>
        <v>0.62</v>
      </c>
      <c r="V5" s="179">
        <f ca="1"/>
        <v>0.12000000000000001</v>
      </c>
      <c r="W5" s="179">
        <f ca="1"/>
        <v>0.13</v>
      </c>
      <c r="X5" s="179">
        <f ca="1"/>
        <v>0.13</v>
      </c>
      <c r="Y5" s="179">
        <f ca="1"/>
        <v>0.60396039603960405</v>
      </c>
      <c r="Z5" s="179">
        <f ca="1"/>
        <v>0.12871287128712872</v>
      </c>
      <c r="AA5" s="179">
        <f ca="1"/>
        <v>0.13861386138613863</v>
      </c>
      <c r="AB5" s="179">
        <f ca="1"/>
        <v>0.12871287128712872</v>
      </c>
      <c r="AC5" s="179">
        <f ca="1"/>
        <v>1</v>
      </c>
      <c r="AD5" s="179">
        <f ca="1"/>
        <v>0</v>
      </c>
      <c r="AE5" s="179">
        <f ca="1"/>
        <v>0</v>
      </c>
      <c r="AF5" s="179">
        <f ca="1"/>
        <v>0</v>
      </c>
      <c r="AG5" s="185">
        <v>1</v>
      </c>
      <c r="AH5" s="185">
        <v>2</v>
      </c>
      <c r="AI5" s="186">
        <v>3</v>
      </c>
      <c r="AJ5" s="186">
        <v>4</v>
      </c>
    </row>
    <row r="6" spans="1:36" s="16" customFormat="1" ht="24.95" customHeight="1" x14ac:dyDescent="0.25">
      <c r="A6" s="156"/>
      <c r="B6" s="165" t="s">
        <v>112</v>
      </c>
      <c r="C6" s="166">
        <f t="shared" ca="1" si="0"/>
        <v>0.4682306852162138</v>
      </c>
      <c r="D6" s="167">
        <f t="shared" ca="1" si="1"/>
        <v>30</v>
      </c>
      <c r="E6" s="168">
        <f t="shared" ca="1" si="2"/>
        <v>0.2063112869808322</v>
      </c>
      <c r="F6" s="168">
        <v>0.33333333333333331</v>
      </c>
      <c r="G6" s="168">
        <f t="shared" ca="1" si="4"/>
        <v>3.5813029745110461</v>
      </c>
      <c r="H6" s="169">
        <f t="shared" ca="1" si="3"/>
        <v>1.2302633828394612E-3</v>
      </c>
      <c r="I6" s="157"/>
      <c r="J6" s="153" t="s">
        <v>357</v>
      </c>
      <c r="L6" s="179">
        <f ca="1"/>
        <v>0.41176470588235292</v>
      </c>
      <c r="M6" s="179">
        <f ca="1"/>
        <v>0.58823529411764708</v>
      </c>
      <c r="N6" s="179">
        <f ca="1"/>
        <v>0.33039647577092512</v>
      </c>
      <c r="O6" s="179">
        <f ca="1"/>
        <v>0.44052863436123346</v>
      </c>
      <c r="P6" s="179">
        <f ca="1"/>
        <v>0.22907488986784141</v>
      </c>
      <c r="Q6" s="179">
        <f ca="1"/>
        <v>0</v>
      </c>
      <c r="R6" s="179">
        <f ca="1"/>
        <v>0.29166666666666669</v>
      </c>
      <c r="S6" s="179">
        <f ca="1"/>
        <v>0.29166666666666669</v>
      </c>
      <c r="T6" s="179">
        <f ca="1"/>
        <v>0.41666666666666669</v>
      </c>
      <c r="U6" s="179">
        <f ca="1"/>
        <v>0.20527859237536658</v>
      </c>
      <c r="V6" s="179">
        <f ca="1"/>
        <v>0.2932551319648094</v>
      </c>
      <c r="W6" s="179">
        <f ca="1"/>
        <v>0.23753665689149561</v>
      </c>
      <c r="X6" s="179">
        <f ca="1"/>
        <v>0.26392961876832843</v>
      </c>
      <c r="Y6" s="179">
        <f ca="1"/>
        <v>0.23076923076923078</v>
      </c>
      <c r="Z6" s="179">
        <f ca="1"/>
        <v>0.30769230769230771</v>
      </c>
      <c r="AA6" s="179">
        <f ca="1"/>
        <v>0.23076923076923078</v>
      </c>
      <c r="AB6" s="179">
        <f ca="1"/>
        <v>0.23076923076923078</v>
      </c>
      <c r="AC6" s="179">
        <f ca="1"/>
        <v>0.24358974358974358</v>
      </c>
      <c r="AD6" s="179">
        <f ca="1"/>
        <v>0.24358974358974358</v>
      </c>
      <c r="AE6" s="179">
        <f ca="1"/>
        <v>0.19230769230769232</v>
      </c>
      <c r="AF6" s="179">
        <f ca="1"/>
        <v>0.32051282051282054</v>
      </c>
      <c r="AG6" s="185">
        <v>1</v>
      </c>
      <c r="AH6" s="185">
        <v>2</v>
      </c>
      <c r="AI6" s="186">
        <v>3</v>
      </c>
      <c r="AJ6" s="186">
        <v>4</v>
      </c>
    </row>
    <row r="7" spans="1:36" s="16" customFormat="1" ht="24.95" customHeight="1" thickBot="1" x14ac:dyDescent="0.3">
      <c r="A7" s="156"/>
      <c r="B7" s="170" t="s">
        <v>113</v>
      </c>
      <c r="C7" s="171">
        <f t="shared" ca="1" si="0"/>
        <v>0.26432020308930743</v>
      </c>
      <c r="D7" s="172">
        <f t="shared" ca="1" si="1"/>
        <v>30</v>
      </c>
      <c r="E7" s="173">
        <f t="shared" ca="1" si="2"/>
        <v>0.12699423797767048</v>
      </c>
      <c r="F7" s="173">
        <v>0.33333333333333331</v>
      </c>
      <c r="G7" s="173">
        <f t="shared" ca="1" si="4"/>
        <v>-2.9765167932533609</v>
      </c>
      <c r="H7" s="174">
        <f t="shared" ca="1" si="3"/>
        <v>5.830541942860412E-3</v>
      </c>
      <c r="I7" s="157"/>
      <c r="J7" s="153" t="s">
        <v>358</v>
      </c>
      <c r="L7" s="179">
        <f ca="1"/>
        <v>0.44134078212290501</v>
      </c>
      <c r="M7" s="179">
        <f ca="1"/>
        <v>0.55865921787709494</v>
      </c>
      <c r="N7" s="179">
        <f ca="1"/>
        <v>0.25</v>
      </c>
      <c r="O7" s="179">
        <f ca="1"/>
        <v>0.41666666666666669</v>
      </c>
      <c r="P7" s="179">
        <f ca="1"/>
        <v>0.33333333333333331</v>
      </c>
      <c r="Q7" s="179">
        <f ca="1"/>
        <v>0.12280701754385964</v>
      </c>
      <c r="R7" s="179">
        <f ca="1"/>
        <v>0.29239766081871343</v>
      </c>
      <c r="S7" s="179">
        <f ca="1"/>
        <v>0.29239766081871343</v>
      </c>
      <c r="T7" s="179">
        <f ca="1"/>
        <v>0.29239766081871343</v>
      </c>
      <c r="U7" s="179">
        <f ca="1"/>
        <v>0.26666666666666666</v>
      </c>
      <c r="V7" s="179">
        <f ca="1"/>
        <v>0.33333333333333331</v>
      </c>
      <c r="W7" s="179">
        <f ca="1"/>
        <v>0.1</v>
      </c>
      <c r="X7" s="179">
        <f ca="1"/>
        <v>0.3</v>
      </c>
      <c r="Y7" s="179">
        <f ca="1"/>
        <v>0.2857142857142857</v>
      </c>
      <c r="Z7" s="179">
        <f ca="1"/>
        <v>0.2857142857142857</v>
      </c>
      <c r="AA7" s="179">
        <f ca="1"/>
        <v>0.2857142857142857</v>
      </c>
      <c r="AB7" s="179">
        <f ca="1"/>
        <v>0.14285714285714285</v>
      </c>
      <c r="AC7" s="179">
        <f ca="1"/>
        <v>0.32051282051282054</v>
      </c>
      <c r="AD7" s="179">
        <f ca="1"/>
        <v>0.25641025641025639</v>
      </c>
      <c r="AE7" s="179">
        <f ca="1"/>
        <v>0.16666666666666666</v>
      </c>
      <c r="AF7" s="179">
        <f ca="1"/>
        <v>0.25641025641025639</v>
      </c>
      <c r="AG7" s="185">
        <v>1</v>
      </c>
      <c r="AH7" s="185">
        <v>2</v>
      </c>
      <c r="AI7" s="186">
        <v>3</v>
      </c>
      <c r="AJ7" s="186">
        <v>4</v>
      </c>
    </row>
    <row r="8" spans="1:36" s="16" customFormat="1" ht="24.95" customHeight="1" x14ac:dyDescent="0.25">
      <c r="A8" s="156"/>
      <c r="B8" s="160" t="s">
        <v>383</v>
      </c>
      <c r="C8" s="175">
        <f t="shared" ca="1" si="0"/>
        <v>0.15958094326949052</v>
      </c>
      <c r="D8" s="176">
        <f t="shared" ca="1" si="1"/>
        <v>30</v>
      </c>
      <c r="E8" s="177">
        <f t="shared" ca="1" si="2"/>
        <v>0.12297138568176567</v>
      </c>
      <c r="F8" s="177">
        <v>0.25</v>
      </c>
      <c r="G8" s="177">
        <f t="shared" ca="1" si="4"/>
        <v>-4.0273236513576105</v>
      </c>
      <c r="H8" s="178">
        <f t="shared" ca="1" si="3"/>
        <v>3.7143655386984365E-4</v>
      </c>
      <c r="I8" s="157"/>
      <c r="J8" s="153" t="s">
        <v>359</v>
      </c>
      <c r="L8" s="179">
        <f ca="1"/>
        <v>0.375</v>
      </c>
      <c r="M8" s="179">
        <f ca="1"/>
        <v>0.625</v>
      </c>
      <c r="N8" s="179">
        <f ca="1"/>
        <v>5.4054054054054057E-2</v>
      </c>
      <c r="O8" s="179">
        <f ca="1"/>
        <v>0.54054054054054057</v>
      </c>
      <c r="P8" s="179">
        <f ca="1"/>
        <v>0.40540540540540543</v>
      </c>
      <c r="Q8" s="179">
        <f ca="1"/>
        <v>1.4084507042253521E-2</v>
      </c>
      <c r="R8" s="179">
        <f ca="1"/>
        <v>0.70422535211267601</v>
      </c>
      <c r="S8" s="179">
        <f ca="1"/>
        <v>7.0422535211267609E-2</v>
      </c>
      <c r="T8" s="179">
        <f ca="1"/>
        <v>0.21126760563380281</v>
      </c>
      <c r="U8" s="179">
        <f ca="1"/>
        <v>0.69444444444444442</v>
      </c>
      <c r="V8" s="179">
        <f ca="1"/>
        <v>0.22916666666666666</v>
      </c>
      <c r="W8" s="179">
        <f ca="1"/>
        <v>6.9444444444444441E-3</v>
      </c>
      <c r="X8" s="179">
        <f ca="1"/>
        <v>6.9444444444444448E-2</v>
      </c>
      <c r="Y8" s="179">
        <f ca="1"/>
        <v>0.65359477124183007</v>
      </c>
      <c r="Z8" s="179">
        <f ca="1"/>
        <v>0.21568627450980393</v>
      </c>
      <c r="AA8" s="179">
        <f ca="1"/>
        <v>6.535947712418301E-2</v>
      </c>
      <c r="AB8" s="179">
        <f ca="1"/>
        <v>6.535947712418301E-2</v>
      </c>
      <c r="AC8" s="179">
        <f ca="1"/>
        <v>0.86206896551724133</v>
      </c>
      <c r="AD8" s="179">
        <f ca="1"/>
        <v>8.6206896551724144E-2</v>
      </c>
      <c r="AE8" s="179">
        <f ca="1"/>
        <v>8.6206896551724137E-3</v>
      </c>
      <c r="AF8" s="179">
        <f ca="1"/>
        <v>4.3103448275862072E-2</v>
      </c>
      <c r="AG8" s="185">
        <v>1</v>
      </c>
      <c r="AH8" s="185">
        <v>2</v>
      </c>
      <c r="AI8" s="186">
        <v>3</v>
      </c>
      <c r="AJ8" s="186">
        <v>4</v>
      </c>
    </row>
    <row r="9" spans="1:36" s="16" customFormat="1" ht="24.95" customHeight="1" x14ac:dyDescent="0.25">
      <c r="A9" s="156"/>
      <c r="B9" s="165" t="s">
        <v>135</v>
      </c>
      <c r="C9" s="166">
        <f t="shared" ca="1" si="0"/>
        <v>0.26693309412524441</v>
      </c>
      <c r="D9" s="167">
        <f t="shared" ca="1" si="1"/>
        <v>30</v>
      </c>
      <c r="E9" s="168">
        <f t="shared" ca="1" si="2"/>
        <v>0.14080014213617306</v>
      </c>
      <c r="F9" s="168">
        <v>0.25</v>
      </c>
      <c r="G9" s="168">
        <f t="shared" ca="1" si="4"/>
        <v>0.65870939333177114</v>
      </c>
      <c r="H9" s="169">
        <f t="shared" ca="1" si="3"/>
        <v>0.51527871909209533</v>
      </c>
      <c r="I9" s="157"/>
      <c r="J9" s="153" t="s">
        <v>360</v>
      </c>
      <c r="L9" s="179">
        <f ca="1"/>
        <v>0.44444444444444442</v>
      </c>
      <c r="M9" s="179">
        <f ca="1"/>
        <v>0.55555555555555558</v>
      </c>
      <c r="N9" s="179">
        <f ca="1"/>
        <v>0.3</v>
      </c>
      <c r="O9" s="179">
        <f ca="1"/>
        <v>0.5</v>
      </c>
      <c r="P9" s="179">
        <f ca="1"/>
        <v>0.2</v>
      </c>
      <c r="Q9" s="179">
        <f ca="1"/>
        <v>9.5022624434389136E-2</v>
      </c>
      <c r="R9" s="179">
        <f ca="1"/>
        <v>0.22624434389140272</v>
      </c>
      <c r="S9" s="179">
        <f ca="1"/>
        <v>0.22624434389140272</v>
      </c>
      <c r="T9" s="179">
        <f ca="1"/>
        <v>0.45248868778280543</v>
      </c>
      <c r="U9" s="179">
        <f ca="1"/>
        <v>0.55555555555555558</v>
      </c>
      <c r="V9" s="179">
        <f ca="1"/>
        <v>0.1111111111111111</v>
      </c>
      <c r="W9" s="179">
        <f ca="1"/>
        <v>5.5555555555555552E-2</v>
      </c>
      <c r="X9" s="179">
        <f ca="1"/>
        <v>0.27777777777777779</v>
      </c>
      <c r="Y9" s="179">
        <f ca="1"/>
        <v>0.30303030303030304</v>
      </c>
      <c r="Z9" s="179">
        <f ca="1"/>
        <v>0.27272727272727271</v>
      </c>
      <c r="AA9" s="179">
        <f ca="1"/>
        <v>0.24242424242424243</v>
      </c>
      <c r="AB9" s="179">
        <f ca="1"/>
        <v>0.18181818181818182</v>
      </c>
      <c r="AC9" s="179">
        <f ca="1"/>
        <v>0.43478260869565216</v>
      </c>
      <c r="AD9" s="179">
        <f ca="1"/>
        <v>0.17391304347826086</v>
      </c>
      <c r="AE9" s="179">
        <f ca="1"/>
        <v>8.6956521739130432E-2</v>
      </c>
      <c r="AF9" s="179">
        <f ca="1"/>
        <v>0.30434782608695654</v>
      </c>
      <c r="AG9" s="185">
        <v>1</v>
      </c>
      <c r="AH9" s="185">
        <v>2</v>
      </c>
      <c r="AI9" s="186">
        <v>3</v>
      </c>
      <c r="AJ9" s="186">
        <v>4</v>
      </c>
    </row>
    <row r="10" spans="1:36" s="16" customFormat="1" ht="24.95" customHeight="1" x14ac:dyDescent="0.25">
      <c r="A10" s="156"/>
      <c r="B10" s="165" t="s">
        <v>384</v>
      </c>
      <c r="C10" s="166">
        <f t="shared" ca="1" si="0"/>
        <v>0.24232259077994564</v>
      </c>
      <c r="D10" s="167">
        <f t="shared" ca="1" si="1"/>
        <v>30</v>
      </c>
      <c r="E10" s="168">
        <f t="shared" ca="1" si="2"/>
        <v>0.11361674489468214</v>
      </c>
      <c r="F10" s="168">
        <v>0.25</v>
      </c>
      <c r="G10" s="168">
        <f t="shared" ca="1" si="4"/>
        <v>-0.37011183667687853</v>
      </c>
      <c r="H10" s="169">
        <f t="shared" ca="1" si="3"/>
        <v>0.71398857004563521</v>
      </c>
      <c r="I10" s="157"/>
      <c r="J10" s="153" t="s">
        <v>361</v>
      </c>
      <c r="L10" s="179">
        <f ca="1"/>
        <v>0.34117647058823536</v>
      </c>
      <c r="M10" s="179">
        <f ca="1"/>
        <v>0.6588235294117647</v>
      </c>
      <c r="N10" s="179">
        <f ca="1"/>
        <v>0.31428571428571433</v>
      </c>
      <c r="O10" s="179">
        <f ca="1"/>
        <v>0.5714285714285714</v>
      </c>
      <c r="P10" s="179">
        <f ca="1"/>
        <v>0.11428571428571428</v>
      </c>
      <c r="Q10" s="179">
        <f ca="1"/>
        <v>1.5625E-2</v>
      </c>
      <c r="R10" s="179">
        <f ca="1"/>
        <v>5.4687500000000007E-2</v>
      </c>
      <c r="S10" s="179">
        <f ca="1"/>
        <v>0.1484375</v>
      </c>
      <c r="T10" s="179">
        <f ca="1"/>
        <v>0.78125</v>
      </c>
      <c r="U10" s="179">
        <f ca="1"/>
        <v>0.16806722689075629</v>
      </c>
      <c r="V10" s="179">
        <f ca="1"/>
        <v>0.28991596638655459</v>
      </c>
      <c r="W10" s="179">
        <f ca="1"/>
        <v>0.38655462184873945</v>
      </c>
      <c r="X10" s="179">
        <f ca="1"/>
        <v>0.15546218487394958</v>
      </c>
      <c r="Y10" s="179">
        <f ca="1"/>
        <v>0.13488372093023257</v>
      </c>
      <c r="Z10" s="179">
        <f ca="1"/>
        <v>0.4093023255813954</v>
      </c>
      <c r="AA10" s="179">
        <f ca="1"/>
        <v>0.36744186046511629</v>
      </c>
      <c r="AB10" s="179">
        <f ca="1"/>
        <v>8.8372093023255827E-2</v>
      </c>
      <c r="AC10" s="179">
        <f ca="1"/>
        <v>0.3135313531353135</v>
      </c>
      <c r="AD10" s="179">
        <f ca="1"/>
        <v>0.18811881188118809</v>
      </c>
      <c r="AE10" s="179">
        <f ca="1"/>
        <v>0.2277227722772277</v>
      </c>
      <c r="AF10" s="179">
        <f ca="1"/>
        <v>0.27062706270627063</v>
      </c>
      <c r="AG10" s="185">
        <v>1</v>
      </c>
      <c r="AH10" s="185">
        <v>2</v>
      </c>
      <c r="AI10" s="186">
        <v>3</v>
      </c>
      <c r="AJ10" s="186">
        <v>4</v>
      </c>
    </row>
    <row r="11" spans="1:36" s="16" customFormat="1" ht="24.95" customHeight="1" thickBot="1" x14ac:dyDescent="0.3">
      <c r="A11" s="156"/>
      <c r="B11" s="170" t="s">
        <v>137</v>
      </c>
      <c r="C11" s="171">
        <f t="shared" ca="1" si="0"/>
        <v>0.33116337182531935</v>
      </c>
      <c r="D11" s="172">
        <f t="shared" ca="1" si="1"/>
        <v>30</v>
      </c>
      <c r="E11" s="173">
        <f t="shared" ca="1" si="2"/>
        <v>0.23215996984206277</v>
      </c>
      <c r="F11" s="173">
        <v>0.25</v>
      </c>
      <c r="G11" s="173">
        <f t="shared" ca="1" si="4"/>
        <v>1.9148438734786697</v>
      </c>
      <c r="H11" s="174">
        <f t="shared" ca="1" si="3"/>
        <v>6.5423351755952472E-2</v>
      </c>
      <c r="I11" s="157"/>
      <c r="J11" s="153" t="s">
        <v>362</v>
      </c>
      <c r="L11" s="179" t="e">
        <f ca="1"/>
        <v>#N/A</v>
      </c>
      <c r="M11" s="179" t="e">
        <f ca="1"/>
        <v>#N/A</v>
      </c>
      <c r="N11" s="179" t="e">
        <f ca="1"/>
        <v>#N/A</v>
      </c>
      <c r="O11" s="179" t="e">
        <f ca="1"/>
        <v>#N/A</v>
      </c>
      <c r="P11" s="179" t="e">
        <f ca="1"/>
        <v>#N/A</v>
      </c>
      <c r="Q11" s="179" t="e">
        <f ca="1"/>
        <v>#N/A</v>
      </c>
      <c r="R11" s="179" t="e">
        <f ca="1"/>
        <v>#N/A</v>
      </c>
      <c r="S11" s="179" t="e">
        <f ca="1"/>
        <v>#N/A</v>
      </c>
      <c r="T11" s="179" t="e">
        <f ca="1"/>
        <v>#N/A</v>
      </c>
      <c r="U11" s="179" t="e">
        <f ca="1"/>
        <v>#N/A</v>
      </c>
      <c r="V11" s="179" t="e">
        <f ca="1"/>
        <v>#N/A</v>
      </c>
      <c r="W11" s="179" t="e">
        <f ca="1"/>
        <v>#N/A</v>
      </c>
      <c r="X11" s="179" t="e">
        <f ca="1"/>
        <v>#N/A</v>
      </c>
      <c r="Y11" s="179" t="e">
        <f ca="1"/>
        <v>#N/A</v>
      </c>
      <c r="Z11" s="179" t="e">
        <f ca="1"/>
        <v>#N/A</v>
      </c>
      <c r="AA11" s="179" t="e">
        <f ca="1"/>
        <v>#N/A</v>
      </c>
      <c r="AB11" s="179" t="e">
        <f ca="1"/>
        <v>#N/A</v>
      </c>
      <c r="AC11" s="179" t="e">
        <f ca="1"/>
        <v>#N/A</v>
      </c>
      <c r="AD11" s="179" t="e">
        <f ca="1"/>
        <v>#N/A</v>
      </c>
      <c r="AE11" s="179" t="e">
        <f ca="1"/>
        <v>#N/A</v>
      </c>
      <c r="AF11" s="179" t="e">
        <f ca="1"/>
        <v>#N/A</v>
      </c>
      <c r="AG11" s="185">
        <v>1</v>
      </c>
      <c r="AH11" s="185">
        <v>2</v>
      </c>
      <c r="AI11" s="186">
        <v>3</v>
      </c>
      <c r="AJ11" s="186">
        <v>4</v>
      </c>
    </row>
    <row r="12" spans="1:36" s="16" customFormat="1" ht="24.95" customHeight="1" x14ac:dyDescent="0.25">
      <c r="A12" s="156"/>
      <c r="B12" s="160" t="s">
        <v>412</v>
      </c>
      <c r="C12" s="175">
        <f t="shared" ca="1" si="0"/>
        <v>0.2935976455626137</v>
      </c>
      <c r="D12" s="176">
        <f ca="1">COUNT(INDIRECT(J12))</f>
        <v>28</v>
      </c>
      <c r="E12" s="177">
        <f t="shared" ca="1" si="2"/>
        <v>0.16277045955034203</v>
      </c>
      <c r="F12" s="177">
        <v>0.25</v>
      </c>
      <c r="G12" s="177">
        <f t="shared" ca="1" si="4"/>
        <v>1.4173152576366506</v>
      </c>
      <c r="H12" s="178">
        <f t="shared" ca="1" si="3"/>
        <v>0.16782787523043846</v>
      </c>
      <c r="I12" s="157"/>
      <c r="J12" s="153" t="s">
        <v>363</v>
      </c>
      <c r="L12" s="179">
        <f ca="1"/>
        <v>0.58823529411764708</v>
      </c>
      <c r="M12" s="179">
        <f ca="1"/>
        <v>0.41176470588235292</v>
      </c>
      <c r="N12" s="179">
        <f ca="1"/>
        <v>0.16230366492146597</v>
      </c>
      <c r="O12" s="179">
        <f ca="1"/>
        <v>0.52356020942408377</v>
      </c>
      <c r="P12" s="179">
        <f ca="1"/>
        <v>0.31413612565445026</v>
      </c>
      <c r="Q12" s="179">
        <f ca="1"/>
        <v>0.17857142857142858</v>
      </c>
      <c r="R12" s="179">
        <f ca="1"/>
        <v>0.21428571428571427</v>
      </c>
      <c r="S12" s="179">
        <f ca="1"/>
        <v>0.25</v>
      </c>
      <c r="T12" s="179">
        <f ca="1"/>
        <v>0.35714285714285715</v>
      </c>
      <c r="U12" s="179">
        <f ca="1"/>
        <v>0.12</v>
      </c>
      <c r="V12" s="179">
        <f ca="1"/>
        <v>0.4</v>
      </c>
      <c r="W12" s="179">
        <f ca="1"/>
        <v>0.28000000000000003</v>
      </c>
      <c r="X12" s="179">
        <f ca="1"/>
        <v>0.2</v>
      </c>
      <c r="Y12" s="179">
        <f ca="1"/>
        <v>0.12</v>
      </c>
      <c r="Z12" s="179">
        <f ca="1"/>
        <v>0.4</v>
      </c>
      <c r="AA12" s="179">
        <f ca="1"/>
        <v>0.28000000000000003</v>
      </c>
      <c r="AB12" s="179">
        <f ca="1"/>
        <v>0.2</v>
      </c>
      <c r="AC12" s="179">
        <f ca="1"/>
        <v>0.12</v>
      </c>
      <c r="AD12" s="179">
        <f ca="1"/>
        <v>0.4</v>
      </c>
      <c r="AE12" s="179">
        <f ca="1"/>
        <v>0.28000000000000003</v>
      </c>
      <c r="AF12" s="179">
        <f ca="1"/>
        <v>0.2</v>
      </c>
      <c r="AG12" s="185">
        <v>1</v>
      </c>
      <c r="AH12" s="185">
        <v>2</v>
      </c>
      <c r="AI12" s="186">
        <v>3</v>
      </c>
      <c r="AJ12" s="186">
        <v>4</v>
      </c>
    </row>
    <row r="13" spans="1:36" s="16" customFormat="1" ht="24.95" customHeight="1" x14ac:dyDescent="0.25">
      <c r="A13" s="156"/>
      <c r="B13" s="165" t="s">
        <v>413</v>
      </c>
      <c r="C13" s="166">
        <f t="shared" ca="1" si="0"/>
        <v>0.32679498547655506</v>
      </c>
      <c r="D13" s="167">
        <f t="shared" ca="1" si="1"/>
        <v>28</v>
      </c>
      <c r="E13" s="168">
        <f t="shared" ca="1" si="2"/>
        <v>0.21330837224477581</v>
      </c>
      <c r="F13" s="168">
        <v>0.25</v>
      </c>
      <c r="G13" s="168">
        <f t="shared" ca="1" si="4"/>
        <v>1.9050394634733601</v>
      </c>
      <c r="H13" s="169">
        <f t="shared" ca="1" si="3"/>
        <v>6.7477756521287707E-2</v>
      </c>
      <c r="I13" s="157"/>
      <c r="J13" s="153" t="s">
        <v>364</v>
      </c>
      <c r="L13" s="179">
        <f ca="1"/>
        <v>0.44444444444444442</v>
      </c>
      <c r="M13" s="179">
        <f ca="1"/>
        <v>0.55555555555555558</v>
      </c>
      <c r="N13" s="179">
        <f ca="1"/>
        <v>0.15789473684210525</v>
      </c>
      <c r="O13" s="179">
        <f ca="1"/>
        <v>0.52631578947368418</v>
      </c>
      <c r="P13" s="179">
        <f ca="1"/>
        <v>0.31578947368421051</v>
      </c>
      <c r="Q13" s="179">
        <f ca="1"/>
        <v>1.9607843137254902E-2</v>
      </c>
      <c r="R13" s="179">
        <f ca="1"/>
        <v>0.19607843137254902</v>
      </c>
      <c r="S13" s="179">
        <f ca="1"/>
        <v>0.39215686274509803</v>
      </c>
      <c r="T13" s="179">
        <f ca="1"/>
        <v>0.39215686274509803</v>
      </c>
      <c r="U13" s="179">
        <f ca="1"/>
        <v>0.34482758620689657</v>
      </c>
      <c r="V13" s="179">
        <f ca="1"/>
        <v>0.2413793103448276</v>
      </c>
      <c r="W13" s="179">
        <f ca="1"/>
        <v>0.2413793103448276</v>
      </c>
      <c r="X13" s="179">
        <f ca="1"/>
        <v>0.17241379310344829</v>
      </c>
      <c r="Y13" s="179">
        <f ca="1"/>
        <v>0.28469750889679718</v>
      </c>
      <c r="Z13" s="179">
        <f ca="1"/>
        <v>0.18149466192170818</v>
      </c>
      <c r="AA13" s="179">
        <f ca="1"/>
        <v>0.35587188612099646</v>
      </c>
      <c r="AB13" s="179">
        <f ca="1"/>
        <v>0.17793594306049823</v>
      </c>
      <c r="AC13" s="179">
        <f ca="1"/>
        <v>0.24315068493150685</v>
      </c>
      <c r="AD13" s="179">
        <f ca="1"/>
        <v>0.24315068493150685</v>
      </c>
      <c r="AE13" s="179">
        <f ca="1"/>
        <v>0.17123287671232876</v>
      </c>
      <c r="AF13" s="179">
        <f ca="1"/>
        <v>0.34246575342465752</v>
      </c>
      <c r="AG13" s="185">
        <v>1</v>
      </c>
      <c r="AH13" s="185">
        <v>2</v>
      </c>
      <c r="AI13" s="186">
        <v>3</v>
      </c>
      <c r="AJ13" s="186">
        <v>4</v>
      </c>
    </row>
    <row r="14" spans="1:36" s="16" customFormat="1" ht="24.95" customHeight="1" x14ac:dyDescent="0.25">
      <c r="A14" s="156"/>
      <c r="B14" s="165" t="s">
        <v>414</v>
      </c>
      <c r="C14" s="166">
        <f t="shared" ca="1" si="0"/>
        <v>0.18636015657742466</v>
      </c>
      <c r="D14" s="167">
        <f t="shared" ca="1" si="1"/>
        <v>28</v>
      </c>
      <c r="E14" s="168">
        <f t="shared" ca="1" si="2"/>
        <v>0.11056278805247768</v>
      </c>
      <c r="F14" s="168">
        <v>0.25</v>
      </c>
      <c r="G14" s="168">
        <f t="shared" ca="1" si="4"/>
        <v>-3.0457842486986872</v>
      </c>
      <c r="H14" s="169">
        <f t="shared" ca="1" si="3"/>
        <v>5.1341440216384508E-3</v>
      </c>
      <c r="I14" s="157"/>
      <c r="J14" s="153" t="s">
        <v>365</v>
      </c>
      <c r="L14" s="179">
        <f ca="1"/>
        <v>0.41520467836257308</v>
      </c>
      <c r="M14" s="179">
        <f ca="1"/>
        <v>0.58479532163742687</v>
      </c>
      <c r="N14" s="179">
        <f ca="1"/>
        <v>0.33333333333333331</v>
      </c>
      <c r="O14" s="179">
        <f ca="1"/>
        <v>0.33333333333333331</v>
      </c>
      <c r="P14" s="179">
        <f ca="1"/>
        <v>0.33333333333333331</v>
      </c>
      <c r="Q14" s="179">
        <f ca="1"/>
        <v>0.14384920634920637</v>
      </c>
      <c r="R14" s="179">
        <f ca="1"/>
        <v>0.2361111111111111</v>
      </c>
      <c r="S14" s="179">
        <f ca="1"/>
        <v>0.34722222222222221</v>
      </c>
      <c r="T14" s="179">
        <f ca="1"/>
        <v>0.27281746031746029</v>
      </c>
      <c r="U14" s="179">
        <f ca="1"/>
        <v>0.28409090909090912</v>
      </c>
      <c r="V14" s="179">
        <f ca="1"/>
        <v>0.28409090909090912</v>
      </c>
      <c r="W14" s="179">
        <f ca="1"/>
        <v>0.28409090909090912</v>
      </c>
      <c r="X14" s="179">
        <f ca="1"/>
        <v>0.14772727272727273</v>
      </c>
      <c r="Y14" s="179">
        <f ca="1"/>
        <v>0.24315068493150685</v>
      </c>
      <c r="Z14" s="179">
        <f ca="1"/>
        <v>0.31164383561643838</v>
      </c>
      <c r="AA14" s="179">
        <f ca="1"/>
        <v>0.34246575342465752</v>
      </c>
      <c r="AB14" s="179">
        <f ca="1"/>
        <v>0.10273972602739725</v>
      </c>
      <c r="AC14" s="179">
        <f ca="1"/>
        <v>0.26109660574412535</v>
      </c>
      <c r="AD14" s="179">
        <f ca="1"/>
        <v>0.23759791122715404</v>
      </c>
      <c r="AE14" s="179">
        <f ca="1"/>
        <v>0.24020887728459531</v>
      </c>
      <c r="AF14" s="179">
        <f ca="1"/>
        <v>0.26109660574412535</v>
      </c>
      <c r="AG14" s="185">
        <v>1</v>
      </c>
      <c r="AH14" s="185">
        <v>2</v>
      </c>
      <c r="AI14" s="186">
        <v>3</v>
      </c>
      <c r="AJ14" s="186">
        <v>4</v>
      </c>
    </row>
    <row r="15" spans="1:36" s="16" customFormat="1" ht="24.95" customHeight="1" thickBot="1" x14ac:dyDescent="0.3">
      <c r="A15" s="156"/>
      <c r="B15" s="170" t="s">
        <v>415</v>
      </c>
      <c r="C15" s="171">
        <f t="shared" ca="1" si="0"/>
        <v>0.1932472123834065</v>
      </c>
      <c r="D15" s="172">
        <f t="shared" ca="1" si="1"/>
        <v>28</v>
      </c>
      <c r="E15" s="173">
        <f t="shared" ca="1" si="2"/>
        <v>9.4517052925369355E-2</v>
      </c>
      <c r="F15" s="173">
        <v>0.25</v>
      </c>
      <c r="G15" s="173">
        <f t="shared" ca="1" si="4"/>
        <v>-3.177284047604275</v>
      </c>
      <c r="H15" s="174">
        <f t="shared" ca="1" si="3"/>
        <v>3.7042469463452053E-3</v>
      </c>
      <c r="I15" s="157"/>
      <c r="J15" s="153" t="s">
        <v>366</v>
      </c>
      <c r="L15" s="179">
        <f ca="1"/>
        <v>0.23664122137404581</v>
      </c>
      <c r="M15" s="179">
        <f ca="1"/>
        <v>0.76335877862595425</v>
      </c>
      <c r="N15" s="179">
        <f ca="1"/>
        <v>0.1619718309859155</v>
      </c>
      <c r="O15" s="179">
        <f ca="1"/>
        <v>0.70422535211267601</v>
      </c>
      <c r="P15" s="179">
        <f ca="1"/>
        <v>0.13380281690140844</v>
      </c>
      <c r="Q15" s="179">
        <f ca="1"/>
        <v>0.11764705882352941</v>
      </c>
      <c r="R15" s="179">
        <f ca="1"/>
        <v>0.25735294117647056</v>
      </c>
      <c r="S15" s="179">
        <f ca="1"/>
        <v>0.25735294117647056</v>
      </c>
      <c r="T15" s="179">
        <f ca="1"/>
        <v>0.36764705882352944</v>
      </c>
      <c r="U15" s="179">
        <f ca="1"/>
        <v>0.33333333333333331</v>
      </c>
      <c r="V15" s="179">
        <f ca="1"/>
        <v>0.16666666666666666</v>
      </c>
      <c r="W15" s="179">
        <f ca="1"/>
        <v>0.16666666666666666</v>
      </c>
      <c r="X15" s="179">
        <f ca="1"/>
        <v>0.33333333333333331</v>
      </c>
      <c r="Y15" s="179">
        <f ca="1"/>
        <v>0.49019607843137253</v>
      </c>
      <c r="Z15" s="179">
        <f ca="1"/>
        <v>0.20098039215686275</v>
      </c>
      <c r="AA15" s="179">
        <f ca="1"/>
        <v>0.10784313725490197</v>
      </c>
      <c r="AB15" s="179">
        <f ca="1"/>
        <v>0.20098039215686275</v>
      </c>
      <c r="AC15" s="179">
        <f ca="1"/>
        <v>0.62893081761006286</v>
      </c>
      <c r="AD15" s="179">
        <f ca="1"/>
        <v>0.14465408805031446</v>
      </c>
      <c r="AE15" s="179">
        <f ca="1"/>
        <v>8.1761006289308172E-2</v>
      </c>
      <c r="AF15" s="179">
        <f ca="1"/>
        <v>0.14465408805031446</v>
      </c>
      <c r="AG15" s="185">
        <v>1</v>
      </c>
      <c r="AH15" s="185">
        <v>2</v>
      </c>
      <c r="AI15" s="186">
        <v>3</v>
      </c>
      <c r="AJ15" s="186">
        <v>4</v>
      </c>
    </row>
    <row r="16" spans="1:36" s="16" customFormat="1" ht="24.95" customHeight="1" x14ac:dyDescent="0.25">
      <c r="A16" s="156"/>
      <c r="B16" s="160" t="s">
        <v>416</v>
      </c>
      <c r="C16" s="175">
        <f t="shared" ca="1" si="0"/>
        <v>0.29748296390023521</v>
      </c>
      <c r="D16" s="176">
        <f t="shared" ca="1" si="1"/>
        <v>28</v>
      </c>
      <c r="E16" s="177">
        <f t="shared" ca="1" si="2"/>
        <v>0.14347013674386089</v>
      </c>
      <c r="F16" s="177">
        <v>0.25</v>
      </c>
      <c r="G16" s="177">
        <f t="shared" ca="1" si="4"/>
        <v>1.7512789329331364</v>
      </c>
      <c r="H16" s="178">
        <f t="shared" ca="1" si="3"/>
        <v>9.1252369182492132E-2</v>
      </c>
      <c r="I16" s="157"/>
      <c r="J16" s="153" t="s">
        <v>367</v>
      </c>
      <c r="L16" s="179">
        <f ca="1"/>
        <v>0.55555555555555558</v>
      </c>
      <c r="M16" s="179">
        <f ca="1"/>
        <v>0.44444444444444442</v>
      </c>
      <c r="N16" s="179">
        <f ca="1"/>
        <v>0.33744855967078191</v>
      </c>
      <c r="O16" s="179">
        <f ca="1"/>
        <v>0.41152263374485598</v>
      </c>
      <c r="P16" s="179">
        <f ca="1"/>
        <v>0.25102880658436216</v>
      </c>
      <c r="Q16" s="179">
        <f ca="1"/>
        <v>0.303951367781155</v>
      </c>
      <c r="R16" s="179">
        <f ca="1"/>
        <v>0.22796352583586627</v>
      </c>
      <c r="S16" s="179">
        <f ca="1"/>
        <v>0.24012158054711247</v>
      </c>
      <c r="T16" s="179">
        <f ca="1"/>
        <v>0.22796352583586627</v>
      </c>
      <c r="U16" s="179">
        <f ca="1"/>
        <v>0.15432098765432098</v>
      </c>
      <c r="V16" s="179">
        <f ca="1"/>
        <v>0.30864197530864196</v>
      </c>
      <c r="W16" s="179">
        <f ca="1"/>
        <v>0.30555555555555558</v>
      </c>
      <c r="X16" s="179">
        <f ca="1"/>
        <v>0.23148148148148148</v>
      </c>
      <c r="Y16" s="179">
        <f ca="1"/>
        <v>0.3125</v>
      </c>
      <c r="Z16" s="179">
        <f ca="1"/>
        <v>0.25</v>
      </c>
      <c r="AA16" s="179">
        <f ca="1"/>
        <v>0.21875</v>
      </c>
      <c r="AB16" s="179">
        <f ca="1"/>
        <v>0.21875</v>
      </c>
      <c r="AC16" s="179">
        <f ca="1"/>
        <v>0.25806451612903225</v>
      </c>
      <c r="AD16" s="179">
        <f ca="1"/>
        <v>0.22580645161290322</v>
      </c>
      <c r="AE16" s="179">
        <f ca="1"/>
        <v>0.19354838709677419</v>
      </c>
      <c r="AF16" s="179">
        <f ca="1"/>
        <v>0.32258064516129031</v>
      </c>
      <c r="AG16" s="185">
        <v>1</v>
      </c>
      <c r="AH16" s="185">
        <v>2</v>
      </c>
      <c r="AI16" s="186">
        <v>3</v>
      </c>
      <c r="AJ16" s="186">
        <v>4</v>
      </c>
    </row>
    <row r="17" spans="1:36" s="16" customFormat="1" ht="24.95" customHeight="1" x14ac:dyDescent="0.25">
      <c r="A17" s="156"/>
      <c r="B17" s="165" t="s">
        <v>417</v>
      </c>
      <c r="C17" s="166">
        <f t="shared" ca="1" si="0"/>
        <v>0.30564158279059456</v>
      </c>
      <c r="D17" s="167">
        <f t="shared" ca="1" si="1"/>
        <v>28</v>
      </c>
      <c r="E17" s="168">
        <f t="shared" ca="1" si="2"/>
        <v>0.14583970927557069</v>
      </c>
      <c r="F17" s="168">
        <v>0.25</v>
      </c>
      <c r="G17" s="168">
        <f t="shared" ca="1" si="4"/>
        <v>2.0188437202621881</v>
      </c>
      <c r="H17" s="169">
        <f t="shared" ca="1" si="3"/>
        <v>5.3535394745575192E-2</v>
      </c>
      <c r="I17" s="157"/>
      <c r="J17" s="153" t="s">
        <v>368</v>
      </c>
      <c r="L17" s="179">
        <f ca="1"/>
        <v>0.5494505494505495</v>
      </c>
      <c r="M17" s="179">
        <f ca="1"/>
        <v>0.45054945054945056</v>
      </c>
      <c r="N17" s="179">
        <f ca="1"/>
        <v>0.30232558139534882</v>
      </c>
      <c r="O17" s="179">
        <f ca="1"/>
        <v>0.38759689922480622</v>
      </c>
      <c r="P17" s="179">
        <f ca="1"/>
        <v>0.31007751937984496</v>
      </c>
      <c r="Q17" s="179">
        <f ca="1"/>
        <v>0.19047619047619047</v>
      </c>
      <c r="R17" s="179">
        <f ca="1"/>
        <v>0.25396825396825395</v>
      </c>
      <c r="S17" s="179">
        <f ca="1"/>
        <v>0.23809523809523808</v>
      </c>
      <c r="T17" s="179">
        <f ca="1"/>
        <v>0.31746031746031744</v>
      </c>
      <c r="U17" s="179">
        <f ca="1"/>
        <v>0.26470588235294118</v>
      </c>
      <c r="V17" s="179">
        <f ca="1"/>
        <v>0.29411764705882354</v>
      </c>
      <c r="W17" s="179">
        <f ca="1"/>
        <v>0.23529411764705882</v>
      </c>
      <c r="X17" s="179">
        <f ca="1"/>
        <v>0.20588235294117646</v>
      </c>
      <c r="Y17" s="179">
        <f ca="1"/>
        <v>0.21428571428571427</v>
      </c>
      <c r="Z17" s="179">
        <f ca="1"/>
        <v>0.27142857142857141</v>
      </c>
      <c r="AA17" s="179">
        <f ca="1"/>
        <v>0.2857142857142857</v>
      </c>
      <c r="AB17" s="179">
        <f ca="1"/>
        <v>0.22857142857142856</v>
      </c>
      <c r="AC17" s="179">
        <f ca="1"/>
        <v>0.25787965616045844</v>
      </c>
      <c r="AD17" s="179">
        <f ca="1"/>
        <v>0.22636103151862463</v>
      </c>
      <c r="AE17" s="179">
        <f ca="1"/>
        <v>0.22922636103151864</v>
      </c>
      <c r="AF17" s="179">
        <f ca="1"/>
        <v>0.28653295128939826</v>
      </c>
      <c r="AG17" s="185">
        <v>1</v>
      </c>
      <c r="AH17" s="185">
        <v>2</v>
      </c>
      <c r="AI17" s="186">
        <v>3</v>
      </c>
      <c r="AJ17" s="186">
        <v>4</v>
      </c>
    </row>
    <row r="18" spans="1:36" s="16" customFormat="1" ht="24.95" customHeight="1" x14ac:dyDescent="0.25">
      <c r="A18" s="156"/>
      <c r="B18" s="165" t="s">
        <v>418</v>
      </c>
      <c r="C18" s="166">
        <f t="shared" ca="1" si="0"/>
        <v>0.23244760499148415</v>
      </c>
      <c r="D18" s="167">
        <f t="shared" ca="1" si="1"/>
        <v>28</v>
      </c>
      <c r="E18" s="168">
        <f t="shared" ca="1" si="2"/>
        <v>0.11098410668539042</v>
      </c>
      <c r="F18" s="168">
        <v>0.25</v>
      </c>
      <c r="G18" s="168">
        <f t="shared" ca="1" si="4"/>
        <v>-0.83686346618524454</v>
      </c>
      <c r="H18" s="169">
        <f t="shared" ca="1" si="3"/>
        <v>0.41001552031882049</v>
      </c>
      <c r="I18" s="157"/>
      <c r="J18" s="153" t="s">
        <v>369</v>
      </c>
      <c r="L18" s="179">
        <f ca="1"/>
        <v>0.42857142857142855</v>
      </c>
      <c r="M18" s="179">
        <f ca="1"/>
        <v>0.5714285714285714</v>
      </c>
      <c r="N18" s="179">
        <f ca="1"/>
        <v>0.29166666666666669</v>
      </c>
      <c r="O18" s="179">
        <f ca="1"/>
        <v>0.41666666666666669</v>
      </c>
      <c r="P18" s="179">
        <f ca="1"/>
        <v>0.29166666666666669</v>
      </c>
      <c r="Q18" s="179">
        <f ca="1"/>
        <v>0.10909090909090909</v>
      </c>
      <c r="R18" s="179">
        <f ca="1"/>
        <v>0.34545454545454546</v>
      </c>
      <c r="S18" s="179">
        <f ca="1"/>
        <v>0.36363636363636365</v>
      </c>
      <c r="T18" s="179">
        <f ca="1"/>
        <v>0.18181818181818182</v>
      </c>
      <c r="U18" s="179">
        <f ca="1"/>
        <v>0.27272727272727271</v>
      </c>
      <c r="V18" s="179">
        <f ca="1"/>
        <v>0.30303030303030304</v>
      </c>
      <c r="W18" s="179">
        <f ca="1"/>
        <v>0.18181818181818182</v>
      </c>
      <c r="X18" s="179">
        <f ca="1"/>
        <v>0.24242424242424243</v>
      </c>
      <c r="Y18" s="179">
        <f ca="1"/>
        <v>0.25352112676056338</v>
      </c>
      <c r="Z18" s="179">
        <f ca="1"/>
        <v>0.28169014084507044</v>
      </c>
      <c r="AA18" s="179">
        <f ca="1"/>
        <v>0.25352112676056338</v>
      </c>
      <c r="AB18" s="179">
        <f ca="1"/>
        <v>0.21126760563380281</v>
      </c>
      <c r="AC18" s="179">
        <f ca="1"/>
        <v>0.2608695652173913</v>
      </c>
      <c r="AD18" s="179">
        <f ca="1"/>
        <v>0.28985507246376813</v>
      </c>
      <c r="AE18" s="179">
        <f ca="1"/>
        <v>0.2318840579710145</v>
      </c>
      <c r="AF18" s="179">
        <f ca="1"/>
        <v>0.21739130434782608</v>
      </c>
      <c r="AG18" s="185">
        <v>1</v>
      </c>
      <c r="AH18" s="185">
        <v>2</v>
      </c>
      <c r="AI18" s="186">
        <v>3</v>
      </c>
      <c r="AJ18" s="186">
        <v>4</v>
      </c>
    </row>
    <row r="19" spans="1:36" s="16" customFormat="1" ht="24.95" customHeight="1" thickBot="1" x14ac:dyDescent="0.3">
      <c r="A19" s="156"/>
      <c r="B19" s="170" t="s">
        <v>419</v>
      </c>
      <c r="C19" s="171">
        <f t="shared" ca="1" si="0"/>
        <v>0.16442784831768598</v>
      </c>
      <c r="D19" s="172">
        <f t="shared" ca="1" si="1"/>
        <v>28</v>
      </c>
      <c r="E19" s="173">
        <f t="shared" ca="1" si="2"/>
        <v>7.042954679635087E-2</v>
      </c>
      <c r="F19" s="173">
        <v>0.25</v>
      </c>
      <c r="G19" s="173">
        <f t="shared" ca="1" si="4"/>
        <v>-6.4291946435137595</v>
      </c>
      <c r="H19" s="174">
        <f t="shared" ca="1" si="3"/>
        <v>6.8841582702958069E-7</v>
      </c>
      <c r="I19" s="157"/>
      <c r="J19" s="153" t="s">
        <v>370</v>
      </c>
      <c r="L19" s="179">
        <f ca="1"/>
        <v>0.25925925925925924</v>
      </c>
      <c r="M19" s="179">
        <f ca="1"/>
        <v>0.7407407407407407</v>
      </c>
      <c r="N19" s="179">
        <f ca="1"/>
        <v>7.1428571428571425E-2</v>
      </c>
      <c r="O19" s="179">
        <f ca="1"/>
        <v>0.7142857142857143</v>
      </c>
      <c r="P19" s="179">
        <f ca="1"/>
        <v>0.21428571428571427</v>
      </c>
      <c r="Q19" s="179">
        <f ca="1"/>
        <v>0.41666666666666669</v>
      </c>
      <c r="R19" s="179">
        <f ca="1"/>
        <v>0.25</v>
      </c>
      <c r="S19" s="179">
        <f ca="1"/>
        <v>0.25</v>
      </c>
      <c r="T19" s="179">
        <f ca="1"/>
        <v>8.3333333333333329E-2</v>
      </c>
      <c r="U19" s="179">
        <f ca="1"/>
        <v>0.05</v>
      </c>
      <c r="V19" s="179">
        <f ca="1"/>
        <v>0.5</v>
      </c>
      <c r="W19" s="179">
        <f ca="1"/>
        <v>0.4</v>
      </c>
      <c r="X19" s="179">
        <f ca="1"/>
        <v>0.05</v>
      </c>
      <c r="Y19" s="179">
        <f ca="1"/>
        <v>9.0909090909090912E-2</v>
      </c>
      <c r="Z19" s="179">
        <f ca="1"/>
        <v>0.45454545454545453</v>
      </c>
      <c r="AA19" s="179">
        <f ca="1"/>
        <v>0.36363636363636365</v>
      </c>
      <c r="AB19" s="179">
        <f ca="1"/>
        <v>9.0909090909090912E-2</v>
      </c>
      <c r="AC19" s="179">
        <f ca="1"/>
        <v>0.2</v>
      </c>
      <c r="AD19" s="179">
        <f ca="1"/>
        <v>0.5</v>
      </c>
      <c r="AE19" s="179">
        <f ca="1"/>
        <v>0.2</v>
      </c>
      <c r="AF19" s="179">
        <f ca="1"/>
        <v>0.1</v>
      </c>
      <c r="AG19" s="185">
        <v>1</v>
      </c>
      <c r="AH19" s="185">
        <v>2</v>
      </c>
      <c r="AI19" s="186">
        <v>3</v>
      </c>
      <c r="AJ19" s="186">
        <v>4</v>
      </c>
    </row>
    <row r="20" spans="1:36" s="16" customFormat="1" ht="24.95" customHeight="1" x14ac:dyDescent="0.25">
      <c r="A20" s="156"/>
      <c r="B20" s="160" t="s">
        <v>420</v>
      </c>
      <c r="C20" s="175">
        <f t="shared" ca="1" si="0"/>
        <v>0.38728072862687124</v>
      </c>
      <c r="D20" s="176">
        <f t="shared" ca="1" si="1"/>
        <v>28</v>
      </c>
      <c r="E20" s="177">
        <f t="shared" ca="1" si="2"/>
        <v>0.22562209660878443</v>
      </c>
      <c r="F20" s="177">
        <v>0.25</v>
      </c>
      <c r="G20" s="177">
        <f t="shared" ca="1" si="4"/>
        <v>3.2196373777895788</v>
      </c>
      <c r="H20" s="178">
        <f t="shared" ca="1" si="3"/>
        <v>3.3313836377747829E-3</v>
      </c>
      <c r="I20" s="157"/>
      <c r="J20" s="153" t="s">
        <v>371</v>
      </c>
      <c r="L20" s="179">
        <f ca="1"/>
        <v>1</v>
      </c>
      <c r="M20" s="179">
        <f ca="1"/>
        <v>0</v>
      </c>
      <c r="N20" s="179">
        <f ca="1"/>
        <v>0</v>
      </c>
      <c r="O20" s="179">
        <f ca="1"/>
        <v>1</v>
      </c>
      <c r="P20" s="179">
        <f ca="1"/>
        <v>0</v>
      </c>
      <c r="Q20" s="179">
        <f ca="1"/>
        <v>0</v>
      </c>
      <c r="R20" s="179">
        <f ca="1"/>
        <v>0</v>
      </c>
      <c r="S20" s="179">
        <f ca="1"/>
        <v>0</v>
      </c>
      <c r="T20" s="179">
        <f ca="1"/>
        <v>1</v>
      </c>
      <c r="U20" s="179">
        <f ca="1"/>
        <v>0</v>
      </c>
      <c r="V20" s="179">
        <f ca="1"/>
        <v>1</v>
      </c>
      <c r="W20" s="179">
        <f ca="1"/>
        <v>0</v>
      </c>
      <c r="X20" s="179">
        <f ca="1"/>
        <v>0</v>
      </c>
      <c r="Y20" s="179">
        <f ca="1"/>
        <v>0</v>
      </c>
      <c r="Z20" s="179">
        <f ca="1"/>
        <v>0.85470085470085466</v>
      </c>
      <c r="AA20" s="179">
        <f ca="1"/>
        <v>0</v>
      </c>
      <c r="AB20" s="179">
        <f ca="1"/>
        <v>0.14529914529914531</v>
      </c>
      <c r="AC20" s="179">
        <f ca="1"/>
        <v>0.5</v>
      </c>
      <c r="AD20" s="179">
        <f ca="1"/>
        <v>0</v>
      </c>
      <c r="AE20" s="179">
        <f ca="1"/>
        <v>0</v>
      </c>
      <c r="AF20" s="179">
        <f ca="1"/>
        <v>0.5</v>
      </c>
      <c r="AG20" s="185">
        <v>1</v>
      </c>
      <c r="AH20" s="185">
        <v>2</v>
      </c>
      <c r="AI20" s="186">
        <v>3</v>
      </c>
      <c r="AJ20" s="186">
        <v>4</v>
      </c>
    </row>
    <row r="21" spans="1:36" s="16" customFormat="1" ht="24.95" customHeight="1" x14ac:dyDescent="0.25">
      <c r="A21" s="156"/>
      <c r="B21" s="165" t="s">
        <v>421</v>
      </c>
      <c r="C21" s="166">
        <f t="shared" ca="1" si="0"/>
        <v>0.20973895569369111</v>
      </c>
      <c r="D21" s="167">
        <f t="shared" ca="1" si="1"/>
        <v>28</v>
      </c>
      <c r="E21" s="168">
        <f t="shared" ca="1" si="2"/>
        <v>0.11802587788128789</v>
      </c>
      <c r="F21" s="168">
        <v>0.25</v>
      </c>
      <c r="G21" s="168">
        <f t="shared" ca="1" si="4"/>
        <v>-1.8050399229461587</v>
      </c>
      <c r="H21" s="169">
        <f t="shared" ca="1" si="3"/>
        <v>8.2233087426746718E-2</v>
      </c>
      <c r="I21" s="157"/>
      <c r="J21" s="153" t="s">
        <v>372</v>
      </c>
      <c r="L21" s="179">
        <f ca="1"/>
        <v>0.81818181818181812</v>
      </c>
      <c r="M21" s="179">
        <f ca="1"/>
        <v>0.1818181818181818</v>
      </c>
      <c r="N21" s="179">
        <f ca="1"/>
        <v>0.5</v>
      </c>
      <c r="O21" s="179">
        <f ca="1"/>
        <v>0.2</v>
      </c>
      <c r="P21" s="179">
        <f ca="1"/>
        <v>0.3</v>
      </c>
      <c r="Q21" s="179">
        <f ca="1"/>
        <v>0.3</v>
      </c>
      <c r="R21" s="179">
        <f ca="1"/>
        <v>0.5</v>
      </c>
      <c r="S21" s="179">
        <f ca="1"/>
        <v>0.14000000000000001</v>
      </c>
      <c r="T21" s="179">
        <f ca="1"/>
        <v>0.06</v>
      </c>
      <c r="U21" s="179">
        <f ca="1"/>
        <v>0.4</v>
      </c>
      <c r="V21" s="179">
        <f ca="1"/>
        <v>0.2</v>
      </c>
      <c r="W21" s="179">
        <f ca="1"/>
        <v>0.1</v>
      </c>
      <c r="X21" s="179">
        <f ca="1"/>
        <v>0.3</v>
      </c>
      <c r="Y21" s="179">
        <f ca="1"/>
        <v>0.1368421052631579</v>
      </c>
      <c r="Z21" s="179">
        <f ca="1"/>
        <v>0.25263157894736843</v>
      </c>
      <c r="AA21" s="179">
        <f ca="1"/>
        <v>0.42105263157894735</v>
      </c>
      <c r="AB21" s="179">
        <f ca="1"/>
        <v>0.18947368421052632</v>
      </c>
      <c r="AC21" s="179">
        <f ca="1"/>
        <v>0.3</v>
      </c>
      <c r="AD21" s="179">
        <f ca="1"/>
        <v>0.2</v>
      </c>
      <c r="AE21" s="179">
        <f ca="1"/>
        <v>0.1</v>
      </c>
      <c r="AF21" s="179">
        <f ca="1"/>
        <v>0.4</v>
      </c>
      <c r="AG21" s="185">
        <v>1</v>
      </c>
      <c r="AH21" s="185">
        <v>2</v>
      </c>
      <c r="AI21" s="186">
        <v>3</v>
      </c>
      <c r="AJ21" s="186">
        <v>4</v>
      </c>
    </row>
    <row r="22" spans="1:36" s="16" customFormat="1" ht="24.95" customHeight="1" x14ac:dyDescent="0.25">
      <c r="A22" s="156"/>
      <c r="B22" s="165" t="s">
        <v>422</v>
      </c>
      <c r="C22" s="166">
        <f t="shared" ca="1" si="0"/>
        <v>0.16980159930903377</v>
      </c>
      <c r="D22" s="167">
        <f t="shared" ca="1" si="1"/>
        <v>28</v>
      </c>
      <c r="E22" s="168">
        <f t="shared" ca="1" si="2"/>
        <v>9.1605210719723079E-2</v>
      </c>
      <c r="F22" s="168">
        <v>0.25</v>
      </c>
      <c r="G22" s="168">
        <f t="shared" ca="1" si="4"/>
        <v>-4.6325972530670185</v>
      </c>
      <c r="H22" s="169">
        <f t="shared" ca="1" si="3"/>
        <v>8.1750688233532036E-5</v>
      </c>
      <c r="I22" s="157"/>
      <c r="J22" s="153" t="s">
        <v>373</v>
      </c>
      <c r="L22" s="179">
        <f ca="1"/>
        <v>0.41176470588235292</v>
      </c>
      <c r="M22" s="179">
        <f ca="1"/>
        <v>0.58823529411764708</v>
      </c>
      <c r="N22" s="179">
        <f ca="1"/>
        <v>0.47619047619047616</v>
      </c>
      <c r="O22" s="179">
        <f ca="1"/>
        <v>0.33333333333333331</v>
      </c>
      <c r="P22" s="179">
        <f ca="1"/>
        <v>0.19047619047619047</v>
      </c>
      <c r="Q22" s="179">
        <f ca="1"/>
        <v>0.29850746268656714</v>
      </c>
      <c r="R22" s="179">
        <f ca="1"/>
        <v>0.26865671641791045</v>
      </c>
      <c r="S22" s="179">
        <f ca="1"/>
        <v>0.2537313432835821</v>
      </c>
      <c r="T22" s="179">
        <f ca="1"/>
        <v>0.17910447761194029</v>
      </c>
      <c r="U22" s="179">
        <f ca="1"/>
        <v>0.30303030303030304</v>
      </c>
      <c r="V22" s="179">
        <f ca="1"/>
        <v>0.25757575757575757</v>
      </c>
      <c r="W22" s="179">
        <f ca="1"/>
        <v>0.21212121212121213</v>
      </c>
      <c r="X22" s="179">
        <f ca="1"/>
        <v>0.22727272727272727</v>
      </c>
      <c r="Y22" s="179">
        <f ca="1"/>
        <v>0.28169014084507044</v>
      </c>
      <c r="Z22" s="179">
        <f ca="1"/>
        <v>0.23943661971830985</v>
      </c>
      <c r="AA22" s="179">
        <f ca="1"/>
        <v>0.25352112676056338</v>
      </c>
      <c r="AB22" s="179">
        <f ca="1"/>
        <v>0.22535211267605634</v>
      </c>
      <c r="AC22" s="179">
        <f ca="1"/>
        <v>0.28985507246376813</v>
      </c>
      <c r="AD22" s="179">
        <f ca="1"/>
        <v>0.21739130434782608</v>
      </c>
      <c r="AE22" s="179">
        <f ca="1"/>
        <v>0.2318840579710145</v>
      </c>
      <c r="AF22" s="179">
        <f ca="1"/>
        <v>0.2608695652173913</v>
      </c>
      <c r="AG22" s="185">
        <v>1</v>
      </c>
      <c r="AH22" s="185">
        <v>2</v>
      </c>
      <c r="AI22" s="186">
        <v>3</v>
      </c>
      <c r="AJ22" s="186">
        <v>4</v>
      </c>
    </row>
    <row r="23" spans="1:36" s="16" customFormat="1" ht="24.95" customHeight="1" thickBot="1" x14ac:dyDescent="0.3">
      <c r="A23" s="156"/>
      <c r="B23" s="170" t="s">
        <v>423</v>
      </c>
      <c r="C23" s="171">
        <f t="shared" ca="1" si="0"/>
        <v>0.23317871637040397</v>
      </c>
      <c r="D23" s="172">
        <f t="shared" ca="1" si="1"/>
        <v>28</v>
      </c>
      <c r="E23" s="173">
        <f t="shared" ca="1" si="2"/>
        <v>0.12073602989224924</v>
      </c>
      <c r="F23" s="173">
        <v>0.25</v>
      </c>
      <c r="G23" s="173">
        <f t="shared" ca="1" si="4"/>
        <v>-0.73722704409796203</v>
      </c>
      <c r="H23" s="174">
        <f t="shared" ca="1" si="3"/>
        <v>0.46734298506779581</v>
      </c>
      <c r="I23" s="157"/>
      <c r="J23" s="153" t="s">
        <v>374</v>
      </c>
      <c r="L23" s="179">
        <f ca="1"/>
        <v>0.65359477124183007</v>
      </c>
      <c r="M23" s="179">
        <f ca="1"/>
        <v>0.34640522875816993</v>
      </c>
      <c r="N23" s="179">
        <f ca="1"/>
        <v>0.29556650246305421</v>
      </c>
      <c r="O23" s="179">
        <f ca="1"/>
        <v>0.49261083743842365</v>
      </c>
      <c r="P23" s="179">
        <f ca="1"/>
        <v>0.21182266009852216</v>
      </c>
      <c r="Q23" s="179">
        <f ca="1"/>
        <v>0.32894736842105265</v>
      </c>
      <c r="R23" s="179">
        <f ca="1"/>
        <v>0.18092105263157895</v>
      </c>
      <c r="S23" s="179">
        <f ca="1"/>
        <v>0.27302631578947367</v>
      </c>
      <c r="T23" s="179">
        <f ca="1"/>
        <v>0.21710526315789475</v>
      </c>
      <c r="U23" s="179" t="e">
        <f ca="1"/>
        <v>#N/A</v>
      </c>
      <c r="V23" s="179" t="e">
        <f ca="1"/>
        <v>#N/A</v>
      </c>
      <c r="W23" s="179" t="e">
        <f ca="1"/>
        <v>#N/A</v>
      </c>
      <c r="X23" s="179" t="e">
        <f ca="1"/>
        <v>#N/A</v>
      </c>
      <c r="Y23" s="179" t="e">
        <f ca="1"/>
        <v>#N/A</v>
      </c>
      <c r="Z23" s="179" t="e">
        <f ca="1"/>
        <v>#N/A</v>
      </c>
      <c r="AA23" s="179" t="e">
        <f ca="1"/>
        <v>#N/A</v>
      </c>
      <c r="AB23" s="179" t="e">
        <f ca="1"/>
        <v>#N/A</v>
      </c>
      <c r="AC23" s="179" t="e">
        <f ca="1"/>
        <v>#N/A</v>
      </c>
      <c r="AD23" s="179" t="e">
        <f ca="1"/>
        <v>#N/A</v>
      </c>
      <c r="AE23" s="179" t="e">
        <f ca="1"/>
        <v>#N/A</v>
      </c>
      <c r="AF23" s="179" t="e">
        <f ca="1"/>
        <v>#N/A</v>
      </c>
      <c r="AG23" s="185">
        <v>1</v>
      </c>
      <c r="AH23" s="185">
        <v>2</v>
      </c>
      <c r="AI23" s="186">
        <v>3</v>
      </c>
      <c r="AJ23" s="186">
        <v>4</v>
      </c>
    </row>
    <row r="24" spans="1:36" ht="15.75" x14ac:dyDescent="0.25">
      <c r="A24" s="154"/>
      <c r="B24" s="154"/>
      <c r="C24" s="154"/>
      <c r="D24" s="154"/>
      <c r="E24" s="158"/>
      <c r="F24" s="158"/>
      <c r="G24" s="158"/>
      <c r="H24" s="154"/>
      <c r="I24" s="154"/>
      <c r="K24" s="16"/>
      <c r="L24" s="180">
        <f ca="1"/>
        <v>0.41176470588235292</v>
      </c>
      <c r="M24" s="180">
        <f ca="1"/>
        <v>0.58823529411764708</v>
      </c>
      <c r="N24" s="180">
        <f ca="1"/>
        <v>0.25</v>
      </c>
      <c r="O24" s="180">
        <f ca="1"/>
        <v>0.41666666666666669</v>
      </c>
      <c r="P24" s="180">
        <f ca="1"/>
        <v>0.33333333333333331</v>
      </c>
      <c r="Q24" s="180">
        <f ca="1"/>
        <v>0</v>
      </c>
      <c r="R24" s="180">
        <f ca="1"/>
        <v>0.45</v>
      </c>
      <c r="S24" s="180">
        <f ca="1"/>
        <v>0.5</v>
      </c>
      <c r="T24" s="180">
        <f ca="1"/>
        <v>0.05</v>
      </c>
      <c r="U24" s="180">
        <f ca="1"/>
        <v>0.38461538461538464</v>
      </c>
      <c r="V24" s="180">
        <f ca="1"/>
        <v>0.34615384615384615</v>
      </c>
      <c r="W24" s="180">
        <f ca="1"/>
        <v>7.6923076923076927E-2</v>
      </c>
      <c r="X24" s="180">
        <f ca="1"/>
        <v>0.19230769230769232</v>
      </c>
      <c r="Y24" s="180">
        <f ca="1"/>
        <v>0.32142857142857145</v>
      </c>
      <c r="Z24" s="180">
        <f ca="1"/>
        <v>0.25</v>
      </c>
      <c r="AA24" s="180">
        <f ca="1"/>
        <v>0.35714285714285715</v>
      </c>
      <c r="AB24" s="180">
        <f ca="1"/>
        <v>7.1428571428571425E-2</v>
      </c>
      <c r="AC24" s="180">
        <f ca="1"/>
        <v>0.31034482758620691</v>
      </c>
      <c r="AD24" s="180">
        <f ca="1"/>
        <v>0.17241379310344829</v>
      </c>
      <c r="AE24" s="180">
        <f ca="1"/>
        <v>0.17241379310344829</v>
      </c>
      <c r="AF24" s="180">
        <f ca="1"/>
        <v>0.34482758620689657</v>
      </c>
      <c r="AG24" s="185">
        <v>1</v>
      </c>
      <c r="AH24" s="185">
        <v>2</v>
      </c>
      <c r="AI24" s="186">
        <v>3</v>
      </c>
      <c r="AJ24" s="186">
        <v>4</v>
      </c>
    </row>
    <row r="25" spans="1:36" ht="18.75" x14ac:dyDescent="0.25">
      <c r="B25" s="187"/>
      <c r="E25" s="39"/>
      <c r="F25" s="39"/>
      <c r="G25" s="39"/>
      <c r="K25" s="16"/>
      <c r="L25" s="180">
        <f ca="1"/>
        <v>0.5</v>
      </c>
      <c r="M25" s="180">
        <f ca="1"/>
        <v>0.5</v>
      </c>
      <c r="N25" s="180">
        <f ca="1"/>
        <v>0</v>
      </c>
      <c r="O25" s="180">
        <f ca="1"/>
        <v>1</v>
      </c>
      <c r="P25" s="180">
        <f ca="1"/>
        <v>0</v>
      </c>
      <c r="Q25" s="180">
        <f ca="1"/>
        <v>0</v>
      </c>
      <c r="R25" s="180">
        <f ca="1"/>
        <v>0</v>
      </c>
      <c r="S25" s="180">
        <f ca="1"/>
        <v>0</v>
      </c>
      <c r="T25" s="180">
        <f ca="1"/>
        <v>1</v>
      </c>
      <c r="U25" s="180">
        <f ca="1"/>
        <v>0</v>
      </c>
      <c r="V25" s="180">
        <f ca="1"/>
        <v>1</v>
      </c>
      <c r="W25" s="180">
        <f ca="1"/>
        <v>0</v>
      </c>
      <c r="X25" s="180">
        <f ca="1"/>
        <v>0</v>
      </c>
      <c r="Y25" s="180">
        <f ca="1"/>
        <v>0.5</v>
      </c>
      <c r="Z25" s="180">
        <f ca="1"/>
        <v>0.5</v>
      </c>
      <c r="AA25" s="180">
        <f ca="1"/>
        <v>0</v>
      </c>
      <c r="AB25" s="180">
        <f ca="1"/>
        <v>0</v>
      </c>
      <c r="AC25" s="180">
        <f ca="1"/>
        <v>1</v>
      </c>
      <c r="AD25" s="180">
        <f ca="1"/>
        <v>0</v>
      </c>
      <c r="AE25" s="180">
        <f ca="1"/>
        <v>0</v>
      </c>
      <c r="AF25" s="180">
        <f ca="1"/>
        <v>0</v>
      </c>
      <c r="AG25" s="185">
        <v>1</v>
      </c>
      <c r="AH25" s="185">
        <v>2</v>
      </c>
      <c r="AI25" s="186">
        <v>3</v>
      </c>
      <c r="AJ25" s="186">
        <v>4</v>
      </c>
    </row>
    <row r="26" spans="1:36" ht="18.75" x14ac:dyDescent="0.25">
      <c r="B26" s="187"/>
      <c r="G26" s="39"/>
      <c r="K26" s="16"/>
      <c r="L26" s="180">
        <f ca="1"/>
        <v>0.42857142857142855</v>
      </c>
      <c r="M26" s="180">
        <f ca="1"/>
        <v>0.5714285714285714</v>
      </c>
      <c r="N26" s="180">
        <f ca="1"/>
        <v>0.24875621890547264</v>
      </c>
      <c r="O26" s="180">
        <f ca="1"/>
        <v>0.49751243781094528</v>
      </c>
      <c r="P26" s="180">
        <f ca="1"/>
        <v>0.2537313432835821</v>
      </c>
      <c r="Q26" s="180">
        <f ca="1"/>
        <v>0.17241379310344829</v>
      </c>
      <c r="R26" s="180">
        <f ca="1"/>
        <v>0.31034482758620691</v>
      </c>
      <c r="S26" s="180">
        <f ca="1"/>
        <v>0.34482758620689657</v>
      </c>
      <c r="T26" s="180">
        <f ca="1"/>
        <v>0.17241379310344829</v>
      </c>
      <c r="U26" s="180" t="e">
        <f ca="1"/>
        <v>#N/A</v>
      </c>
      <c r="V26" s="180" t="e">
        <f ca="1"/>
        <v>#N/A</v>
      </c>
      <c r="W26" s="180" t="e">
        <f ca="1"/>
        <v>#N/A</v>
      </c>
      <c r="X26" s="180" t="e">
        <f ca="1"/>
        <v>#N/A</v>
      </c>
      <c r="Y26" s="180" t="e">
        <f ca="1"/>
        <v>#N/A</v>
      </c>
      <c r="Z26" s="180" t="e">
        <f ca="1"/>
        <v>#N/A</v>
      </c>
      <c r="AA26" s="180" t="e">
        <f ca="1"/>
        <v>#N/A</v>
      </c>
      <c r="AB26" s="180" t="e">
        <f ca="1"/>
        <v>#N/A</v>
      </c>
      <c r="AC26" s="180" t="e">
        <f ca="1"/>
        <v>#N/A</v>
      </c>
      <c r="AD26" s="180" t="e">
        <f ca="1"/>
        <v>#N/A</v>
      </c>
      <c r="AE26" s="180" t="e">
        <f ca="1"/>
        <v>#N/A</v>
      </c>
      <c r="AF26" s="180" t="e">
        <f ca="1"/>
        <v>#N/A</v>
      </c>
      <c r="AG26" s="185">
        <v>1</v>
      </c>
      <c r="AH26" s="185">
        <v>2</v>
      </c>
      <c r="AI26" s="186">
        <v>3</v>
      </c>
      <c r="AJ26" s="186">
        <v>4</v>
      </c>
    </row>
    <row r="27" spans="1:36" ht="18.75" x14ac:dyDescent="0.25">
      <c r="B27" s="187"/>
      <c r="G27" s="39"/>
      <c r="K27" s="16"/>
      <c r="L27" s="180">
        <f ca="1"/>
        <v>0.42857142857142855</v>
      </c>
      <c r="M27" s="180">
        <f ca="1"/>
        <v>0.5714285714285714</v>
      </c>
      <c r="N27" s="180">
        <f ca="1"/>
        <v>0.3125</v>
      </c>
      <c r="O27" s="180">
        <f ca="1"/>
        <v>6.25E-2</v>
      </c>
      <c r="P27" s="180">
        <f ca="1"/>
        <v>0.625</v>
      </c>
      <c r="Q27" s="180">
        <f ca="1"/>
        <v>0.1</v>
      </c>
      <c r="R27" s="180">
        <f ca="1"/>
        <v>0.4</v>
      </c>
      <c r="S27" s="180">
        <f ca="1"/>
        <v>0.3</v>
      </c>
      <c r="T27" s="180">
        <f ca="1"/>
        <v>0.2</v>
      </c>
      <c r="U27" s="180">
        <f ca="1"/>
        <v>0.31779661016949151</v>
      </c>
      <c r="V27" s="180">
        <f ca="1"/>
        <v>0.42372881355932202</v>
      </c>
      <c r="W27" s="180">
        <f ca="1"/>
        <v>0.21610169491525424</v>
      </c>
      <c r="X27" s="180">
        <f ca="1"/>
        <v>4.2372881355932202E-2</v>
      </c>
      <c r="Y27" s="180">
        <f ca="1"/>
        <v>0.31914893617021278</v>
      </c>
      <c r="Z27" s="180">
        <f ca="1"/>
        <v>0.42553191489361702</v>
      </c>
      <c r="AA27" s="180">
        <f ca="1"/>
        <v>0.21276595744680851</v>
      </c>
      <c r="AB27" s="180">
        <f ca="1"/>
        <v>4.2553191489361701E-2</v>
      </c>
      <c r="AC27" s="180">
        <f ca="1"/>
        <v>0.31914893617021278</v>
      </c>
      <c r="AD27" s="180">
        <f ca="1"/>
        <v>0.42553191489361702</v>
      </c>
      <c r="AE27" s="180">
        <f ca="1"/>
        <v>0.21276595744680851</v>
      </c>
      <c r="AF27" s="180">
        <f ca="1"/>
        <v>4.2553191489361701E-2</v>
      </c>
      <c r="AG27" s="185">
        <v>1</v>
      </c>
      <c r="AH27" s="185">
        <v>2</v>
      </c>
      <c r="AI27" s="186">
        <v>3</v>
      </c>
      <c r="AJ27" s="186">
        <v>4</v>
      </c>
    </row>
    <row r="28" spans="1:36" ht="15.75" x14ac:dyDescent="0.25">
      <c r="K28" s="16"/>
      <c r="L28" s="180">
        <f ca="1"/>
        <v>0.59595959595959602</v>
      </c>
      <c r="M28" s="180">
        <f ca="1"/>
        <v>0.40404040404040398</v>
      </c>
      <c r="N28" s="180">
        <f ca="1"/>
        <v>0.35119047619047616</v>
      </c>
      <c r="O28" s="180">
        <f ca="1"/>
        <v>0.47619047619047616</v>
      </c>
      <c r="P28" s="180">
        <f ca="1"/>
        <v>0.17261904761904762</v>
      </c>
      <c r="Q28" s="180">
        <f ca="1"/>
        <v>0.26954177897574122</v>
      </c>
      <c r="R28" s="180">
        <f ca="1"/>
        <v>0.26954177897574122</v>
      </c>
      <c r="S28" s="180">
        <f ca="1"/>
        <v>0.26954177897574122</v>
      </c>
      <c r="T28" s="180">
        <f ca="1"/>
        <v>0.19137466307277629</v>
      </c>
      <c r="U28" s="180">
        <f ca="1"/>
        <v>0.31347962382445144</v>
      </c>
      <c r="V28" s="180">
        <f ca="1"/>
        <v>0.2476489028213166</v>
      </c>
      <c r="W28" s="180">
        <f ca="1"/>
        <v>0.15673981191222572</v>
      </c>
      <c r="X28" s="180">
        <f ca="1"/>
        <v>0.28213166144200624</v>
      </c>
      <c r="Y28" s="180">
        <f ca="1"/>
        <v>0.3125</v>
      </c>
      <c r="Z28" s="180">
        <f ca="1"/>
        <v>0.25</v>
      </c>
      <c r="AA28" s="180">
        <f ca="1"/>
        <v>0.1875</v>
      </c>
      <c r="AB28" s="180">
        <f ca="1"/>
        <v>0.25</v>
      </c>
      <c r="AC28" s="180">
        <f ca="1"/>
        <v>0.24242424242424243</v>
      </c>
      <c r="AD28" s="180">
        <f ca="1"/>
        <v>0.27272727272727271</v>
      </c>
      <c r="AE28" s="180">
        <f ca="1"/>
        <v>0.18181818181818182</v>
      </c>
      <c r="AF28" s="180">
        <f ca="1"/>
        <v>0.30303030303030304</v>
      </c>
      <c r="AG28" s="185">
        <v>1</v>
      </c>
      <c r="AH28" s="185">
        <v>2</v>
      </c>
      <c r="AI28" s="186">
        <v>3</v>
      </c>
      <c r="AJ28" s="186">
        <v>4</v>
      </c>
    </row>
    <row r="29" spans="1:36" ht="15.75" x14ac:dyDescent="0.25">
      <c r="C29" t="s">
        <v>410</v>
      </c>
      <c r="D29" t="s">
        <v>411</v>
      </c>
      <c r="E29" t="s">
        <v>348</v>
      </c>
      <c r="K29" s="16"/>
      <c r="L29" s="180" t="e">
        <f ca="1"/>
        <v>#N/A</v>
      </c>
      <c r="M29" s="180" t="e">
        <f ca="1"/>
        <v>#N/A</v>
      </c>
      <c r="N29" s="180" t="e">
        <f ca="1"/>
        <v>#N/A</v>
      </c>
      <c r="O29" s="180" t="e">
        <f ca="1"/>
        <v>#N/A</v>
      </c>
      <c r="P29" s="180" t="e">
        <f ca="1"/>
        <v>#N/A</v>
      </c>
      <c r="Q29" s="180" t="e">
        <f ca="1"/>
        <v>#N/A</v>
      </c>
      <c r="R29" s="180" t="e">
        <f ca="1"/>
        <v>#N/A</v>
      </c>
      <c r="S29" s="180" t="e">
        <f ca="1"/>
        <v>#N/A</v>
      </c>
      <c r="T29" s="180" t="e">
        <f ca="1"/>
        <v>#N/A</v>
      </c>
      <c r="U29" s="180" t="e">
        <f ca="1"/>
        <v>#N/A</v>
      </c>
      <c r="V29" s="180" t="e">
        <f ca="1"/>
        <v>#N/A</v>
      </c>
      <c r="W29" s="180" t="e">
        <f ca="1"/>
        <v>#N/A</v>
      </c>
      <c r="X29" s="180" t="e">
        <f ca="1"/>
        <v>#N/A</v>
      </c>
      <c r="Y29" s="180" t="e">
        <f ca="1"/>
        <v>#N/A</v>
      </c>
      <c r="Z29" s="180" t="e">
        <f ca="1"/>
        <v>#N/A</v>
      </c>
      <c r="AA29" s="180" t="e">
        <f ca="1"/>
        <v>#N/A</v>
      </c>
      <c r="AB29" s="180" t="e">
        <f ca="1"/>
        <v>#N/A</v>
      </c>
      <c r="AC29" s="180" t="e">
        <f ca="1"/>
        <v>#N/A</v>
      </c>
      <c r="AD29" s="180" t="e">
        <f ca="1"/>
        <v>#N/A</v>
      </c>
      <c r="AE29" s="180" t="e">
        <f ca="1"/>
        <v>#N/A</v>
      </c>
      <c r="AF29" s="180" t="e">
        <f ca="1"/>
        <v>#N/A</v>
      </c>
      <c r="AG29" s="185">
        <v>1</v>
      </c>
      <c r="AH29" s="185">
        <v>2</v>
      </c>
      <c r="AI29" s="186">
        <v>3</v>
      </c>
      <c r="AJ29" s="186">
        <v>4</v>
      </c>
    </row>
    <row r="30" spans="1:36" ht="15.75" x14ac:dyDescent="0.25">
      <c r="B30" s="151" t="s">
        <v>141</v>
      </c>
      <c r="C30" s="39">
        <v>0.2935976455626137</v>
      </c>
      <c r="D30" s="39">
        <v>0.29748296390023521</v>
      </c>
      <c r="E30" s="39">
        <v>0.38728072862687124</v>
      </c>
      <c r="K30" s="16"/>
      <c r="L30" s="180">
        <f ca="1"/>
        <v>0.5</v>
      </c>
      <c r="M30" s="180">
        <f ca="1"/>
        <v>0.5</v>
      </c>
      <c r="N30" s="180">
        <f ca="1"/>
        <v>0.27272727272727271</v>
      </c>
      <c r="O30" s="180">
        <f ca="1"/>
        <v>0.45454545454545453</v>
      </c>
      <c r="P30" s="180">
        <f ca="1"/>
        <v>0.27272727272727271</v>
      </c>
      <c r="Q30" s="180">
        <f ca="1"/>
        <v>0.1875</v>
      </c>
      <c r="R30" s="180">
        <f ca="1"/>
        <v>0.3125</v>
      </c>
      <c r="S30" s="180">
        <f ca="1"/>
        <v>0.1875</v>
      </c>
      <c r="T30" s="180">
        <f ca="1"/>
        <v>0.3125</v>
      </c>
      <c r="U30" s="180">
        <f ca="1"/>
        <v>0.3125</v>
      </c>
      <c r="V30" s="180">
        <f ca="1"/>
        <v>0.3125</v>
      </c>
      <c r="W30" s="180">
        <f ca="1"/>
        <v>0.125</v>
      </c>
      <c r="X30" s="180">
        <f ca="1"/>
        <v>0.25</v>
      </c>
      <c r="Y30" s="180">
        <f ca="1"/>
        <v>0.35714285714285715</v>
      </c>
      <c r="Z30" s="180">
        <f ca="1"/>
        <v>0.25</v>
      </c>
      <c r="AA30" s="180">
        <f ca="1"/>
        <v>0.14285714285714285</v>
      </c>
      <c r="AB30" s="180">
        <f ca="1"/>
        <v>0.25</v>
      </c>
      <c r="AC30" s="180">
        <f ca="1"/>
        <v>0.41666666666666669</v>
      </c>
      <c r="AD30" s="180">
        <f ca="1"/>
        <v>0.25</v>
      </c>
      <c r="AE30" s="180">
        <f ca="1"/>
        <v>0.16666666666666666</v>
      </c>
      <c r="AF30" s="180">
        <f ca="1"/>
        <v>0.16666666666666666</v>
      </c>
      <c r="AG30" s="185">
        <v>1</v>
      </c>
      <c r="AH30" s="185">
        <v>2</v>
      </c>
      <c r="AI30" s="186">
        <v>3</v>
      </c>
      <c r="AJ30" s="186">
        <v>4</v>
      </c>
    </row>
    <row r="31" spans="1:36" ht="15.75" x14ac:dyDescent="0.25">
      <c r="B31" s="151" t="s">
        <v>142</v>
      </c>
      <c r="C31" s="39">
        <v>0.32679498547655506</v>
      </c>
      <c r="D31" s="39">
        <v>0.30564158279059456</v>
      </c>
      <c r="E31" s="39">
        <v>0.20973895569369111</v>
      </c>
      <c r="K31" s="16"/>
      <c r="L31" s="180">
        <f ca="1"/>
        <v>0.44444444444444442</v>
      </c>
      <c r="M31" s="180">
        <f ca="1"/>
        <v>0.55555555555555558</v>
      </c>
      <c r="N31" s="180">
        <f ca="1"/>
        <v>0.39525691699604742</v>
      </c>
      <c r="O31" s="180">
        <f ca="1"/>
        <v>0.3201581027667984</v>
      </c>
      <c r="P31" s="180">
        <f ca="1"/>
        <v>0.28458498023715417</v>
      </c>
      <c r="Q31" s="180">
        <f ca="1"/>
        <v>0.33222591362126247</v>
      </c>
      <c r="R31" s="180">
        <f ca="1"/>
        <v>0.23255813953488372</v>
      </c>
      <c r="S31" s="180">
        <f ca="1"/>
        <v>0.16943521594684385</v>
      </c>
      <c r="T31" s="180">
        <f ca="1"/>
        <v>0.26578073089700999</v>
      </c>
      <c r="U31" s="180">
        <f ca="1"/>
        <v>0.21875</v>
      </c>
      <c r="V31" s="180">
        <f ca="1"/>
        <v>0.34722222222222221</v>
      </c>
      <c r="W31" s="180">
        <f ca="1"/>
        <v>0.14930555555555555</v>
      </c>
      <c r="X31" s="180">
        <f ca="1"/>
        <v>0.28472222222222221</v>
      </c>
      <c r="Y31" s="180">
        <f ca="1"/>
        <v>0.26797385620915032</v>
      </c>
      <c r="Z31" s="180">
        <f ca="1"/>
        <v>0.32679738562091504</v>
      </c>
      <c r="AA31" s="180">
        <f ca="1"/>
        <v>0.16993464052287582</v>
      </c>
      <c r="AB31" s="180">
        <f ca="1"/>
        <v>0.23529411764705882</v>
      </c>
      <c r="AC31" s="180">
        <f ca="1"/>
        <v>0.31948881789137379</v>
      </c>
      <c r="AD31" s="180">
        <f ca="1"/>
        <v>0.28753993610223644</v>
      </c>
      <c r="AE31" s="180">
        <f ca="1"/>
        <v>0.16613418530351437</v>
      </c>
      <c r="AF31" s="180">
        <f ca="1"/>
        <v>0.2268370607028754</v>
      </c>
      <c r="AG31" s="185">
        <v>1</v>
      </c>
      <c r="AH31" s="185">
        <v>2</v>
      </c>
      <c r="AI31" s="186">
        <v>3</v>
      </c>
      <c r="AJ31" s="186">
        <v>4</v>
      </c>
    </row>
    <row r="32" spans="1:36" ht="15.75" x14ac:dyDescent="0.25">
      <c r="B32" s="151" t="s">
        <v>143</v>
      </c>
      <c r="C32" s="39">
        <v>0.18636015657742466</v>
      </c>
      <c r="D32" s="39">
        <v>0.23244760499148415</v>
      </c>
      <c r="E32" s="39">
        <v>0.16980159930903377</v>
      </c>
      <c r="G32" s="39"/>
      <c r="K32" s="16"/>
      <c r="L32" s="180">
        <f ca="1"/>
        <v>0.5</v>
      </c>
      <c r="M32" s="180">
        <f ca="1"/>
        <v>0.5</v>
      </c>
      <c r="N32" s="180">
        <f ca="1"/>
        <v>0.375</v>
      </c>
      <c r="O32" s="180">
        <f ca="1"/>
        <v>0.20833333333333334</v>
      </c>
      <c r="P32" s="180">
        <f ca="1"/>
        <v>0.41666666666666669</v>
      </c>
      <c r="Q32" s="180">
        <f ca="1"/>
        <v>7.6923076923076927E-2</v>
      </c>
      <c r="R32" s="180">
        <f ca="1"/>
        <v>0.34615384615384615</v>
      </c>
      <c r="S32" s="180">
        <f ca="1"/>
        <v>0.38461538461538464</v>
      </c>
      <c r="T32" s="180">
        <f ca="1"/>
        <v>0.19230769230769232</v>
      </c>
      <c r="U32" s="180">
        <f ca="1"/>
        <v>0.30303030303030304</v>
      </c>
      <c r="V32" s="180">
        <f ca="1"/>
        <v>0.30303030303030304</v>
      </c>
      <c r="W32" s="180">
        <f ca="1"/>
        <v>0.21212121212121213</v>
      </c>
      <c r="X32" s="180">
        <f ca="1"/>
        <v>0.18181818181818182</v>
      </c>
      <c r="Y32" s="180">
        <f ca="1"/>
        <v>0.32258064516129031</v>
      </c>
      <c r="Z32" s="180">
        <f ca="1"/>
        <v>0.32258064516129031</v>
      </c>
      <c r="AA32" s="180">
        <f ca="1"/>
        <v>0.19354838709677419</v>
      </c>
      <c r="AB32" s="180">
        <f ca="1"/>
        <v>0.16129032258064516</v>
      </c>
      <c r="AC32" s="180">
        <f ca="1"/>
        <v>0.32258064516129031</v>
      </c>
      <c r="AD32" s="180">
        <f ca="1"/>
        <v>0.16129032258064516</v>
      </c>
      <c r="AE32" s="180">
        <f ca="1"/>
        <v>0.25806451612903225</v>
      </c>
      <c r="AF32" s="180">
        <f ca="1"/>
        <v>0.25806451612903225</v>
      </c>
      <c r="AG32" s="185">
        <v>1</v>
      </c>
      <c r="AH32" s="185">
        <v>2</v>
      </c>
      <c r="AI32" s="186">
        <v>3</v>
      </c>
      <c r="AJ32" s="186">
        <v>4</v>
      </c>
    </row>
    <row r="33" spans="2:36" ht="15.75" x14ac:dyDescent="0.25">
      <c r="B33" s="151" t="s">
        <v>144</v>
      </c>
      <c r="C33" s="39">
        <v>0.1932472123834065</v>
      </c>
      <c r="D33" s="39">
        <v>0.16442784831768598</v>
      </c>
      <c r="E33" s="39">
        <v>0.23317871637040397</v>
      </c>
      <c r="G33" s="39"/>
      <c r="K33" s="16"/>
      <c r="L33" s="180">
        <f ca="1"/>
        <v>0.61016949152542377</v>
      </c>
      <c r="M33" s="180">
        <f ca="1"/>
        <v>0.38983050847457629</v>
      </c>
      <c r="N33" s="180">
        <f ca="1"/>
        <v>0.3165829145728643</v>
      </c>
      <c r="O33" s="180">
        <f ca="1"/>
        <v>0.21105527638190952</v>
      </c>
      <c r="P33" s="180">
        <f ca="1"/>
        <v>0.47236180904522612</v>
      </c>
      <c r="Q33" s="180">
        <f ca="1"/>
        <v>0.29799247176913424</v>
      </c>
      <c r="R33" s="180">
        <f ca="1"/>
        <v>0.1609159347553325</v>
      </c>
      <c r="S33" s="180">
        <f ca="1"/>
        <v>0.29799247176913424</v>
      </c>
      <c r="T33" s="180">
        <f ca="1"/>
        <v>0.24309912170639902</v>
      </c>
      <c r="U33" s="180">
        <f ca="1"/>
        <v>0.19806763285024154</v>
      </c>
      <c r="V33" s="180">
        <f ca="1"/>
        <v>0.26570048309178745</v>
      </c>
      <c r="W33" s="180">
        <f ca="1"/>
        <v>0.22222222222222224</v>
      </c>
      <c r="X33" s="180">
        <f ca="1"/>
        <v>0.3140096618357488</v>
      </c>
      <c r="Y33" s="180">
        <f ca="1"/>
        <v>0.21900826446280994</v>
      </c>
      <c r="Z33" s="180">
        <f ca="1"/>
        <v>0.2975206611570248</v>
      </c>
      <c r="AA33" s="180">
        <f ca="1"/>
        <v>0.26033057851239672</v>
      </c>
      <c r="AB33" s="180">
        <f ca="1"/>
        <v>0.2231404958677686</v>
      </c>
      <c r="AC33" s="180">
        <f ca="1"/>
        <v>0.22419928825622773</v>
      </c>
      <c r="AD33" s="180">
        <f ca="1"/>
        <v>0.19572953736654805</v>
      </c>
      <c r="AE33" s="180">
        <f ca="1"/>
        <v>0.29537366548042704</v>
      </c>
      <c r="AF33" s="180">
        <f ca="1"/>
        <v>0.28469750889679712</v>
      </c>
      <c r="AG33" s="185">
        <v>1</v>
      </c>
      <c r="AH33" s="185">
        <v>2</v>
      </c>
      <c r="AI33" s="186">
        <v>3</v>
      </c>
      <c r="AJ33" s="186">
        <v>4</v>
      </c>
    </row>
    <row r="34" spans="2:36" ht="15.75" x14ac:dyDescent="0.25">
      <c r="G34" s="39"/>
      <c r="K34" s="16"/>
      <c r="L34" s="180">
        <f ca="1"/>
        <v>0.59803921568627461</v>
      </c>
      <c r="M34" s="180">
        <f ca="1"/>
        <v>0.40196078431372551</v>
      </c>
      <c r="N34" s="180">
        <f ca="1"/>
        <v>0.12931034482758622</v>
      </c>
      <c r="O34" s="180">
        <f ca="1"/>
        <v>0.68965517241379315</v>
      </c>
      <c r="P34" s="180">
        <f ca="1"/>
        <v>0.18103448275862069</v>
      </c>
      <c r="Q34" s="180">
        <f ca="1"/>
        <v>0.19631901840490801</v>
      </c>
      <c r="R34" s="180">
        <f ca="1"/>
        <v>0.42944785276073622</v>
      </c>
      <c r="S34" s="180">
        <f ca="1"/>
        <v>6.1349693251533742E-2</v>
      </c>
      <c r="T34" s="180">
        <f ca="1"/>
        <v>0.31288343558282206</v>
      </c>
      <c r="U34" s="180">
        <f ca="1"/>
        <v>0.39534883720930231</v>
      </c>
      <c r="V34" s="180">
        <f ca="1"/>
        <v>7.7519379844961239E-3</v>
      </c>
      <c r="W34" s="180">
        <f ca="1"/>
        <v>0.38759689922480617</v>
      </c>
      <c r="X34" s="180">
        <f ca="1"/>
        <v>0.20930232558139536</v>
      </c>
      <c r="Y34" s="180">
        <f ca="1"/>
        <v>0.34</v>
      </c>
      <c r="Z34" s="180">
        <f ca="1"/>
        <v>6.6666666666666671E-3</v>
      </c>
      <c r="AA34" s="180">
        <f ca="1"/>
        <v>0.4</v>
      </c>
      <c r="AB34" s="180">
        <f ca="1"/>
        <v>0.2533333333333333</v>
      </c>
      <c r="AC34" s="180">
        <f ca="1"/>
        <v>0.47058823529411764</v>
      </c>
      <c r="AD34" s="180">
        <f ca="1"/>
        <v>7.0588235294117646E-2</v>
      </c>
      <c r="AE34" s="180">
        <f ca="1"/>
        <v>0.35294117647058826</v>
      </c>
      <c r="AF34" s="180">
        <f ca="1"/>
        <v>0.10588235294117647</v>
      </c>
      <c r="AG34" s="185">
        <v>1</v>
      </c>
      <c r="AH34" s="185">
        <v>2</v>
      </c>
      <c r="AI34" s="186">
        <v>3</v>
      </c>
      <c r="AJ34" s="186">
        <v>4</v>
      </c>
    </row>
    <row r="35" spans="2:36" x14ac:dyDescent="0.25">
      <c r="G35" s="124"/>
      <c r="K35" s="184"/>
      <c r="AG35" s="16"/>
      <c r="AH35" s="16"/>
    </row>
    <row r="36" spans="2:36" ht="15.75" x14ac:dyDescent="0.25">
      <c r="J36" s="123"/>
      <c r="K36" s="16"/>
      <c r="L36" s="182">
        <f ca="1">AVERAGE(INDIRECT(L2))</f>
        <v>0.49976804894832477</v>
      </c>
      <c r="M36" s="182">
        <f t="shared" ref="M36:AF36" ca="1" si="5">AVERAGE(INDIRECT(M2))</f>
        <v>0.50023195105167528</v>
      </c>
      <c r="N36" s="182">
        <f t="shared" ca="1" si="5"/>
        <v>0.26744911169447882</v>
      </c>
      <c r="O36" s="182">
        <f t="shared" ca="1" si="5"/>
        <v>0.4682306852162138</v>
      </c>
      <c r="P36" s="182">
        <f t="shared" ca="1" si="5"/>
        <v>0.26432020308930743</v>
      </c>
      <c r="Q36" s="182">
        <f t="shared" ca="1" si="5"/>
        <v>0.15958094326949052</v>
      </c>
      <c r="R36" s="182">
        <f t="shared" ca="1" si="5"/>
        <v>0.26693309412524441</v>
      </c>
      <c r="S36" s="182">
        <f t="shared" ca="1" si="5"/>
        <v>0.24232259077994564</v>
      </c>
      <c r="T36" s="182">
        <f t="shared" ca="1" si="5"/>
        <v>0.33116337182531935</v>
      </c>
      <c r="U36" s="182">
        <f t="shared" ca="1" si="5"/>
        <v>0.2935976455626137</v>
      </c>
      <c r="V36" s="182">
        <f t="shared" ca="1" si="5"/>
        <v>0.32679498547655506</v>
      </c>
      <c r="W36" s="182">
        <f t="shared" ca="1" si="5"/>
        <v>0.18636015657742466</v>
      </c>
      <c r="X36" s="182">
        <f t="shared" ca="1" si="5"/>
        <v>0.1932472123834065</v>
      </c>
      <c r="Y36" s="182">
        <f t="shared" ca="1" si="5"/>
        <v>0.29748296390023521</v>
      </c>
      <c r="Z36" s="182">
        <f t="shared" ca="1" si="5"/>
        <v>0.30564158279059456</v>
      </c>
      <c r="AA36" s="182">
        <f t="shared" ca="1" si="5"/>
        <v>0.23244760499148415</v>
      </c>
      <c r="AB36" s="182">
        <f t="shared" ca="1" si="5"/>
        <v>0.16442784831768598</v>
      </c>
      <c r="AC36" s="182">
        <f t="shared" ca="1" si="5"/>
        <v>0.38728072862687124</v>
      </c>
      <c r="AD36" s="182">
        <f t="shared" ca="1" si="5"/>
        <v>0.20973895569369111</v>
      </c>
      <c r="AE36" s="182">
        <f t="shared" ca="1" si="5"/>
        <v>0.16980159930903377</v>
      </c>
      <c r="AF36" s="182">
        <f t="shared" ca="1" si="5"/>
        <v>0.23317871637040397</v>
      </c>
      <c r="AG36" s="16"/>
      <c r="AH36" s="16"/>
    </row>
    <row r="37" spans="2:36" x14ac:dyDescent="0.25">
      <c r="L37" s="1">
        <v>0.5</v>
      </c>
      <c r="M37" s="1">
        <v>2.5</v>
      </c>
      <c r="N37" s="1">
        <v>0.5</v>
      </c>
      <c r="O37" s="1">
        <v>2.5</v>
      </c>
      <c r="P37" s="1">
        <v>3.5</v>
      </c>
      <c r="Q37" s="1">
        <v>0.5</v>
      </c>
      <c r="R37" s="1">
        <v>2.5</v>
      </c>
      <c r="S37" s="1">
        <v>3.5</v>
      </c>
      <c r="T37" s="1">
        <v>4.5</v>
      </c>
      <c r="U37" s="1">
        <v>0.5</v>
      </c>
      <c r="V37" s="1">
        <v>2.5</v>
      </c>
      <c r="W37" s="1">
        <v>3.5</v>
      </c>
      <c r="X37" s="1">
        <v>4.5</v>
      </c>
      <c r="Y37" s="1">
        <v>0.5</v>
      </c>
      <c r="Z37" s="1">
        <v>2.5</v>
      </c>
      <c r="AA37" s="1">
        <v>3.5</v>
      </c>
      <c r="AB37" s="1">
        <v>4.5</v>
      </c>
      <c r="AC37" s="1">
        <v>0.5</v>
      </c>
      <c r="AD37" s="1">
        <v>2.5</v>
      </c>
      <c r="AE37" s="1">
        <v>3.5</v>
      </c>
      <c r="AF37" s="1">
        <v>4.5</v>
      </c>
    </row>
    <row r="38" spans="2:36" x14ac:dyDescent="0.25">
      <c r="L38" s="39">
        <v>0.5</v>
      </c>
      <c r="M38">
        <v>0.5</v>
      </c>
      <c r="N38" s="39">
        <f>1/3</f>
        <v>0.33333333333333331</v>
      </c>
      <c r="O38" s="39">
        <f t="shared" ref="O38:P38" si="6">1/3</f>
        <v>0.33333333333333331</v>
      </c>
      <c r="P38" s="39">
        <f t="shared" si="6"/>
        <v>0.33333333333333331</v>
      </c>
      <c r="Q38">
        <v>0.25</v>
      </c>
      <c r="R38">
        <v>0.25</v>
      </c>
      <c r="S38">
        <v>0.25</v>
      </c>
      <c r="T38">
        <v>0.25</v>
      </c>
      <c r="U38">
        <v>0.25</v>
      </c>
      <c r="V38">
        <v>0.25</v>
      </c>
      <c r="W38">
        <v>0.25</v>
      </c>
      <c r="X38">
        <v>0.25</v>
      </c>
      <c r="Y38">
        <v>0.25</v>
      </c>
      <c r="Z38">
        <v>0.25</v>
      </c>
      <c r="AA38">
        <v>0.25</v>
      </c>
      <c r="AB38">
        <v>0.25</v>
      </c>
      <c r="AC38">
        <v>0.25</v>
      </c>
      <c r="AD38">
        <v>0.25</v>
      </c>
      <c r="AE38">
        <v>0.25</v>
      </c>
      <c r="AF38">
        <v>0.25</v>
      </c>
    </row>
  </sheetData>
  <conditionalFormatting sqref="H3:H23">
    <cfRule type="cellIs" dxfId="0" priority="1" operator="lessThan">
      <formula>0.05</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21"/>
  <sheetViews>
    <sheetView workbookViewId="0">
      <selection activeCell="T12" sqref="T12"/>
    </sheetView>
  </sheetViews>
  <sheetFormatPr defaultRowHeight="15" x14ac:dyDescent="0.25"/>
  <sheetData>
    <row r="21" spans="16:16" x14ac:dyDescent="0.25">
      <c r="P21" t="s">
        <v>428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2"/>
  <sheetViews>
    <sheetView topLeftCell="A3" workbookViewId="0">
      <selection activeCell="C45" sqref="C45"/>
    </sheetView>
  </sheetViews>
  <sheetFormatPr defaultRowHeight="15" x14ac:dyDescent="0.25"/>
  <cols>
    <col min="1" max="1" width="17.5703125" style="87" bestFit="1" customWidth="1"/>
    <col min="2" max="2" width="11.42578125" customWidth="1"/>
    <col min="3" max="3" width="37.7109375" customWidth="1"/>
    <col min="4" max="4" width="5.7109375" customWidth="1"/>
    <col min="5" max="5" width="17.5703125" bestFit="1" customWidth="1"/>
    <col min="6" max="6" width="11.42578125" customWidth="1"/>
    <col min="7" max="7" width="30.28515625" customWidth="1"/>
  </cols>
  <sheetData>
    <row r="1" spans="1:4" s="17" customFormat="1" ht="24.95" hidden="1" customHeight="1" x14ac:dyDescent="0.25">
      <c r="A1" s="114" t="s">
        <v>13</v>
      </c>
      <c r="B1" s="114" t="s">
        <v>0</v>
      </c>
      <c r="C1" s="118" t="s">
        <v>105</v>
      </c>
      <c r="D1" s="115"/>
    </row>
    <row r="2" spans="1:4" s="17" customFormat="1" ht="24.95" hidden="1" customHeight="1" x14ac:dyDescent="0.25">
      <c r="A2" s="116" t="s">
        <v>14</v>
      </c>
      <c r="B2" s="116" t="s">
        <v>306</v>
      </c>
      <c r="C2" s="119" t="s">
        <v>104</v>
      </c>
      <c r="D2" s="117"/>
    </row>
    <row r="3" spans="1:4" s="17" customFormat="1" ht="24.95" customHeight="1" x14ac:dyDescent="0.25">
      <c r="A3" s="131" t="s">
        <v>13</v>
      </c>
      <c r="B3" s="132" t="s">
        <v>307</v>
      </c>
      <c r="C3" s="132" t="s">
        <v>104</v>
      </c>
      <c r="D3" s="133"/>
    </row>
    <row r="4" spans="1:4" s="17" customFormat="1" ht="24.95" customHeight="1" x14ac:dyDescent="0.25">
      <c r="A4" s="134" t="s">
        <v>14</v>
      </c>
      <c r="B4" s="135" t="s">
        <v>308</v>
      </c>
      <c r="C4" s="135" t="s">
        <v>105</v>
      </c>
      <c r="D4" s="136"/>
    </row>
    <row r="5" spans="1:4" s="17" customFormat="1" ht="24.95" hidden="1" customHeight="1" x14ac:dyDescent="0.25">
      <c r="A5" s="134" t="s">
        <v>16</v>
      </c>
      <c r="B5" s="135" t="s">
        <v>309</v>
      </c>
      <c r="C5" s="135" t="s">
        <v>111</v>
      </c>
      <c r="D5" s="136"/>
    </row>
    <row r="6" spans="1:4" s="17" customFormat="1" ht="24.95" hidden="1" customHeight="1" x14ac:dyDescent="0.25">
      <c r="A6" s="134" t="s">
        <v>17</v>
      </c>
      <c r="B6" s="135" t="s">
        <v>310</v>
      </c>
      <c r="C6" s="135" t="s">
        <v>112</v>
      </c>
      <c r="D6" s="136"/>
    </row>
    <row r="7" spans="1:4" s="17" customFormat="1" ht="24.95" hidden="1" customHeight="1" x14ac:dyDescent="0.25">
      <c r="A7" s="134" t="s">
        <v>18</v>
      </c>
      <c r="B7" s="135" t="s">
        <v>311</v>
      </c>
      <c r="C7" s="135" t="s">
        <v>113</v>
      </c>
      <c r="D7" s="136"/>
    </row>
    <row r="8" spans="1:4" s="17" customFormat="1" ht="24.95" customHeight="1" x14ac:dyDescent="0.25">
      <c r="A8" s="134" t="s">
        <v>16</v>
      </c>
      <c r="B8" s="135" t="s">
        <v>312</v>
      </c>
      <c r="C8" s="135" t="s">
        <v>111</v>
      </c>
      <c r="D8" s="136"/>
    </row>
    <row r="9" spans="1:4" s="17" customFormat="1" ht="24.95" customHeight="1" x14ac:dyDescent="0.25">
      <c r="A9" s="134" t="s">
        <v>17</v>
      </c>
      <c r="B9" s="135" t="s">
        <v>313</v>
      </c>
      <c r="C9" s="135" t="s">
        <v>112</v>
      </c>
      <c r="D9" s="136"/>
    </row>
    <row r="10" spans="1:4" s="17" customFormat="1" ht="24.95" customHeight="1" x14ac:dyDescent="0.25">
      <c r="A10" s="134" t="s">
        <v>18</v>
      </c>
      <c r="B10" s="135" t="s">
        <v>314</v>
      </c>
      <c r="C10" s="135" t="s">
        <v>113</v>
      </c>
      <c r="D10" s="136"/>
    </row>
    <row r="11" spans="1:4" s="17" customFormat="1" ht="24.95" hidden="1" customHeight="1" x14ac:dyDescent="0.25">
      <c r="A11" s="134" t="s">
        <v>20</v>
      </c>
      <c r="B11" s="135" t="s">
        <v>315</v>
      </c>
      <c r="C11" s="135" t="s">
        <v>383</v>
      </c>
      <c r="D11" s="136"/>
    </row>
    <row r="12" spans="1:4" s="17" customFormat="1" ht="24.95" hidden="1" customHeight="1" x14ac:dyDescent="0.25">
      <c r="A12" s="134" t="s">
        <v>21</v>
      </c>
      <c r="B12" s="135" t="s">
        <v>316</v>
      </c>
      <c r="C12" s="135" t="s">
        <v>135</v>
      </c>
      <c r="D12" s="136"/>
    </row>
    <row r="13" spans="1:4" s="17" customFormat="1" ht="24.95" hidden="1" customHeight="1" x14ac:dyDescent="0.25">
      <c r="A13" s="134" t="s">
        <v>22</v>
      </c>
      <c r="B13" s="135" t="s">
        <v>317</v>
      </c>
      <c r="C13" s="135" t="s">
        <v>384</v>
      </c>
      <c r="D13" s="136"/>
    </row>
    <row r="14" spans="1:4" s="17" customFormat="1" ht="24.95" hidden="1" customHeight="1" x14ac:dyDescent="0.25">
      <c r="A14" s="134" t="s">
        <v>23</v>
      </c>
      <c r="B14" s="135" t="s">
        <v>318</v>
      </c>
      <c r="C14" s="135" t="s">
        <v>137</v>
      </c>
      <c r="D14" s="136"/>
    </row>
    <row r="15" spans="1:4" s="17" customFormat="1" ht="24.95" customHeight="1" x14ac:dyDescent="0.25">
      <c r="A15" s="134" t="s">
        <v>20</v>
      </c>
      <c r="B15" s="135" t="s">
        <v>319</v>
      </c>
      <c r="C15" s="135" t="s">
        <v>383</v>
      </c>
      <c r="D15" s="136"/>
    </row>
    <row r="16" spans="1:4" s="17" customFormat="1" ht="24.95" customHeight="1" x14ac:dyDescent="0.25">
      <c r="A16" s="134" t="s">
        <v>21</v>
      </c>
      <c r="B16" s="135" t="s">
        <v>320</v>
      </c>
      <c r="C16" s="135" t="s">
        <v>135</v>
      </c>
      <c r="D16" s="136"/>
    </row>
    <row r="17" spans="1:4" s="17" customFormat="1" ht="24.95" customHeight="1" x14ac:dyDescent="0.25">
      <c r="A17" s="134" t="s">
        <v>22</v>
      </c>
      <c r="B17" s="135" t="s">
        <v>321</v>
      </c>
      <c r="C17" s="135" t="s">
        <v>384</v>
      </c>
      <c r="D17" s="136"/>
    </row>
    <row r="18" spans="1:4" s="17" customFormat="1" ht="24.95" customHeight="1" x14ac:dyDescent="0.25">
      <c r="A18" s="134" t="s">
        <v>23</v>
      </c>
      <c r="B18" s="135" t="s">
        <v>322</v>
      </c>
      <c r="C18" s="135" t="s">
        <v>137</v>
      </c>
      <c r="D18" s="136"/>
    </row>
    <row r="19" spans="1:4" s="17" customFormat="1" ht="24.95" hidden="1" customHeight="1" x14ac:dyDescent="0.25">
      <c r="A19" s="134" t="s">
        <v>25</v>
      </c>
      <c r="B19" s="135" t="s">
        <v>323</v>
      </c>
      <c r="C19" s="135" t="s">
        <v>141</v>
      </c>
      <c r="D19" s="136" t="s">
        <v>385</v>
      </c>
    </row>
    <row r="20" spans="1:4" s="17" customFormat="1" ht="24.95" hidden="1" customHeight="1" x14ac:dyDescent="0.25">
      <c r="A20" s="134" t="s">
        <v>26</v>
      </c>
      <c r="B20" s="135" t="s">
        <v>324</v>
      </c>
      <c r="C20" s="135" t="s">
        <v>142</v>
      </c>
      <c r="D20" s="136" t="s">
        <v>385</v>
      </c>
    </row>
    <row r="21" spans="1:4" s="17" customFormat="1" ht="24.95" hidden="1" customHeight="1" x14ac:dyDescent="0.25">
      <c r="A21" s="134" t="s">
        <v>27</v>
      </c>
      <c r="B21" s="135" t="s">
        <v>325</v>
      </c>
      <c r="C21" s="135" t="s">
        <v>143</v>
      </c>
      <c r="D21" s="136" t="s">
        <v>385</v>
      </c>
    </row>
    <row r="22" spans="1:4" s="17" customFormat="1" ht="24.95" hidden="1" customHeight="1" x14ac:dyDescent="0.25">
      <c r="A22" s="134" t="s">
        <v>28</v>
      </c>
      <c r="B22" s="135" t="s">
        <v>326</v>
      </c>
      <c r="C22" s="135" t="s">
        <v>144</v>
      </c>
      <c r="D22" s="136" t="s">
        <v>385</v>
      </c>
    </row>
    <row r="23" spans="1:4" s="17" customFormat="1" ht="24.95" customHeight="1" x14ac:dyDescent="0.25">
      <c r="A23" s="134" t="s">
        <v>25</v>
      </c>
      <c r="B23" s="135" t="s">
        <v>327</v>
      </c>
      <c r="C23" s="135" t="s">
        <v>141</v>
      </c>
      <c r="D23" s="136" t="s">
        <v>385</v>
      </c>
    </row>
    <row r="24" spans="1:4" s="17" customFormat="1" ht="24.95" customHeight="1" x14ac:dyDescent="0.25">
      <c r="A24" s="134" t="s">
        <v>26</v>
      </c>
      <c r="B24" s="135" t="s">
        <v>328</v>
      </c>
      <c r="C24" s="135" t="s">
        <v>142</v>
      </c>
      <c r="D24" s="136" t="s">
        <v>385</v>
      </c>
    </row>
    <row r="25" spans="1:4" s="17" customFormat="1" ht="24.95" customHeight="1" x14ac:dyDescent="0.25">
      <c r="A25" s="134" t="s">
        <v>27</v>
      </c>
      <c r="B25" s="135" t="s">
        <v>329</v>
      </c>
      <c r="C25" s="135" t="s">
        <v>143</v>
      </c>
      <c r="D25" s="136" t="s">
        <v>385</v>
      </c>
    </row>
    <row r="26" spans="1:4" s="17" customFormat="1" ht="24.95" customHeight="1" x14ac:dyDescent="0.25">
      <c r="A26" s="134" t="s">
        <v>28</v>
      </c>
      <c r="B26" s="135" t="s">
        <v>330</v>
      </c>
      <c r="C26" s="135" t="s">
        <v>144</v>
      </c>
      <c r="D26" s="136" t="s">
        <v>385</v>
      </c>
    </row>
    <row r="27" spans="1:4" s="17" customFormat="1" ht="24.95" hidden="1" customHeight="1" x14ac:dyDescent="0.25">
      <c r="A27" s="134" t="s">
        <v>30</v>
      </c>
      <c r="B27" s="135" t="s">
        <v>331</v>
      </c>
      <c r="C27" s="135" t="s">
        <v>141</v>
      </c>
      <c r="D27" s="136" t="s">
        <v>386</v>
      </c>
    </row>
    <row r="28" spans="1:4" s="17" customFormat="1" ht="24.95" hidden="1" customHeight="1" x14ac:dyDescent="0.25">
      <c r="A28" s="134" t="s">
        <v>31</v>
      </c>
      <c r="B28" s="135" t="s">
        <v>332</v>
      </c>
      <c r="C28" s="135" t="s">
        <v>142</v>
      </c>
      <c r="D28" s="136" t="s">
        <v>386</v>
      </c>
    </row>
    <row r="29" spans="1:4" s="17" customFormat="1" ht="24.95" hidden="1" customHeight="1" x14ac:dyDescent="0.25">
      <c r="A29" s="134" t="s">
        <v>32</v>
      </c>
      <c r="B29" s="135" t="s">
        <v>333</v>
      </c>
      <c r="C29" s="135" t="s">
        <v>143</v>
      </c>
      <c r="D29" s="136" t="s">
        <v>386</v>
      </c>
    </row>
    <row r="30" spans="1:4" s="17" customFormat="1" ht="24.95" hidden="1" customHeight="1" x14ac:dyDescent="0.25">
      <c r="A30" s="134" t="s">
        <v>33</v>
      </c>
      <c r="B30" s="135" t="s">
        <v>334</v>
      </c>
      <c r="C30" s="135" t="s">
        <v>144</v>
      </c>
      <c r="D30" s="136" t="s">
        <v>386</v>
      </c>
    </row>
    <row r="31" spans="1:4" s="17" customFormat="1" ht="24.95" customHeight="1" x14ac:dyDescent="0.25">
      <c r="A31" s="134" t="s">
        <v>30</v>
      </c>
      <c r="B31" s="135" t="s">
        <v>335</v>
      </c>
      <c r="C31" s="135" t="s">
        <v>141</v>
      </c>
      <c r="D31" s="136" t="s">
        <v>386</v>
      </c>
    </row>
    <row r="32" spans="1:4" s="17" customFormat="1" ht="24.95" customHeight="1" x14ac:dyDescent="0.25">
      <c r="A32" s="134" t="s">
        <v>31</v>
      </c>
      <c r="B32" s="135" t="s">
        <v>336</v>
      </c>
      <c r="C32" s="135" t="s">
        <v>142</v>
      </c>
      <c r="D32" s="136" t="s">
        <v>386</v>
      </c>
    </row>
    <row r="33" spans="1:4" s="17" customFormat="1" ht="24.95" customHeight="1" x14ac:dyDescent="0.25">
      <c r="A33" s="134" t="s">
        <v>32</v>
      </c>
      <c r="B33" s="135" t="s">
        <v>337</v>
      </c>
      <c r="C33" s="135" t="s">
        <v>143</v>
      </c>
      <c r="D33" s="136" t="s">
        <v>386</v>
      </c>
    </row>
    <row r="34" spans="1:4" s="17" customFormat="1" ht="24.95" customHeight="1" x14ac:dyDescent="0.25">
      <c r="A34" s="134" t="s">
        <v>33</v>
      </c>
      <c r="B34" s="135" t="s">
        <v>338</v>
      </c>
      <c r="C34" s="135" t="s">
        <v>144</v>
      </c>
      <c r="D34" s="136" t="s">
        <v>386</v>
      </c>
    </row>
    <row r="35" spans="1:4" s="17" customFormat="1" ht="24.95" hidden="1" customHeight="1" x14ac:dyDescent="0.25">
      <c r="A35" s="134" t="s">
        <v>35</v>
      </c>
      <c r="B35" s="135" t="s">
        <v>339</v>
      </c>
      <c r="C35" s="135" t="s">
        <v>141</v>
      </c>
      <c r="D35" s="136" t="s">
        <v>387</v>
      </c>
    </row>
    <row r="36" spans="1:4" s="17" customFormat="1" ht="24.95" hidden="1" customHeight="1" x14ac:dyDescent="0.25">
      <c r="A36" s="134" t="s">
        <v>36</v>
      </c>
      <c r="B36" s="135" t="s">
        <v>340</v>
      </c>
      <c r="C36" s="135" t="s">
        <v>142</v>
      </c>
      <c r="D36" s="136" t="s">
        <v>387</v>
      </c>
    </row>
    <row r="37" spans="1:4" s="17" customFormat="1" ht="24.95" hidden="1" customHeight="1" x14ac:dyDescent="0.25">
      <c r="A37" s="134" t="s">
        <v>37</v>
      </c>
      <c r="B37" s="135" t="s">
        <v>341</v>
      </c>
      <c r="C37" s="135" t="s">
        <v>143</v>
      </c>
      <c r="D37" s="136" t="s">
        <v>387</v>
      </c>
    </row>
    <row r="38" spans="1:4" s="17" customFormat="1" ht="24.95" hidden="1" customHeight="1" x14ac:dyDescent="0.25">
      <c r="A38" s="134" t="s">
        <v>38</v>
      </c>
      <c r="B38" s="135" t="s">
        <v>342</v>
      </c>
      <c r="C38" s="135" t="s">
        <v>144</v>
      </c>
      <c r="D38" s="136" t="s">
        <v>387</v>
      </c>
    </row>
    <row r="39" spans="1:4" s="17" customFormat="1" ht="24.95" customHeight="1" x14ac:dyDescent="0.25">
      <c r="A39" s="134" t="s">
        <v>35</v>
      </c>
      <c r="B39" s="135" t="s">
        <v>343</v>
      </c>
      <c r="C39" s="135" t="s">
        <v>141</v>
      </c>
      <c r="D39" s="136" t="s">
        <v>387</v>
      </c>
    </row>
    <row r="40" spans="1:4" s="17" customFormat="1" ht="24.95" customHeight="1" x14ac:dyDescent="0.25">
      <c r="A40" s="134" t="s">
        <v>36</v>
      </c>
      <c r="B40" s="135" t="s">
        <v>344</v>
      </c>
      <c r="C40" s="135" t="s">
        <v>142</v>
      </c>
      <c r="D40" s="136" t="s">
        <v>387</v>
      </c>
    </row>
    <row r="41" spans="1:4" s="17" customFormat="1" ht="24.95" customHeight="1" x14ac:dyDescent="0.25">
      <c r="A41" s="134" t="s">
        <v>37</v>
      </c>
      <c r="B41" s="135" t="s">
        <v>345</v>
      </c>
      <c r="C41" s="135" t="s">
        <v>143</v>
      </c>
      <c r="D41" s="136" t="s">
        <v>387</v>
      </c>
    </row>
    <row r="42" spans="1:4" s="17" customFormat="1" ht="24.95" customHeight="1" x14ac:dyDescent="0.25">
      <c r="A42" s="137" t="s">
        <v>38</v>
      </c>
      <c r="B42" s="138" t="s">
        <v>346</v>
      </c>
      <c r="C42" s="138" t="s">
        <v>144</v>
      </c>
      <c r="D42" s="139" t="s">
        <v>387</v>
      </c>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2"/>
  <sheetViews>
    <sheetView workbookViewId="0">
      <selection activeCell="D25" sqref="D25"/>
    </sheetView>
  </sheetViews>
  <sheetFormatPr defaultRowHeight="15" x14ac:dyDescent="0.25"/>
  <cols>
    <col min="1" max="1" width="17.5703125" style="87" bestFit="1" customWidth="1"/>
    <col min="2" max="2" width="11.42578125" customWidth="1"/>
    <col min="3" max="3" width="5.7109375" customWidth="1"/>
    <col min="4" max="4" width="17.5703125" bestFit="1" customWidth="1"/>
    <col min="5" max="5" width="11.42578125" customWidth="1"/>
  </cols>
  <sheetData>
    <row r="1" spans="1:5" s="17" customFormat="1" ht="24.95" customHeight="1" x14ac:dyDescent="0.25">
      <c r="A1" s="114" t="s">
        <v>13</v>
      </c>
      <c r="B1" s="118" t="s">
        <v>0</v>
      </c>
      <c r="C1" s="115"/>
      <c r="D1" s="120" t="s">
        <v>28</v>
      </c>
      <c r="E1" s="114" t="s">
        <v>326</v>
      </c>
    </row>
    <row r="2" spans="1:5" s="17" customFormat="1" ht="24.95" customHeight="1" x14ac:dyDescent="0.25">
      <c r="A2" s="116" t="s">
        <v>14</v>
      </c>
      <c r="B2" s="119" t="s">
        <v>306</v>
      </c>
      <c r="C2" s="117"/>
      <c r="D2" s="121" t="s">
        <v>25</v>
      </c>
      <c r="E2" s="116" t="s">
        <v>327</v>
      </c>
    </row>
    <row r="3" spans="1:5" s="17" customFormat="1" ht="24.95" customHeight="1" x14ac:dyDescent="0.25">
      <c r="A3" s="114" t="s">
        <v>13</v>
      </c>
      <c r="B3" s="118" t="s">
        <v>307</v>
      </c>
      <c r="C3" s="115"/>
      <c r="D3" s="120" t="s">
        <v>26</v>
      </c>
      <c r="E3" s="114" t="s">
        <v>328</v>
      </c>
    </row>
    <row r="4" spans="1:5" s="17" customFormat="1" ht="24.95" customHeight="1" x14ac:dyDescent="0.25">
      <c r="A4" s="116" t="s">
        <v>14</v>
      </c>
      <c r="B4" s="119" t="s">
        <v>308</v>
      </c>
      <c r="C4" s="117"/>
      <c r="D4" s="121" t="s">
        <v>27</v>
      </c>
      <c r="E4" s="116" t="s">
        <v>329</v>
      </c>
    </row>
    <row r="5" spans="1:5" s="17" customFormat="1" ht="24.95" customHeight="1" x14ac:dyDescent="0.25">
      <c r="A5" s="114" t="s">
        <v>16</v>
      </c>
      <c r="B5" s="118" t="s">
        <v>309</v>
      </c>
      <c r="C5" s="115"/>
      <c r="D5" s="120" t="s">
        <v>28</v>
      </c>
      <c r="E5" s="114" t="s">
        <v>330</v>
      </c>
    </row>
    <row r="6" spans="1:5" s="17" customFormat="1" ht="24.95" customHeight="1" x14ac:dyDescent="0.25">
      <c r="A6" s="116" t="s">
        <v>17</v>
      </c>
      <c r="B6" s="119" t="s">
        <v>310</v>
      </c>
      <c r="C6" s="117"/>
      <c r="D6" s="121" t="s">
        <v>30</v>
      </c>
      <c r="E6" s="116" t="s">
        <v>331</v>
      </c>
    </row>
    <row r="7" spans="1:5" s="17" customFormat="1" ht="24.95" customHeight="1" x14ac:dyDescent="0.25">
      <c r="A7" s="114" t="s">
        <v>18</v>
      </c>
      <c r="B7" s="118" t="s">
        <v>311</v>
      </c>
      <c r="C7" s="115"/>
      <c r="D7" s="120" t="s">
        <v>31</v>
      </c>
      <c r="E7" s="114" t="s">
        <v>332</v>
      </c>
    </row>
    <row r="8" spans="1:5" s="17" customFormat="1" ht="24.95" customHeight="1" x14ac:dyDescent="0.25">
      <c r="A8" s="116" t="s">
        <v>16</v>
      </c>
      <c r="B8" s="119" t="s">
        <v>312</v>
      </c>
      <c r="C8" s="117"/>
      <c r="D8" s="121" t="s">
        <v>32</v>
      </c>
      <c r="E8" s="116" t="s">
        <v>333</v>
      </c>
    </row>
    <row r="9" spans="1:5" s="17" customFormat="1" ht="24.95" customHeight="1" x14ac:dyDescent="0.25">
      <c r="A9" s="114" t="s">
        <v>17</v>
      </c>
      <c r="B9" s="118" t="s">
        <v>313</v>
      </c>
      <c r="C9" s="115"/>
      <c r="D9" s="120" t="s">
        <v>33</v>
      </c>
      <c r="E9" s="114" t="s">
        <v>334</v>
      </c>
    </row>
    <row r="10" spans="1:5" s="17" customFormat="1" ht="24.95" customHeight="1" x14ac:dyDescent="0.25">
      <c r="A10" s="116" t="s">
        <v>18</v>
      </c>
      <c r="B10" s="119" t="s">
        <v>314</v>
      </c>
      <c r="C10" s="117"/>
      <c r="D10" s="121" t="s">
        <v>30</v>
      </c>
      <c r="E10" s="116" t="s">
        <v>335</v>
      </c>
    </row>
    <row r="11" spans="1:5" s="17" customFormat="1" ht="24.95" customHeight="1" x14ac:dyDescent="0.25">
      <c r="A11" s="114" t="s">
        <v>20</v>
      </c>
      <c r="B11" s="118" t="s">
        <v>315</v>
      </c>
      <c r="C11" s="115"/>
      <c r="D11" s="120" t="s">
        <v>31</v>
      </c>
      <c r="E11" s="114" t="s">
        <v>336</v>
      </c>
    </row>
    <row r="12" spans="1:5" s="17" customFormat="1" ht="24.95" customHeight="1" x14ac:dyDescent="0.25">
      <c r="A12" s="116" t="s">
        <v>21</v>
      </c>
      <c r="B12" s="119" t="s">
        <v>316</v>
      </c>
      <c r="C12" s="117"/>
      <c r="D12" s="121" t="s">
        <v>32</v>
      </c>
      <c r="E12" s="116" t="s">
        <v>337</v>
      </c>
    </row>
    <row r="13" spans="1:5" s="17" customFormat="1" ht="24.95" customHeight="1" x14ac:dyDescent="0.25">
      <c r="A13" s="114" t="s">
        <v>22</v>
      </c>
      <c r="B13" s="118" t="s">
        <v>317</v>
      </c>
      <c r="C13" s="115"/>
      <c r="D13" s="120" t="s">
        <v>33</v>
      </c>
      <c r="E13" s="114" t="s">
        <v>338</v>
      </c>
    </row>
    <row r="14" spans="1:5" s="17" customFormat="1" ht="24.95" customHeight="1" x14ac:dyDescent="0.25">
      <c r="A14" s="116" t="s">
        <v>23</v>
      </c>
      <c r="B14" s="119" t="s">
        <v>318</v>
      </c>
      <c r="C14" s="117"/>
      <c r="D14" s="121" t="s">
        <v>35</v>
      </c>
      <c r="E14" s="116" t="s">
        <v>339</v>
      </c>
    </row>
    <row r="15" spans="1:5" s="17" customFormat="1" ht="24.95" customHeight="1" x14ac:dyDescent="0.25">
      <c r="A15" s="114" t="s">
        <v>20</v>
      </c>
      <c r="B15" s="118" t="s">
        <v>319</v>
      </c>
      <c r="C15" s="115"/>
      <c r="D15" s="120" t="s">
        <v>36</v>
      </c>
      <c r="E15" s="114" t="s">
        <v>340</v>
      </c>
    </row>
    <row r="16" spans="1:5" s="17" customFormat="1" ht="24.95" customHeight="1" x14ac:dyDescent="0.25">
      <c r="A16" s="116" t="s">
        <v>21</v>
      </c>
      <c r="B16" s="119" t="s">
        <v>320</v>
      </c>
      <c r="C16" s="117"/>
      <c r="D16" s="121" t="s">
        <v>37</v>
      </c>
      <c r="E16" s="116" t="s">
        <v>341</v>
      </c>
    </row>
    <row r="17" spans="1:5" s="17" customFormat="1" ht="24.95" customHeight="1" x14ac:dyDescent="0.25">
      <c r="A17" s="114" t="s">
        <v>22</v>
      </c>
      <c r="B17" s="118" t="s">
        <v>321</v>
      </c>
      <c r="C17" s="115"/>
      <c r="D17" s="120" t="s">
        <v>38</v>
      </c>
      <c r="E17" s="114" t="s">
        <v>342</v>
      </c>
    </row>
    <row r="18" spans="1:5" s="17" customFormat="1" ht="24.95" customHeight="1" x14ac:dyDescent="0.25">
      <c r="A18" s="116" t="s">
        <v>23</v>
      </c>
      <c r="B18" s="119" t="s">
        <v>322</v>
      </c>
      <c r="C18" s="117"/>
      <c r="D18" s="121" t="s">
        <v>35</v>
      </c>
      <c r="E18" s="116" t="s">
        <v>343</v>
      </c>
    </row>
    <row r="19" spans="1:5" s="17" customFormat="1" ht="24.95" customHeight="1" x14ac:dyDescent="0.25">
      <c r="A19" s="114" t="s">
        <v>25</v>
      </c>
      <c r="B19" s="118" t="s">
        <v>323</v>
      </c>
      <c r="C19" s="115"/>
      <c r="D19" s="120" t="s">
        <v>36</v>
      </c>
      <c r="E19" s="114" t="s">
        <v>344</v>
      </c>
    </row>
    <row r="20" spans="1:5" s="17" customFormat="1" ht="24.95" customHeight="1" x14ac:dyDescent="0.25">
      <c r="A20" s="116" t="s">
        <v>26</v>
      </c>
      <c r="B20" s="119" t="s">
        <v>324</v>
      </c>
      <c r="C20" s="117"/>
      <c r="D20" s="121" t="s">
        <v>37</v>
      </c>
      <c r="E20" s="116" t="s">
        <v>345</v>
      </c>
    </row>
    <row r="21" spans="1:5" s="17" customFormat="1" ht="24.95" customHeight="1" x14ac:dyDescent="0.25">
      <c r="A21" s="114" t="s">
        <v>27</v>
      </c>
      <c r="B21" s="118" t="s">
        <v>325</v>
      </c>
      <c r="C21" s="115"/>
      <c r="D21" s="120" t="s">
        <v>38</v>
      </c>
      <c r="E21" s="114" t="s">
        <v>346</v>
      </c>
    </row>
    <row r="22" spans="1:5" s="17" customFormat="1" ht="24.95" customHeight="1" x14ac:dyDescent="0.25"/>
    <row r="23" spans="1:5" s="17" customFormat="1" ht="24.95" customHeight="1" x14ac:dyDescent="0.25"/>
    <row r="24" spans="1:5" s="17" customFormat="1" ht="24.95" customHeight="1" x14ac:dyDescent="0.25"/>
    <row r="25" spans="1:5" s="17" customFormat="1" ht="24.95" customHeight="1" x14ac:dyDescent="0.25"/>
    <row r="26" spans="1:5" s="17" customFormat="1" ht="24.95" customHeight="1" x14ac:dyDescent="0.25"/>
    <row r="27" spans="1:5" s="17" customFormat="1" ht="24.95" customHeight="1" x14ac:dyDescent="0.25"/>
    <row r="28" spans="1:5" s="17" customFormat="1" ht="24.95" customHeight="1" x14ac:dyDescent="0.25"/>
    <row r="29" spans="1:5" s="17" customFormat="1" ht="24.95" customHeight="1" x14ac:dyDescent="0.25"/>
    <row r="30" spans="1:5" s="17" customFormat="1" ht="24.95" customHeight="1" x14ac:dyDescent="0.25"/>
    <row r="31" spans="1:5" s="17" customFormat="1" ht="24.95" customHeight="1" x14ac:dyDescent="0.25"/>
    <row r="32" spans="1:5" s="17" customFormat="1" ht="24.95" customHeight="1" x14ac:dyDescent="0.25"/>
    <row r="33" s="17" customFormat="1" ht="24.95" customHeight="1" x14ac:dyDescent="0.25"/>
    <row r="34" s="17" customFormat="1" ht="24.95" customHeight="1" x14ac:dyDescent="0.25"/>
    <row r="35" s="17" customFormat="1" ht="24.95" customHeight="1" x14ac:dyDescent="0.25"/>
    <row r="36" s="17" customFormat="1" ht="24.95" customHeight="1" x14ac:dyDescent="0.25"/>
    <row r="37" s="17" customFormat="1" ht="24.95" customHeight="1" x14ac:dyDescent="0.25"/>
    <row r="38" s="17" customFormat="1" ht="24.95" customHeight="1" x14ac:dyDescent="0.25"/>
    <row r="39" s="17" customFormat="1" ht="24.95" customHeight="1" x14ac:dyDescent="0.25"/>
    <row r="40" s="17" customFormat="1" ht="24.95" customHeight="1" x14ac:dyDescent="0.25"/>
    <row r="41" s="17" customFormat="1" ht="24.95" customHeight="1" x14ac:dyDescent="0.25"/>
    <row r="42" s="17" customFormat="1" ht="24.95" customHeight="1" x14ac:dyDescent="0.25"/>
  </sheetData>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5" x14ac:dyDescent="0.25"/>
  <sheetData>
    <row r="1" spans="1:5" x14ac:dyDescent="0.25">
      <c r="A1" t="s">
        <v>101</v>
      </c>
      <c r="B1">
        <v>5</v>
      </c>
      <c r="D1" t="s">
        <v>290</v>
      </c>
      <c r="E1">
        <v>6</v>
      </c>
    </row>
    <row r="2" spans="1:5" x14ac:dyDescent="0.25">
      <c r="A2" t="s">
        <v>294</v>
      </c>
      <c r="B2">
        <v>7</v>
      </c>
      <c r="D2" t="s">
        <v>292</v>
      </c>
      <c r="E2">
        <v>12</v>
      </c>
    </row>
    <row r="3" spans="1:5" x14ac:dyDescent="0.25">
      <c r="A3" t="s">
        <v>100</v>
      </c>
      <c r="B3">
        <v>20</v>
      </c>
      <c r="D3" t="s">
        <v>291</v>
      </c>
      <c r="E3">
        <v>14</v>
      </c>
    </row>
  </sheetData>
  <sortState ref="D1:E3">
    <sortCondition ref="E1:E3"/>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59"/>
  <sheetViews>
    <sheetView topLeftCell="A10" workbookViewId="0">
      <selection activeCell="B28" sqref="B28:B59"/>
    </sheetView>
  </sheetViews>
  <sheetFormatPr defaultRowHeight="15" x14ac:dyDescent="0.25"/>
  <cols>
    <col min="1" max="1" width="21.5703125" bestFit="1" customWidth="1"/>
    <col min="2" max="2" width="34.7109375" bestFit="1" customWidth="1"/>
    <col min="3" max="3" width="10.42578125" customWidth="1"/>
    <col min="4" max="4" width="25.140625" bestFit="1" customWidth="1"/>
    <col min="8" max="9" width="14.85546875" bestFit="1" customWidth="1"/>
    <col min="10" max="10" width="14.140625" bestFit="1" customWidth="1"/>
  </cols>
  <sheetData>
    <row r="1" spans="1:34" s="9" customFormat="1" x14ac:dyDescent="0.25">
      <c r="A1" s="9" t="s">
        <v>289</v>
      </c>
      <c r="H1" s="101"/>
      <c r="I1" s="101"/>
      <c r="R1" s="102"/>
      <c r="AH1" s="102"/>
    </row>
    <row r="2" spans="1:34" s="9" customFormat="1" ht="16.5" customHeight="1" x14ac:dyDescent="0.25">
      <c r="A2" s="9" t="s">
        <v>290</v>
      </c>
      <c r="B2" s="9" t="s">
        <v>291</v>
      </c>
      <c r="C2" s="9" t="s">
        <v>292</v>
      </c>
      <c r="H2" s="101"/>
      <c r="I2" s="101"/>
      <c r="R2" s="102"/>
      <c r="AH2" s="102"/>
    </row>
    <row r="3" spans="1:34" s="9" customFormat="1" x14ac:dyDescent="0.25">
      <c r="A3" s="9" t="s">
        <v>293</v>
      </c>
      <c r="B3" s="9" t="s">
        <v>101</v>
      </c>
      <c r="C3" s="9" t="s">
        <v>294</v>
      </c>
      <c r="D3" s="9" t="s">
        <v>292</v>
      </c>
      <c r="H3" s="101"/>
      <c r="I3" s="101"/>
      <c r="R3" s="102"/>
      <c r="AH3" s="102"/>
    </row>
    <row r="4" spans="1:34" s="9" customFormat="1" x14ac:dyDescent="0.25">
      <c r="A4" s="87" t="s">
        <v>295</v>
      </c>
      <c r="B4" s="9" t="s">
        <v>296</v>
      </c>
      <c r="C4" s="9" t="s">
        <v>292</v>
      </c>
      <c r="D4" s="87" t="s">
        <v>294</v>
      </c>
      <c r="E4" s="103" t="s">
        <v>297</v>
      </c>
      <c r="H4" s="101"/>
      <c r="I4" s="101"/>
      <c r="R4" s="102"/>
      <c r="AH4" s="102"/>
    </row>
    <row r="5" spans="1:34" s="9" customFormat="1" x14ac:dyDescent="0.25">
      <c r="H5" s="101"/>
      <c r="I5" s="101"/>
      <c r="R5" s="102"/>
      <c r="AH5" s="102"/>
    </row>
    <row r="6" spans="1:34" s="9" customFormat="1" x14ac:dyDescent="0.25">
      <c r="H6" s="101"/>
      <c r="I6" s="101"/>
      <c r="R6" s="102"/>
      <c r="AH6" s="102"/>
    </row>
    <row r="7" spans="1:34" s="9" customFormat="1" x14ac:dyDescent="0.25"/>
    <row r="12" spans="1:34" x14ac:dyDescent="0.25">
      <c r="J12" t="s">
        <v>298</v>
      </c>
      <c r="K12">
        <f t="shared" ref="K12:K17" si="0">COUNTIF($E$28:$E$59,J12)</f>
        <v>6</v>
      </c>
    </row>
    <row r="13" spans="1:34" x14ac:dyDescent="0.25">
      <c r="J13" t="s">
        <v>299</v>
      </c>
      <c r="K13">
        <f t="shared" si="0"/>
        <v>1</v>
      </c>
    </row>
    <row r="14" spans="1:34" x14ac:dyDescent="0.25">
      <c r="J14" t="s">
        <v>295</v>
      </c>
      <c r="K14">
        <f t="shared" si="0"/>
        <v>4</v>
      </c>
    </row>
    <row r="15" spans="1:34" x14ac:dyDescent="0.25">
      <c r="J15" t="s">
        <v>296</v>
      </c>
      <c r="K15">
        <f t="shared" si="0"/>
        <v>7</v>
      </c>
    </row>
    <row r="16" spans="1:34" x14ac:dyDescent="0.25">
      <c r="J16" t="s">
        <v>292</v>
      </c>
      <c r="K16">
        <f t="shared" si="0"/>
        <v>12</v>
      </c>
    </row>
    <row r="17" spans="1:11" x14ac:dyDescent="0.25">
      <c r="J17" t="s">
        <v>300</v>
      </c>
      <c r="K17">
        <f t="shared" si="0"/>
        <v>2</v>
      </c>
    </row>
    <row r="19" spans="1:11" x14ac:dyDescent="0.25">
      <c r="I19">
        <v>1</v>
      </c>
      <c r="J19" t="s">
        <v>100</v>
      </c>
      <c r="K19">
        <f>COUNTIF($C$28:$C$59,I19)</f>
        <v>20</v>
      </c>
    </row>
    <row r="20" spans="1:11" x14ac:dyDescent="0.25">
      <c r="I20">
        <v>2</v>
      </c>
      <c r="J20" t="s">
        <v>101</v>
      </c>
      <c r="K20">
        <f>COUNTIF($C$28:$C$59,I20)</f>
        <v>5</v>
      </c>
    </row>
    <row r="21" spans="1:11" x14ac:dyDescent="0.25">
      <c r="I21">
        <v>3</v>
      </c>
      <c r="J21" t="s">
        <v>294</v>
      </c>
      <c r="K21">
        <f>COUNTIF($C$28:$C$59,I21)</f>
        <v>7</v>
      </c>
    </row>
    <row r="22" spans="1:11" x14ac:dyDescent="0.25">
      <c r="I22">
        <v>4</v>
      </c>
      <c r="J22" t="s">
        <v>292</v>
      </c>
      <c r="K22">
        <f>COUNTIF($C$28:$C$59,I22)</f>
        <v>0</v>
      </c>
    </row>
    <row r="24" spans="1:11" x14ac:dyDescent="0.25">
      <c r="I24">
        <v>1</v>
      </c>
      <c r="J24" t="s">
        <v>290</v>
      </c>
      <c r="K24">
        <f>COUNTIF($F$28:$F$59,I24)</f>
        <v>6</v>
      </c>
    </row>
    <row r="25" spans="1:11" x14ac:dyDescent="0.25">
      <c r="I25">
        <v>2</v>
      </c>
      <c r="J25" t="s">
        <v>291</v>
      </c>
      <c r="K25">
        <f>COUNTIF($F$28:$F$59,I25)</f>
        <v>14</v>
      </c>
    </row>
    <row r="26" spans="1:11" x14ac:dyDescent="0.25">
      <c r="I26">
        <v>3</v>
      </c>
      <c r="J26" t="s">
        <v>292</v>
      </c>
      <c r="K26">
        <f>COUNTIF($F$28:$F$59,I26)</f>
        <v>12</v>
      </c>
    </row>
    <row r="27" spans="1:11" ht="75" x14ac:dyDescent="0.25">
      <c r="C27" s="105" t="s">
        <v>302</v>
      </c>
      <c r="D27" s="87" t="s">
        <v>11</v>
      </c>
      <c r="F27" s="105" t="s">
        <v>301</v>
      </c>
    </row>
    <row r="28" spans="1:11" x14ac:dyDescent="0.25">
      <c r="A28" t="s">
        <v>45</v>
      </c>
      <c r="B28" s="70"/>
      <c r="C28" s="87">
        <v>1</v>
      </c>
      <c r="D28" s="87"/>
      <c r="E28" t="s">
        <v>298</v>
      </c>
      <c r="F28">
        <v>2</v>
      </c>
    </row>
    <row r="29" spans="1:11" x14ac:dyDescent="0.25">
      <c r="A29" t="s">
        <v>52</v>
      </c>
      <c r="B29" s="70"/>
      <c r="C29" s="87">
        <v>1</v>
      </c>
      <c r="D29" s="87"/>
      <c r="E29" t="s">
        <v>298</v>
      </c>
      <c r="F29">
        <v>2</v>
      </c>
    </row>
    <row r="30" spans="1:11" x14ac:dyDescent="0.25">
      <c r="A30" t="s">
        <v>60</v>
      </c>
      <c r="B30" s="70"/>
      <c r="C30" s="87">
        <v>3</v>
      </c>
      <c r="D30" s="87" t="s">
        <v>62</v>
      </c>
      <c r="E30" t="s">
        <v>298</v>
      </c>
      <c r="F30">
        <v>2</v>
      </c>
    </row>
    <row r="31" spans="1:11" x14ac:dyDescent="0.25">
      <c r="A31" t="s">
        <v>69</v>
      </c>
      <c r="B31" s="70"/>
      <c r="C31" s="106">
        <v>2</v>
      </c>
      <c r="D31" s="87"/>
      <c r="E31" t="s">
        <v>298</v>
      </c>
      <c r="F31">
        <v>2</v>
      </c>
    </row>
    <row r="32" spans="1:11" x14ac:dyDescent="0.25">
      <c r="A32" t="s">
        <v>78</v>
      </c>
      <c r="B32" s="70"/>
      <c r="C32" s="87">
        <v>2</v>
      </c>
      <c r="D32" s="87"/>
      <c r="E32" t="s">
        <v>299</v>
      </c>
      <c r="F32">
        <v>2</v>
      </c>
    </row>
    <row r="33" spans="1:6" x14ac:dyDescent="0.25">
      <c r="A33" t="s">
        <v>84</v>
      </c>
      <c r="B33" s="70"/>
      <c r="C33" s="87">
        <v>1</v>
      </c>
      <c r="D33" s="87"/>
      <c r="E33" t="s">
        <v>295</v>
      </c>
      <c r="F33">
        <v>2</v>
      </c>
    </row>
    <row r="34" spans="1:6" ht="15.75" thickBot="1" x14ac:dyDescent="0.3">
      <c r="A34" t="s">
        <v>89</v>
      </c>
      <c r="B34" s="71"/>
      <c r="C34" s="71">
        <v>3</v>
      </c>
      <c r="D34" s="71" t="s">
        <v>91</v>
      </c>
      <c r="E34" t="s">
        <v>296</v>
      </c>
      <c r="F34">
        <v>2</v>
      </c>
    </row>
    <row r="35" spans="1:6" x14ac:dyDescent="0.25">
      <c r="A35" t="s">
        <v>155</v>
      </c>
      <c r="B35" s="87"/>
      <c r="C35" s="87">
        <v>1</v>
      </c>
      <c r="D35" s="87"/>
      <c r="E35" t="s">
        <v>292</v>
      </c>
      <c r="F35">
        <v>3</v>
      </c>
    </row>
    <row r="36" spans="1:6" ht="15.75" thickBot="1" x14ac:dyDescent="0.3">
      <c r="A36" t="s">
        <v>158</v>
      </c>
      <c r="B36" s="71"/>
      <c r="C36" s="71">
        <v>1</v>
      </c>
      <c r="D36" s="71"/>
      <c r="E36" t="s">
        <v>296</v>
      </c>
      <c r="F36">
        <v>1</v>
      </c>
    </row>
    <row r="37" spans="1:6" x14ac:dyDescent="0.25">
      <c r="A37" t="s">
        <v>159</v>
      </c>
      <c r="B37" s="87"/>
      <c r="C37" s="87">
        <v>3</v>
      </c>
      <c r="D37" s="87" t="s">
        <v>161</v>
      </c>
      <c r="E37" t="s">
        <v>296</v>
      </c>
      <c r="F37">
        <v>1</v>
      </c>
    </row>
    <row r="38" spans="1:6" x14ac:dyDescent="0.25">
      <c r="A38" t="s">
        <v>169</v>
      </c>
      <c r="B38" s="87"/>
      <c r="C38" s="87">
        <v>2</v>
      </c>
      <c r="D38" s="87"/>
      <c r="E38" t="s">
        <v>292</v>
      </c>
      <c r="F38">
        <v>3</v>
      </c>
    </row>
    <row r="39" spans="1:6" x14ac:dyDescent="0.25">
      <c r="A39" t="s">
        <v>171</v>
      </c>
      <c r="B39" s="87"/>
      <c r="C39" s="87">
        <v>1</v>
      </c>
      <c r="D39" s="87"/>
      <c r="E39" t="s">
        <v>292</v>
      </c>
      <c r="F39">
        <v>3</v>
      </c>
    </row>
    <row r="40" spans="1:6" ht="15.75" thickBot="1" x14ac:dyDescent="0.3">
      <c r="A40" t="s">
        <v>180</v>
      </c>
      <c r="B40" s="71"/>
      <c r="C40" s="106">
        <v>2</v>
      </c>
      <c r="D40" s="71" t="s">
        <v>182</v>
      </c>
      <c r="E40" t="s">
        <v>296</v>
      </c>
      <c r="F40">
        <v>1</v>
      </c>
    </row>
    <row r="41" spans="1:6" x14ac:dyDescent="0.25">
      <c r="A41" t="s">
        <v>183</v>
      </c>
      <c r="B41" s="87"/>
      <c r="C41" s="87">
        <v>1</v>
      </c>
      <c r="D41" s="87"/>
      <c r="E41" t="s">
        <v>292</v>
      </c>
      <c r="F41">
        <v>3</v>
      </c>
    </row>
    <row r="42" spans="1:6" x14ac:dyDescent="0.25">
      <c r="A42" t="s">
        <v>187</v>
      </c>
      <c r="B42" s="87"/>
      <c r="C42" s="87">
        <v>1</v>
      </c>
      <c r="D42" s="87"/>
      <c r="E42" t="s">
        <v>292</v>
      </c>
      <c r="F42">
        <v>3</v>
      </c>
    </row>
    <row r="43" spans="1:6" x14ac:dyDescent="0.25">
      <c r="A43" t="s">
        <v>190</v>
      </c>
      <c r="B43" s="87"/>
      <c r="C43" s="87">
        <v>1</v>
      </c>
      <c r="D43" s="87"/>
      <c r="E43" t="s">
        <v>296</v>
      </c>
      <c r="F43">
        <v>1</v>
      </c>
    </row>
    <row r="44" spans="1:6" ht="15.75" thickBot="1" x14ac:dyDescent="0.3">
      <c r="A44" t="s">
        <v>199</v>
      </c>
      <c r="B44" s="71"/>
      <c r="C44" s="106">
        <v>3</v>
      </c>
      <c r="D44" s="71"/>
      <c r="E44" t="s">
        <v>292</v>
      </c>
      <c r="F44">
        <v>3</v>
      </c>
    </row>
    <row r="45" spans="1:6" x14ac:dyDescent="0.25">
      <c r="A45" t="s">
        <v>206</v>
      </c>
      <c r="B45" s="104"/>
      <c r="C45" s="87">
        <v>1</v>
      </c>
      <c r="D45" s="87"/>
      <c r="E45" t="s">
        <v>298</v>
      </c>
      <c r="F45">
        <v>2</v>
      </c>
    </row>
    <row r="46" spans="1:6" x14ac:dyDescent="0.25">
      <c r="A46" t="s">
        <v>211</v>
      </c>
      <c r="B46" s="87"/>
      <c r="C46" s="87">
        <v>1</v>
      </c>
      <c r="D46" s="87"/>
      <c r="E46" t="s">
        <v>296</v>
      </c>
      <c r="F46">
        <v>1</v>
      </c>
    </row>
    <row r="47" spans="1:6" x14ac:dyDescent="0.25">
      <c r="A47" t="s">
        <v>213</v>
      </c>
      <c r="B47" s="87"/>
      <c r="C47" s="87">
        <v>3</v>
      </c>
      <c r="D47" s="87" t="s">
        <v>214</v>
      </c>
      <c r="E47" t="s">
        <v>292</v>
      </c>
      <c r="F47">
        <v>3</v>
      </c>
    </row>
    <row r="48" spans="1:6" ht="15.75" thickBot="1" x14ac:dyDescent="0.3">
      <c r="A48" t="s">
        <v>219</v>
      </c>
      <c r="B48" s="71"/>
      <c r="C48" s="71">
        <v>1</v>
      </c>
      <c r="D48" s="71"/>
      <c r="E48" t="s">
        <v>292</v>
      </c>
      <c r="F48">
        <v>3</v>
      </c>
    </row>
    <row r="49" spans="1:6" x14ac:dyDescent="0.25">
      <c r="A49" t="s">
        <v>221</v>
      </c>
      <c r="B49" s="87"/>
      <c r="C49" s="87">
        <v>1</v>
      </c>
      <c r="D49" s="87"/>
      <c r="E49" t="s">
        <v>296</v>
      </c>
      <c r="F49">
        <v>1</v>
      </c>
    </row>
    <row r="50" spans="1:6" x14ac:dyDescent="0.25">
      <c r="A50" t="s">
        <v>225</v>
      </c>
      <c r="B50" s="104"/>
      <c r="C50" s="87">
        <v>1</v>
      </c>
      <c r="D50" s="87"/>
      <c r="E50" t="s">
        <v>298</v>
      </c>
      <c r="F50">
        <v>2</v>
      </c>
    </row>
    <row r="51" spans="1:6" x14ac:dyDescent="0.25">
      <c r="A51" t="s">
        <v>234</v>
      </c>
      <c r="B51" s="87"/>
      <c r="C51" s="87">
        <v>1</v>
      </c>
      <c r="D51" s="87"/>
      <c r="E51" t="s">
        <v>292</v>
      </c>
      <c r="F51">
        <v>3</v>
      </c>
    </row>
    <row r="52" spans="1:6" ht="15.75" thickBot="1" x14ac:dyDescent="0.3">
      <c r="A52" t="s">
        <v>238</v>
      </c>
      <c r="B52" s="71"/>
      <c r="C52" s="71">
        <v>1</v>
      </c>
      <c r="D52" s="71"/>
      <c r="E52" t="s">
        <v>300</v>
      </c>
      <c r="F52">
        <v>2</v>
      </c>
    </row>
    <row r="53" spans="1:6" x14ac:dyDescent="0.25">
      <c r="A53" t="s">
        <v>246</v>
      </c>
      <c r="B53" s="87"/>
      <c r="C53" s="87">
        <v>3</v>
      </c>
      <c r="D53" s="87" t="s">
        <v>248</v>
      </c>
      <c r="E53" t="s">
        <v>292</v>
      </c>
      <c r="F53">
        <v>3</v>
      </c>
    </row>
    <row r="54" spans="1:6" x14ac:dyDescent="0.25">
      <c r="A54" t="s">
        <v>252</v>
      </c>
      <c r="B54" s="87"/>
      <c r="C54" s="87">
        <v>3</v>
      </c>
      <c r="D54" s="87" t="s">
        <v>254</v>
      </c>
      <c r="E54" t="s">
        <v>295</v>
      </c>
      <c r="F54">
        <v>2</v>
      </c>
    </row>
    <row r="55" spans="1:6" x14ac:dyDescent="0.25">
      <c r="A55" t="s">
        <v>261</v>
      </c>
      <c r="B55" s="87"/>
      <c r="C55" s="87">
        <v>1</v>
      </c>
      <c r="D55" s="87"/>
      <c r="E55" t="s">
        <v>292</v>
      </c>
      <c r="F55">
        <v>3</v>
      </c>
    </row>
    <row r="56" spans="1:6" ht="15.75" thickBot="1" x14ac:dyDescent="0.3">
      <c r="A56" t="s">
        <v>264</v>
      </c>
      <c r="B56" s="71"/>
      <c r="C56" s="71">
        <v>1</v>
      </c>
      <c r="D56" s="71"/>
      <c r="E56" t="s">
        <v>300</v>
      </c>
      <c r="F56">
        <v>2</v>
      </c>
    </row>
    <row r="57" spans="1:6" x14ac:dyDescent="0.25">
      <c r="A57" t="s">
        <v>266</v>
      </c>
      <c r="B57" s="87"/>
      <c r="C57" s="87">
        <v>1</v>
      </c>
      <c r="D57" s="87"/>
      <c r="E57" t="s">
        <v>292</v>
      </c>
      <c r="F57">
        <v>3</v>
      </c>
    </row>
    <row r="58" spans="1:6" x14ac:dyDescent="0.25">
      <c r="A58" t="s">
        <v>270</v>
      </c>
      <c r="B58" s="87"/>
      <c r="C58" s="87">
        <v>2</v>
      </c>
      <c r="D58" s="87"/>
      <c r="E58" t="s">
        <v>295</v>
      </c>
      <c r="F58">
        <v>2</v>
      </c>
    </row>
    <row r="59" spans="1:6" x14ac:dyDescent="0.25">
      <c r="A59" t="s">
        <v>271</v>
      </c>
      <c r="B59" s="87"/>
      <c r="C59" s="87">
        <v>1</v>
      </c>
      <c r="D59" s="87"/>
      <c r="E59" t="s">
        <v>295</v>
      </c>
      <c r="F59">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Data Dictionary</vt:lpstr>
      <vt:lpstr>Results</vt:lpstr>
      <vt:lpstr>Summary</vt:lpstr>
      <vt:lpstr>Chart Data</vt:lpstr>
      <vt:lpstr>Charts</vt:lpstr>
      <vt:lpstr>T_Stat</vt:lpstr>
      <vt:lpstr>Charts Pg2</vt:lpstr>
      <vt:lpstr>Legend</vt:lpstr>
      <vt:lpstr>Sheet2</vt:lpstr>
      <vt:lpstr>Expert Background</vt:lpstr>
      <vt:lpstr>Sheet1</vt:lpstr>
      <vt:lpstr>Bkg</vt:lpstr>
      <vt:lpstr>EPA</vt:lpstr>
      <vt:lpstr>NrmQ1_1</vt:lpstr>
      <vt:lpstr>NrmQ1_2</vt:lpstr>
      <vt:lpstr>NrmQ2_1</vt:lpstr>
      <vt:lpstr>NrmQ2_2</vt:lpstr>
      <vt:lpstr>NrmQ2_3</vt:lpstr>
      <vt:lpstr>NrmQ3_1</vt:lpstr>
      <vt:lpstr>NrmQ3_2</vt:lpstr>
      <vt:lpstr>NrmQ3_3</vt:lpstr>
      <vt:lpstr>NrmQ3_4</vt:lpstr>
      <vt:lpstr>NrmQ4_1</vt:lpstr>
      <vt:lpstr>NrmQ4_2</vt:lpstr>
      <vt:lpstr>NrmQ4_3</vt:lpstr>
      <vt:lpstr>NrmQ4_4</vt:lpstr>
      <vt:lpstr>NrmQ5_1</vt:lpstr>
      <vt:lpstr>NrmQ5_2</vt:lpstr>
      <vt:lpstr>NrmQ5_3</vt:lpstr>
      <vt:lpstr>NrmQ5_4</vt:lpstr>
      <vt:lpstr>NrmQ6_1</vt:lpstr>
      <vt:lpstr>NrmQ6_2</vt:lpstr>
      <vt:lpstr>NrmQ6_3</vt:lpstr>
      <vt:lpstr>NrmQ6_4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Plourde, Kenton J CONTRACTOR @ ERD-MS</dc:creator>
  <cp:lastModifiedBy>Vallero, Dan</cp:lastModifiedBy>
  <cp:lastPrinted>2015-10-06T14:10:08Z</cp:lastPrinted>
  <dcterms:created xsi:type="dcterms:W3CDTF">2015-05-29T19:45:49Z</dcterms:created>
  <dcterms:modified xsi:type="dcterms:W3CDTF">2018-03-30T16:22:47Z</dcterms:modified>
</cp:coreProperties>
</file>