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a.ad.epa.gov\ord\CIN\Users\main\A-E\cma02\Net MyDocuments\Cissy-EPA\Sustainability\Emergy analysis\SSWR\Task 5.1\LCA water\ERG\MBR\Final reports and data\"/>
    </mc:Choice>
  </mc:AlternateContent>
  <bookViews>
    <workbookView xWindow="0" yWindow="0" windowWidth="19200" windowHeight="11595" tabRatio="819"/>
  </bookViews>
  <sheets>
    <sheet name="TOC" sheetId="6" r:id="rId1"/>
    <sheet name="AeMBR_Baseline_CED_Detail_yr" sheetId="1" r:id="rId2"/>
    <sheet name="AnMBR_35_CED_Detail_yr" sheetId="9" r:id="rId3"/>
    <sheet name="AnMBR_20_CED_Detail_yr" sheetId="10" r:id="rId4"/>
    <sheet name="AeMBR_Baseline_GWP_yr" sheetId="7" r:id="rId5"/>
    <sheet name="AnMBR_35_GWP_yr" sheetId="12" r:id="rId6"/>
    <sheet name="AnMBR_20_GWP_yr" sheetId="13" r:id="rId7"/>
    <sheet name="CED_GWP_Compare_yr" sheetId="11" r:id="rId8"/>
    <sheet name="AeMBR_LCIA_Summary_yr" sheetId="2" r:id="rId9"/>
    <sheet name="AnMBR_35LCIA_Summary_yr" sheetId="14" r:id="rId10"/>
    <sheet name="AnMBR_20LCIA_Summary_yr" sheetId="15" r:id="rId11"/>
    <sheet name="AeMBR_Baseline_CED_Detail_m3" sheetId="4" r:id="rId12"/>
    <sheet name="AnMBR_35_CED_Detail_m3" sheetId="17" r:id="rId13"/>
    <sheet name="AnMBR_20_CED_Detail_m3" sheetId="20" r:id="rId14"/>
    <sheet name="AeMBR_Baseline_GWP_m3" sheetId="8" r:id="rId15"/>
    <sheet name="AnMBR_35_GWP_m3" sheetId="18" r:id="rId16"/>
    <sheet name="AnMBR_20_GWP_m3" sheetId="19" r:id="rId17"/>
    <sheet name="CED_GWP_Compare_m3" sheetId="21" r:id="rId1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9" i="21" l="1"/>
  <c r="Q39" i="21"/>
  <c r="P40" i="21"/>
  <c r="Q40" i="21"/>
  <c r="P41" i="21"/>
  <c r="Q41" i="21"/>
  <c r="P42" i="21"/>
  <c r="Q42" i="21"/>
  <c r="P43" i="21"/>
  <c r="Q43" i="21"/>
  <c r="P44" i="21"/>
  <c r="Q44" i="21"/>
  <c r="O40" i="21"/>
  <c r="O41" i="21"/>
  <c r="O42" i="21"/>
  <c r="O43" i="21"/>
  <c r="O44" i="21"/>
  <c r="O39" i="21"/>
  <c r="M39" i="21"/>
  <c r="N39" i="21"/>
  <c r="M40" i="21"/>
  <c r="N40" i="21"/>
  <c r="M41" i="21"/>
  <c r="N41" i="21"/>
  <c r="M42" i="21"/>
  <c r="N42" i="21"/>
  <c r="M43" i="21"/>
  <c r="N43" i="21"/>
  <c r="M44" i="21"/>
  <c r="N44" i="21"/>
  <c r="L40" i="21"/>
  <c r="L41" i="21"/>
  <c r="L42" i="21"/>
  <c r="L43" i="21"/>
  <c r="L44" i="21"/>
  <c r="L39" i="21"/>
  <c r="J39" i="21"/>
  <c r="K39" i="21"/>
  <c r="J40" i="21"/>
  <c r="K40" i="21"/>
  <c r="J41" i="21"/>
  <c r="K41" i="21"/>
  <c r="J42" i="21"/>
  <c r="K42" i="21"/>
  <c r="J43" i="21"/>
  <c r="K43" i="21"/>
  <c r="J44" i="21"/>
  <c r="K44" i="21"/>
  <c r="I40" i="21"/>
  <c r="I41" i="21"/>
  <c r="I42" i="21"/>
  <c r="I43" i="21"/>
  <c r="I44" i="21"/>
  <c r="I39" i="21"/>
  <c r="G39" i="21"/>
  <c r="H39" i="21"/>
  <c r="G40" i="21"/>
  <c r="H40" i="21"/>
  <c r="G41" i="21"/>
  <c r="H41" i="21"/>
  <c r="G42" i="21"/>
  <c r="H42" i="21"/>
  <c r="G43" i="21"/>
  <c r="H43" i="21"/>
  <c r="G44" i="21"/>
  <c r="H44" i="21"/>
  <c r="F40" i="21"/>
  <c r="F41" i="21"/>
  <c r="F42" i="21"/>
  <c r="F43" i="21"/>
  <c r="F44" i="21"/>
  <c r="F39" i="21"/>
  <c r="D39" i="21"/>
  <c r="E39" i="21"/>
  <c r="D40" i="21"/>
  <c r="E40" i="21"/>
  <c r="D41" i="21"/>
  <c r="E41" i="21"/>
  <c r="D42" i="21"/>
  <c r="E42" i="21"/>
  <c r="D43" i="21"/>
  <c r="E43" i="21"/>
  <c r="D44" i="21"/>
  <c r="E44" i="21"/>
  <c r="C40" i="21"/>
  <c r="C41" i="21"/>
  <c r="C42" i="21"/>
  <c r="C43" i="21"/>
  <c r="C44" i="21"/>
  <c r="C39" i="21"/>
  <c r="E19" i="15" l="1"/>
  <c r="F19" i="15"/>
  <c r="G19" i="15"/>
  <c r="H19" i="15"/>
  <c r="I19" i="15"/>
  <c r="J19" i="15"/>
  <c r="K19" i="15"/>
  <c r="L19" i="15"/>
  <c r="M19" i="15"/>
  <c r="N19" i="15"/>
  <c r="O19" i="15"/>
  <c r="P19" i="15"/>
  <c r="Q19" i="15"/>
  <c r="R19" i="15"/>
  <c r="S19" i="15"/>
  <c r="T19" i="15"/>
  <c r="U19" i="15"/>
  <c r="D19" i="15"/>
  <c r="E3" i="15"/>
  <c r="F3" i="15"/>
  <c r="G3" i="15"/>
  <c r="H3" i="15"/>
  <c r="I3" i="15"/>
  <c r="J3" i="15"/>
  <c r="K3" i="15"/>
  <c r="L3" i="15"/>
  <c r="M3" i="15"/>
  <c r="N3" i="15"/>
  <c r="O3" i="15"/>
  <c r="P3" i="15"/>
  <c r="Q3" i="15"/>
  <c r="R3" i="15"/>
  <c r="S3" i="15"/>
  <c r="T3" i="15"/>
  <c r="U3" i="15"/>
  <c r="D3" i="15"/>
  <c r="V4" i="14"/>
  <c r="V5" i="14"/>
  <c r="D6" i="19"/>
  <c r="E6" i="19"/>
  <c r="F6" i="19"/>
  <c r="G6" i="19"/>
  <c r="H6" i="19"/>
  <c r="I6" i="19"/>
  <c r="J6" i="19"/>
  <c r="K6" i="19"/>
  <c r="L6" i="19"/>
  <c r="M6" i="19"/>
  <c r="N6" i="19"/>
  <c r="O6" i="19"/>
  <c r="P6" i="19"/>
  <c r="Q6" i="19"/>
  <c r="R6" i="19"/>
  <c r="S6" i="19"/>
  <c r="T6" i="19"/>
  <c r="D7" i="19"/>
  <c r="E7" i="19"/>
  <c r="F7" i="19"/>
  <c r="G7" i="19"/>
  <c r="H7" i="19"/>
  <c r="I7" i="19"/>
  <c r="J7" i="19"/>
  <c r="K7" i="19"/>
  <c r="L7" i="19"/>
  <c r="M7" i="19"/>
  <c r="N7" i="19"/>
  <c r="O7" i="19"/>
  <c r="P7" i="19"/>
  <c r="Q7" i="19"/>
  <c r="R7" i="19"/>
  <c r="S7" i="19"/>
  <c r="T7" i="19"/>
  <c r="D8" i="19"/>
  <c r="E8" i="19"/>
  <c r="F8" i="19"/>
  <c r="G8" i="19"/>
  <c r="H8" i="19"/>
  <c r="I8" i="19"/>
  <c r="J8" i="19"/>
  <c r="K8" i="19"/>
  <c r="L8" i="19"/>
  <c r="M8" i="19"/>
  <c r="N8" i="19"/>
  <c r="O8" i="19"/>
  <c r="P8" i="19"/>
  <c r="Q8" i="19"/>
  <c r="R8" i="19"/>
  <c r="S8" i="19"/>
  <c r="T8" i="19"/>
  <c r="D9" i="19"/>
  <c r="E9" i="19"/>
  <c r="F9" i="19"/>
  <c r="G9" i="19"/>
  <c r="H9" i="19"/>
  <c r="I9" i="19"/>
  <c r="J9" i="19"/>
  <c r="K9" i="19"/>
  <c r="L9" i="19"/>
  <c r="M9" i="19"/>
  <c r="N9" i="19"/>
  <c r="O9" i="19"/>
  <c r="P9" i="19"/>
  <c r="Q9" i="19"/>
  <c r="R9" i="19"/>
  <c r="S9" i="19"/>
  <c r="T9" i="19"/>
  <c r="D10" i="19"/>
  <c r="E10" i="19"/>
  <c r="F10" i="19"/>
  <c r="G10" i="19"/>
  <c r="H10" i="19"/>
  <c r="I10" i="19"/>
  <c r="J10" i="19"/>
  <c r="K10" i="19"/>
  <c r="L10" i="19"/>
  <c r="M10" i="19"/>
  <c r="N10" i="19"/>
  <c r="O10" i="19"/>
  <c r="P10" i="19"/>
  <c r="Q10" i="19"/>
  <c r="R10" i="19"/>
  <c r="S10" i="19"/>
  <c r="T10" i="19"/>
  <c r="D11" i="19"/>
  <c r="E11" i="19"/>
  <c r="F11" i="19"/>
  <c r="G11" i="19"/>
  <c r="H11" i="19"/>
  <c r="I11" i="19"/>
  <c r="J11" i="19"/>
  <c r="K11" i="19"/>
  <c r="L11" i="19"/>
  <c r="M11" i="19"/>
  <c r="N11" i="19"/>
  <c r="O11" i="19"/>
  <c r="P11" i="19"/>
  <c r="Q11" i="19"/>
  <c r="R11" i="19"/>
  <c r="S11" i="19"/>
  <c r="T11" i="19"/>
  <c r="C7" i="19"/>
  <c r="C8" i="19"/>
  <c r="C9" i="19"/>
  <c r="C10" i="19"/>
  <c r="C11" i="19"/>
  <c r="C6" i="19"/>
  <c r="P6" i="21" l="1"/>
  <c r="Q6" i="21"/>
  <c r="Q12" i="21" s="1"/>
  <c r="P7" i="21"/>
  <c r="Q7" i="21"/>
  <c r="P8" i="21"/>
  <c r="Q8" i="21"/>
  <c r="P9" i="21"/>
  <c r="Q9" i="21"/>
  <c r="P10" i="21"/>
  <c r="Q10" i="21"/>
  <c r="P11" i="21"/>
  <c r="Q11" i="21"/>
  <c r="O7" i="21"/>
  <c r="O8" i="21"/>
  <c r="O9" i="21"/>
  <c r="O10" i="21"/>
  <c r="O12" i="21" s="1"/>
  <c r="O11" i="21"/>
  <c r="O6" i="21"/>
  <c r="M6" i="21"/>
  <c r="N6" i="21"/>
  <c r="N12" i="21" s="1"/>
  <c r="M7" i="21"/>
  <c r="N7" i="21"/>
  <c r="M8" i="21"/>
  <c r="N8" i="21"/>
  <c r="M9" i="21"/>
  <c r="N9" i="21"/>
  <c r="M10" i="21"/>
  <c r="N10" i="21"/>
  <c r="M11" i="21"/>
  <c r="N11" i="21"/>
  <c r="L7" i="21"/>
  <c r="L8" i="21"/>
  <c r="L9" i="21"/>
  <c r="L10" i="21"/>
  <c r="L11" i="21"/>
  <c r="L6" i="21"/>
  <c r="O4" i="11"/>
  <c r="L4" i="11"/>
  <c r="J6" i="21"/>
  <c r="J12" i="21" s="1"/>
  <c r="K6" i="21"/>
  <c r="K12" i="21" s="1"/>
  <c r="J7" i="21"/>
  <c r="K7" i="21"/>
  <c r="J8" i="21"/>
  <c r="K8" i="21"/>
  <c r="J9" i="21"/>
  <c r="K9" i="21"/>
  <c r="J10" i="21"/>
  <c r="K10" i="21"/>
  <c r="J11" i="21"/>
  <c r="K11" i="21"/>
  <c r="I7" i="21"/>
  <c r="I8" i="21"/>
  <c r="I9" i="21"/>
  <c r="I10" i="21"/>
  <c r="I11" i="21"/>
  <c r="I6" i="21"/>
  <c r="I12" i="21" s="1"/>
  <c r="G6" i="21"/>
  <c r="G12" i="21" s="1"/>
  <c r="H6" i="21"/>
  <c r="G7" i="21"/>
  <c r="H7" i="21"/>
  <c r="G8" i="21"/>
  <c r="H8" i="21"/>
  <c r="G9" i="21"/>
  <c r="H9" i="21"/>
  <c r="G10" i="21"/>
  <c r="H10" i="21"/>
  <c r="G11" i="21"/>
  <c r="H11" i="21"/>
  <c r="F7" i="21"/>
  <c r="F8" i="21"/>
  <c r="F9" i="21"/>
  <c r="F10" i="21"/>
  <c r="F11" i="21"/>
  <c r="F6" i="21"/>
  <c r="F12" i="21" s="1"/>
  <c r="I4" i="11"/>
  <c r="F4" i="11"/>
  <c r="D6" i="21"/>
  <c r="E6" i="21"/>
  <c r="D7" i="21"/>
  <c r="E7" i="21"/>
  <c r="D8" i="21"/>
  <c r="E8" i="21"/>
  <c r="D9" i="21"/>
  <c r="E9" i="21"/>
  <c r="D10" i="21"/>
  <c r="E10" i="21"/>
  <c r="D11" i="21"/>
  <c r="E11" i="21"/>
  <c r="C7" i="21"/>
  <c r="C12" i="21" s="1"/>
  <c r="C8" i="21"/>
  <c r="C9" i="21"/>
  <c r="C10" i="21"/>
  <c r="C11" i="21"/>
  <c r="C6" i="21"/>
  <c r="C4" i="11"/>
  <c r="O45" i="21"/>
  <c r="N45" i="21"/>
  <c r="K45" i="21"/>
  <c r="J45" i="21"/>
  <c r="G45" i="21"/>
  <c r="F45" i="21"/>
  <c r="C45" i="21"/>
  <c r="Q45" i="21"/>
  <c r="P45" i="21"/>
  <c r="M45" i="21"/>
  <c r="L45" i="21"/>
  <c r="I45" i="21"/>
  <c r="H45" i="21"/>
  <c r="E45" i="21"/>
  <c r="D45" i="21"/>
  <c r="P12" i="21"/>
  <c r="L12" i="21"/>
  <c r="H12" i="21"/>
  <c r="M12" i="21"/>
  <c r="Q41" i="11"/>
  <c r="Q42" i="11"/>
  <c r="Q43" i="11"/>
  <c r="Q44" i="11"/>
  <c r="Q45" i="11"/>
  <c r="Q40" i="11"/>
  <c r="P41" i="11"/>
  <c r="P42" i="11"/>
  <c r="P43" i="11"/>
  <c r="P44" i="11"/>
  <c r="P45" i="11"/>
  <c r="P40" i="11"/>
  <c r="O41" i="11"/>
  <c r="O42" i="11"/>
  <c r="O43" i="11"/>
  <c r="O44" i="11"/>
  <c r="O45" i="11"/>
  <c r="O40" i="11"/>
  <c r="N41" i="11"/>
  <c r="N42" i="11"/>
  <c r="N43" i="11"/>
  <c r="N44" i="11"/>
  <c r="N45" i="11"/>
  <c r="N40" i="11"/>
  <c r="M41" i="11"/>
  <c r="M42" i="11"/>
  <c r="M43" i="11"/>
  <c r="M44" i="11"/>
  <c r="M45" i="11"/>
  <c r="M40" i="11"/>
  <c r="L41" i="11"/>
  <c r="L42" i="11"/>
  <c r="L43" i="11"/>
  <c r="L44" i="11"/>
  <c r="L45" i="11"/>
  <c r="L40" i="11"/>
  <c r="K41" i="11"/>
  <c r="K42" i="11"/>
  <c r="K43" i="11"/>
  <c r="K44" i="11"/>
  <c r="K45" i="11"/>
  <c r="K40" i="11"/>
  <c r="J41" i="11"/>
  <c r="J42" i="11"/>
  <c r="J43" i="11"/>
  <c r="J44" i="11"/>
  <c r="J45" i="11"/>
  <c r="J40" i="11"/>
  <c r="I41" i="11"/>
  <c r="I42" i="11"/>
  <c r="I43" i="11"/>
  <c r="I44" i="11"/>
  <c r="I45" i="11"/>
  <c r="I40" i="11"/>
  <c r="H41" i="11"/>
  <c r="H42" i="11"/>
  <c r="H43" i="11"/>
  <c r="H44" i="11"/>
  <c r="H45" i="11"/>
  <c r="H40" i="11"/>
  <c r="G41" i="11"/>
  <c r="G42" i="11"/>
  <c r="G43" i="11"/>
  <c r="G44" i="11"/>
  <c r="G45" i="11"/>
  <c r="G40" i="11"/>
  <c r="F41" i="11"/>
  <c r="F42" i="11"/>
  <c r="F43" i="11"/>
  <c r="F44" i="11"/>
  <c r="F45" i="11"/>
  <c r="F40" i="11"/>
  <c r="E41" i="11"/>
  <c r="E42" i="11"/>
  <c r="E43" i="11"/>
  <c r="E44" i="11"/>
  <c r="E45" i="11"/>
  <c r="E40" i="11"/>
  <c r="D41" i="11"/>
  <c r="D42" i="11"/>
  <c r="D43" i="11"/>
  <c r="D44" i="11"/>
  <c r="D45" i="11"/>
  <c r="D40" i="11"/>
  <c r="C41" i="11"/>
  <c r="C42" i="11"/>
  <c r="C43" i="11"/>
  <c r="C44" i="11"/>
  <c r="C45" i="11"/>
  <c r="C40" i="11"/>
  <c r="Q8" i="11"/>
  <c r="Q9" i="11"/>
  <c r="Q10" i="11"/>
  <c r="Q11" i="11"/>
  <c r="Q12" i="11"/>
  <c r="Q7" i="11"/>
  <c r="P8" i="11"/>
  <c r="P9" i="11"/>
  <c r="P10" i="11"/>
  <c r="P11" i="11"/>
  <c r="P12" i="11"/>
  <c r="P7" i="11"/>
  <c r="N8" i="11"/>
  <c r="N9" i="11"/>
  <c r="N10" i="11"/>
  <c r="N11" i="11"/>
  <c r="N12" i="11"/>
  <c r="N7" i="11"/>
  <c r="M8" i="11"/>
  <c r="M9" i="11"/>
  <c r="M10" i="11"/>
  <c r="M11" i="11"/>
  <c r="M12" i="11"/>
  <c r="M7" i="11"/>
  <c r="O8" i="11"/>
  <c r="O9" i="11"/>
  <c r="O10" i="11"/>
  <c r="O11" i="11"/>
  <c r="O12" i="11"/>
  <c r="O7" i="11"/>
  <c r="L8" i="11"/>
  <c r="L9" i="11"/>
  <c r="L10" i="11"/>
  <c r="L11" i="11"/>
  <c r="L12" i="11"/>
  <c r="L7" i="11"/>
  <c r="K8" i="11"/>
  <c r="K9" i="11"/>
  <c r="K10" i="11"/>
  <c r="K11" i="11"/>
  <c r="K12" i="11"/>
  <c r="K7" i="11"/>
  <c r="J8" i="11"/>
  <c r="J9" i="11"/>
  <c r="J10" i="11"/>
  <c r="J11" i="11"/>
  <c r="J12" i="11"/>
  <c r="J7" i="11"/>
  <c r="I8" i="11"/>
  <c r="I9" i="11"/>
  <c r="I10" i="11"/>
  <c r="I11" i="11"/>
  <c r="I12" i="11"/>
  <c r="I7" i="11"/>
  <c r="H8" i="11"/>
  <c r="H9" i="11"/>
  <c r="H10" i="11"/>
  <c r="H11" i="11"/>
  <c r="H12" i="11"/>
  <c r="H7" i="11"/>
  <c r="G8" i="11"/>
  <c r="G9" i="11"/>
  <c r="G10" i="11"/>
  <c r="G11" i="11"/>
  <c r="G12" i="11"/>
  <c r="G7" i="11"/>
  <c r="F8" i="11"/>
  <c r="F9" i="11"/>
  <c r="F10" i="11"/>
  <c r="F11" i="11"/>
  <c r="F12" i="11"/>
  <c r="F7" i="11"/>
  <c r="F6" i="20"/>
  <c r="G6" i="20"/>
  <c r="H6" i="20"/>
  <c r="I6" i="20"/>
  <c r="J6" i="20"/>
  <c r="K6" i="20"/>
  <c r="K62" i="20" s="1"/>
  <c r="L6" i="20"/>
  <c r="M6" i="20"/>
  <c r="N6" i="20"/>
  <c r="O6" i="20"/>
  <c r="P6" i="20"/>
  <c r="Q6" i="20"/>
  <c r="Q62" i="20" s="1"/>
  <c r="R6" i="20"/>
  <c r="S6" i="20"/>
  <c r="S62" i="20" s="1"/>
  <c r="T6" i="20"/>
  <c r="U6" i="20"/>
  <c r="V6" i="20"/>
  <c r="F7" i="20"/>
  <c r="G7" i="20"/>
  <c r="H7" i="20"/>
  <c r="I7" i="20"/>
  <c r="J7" i="20"/>
  <c r="K7" i="20"/>
  <c r="L7" i="20"/>
  <c r="M7" i="20"/>
  <c r="N7" i="20"/>
  <c r="O7" i="20"/>
  <c r="P7" i="20"/>
  <c r="Q7" i="20"/>
  <c r="R7" i="20"/>
  <c r="S7" i="20"/>
  <c r="T7" i="20"/>
  <c r="U7" i="20"/>
  <c r="V7" i="20"/>
  <c r="F8" i="20"/>
  <c r="G8" i="20"/>
  <c r="H8" i="20"/>
  <c r="I8" i="20"/>
  <c r="I62" i="20" s="1"/>
  <c r="J8" i="20"/>
  <c r="K8" i="20"/>
  <c r="L8" i="20"/>
  <c r="M8" i="20"/>
  <c r="N8" i="20"/>
  <c r="O8" i="20"/>
  <c r="P8" i="20"/>
  <c r="Q8" i="20"/>
  <c r="R8" i="20"/>
  <c r="S8" i="20"/>
  <c r="T8" i="20"/>
  <c r="U8" i="20"/>
  <c r="V8" i="20"/>
  <c r="F9" i="20"/>
  <c r="F63" i="20" s="1"/>
  <c r="G9" i="20"/>
  <c r="H9" i="20"/>
  <c r="I9" i="20"/>
  <c r="J9" i="20"/>
  <c r="K9" i="20"/>
  <c r="L9" i="20"/>
  <c r="M9" i="20"/>
  <c r="N9" i="20"/>
  <c r="O9" i="20"/>
  <c r="P9" i="20"/>
  <c r="Q9" i="20"/>
  <c r="R9" i="20"/>
  <c r="R63" i="20" s="1"/>
  <c r="S9" i="20"/>
  <c r="T9" i="20"/>
  <c r="U9" i="20"/>
  <c r="V9" i="20"/>
  <c r="F10" i="20"/>
  <c r="G10" i="20"/>
  <c r="H10" i="20"/>
  <c r="I10" i="20"/>
  <c r="I63" i="20" s="1"/>
  <c r="J10" i="20"/>
  <c r="K10" i="20"/>
  <c r="L10" i="20"/>
  <c r="M10" i="20"/>
  <c r="N10" i="20"/>
  <c r="O10" i="20"/>
  <c r="O63" i="20" s="1"/>
  <c r="P10" i="20"/>
  <c r="Q10" i="20"/>
  <c r="Q63" i="20" s="1"/>
  <c r="R10" i="20"/>
  <c r="S10" i="20"/>
  <c r="T10" i="20"/>
  <c r="U10" i="20"/>
  <c r="V10" i="20"/>
  <c r="F11" i="20"/>
  <c r="G11" i="20"/>
  <c r="H11" i="20"/>
  <c r="I11" i="20"/>
  <c r="J11" i="20"/>
  <c r="K11" i="20"/>
  <c r="L11" i="20"/>
  <c r="M11" i="20"/>
  <c r="N11" i="20"/>
  <c r="O11" i="20"/>
  <c r="P11" i="20"/>
  <c r="Q11" i="20"/>
  <c r="R11" i="20"/>
  <c r="S11" i="20"/>
  <c r="T11" i="20"/>
  <c r="U11" i="20"/>
  <c r="V11" i="20"/>
  <c r="F12" i="20"/>
  <c r="G12" i="20"/>
  <c r="H12" i="20"/>
  <c r="I12" i="20"/>
  <c r="J12" i="20"/>
  <c r="K12" i="20"/>
  <c r="L12" i="20"/>
  <c r="M12" i="20"/>
  <c r="N12" i="20"/>
  <c r="O12" i="20"/>
  <c r="P12" i="20"/>
  <c r="Q12" i="20"/>
  <c r="R12" i="20"/>
  <c r="S12" i="20"/>
  <c r="T12" i="20"/>
  <c r="U12" i="20"/>
  <c r="V12" i="20"/>
  <c r="F13" i="20"/>
  <c r="G13" i="20"/>
  <c r="H13" i="20"/>
  <c r="I13" i="20"/>
  <c r="J13" i="20"/>
  <c r="K13" i="20"/>
  <c r="L13" i="20"/>
  <c r="M13" i="20"/>
  <c r="N13" i="20"/>
  <c r="O13" i="20"/>
  <c r="P13" i="20"/>
  <c r="Q13" i="20"/>
  <c r="R13" i="20"/>
  <c r="S13" i="20"/>
  <c r="T13" i="20"/>
  <c r="U13" i="20"/>
  <c r="V13" i="20"/>
  <c r="F14" i="20"/>
  <c r="G14" i="20"/>
  <c r="H14" i="20"/>
  <c r="I14" i="20"/>
  <c r="I64" i="20" s="1"/>
  <c r="J14" i="20"/>
  <c r="K14" i="20"/>
  <c r="L14" i="20"/>
  <c r="M14" i="20"/>
  <c r="N14" i="20"/>
  <c r="O14" i="20"/>
  <c r="P14" i="20"/>
  <c r="Q14" i="20"/>
  <c r="R14" i="20"/>
  <c r="S14" i="20"/>
  <c r="T14" i="20"/>
  <c r="U14" i="20"/>
  <c r="V14" i="20"/>
  <c r="F15" i="20"/>
  <c r="G15" i="20"/>
  <c r="H15" i="20"/>
  <c r="I15" i="20"/>
  <c r="J15" i="20"/>
  <c r="K15" i="20"/>
  <c r="L15" i="20"/>
  <c r="M15" i="20"/>
  <c r="N15" i="20"/>
  <c r="O15" i="20"/>
  <c r="P15" i="20"/>
  <c r="Q15" i="20"/>
  <c r="R15" i="20"/>
  <c r="S15" i="20"/>
  <c r="T15" i="20"/>
  <c r="U15" i="20"/>
  <c r="V15" i="20"/>
  <c r="F16" i="20"/>
  <c r="G16" i="20"/>
  <c r="H16" i="20"/>
  <c r="I16" i="20"/>
  <c r="J16" i="20"/>
  <c r="K16" i="20"/>
  <c r="L16" i="20"/>
  <c r="M16" i="20"/>
  <c r="N16" i="20"/>
  <c r="O16" i="20"/>
  <c r="P16" i="20"/>
  <c r="Q16" i="20"/>
  <c r="R16" i="20"/>
  <c r="S16" i="20"/>
  <c r="T16" i="20"/>
  <c r="U16" i="20"/>
  <c r="V16" i="20"/>
  <c r="F17" i="20"/>
  <c r="G17" i="20"/>
  <c r="H17" i="20"/>
  <c r="I17" i="20"/>
  <c r="J17" i="20"/>
  <c r="K17" i="20"/>
  <c r="L17" i="20"/>
  <c r="M17" i="20"/>
  <c r="N17" i="20"/>
  <c r="O17" i="20"/>
  <c r="P17" i="20"/>
  <c r="Q17" i="20"/>
  <c r="R17" i="20"/>
  <c r="S17" i="20"/>
  <c r="T17" i="20"/>
  <c r="T64" i="20" s="1"/>
  <c r="U17" i="20"/>
  <c r="V17" i="20"/>
  <c r="F18" i="20"/>
  <c r="G18" i="20"/>
  <c r="H18" i="20"/>
  <c r="I18" i="20"/>
  <c r="J18" i="20"/>
  <c r="K18" i="20"/>
  <c r="L18" i="20"/>
  <c r="M18" i="20"/>
  <c r="N18" i="20"/>
  <c r="O18" i="20"/>
  <c r="P18" i="20"/>
  <c r="Q18" i="20"/>
  <c r="R18" i="20"/>
  <c r="S18" i="20"/>
  <c r="T18" i="20"/>
  <c r="U18" i="20"/>
  <c r="V18" i="20"/>
  <c r="F19" i="20"/>
  <c r="G19" i="20"/>
  <c r="H19" i="20"/>
  <c r="I19" i="20"/>
  <c r="J19" i="20"/>
  <c r="K19" i="20"/>
  <c r="L19" i="20"/>
  <c r="M19" i="20"/>
  <c r="N19" i="20"/>
  <c r="O19" i="20"/>
  <c r="P19" i="20"/>
  <c r="Q19" i="20"/>
  <c r="R19" i="20"/>
  <c r="S19" i="20"/>
  <c r="T19" i="20"/>
  <c r="U19" i="20"/>
  <c r="V19" i="20"/>
  <c r="F20" i="20"/>
  <c r="G20" i="20"/>
  <c r="H20" i="20"/>
  <c r="I20" i="20"/>
  <c r="J20" i="20"/>
  <c r="K20" i="20"/>
  <c r="L20" i="20"/>
  <c r="M20" i="20"/>
  <c r="N20" i="20"/>
  <c r="O20" i="20"/>
  <c r="P20" i="20"/>
  <c r="Q20" i="20"/>
  <c r="R20" i="20"/>
  <c r="S20" i="20"/>
  <c r="T20" i="20"/>
  <c r="U20" i="20"/>
  <c r="V20" i="20"/>
  <c r="F21" i="20"/>
  <c r="G21" i="20"/>
  <c r="H21" i="20"/>
  <c r="H65" i="20" s="1"/>
  <c r="I21" i="20"/>
  <c r="J21" i="20"/>
  <c r="K21" i="20"/>
  <c r="L21" i="20"/>
  <c r="M21" i="20"/>
  <c r="N21" i="20"/>
  <c r="O21" i="20"/>
  <c r="P21" i="20"/>
  <c r="Q21" i="20"/>
  <c r="R21" i="20"/>
  <c r="R65" i="20" s="1"/>
  <c r="S21" i="20"/>
  <c r="T21" i="20"/>
  <c r="T65" i="20" s="1"/>
  <c r="U21" i="20"/>
  <c r="V21" i="20"/>
  <c r="F22" i="20"/>
  <c r="G22" i="20"/>
  <c r="H22" i="20"/>
  <c r="I22" i="20"/>
  <c r="J22" i="20"/>
  <c r="K22" i="20"/>
  <c r="L22" i="20"/>
  <c r="M22" i="20"/>
  <c r="N22" i="20"/>
  <c r="O22" i="20"/>
  <c r="O66" i="20" s="1"/>
  <c r="P22" i="20"/>
  <c r="Q22" i="20"/>
  <c r="R22" i="20"/>
  <c r="S22" i="20"/>
  <c r="T22" i="20"/>
  <c r="U22" i="20"/>
  <c r="V22" i="20"/>
  <c r="F23" i="20"/>
  <c r="G23" i="20"/>
  <c r="H23" i="20"/>
  <c r="I23" i="20"/>
  <c r="J23" i="20"/>
  <c r="K23" i="20"/>
  <c r="L23" i="20"/>
  <c r="L66" i="20" s="1"/>
  <c r="M23" i="20"/>
  <c r="N23" i="20"/>
  <c r="N66" i="20" s="1"/>
  <c r="O23" i="20"/>
  <c r="P23" i="20"/>
  <c r="Q23" i="20"/>
  <c r="R23" i="20"/>
  <c r="R66" i="20" s="1"/>
  <c r="S23" i="20"/>
  <c r="T23" i="20"/>
  <c r="U23" i="20"/>
  <c r="V23" i="20"/>
  <c r="F24" i="20"/>
  <c r="G24" i="20"/>
  <c r="H24" i="20"/>
  <c r="I24" i="20"/>
  <c r="J24" i="20"/>
  <c r="K24" i="20"/>
  <c r="L24" i="20"/>
  <c r="M24" i="20"/>
  <c r="N24" i="20"/>
  <c r="O24" i="20"/>
  <c r="P24" i="20"/>
  <c r="Q24" i="20"/>
  <c r="Q66" i="20" s="1"/>
  <c r="R24" i="20"/>
  <c r="S24" i="20"/>
  <c r="T24" i="20"/>
  <c r="U24" i="20"/>
  <c r="V24" i="20"/>
  <c r="F25" i="20"/>
  <c r="G25" i="20"/>
  <c r="H25" i="20"/>
  <c r="H67" i="20" s="1"/>
  <c r="I25" i="20"/>
  <c r="J25" i="20"/>
  <c r="J67" i="20" s="1"/>
  <c r="K25" i="20"/>
  <c r="L25" i="20"/>
  <c r="M25" i="20"/>
  <c r="N25" i="20"/>
  <c r="O25" i="20"/>
  <c r="P25" i="20"/>
  <c r="Q25" i="20"/>
  <c r="R25" i="20"/>
  <c r="S25" i="20"/>
  <c r="S67" i="20" s="1"/>
  <c r="T25" i="20"/>
  <c r="T67" i="20" s="1"/>
  <c r="U25" i="20"/>
  <c r="V25" i="20"/>
  <c r="F26" i="20"/>
  <c r="G26" i="20"/>
  <c r="H26" i="20"/>
  <c r="I26" i="20"/>
  <c r="J26" i="20"/>
  <c r="K26" i="20"/>
  <c r="L26" i="20"/>
  <c r="M26" i="20"/>
  <c r="M67" i="20" s="1"/>
  <c r="N26" i="20"/>
  <c r="O26" i="20"/>
  <c r="P26" i="20"/>
  <c r="Q26" i="20"/>
  <c r="R26" i="20"/>
  <c r="S26" i="20"/>
  <c r="T26" i="20"/>
  <c r="U26" i="20"/>
  <c r="V26" i="20"/>
  <c r="F27" i="20"/>
  <c r="G27" i="20"/>
  <c r="H27" i="20"/>
  <c r="I27" i="20"/>
  <c r="J27" i="20"/>
  <c r="K27" i="20"/>
  <c r="L27" i="20"/>
  <c r="M27" i="20"/>
  <c r="N27" i="20"/>
  <c r="N67" i="20" s="1"/>
  <c r="O27" i="20"/>
  <c r="P27" i="20"/>
  <c r="Q27" i="20"/>
  <c r="R27" i="20"/>
  <c r="R67" i="20" s="1"/>
  <c r="S27" i="20"/>
  <c r="T27" i="20"/>
  <c r="U27" i="20"/>
  <c r="V27" i="20"/>
  <c r="F28" i="20"/>
  <c r="G28" i="20"/>
  <c r="H28" i="20"/>
  <c r="I28" i="20"/>
  <c r="J28" i="20"/>
  <c r="K28" i="20"/>
  <c r="L28" i="20"/>
  <c r="M28" i="20"/>
  <c r="N28" i="20"/>
  <c r="O28" i="20"/>
  <c r="P28" i="20"/>
  <c r="Q28" i="20"/>
  <c r="R28" i="20"/>
  <c r="S28" i="20"/>
  <c r="T28" i="20"/>
  <c r="U28" i="20"/>
  <c r="V28" i="20"/>
  <c r="E7" i="20"/>
  <c r="E62" i="20" s="1"/>
  <c r="E8" i="20"/>
  <c r="E9" i="20"/>
  <c r="E10" i="20"/>
  <c r="E63" i="20" s="1"/>
  <c r="E11" i="20"/>
  <c r="E12" i="20"/>
  <c r="E13" i="20"/>
  <c r="E14" i="20"/>
  <c r="E64" i="20" s="1"/>
  <c r="E15" i="20"/>
  <c r="E16" i="20"/>
  <c r="E17" i="20"/>
  <c r="E18" i="20"/>
  <c r="E19" i="20"/>
  <c r="E20" i="20"/>
  <c r="E21" i="20"/>
  <c r="E22" i="20"/>
  <c r="E23" i="20"/>
  <c r="E66" i="20" s="1"/>
  <c r="E24" i="20"/>
  <c r="E25" i="20"/>
  <c r="E26" i="20"/>
  <c r="E27" i="20"/>
  <c r="E28" i="20"/>
  <c r="E6" i="20"/>
  <c r="P66" i="20"/>
  <c r="N65" i="20"/>
  <c r="M65" i="20"/>
  <c r="J65" i="20"/>
  <c r="G65" i="20"/>
  <c r="V63" i="20"/>
  <c r="N63" i="20"/>
  <c r="G63" i="20"/>
  <c r="M62" i="20"/>
  <c r="V61" i="20"/>
  <c r="R61" i="20"/>
  <c r="Q61" i="20"/>
  <c r="O61" i="20"/>
  <c r="K61" i="20"/>
  <c r="J61" i="20"/>
  <c r="G61" i="20"/>
  <c r="D57" i="20"/>
  <c r="D56" i="20"/>
  <c r="D55" i="20"/>
  <c r="D54" i="20"/>
  <c r="B54" i="20"/>
  <c r="D53" i="20"/>
  <c r="D52" i="20"/>
  <c r="D51" i="20"/>
  <c r="C51" i="20"/>
  <c r="B51" i="20"/>
  <c r="D50" i="20"/>
  <c r="B50" i="20"/>
  <c r="D49" i="20"/>
  <c r="D48" i="20"/>
  <c r="D47" i="20"/>
  <c r="D46" i="20"/>
  <c r="D45" i="20"/>
  <c r="D44" i="20"/>
  <c r="D43" i="20"/>
  <c r="D42" i="20"/>
  <c r="B42" i="20"/>
  <c r="D41" i="20"/>
  <c r="D40" i="20"/>
  <c r="C40" i="20"/>
  <c r="D39" i="20"/>
  <c r="D38" i="20"/>
  <c r="C38" i="20"/>
  <c r="B38" i="20"/>
  <c r="D37" i="20"/>
  <c r="D36" i="20"/>
  <c r="D35" i="20"/>
  <c r="B35" i="20"/>
  <c r="R34" i="20"/>
  <c r="N34" i="20"/>
  <c r="M34" i="20"/>
  <c r="J34" i="20"/>
  <c r="I34" i="20"/>
  <c r="H34" i="20"/>
  <c r="W29" i="20"/>
  <c r="U29" i="20"/>
  <c r="L67" i="20"/>
  <c r="T66" i="20"/>
  <c r="J66" i="20"/>
  <c r="S65" i="20"/>
  <c r="O65" i="20"/>
  <c r="L65" i="20"/>
  <c r="S63" i="20"/>
  <c r="U63" i="20"/>
  <c r="M63" i="20"/>
  <c r="U62" i="20"/>
  <c r="T29" i="20"/>
  <c r="P62" i="20"/>
  <c r="V5" i="20"/>
  <c r="V34" i="20" s="1"/>
  <c r="U5" i="20"/>
  <c r="U61" i="20" s="1"/>
  <c r="T5" i="20"/>
  <c r="S5" i="20"/>
  <c r="S61" i="20" s="1"/>
  <c r="R5" i="20"/>
  <c r="Q5" i="20"/>
  <c r="Q34" i="20" s="1"/>
  <c r="P5" i="20"/>
  <c r="O5" i="20"/>
  <c r="O34" i="20" s="1"/>
  <c r="N5" i="20"/>
  <c r="N61" i="20" s="1"/>
  <c r="M5" i="20"/>
  <c r="M61" i="20" s="1"/>
  <c r="L5" i="20"/>
  <c r="K5" i="20"/>
  <c r="K34" i="20" s="1"/>
  <c r="J5" i="20"/>
  <c r="I5" i="20"/>
  <c r="I61" i="20" s="1"/>
  <c r="H5" i="20"/>
  <c r="H61" i="20" s="1"/>
  <c r="G5" i="20"/>
  <c r="G34" i="20" s="1"/>
  <c r="F5" i="20"/>
  <c r="F61" i="20" s="1"/>
  <c r="E5" i="20"/>
  <c r="E61" i="20" s="1"/>
  <c r="V4" i="20"/>
  <c r="U4" i="20"/>
  <c r="R4" i="20"/>
  <c r="Q4" i="20"/>
  <c r="O4" i="20"/>
  <c r="N4" i="20" s="1"/>
  <c r="M4" i="20"/>
  <c r="K4" i="20"/>
  <c r="J4" i="20"/>
  <c r="I4" i="20" s="1"/>
  <c r="G4" i="20"/>
  <c r="F4" i="20"/>
  <c r="E4" i="20" s="1"/>
  <c r="B23" i="19"/>
  <c r="B22" i="19"/>
  <c r="B21" i="19"/>
  <c r="B20" i="19"/>
  <c r="B19" i="19"/>
  <c r="T17" i="19"/>
  <c r="Q17" i="19"/>
  <c r="P17" i="19"/>
  <c r="M17" i="19"/>
  <c r="L17" i="19"/>
  <c r="I17" i="19"/>
  <c r="H17" i="19"/>
  <c r="E17" i="19"/>
  <c r="D17" i="19"/>
  <c r="O21" i="19"/>
  <c r="B7" i="19"/>
  <c r="Q12" i="19"/>
  <c r="O12" i="19"/>
  <c r="O19" i="19" s="1"/>
  <c r="M12" i="19"/>
  <c r="G12" i="19"/>
  <c r="G21" i="19" s="1"/>
  <c r="B6" i="19"/>
  <c r="B18" i="19" s="1"/>
  <c r="U5" i="19"/>
  <c r="T5" i="19"/>
  <c r="S5" i="19"/>
  <c r="S17" i="19" s="1"/>
  <c r="R5" i="19"/>
  <c r="R17" i="19" s="1"/>
  <c r="Q5" i="19"/>
  <c r="P5" i="19"/>
  <c r="O5" i="19"/>
  <c r="O17" i="19" s="1"/>
  <c r="N5" i="19"/>
  <c r="N17" i="19" s="1"/>
  <c r="M5" i="19"/>
  <c r="L5" i="19"/>
  <c r="K5" i="19"/>
  <c r="K17" i="19" s="1"/>
  <c r="J5" i="19"/>
  <c r="J17" i="19" s="1"/>
  <c r="I5" i="19"/>
  <c r="H5" i="19"/>
  <c r="G5" i="19"/>
  <c r="G17" i="19" s="1"/>
  <c r="F5" i="19"/>
  <c r="F17" i="19" s="1"/>
  <c r="E5" i="19"/>
  <c r="D5" i="19"/>
  <c r="C5" i="19"/>
  <c r="C17" i="19" s="1"/>
  <c r="T4" i="19"/>
  <c r="S4" i="19"/>
  <c r="R4" i="19"/>
  <c r="Q4" i="19"/>
  <c r="P4" i="19"/>
  <c r="O4" i="19"/>
  <c r="N4" i="19"/>
  <c r="M4" i="19"/>
  <c r="L4" i="19"/>
  <c r="K4" i="19"/>
  <c r="J4" i="19"/>
  <c r="I4" i="19"/>
  <c r="H4" i="19"/>
  <c r="G4" i="19"/>
  <c r="F4" i="19"/>
  <c r="E4" i="19"/>
  <c r="D4" i="19"/>
  <c r="C4" i="19"/>
  <c r="B4" i="19"/>
  <c r="G19" i="19" l="1"/>
  <c r="E12" i="19"/>
  <c r="E18" i="19" s="1"/>
  <c r="D12" i="21"/>
  <c r="J64" i="20"/>
  <c r="L61" i="20"/>
  <c r="L34" i="20"/>
  <c r="P61" i="20"/>
  <c r="P34" i="20"/>
  <c r="T61" i="20"/>
  <c r="T34" i="20"/>
  <c r="F62" i="20"/>
  <c r="F29" i="20"/>
  <c r="J62" i="20"/>
  <c r="J29" i="20"/>
  <c r="N62" i="20"/>
  <c r="N29" i="20"/>
  <c r="R62" i="20"/>
  <c r="R29" i="20"/>
  <c r="O64" i="20"/>
  <c r="E65" i="20"/>
  <c r="I65" i="20"/>
  <c r="Q65" i="20"/>
  <c r="U65" i="20"/>
  <c r="G66" i="20"/>
  <c r="K66" i="20"/>
  <c r="S66" i="20"/>
  <c r="E67" i="20"/>
  <c r="Q67" i="20"/>
  <c r="U67" i="20"/>
  <c r="E29" i="20"/>
  <c r="N38" i="20" s="1"/>
  <c r="U64" i="20"/>
  <c r="I67" i="20"/>
  <c r="V62" i="20"/>
  <c r="P36" i="20"/>
  <c r="H63" i="20"/>
  <c r="L63" i="20"/>
  <c r="P63" i="20"/>
  <c r="T63" i="20"/>
  <c r="M64" i="20"/>
  <c r="Q64" i="20"/>
  <c r="Q29" i="20"/>
  <c r="E43" i="20"/>
  <c r="T62" i="20"/>
  <c r="G62" i="20"/>
  <c r="Q40" i="20"/>
  <c r="F64" i="20"/>
  <c r="R64" i="20"/>
  <c r="K65" i="20"/>
  <c r="I66" i="20"/>
  <c r="M66" i="20"/>
  <c r="G67" i="20"/>
  <c r="K67" i="20"/>
  <c r="M29" i="20"/>
  <c r="S29" i="20"/>
  <c r="E34" i="20"/>
  <c r="U34" i="20"/>
  <c r="H62" i="20"/>
  <c r="O62" i="20"/>
  <c r="K63" i="20"/>
  <c r="U66" i="20"/>
  <c r="L62" i="20"/>
  <c r="J63" i="20"/>
  <c r="O47" i="20"/>
  <c r="P65" i="20"/>
  <c r="F66" i="20"/>
  <c r="V66" i="20"/>
  <c r="H66" i="20"/>
  <c r="J53" i="20"/>
  <c r="P67" i="20"/>
  <c r="F67" i="20"/>
  <c r="V67" i="20"/>
  <c r="I29" i="20"/>
  <c r="O29" i="20"/>
  <c r="F34" i="20"/>
  <c r="O67" i="20"/>
  <c r="N64" i="20"/>
  <c r="L55" i="20"/>
  <c r="S34" i="20"/>
  <c r="F65" i="20"/>
  <c r="V65" i="20"/>
  <c r="E22" i="19"/>
  <c r="M22" i="19"/>
  <c r="M18" i="19"/>
  <c r="Q22" i="19"/>
  <c r="Q18" i="19"/>
  <c r="E20" i="19"/>
  <c r="F18" i="19"/>
  <c r="N12" i="19"/>
  <c r="Q20" i="19"/>
  <c r="N22" i="19"/>
  <c r="G20" i="19"/>
  <c r="G23" i="19"/>
  <c r="O20" i="19"/>
  <c r="O23" i="19"/>
  <c r="E21" i="19"/>
  <c r="M21" i="19"/>
  <c r="Q21" i="19"/>
  <c r="G22" i="19"/>
  <c r="K22" i="19"/>
  <c r="O22" i="19"/>
  <c r="E23" i="19"/>
  <c r="M23" i="19"/>
  <c r="Q23" i="19"/>
  <c r="M19" i="19"/>
  <c r="Q19" i="19"/>
  <c r="M20" i="19"/>
  <c r="N21" i="19"/>
  <c r="F12" i="19"/>
  <c r="F20" i="19" s="1"/>
  <c r="C12" i="19"/>
  <c r="C18" i="19" s="1"/>
  <c r="K12" i="19"/>
  <c r="K18" i="19" s="1"/>
  <c r="S12" i="19"/>
  <c r="D12" i="19"/>
  <c r="D20" i="19" s="1"/>
  <c r="H12" i="19"/>
  <c r="H22" i="19" s="1"/>
  <c r="L12" i="19"/>
  <c r="L22" i="19" s="1"/>
  <c r="P12" i="19"/>
  <c r="P20" i="19" s="1"/>
  <c r="T12" i="19"/>
  <c r="T20" i="19" s="1"/>
  <c r="G18" i="19"/>
  <c r="O18" i="19"/>
  <c r="R12" i="19"/>
  <c r="P21" i="19" l="1"/>
  <c r="O24" i="19"/>
  <c r="F21" i="19"/>
  <c r="E19" i="19"/>
  <c r="E24" i="19" s="1"/>
  <c r="H21" i="19"/>
  <c r="K21" i="19"/>
  <c r="P18" i="19"/>
  <c r="H18" i="19"/>
  <c r="F22" i="19"/>
  <c r="E12" i="21"/>
  <c r="M68" i="20"/>
  <c r="U68" i="20"/>
  <c r="I68" i="20"/>
  <c r="Q68" i="20"/>
  <c r="E68" i="20"/>
  <c r="R53" i="20"/>
  <c r="N52" i="20"/>
  <c r="T50" i="20"/>
  <c r="V49" i="20"/>
  <c r="G43" i="20"/>
  <c r="S50" i="20"/>
  <c r="M51" i="20"/>
  <c r="U47" i="20"/>
  <c r="R42" i="20"/>
  <c r="S35" i="20"/>
  <c r="I56" i="20"/>
  <c r="Q50" i="20"/>
  <c r="O49" i="20"/>
  <c r="M55" i="20"/>
  <c r="U39" i="20"/>
  <c r="N42" i="20"/>
  <c r="R50" i="20"/>
  <c r="L35" i="20"/>
  <c r="V57" i="20"/>
  <c r="F55" i="20"/>
  <c r="F49" i="20"/>
  <c r="U57" i="20"/>
  <c r="G54" i="20"/>
  <c r="N56" i="20"/>
  <c r="N41" i="20"/>
  <c r="H38" i="20"/>
  <c r="L44" i="20"/>
  <c r="F57" i="20"/>
  <c r="S54" i="20"/>
  <c r="U51" i="20"/>
  <c r="K50" i="20"/>
  <c r="T49" i="20"/>
  <c r="S45" i="20"/>
  <c r="H55" i="20"/>
  <c r="N50" i="20"/>
  <c r="N44" i="20"/>
  <c r="H56" i="20"/>
  <c r="F51" i="20"/>
  <c r="J49" i="20"/>
  <c r="S43" i="20"/>
  <c r="E57" i="20"/>
  <c r="U40" i="20"/>
  <c r="G35" i="20"/>
  <c r="R48" i="20"/>
  <c r="J41" i="20"/>
  <c r="L36" i="20"/>
  <c r="O51" i="20"/>
  <c r="K55" i="20"/>
  <c r="S53" i="20"/>
  <c r="M48" i="20"/>
  <c r="O41" i="20"/>
  <c r="N46" i="20"/>
  <c r="T40" i="20"/>
  <c r="O52" i="20"/>
  <c r="P44" i="20"/>
  <c r="E39" i="20"/>
  <c r="U52" i="20"/>
  <c r="S37" i="20"/>
  <c r="U43" i="20"/>
  <c r="N39" i="20"/>
  <c r="N35" i="20"/>
  <c r="E49" i="20"/>
  <c r="I37" i="20"/>
  <c r="J52" i="20"/>
  <c r="R57" i="20"/>
  <c r="Q43" i="20"/>
  <c r="O54" i="20"/>
  <c r="S52" i="20"/>
  <c r="V45" i="20"/>
  <c r="E40" i="20"/>
  <c r="J54" i="20"/>
  <c r="P38" i="20"/>
  <c r="G57" i="20"/>
  <c r="S51" i="20"/>
  <c r="G47" i="20"/>
  <c r="M36" i="20"/>
  <c r="N37" i="20"/>
  <c r="Q57" i="20"/>
  <c r="L47" i="20"/>
  <c r="L43" i="20"/>
  <c r="P47" i="20"/>
  <c r="V68" i="20"/>
  <c r="F68" i="20"/>
  <c r="G64" i="20"/>
  <c r="G68" i="20" s="1"/>
  <c r="G29" i="20"/>
  <c r="G42" i="20"/>
  <c r="T47" i="20"/>
  <c r="Q45" i="20"/>
  <c r="M45" i="20"/>
  <c r="E45" i="20"/>
  <c r="T44" i="20"/>
  <c r="V56" i="20"/>
  <c r="R54" i="20"/>
  <c r="L53" i="20"/>
  <c r="T51" i="20"/>
  <c r="L49" i="20"/>
  <c r="Q47" i="20"/>
  <c r="E47" i="20"/>
  <c r="M46" i="20"/>
  <c r="I44" i="20"/>
  <c r="R43" i="20"/>
  <c r="E42" i="20"/>
  <c r="I41" i="20"/>
  <c r="G40" i="20"/>
  <c r="S38" i="20"/>
  <c r="G36" i="20"/>
  <c r="Q35" i="20"/>
  <c r="H57" i="20"/>
  <c r="T56" i="20"/>
  <c r="L56" i="20"/>
  <c r="F56" i="20"/>
  <c r="R55" i="20"/>
  <c r="J55" i="20"/>
  <c r="L51" i="20"/>
  <c r="L50" i="20"/>
  <c r="P48" i="20"/>
  <c r="J48" i="20"/>
  <c r="N47" i="20"/>
  <c r="I47" i="20"/>
  <c r="Q46" i="20"/>
  <c r="T45" i="20"/>
  <c r="R44" i="20"/>
  <c r="M44" i="20"/>
  <c r="V43" i="20"/>
  <c r="F43" i="20"/>
  <c r="T42" i="20"/>
  <c r="I42" i="20"/>
  <c r="M41" i="20"/>
  <c r="H41" i="20"/>
  <c r="V40" i="20"/>
  <c r="K40" i="20"/>
  <c r="F40" i="20"/>
  <c r="T39" i="20"/>
  <c r="R38" i="20"/>
  <c r="G38" i="20"/>
  <c r="H37" i="20"/>
  <c r="V36" i="20"/>
  <c r="K36" i="20"/>
  <c r="F36" i="20"/>
  <c r="U35" i="20"/>
  <c r="P35" i="20"/>
  <c r="E35" i="20"/>
  <c r="T57" i="20"/>
  <c r="M57" i="20"/>
  <c r="R56" i="20"/>
  <c r="K56" i="20"/>
  <c r="I55" i="20"/>
  <c r="V54" i="20"/>
  <c r="N54" i="20"/>
  <c r="H54" i="20"/>
  <c r="V53" i="20"/>
  <c r="N53" i="20"/>
  <c r="H53" i="20"/>
  <c r="T52" i="20"/>
  <c r="L52" i="20"/>
  <c r="R51" i="20"/>
  <c r="J51" i="20"/>
  <c r="P49" i="20"/>
  <c r="H49" i="20"/>
  <c r="V48" i="20"/>
  <c r="O48" i="20"/>
  <c r="H48" i="20"/>
  <c r="M47" i="20"/>
  <c r="U46" i="20"/>
  <c r="P46" i="20"/>
  <c r="E46" i="20"/>
  <c r="V44" i="20"/>
  <c r="Q44" i="20"/>
  <c r="K44" i="20"/>
  <c r="F44" i="20"/>
  <c r="J43" i="20"/>
  <c r="M42" i="20"/>
  <c r="Q41" i="20"/>
  <c r="L41" i="20"/>
  <c r="G41" i="20"/>
  <c r="O40" i="20"/>
  <c r="J40" i="20"/>
  <c r="S39" i="20"/>
  <c r="H39" i="20"/>
  <c r="V38" i="20"/>
  <c r="Q38" i="20"/>
  <c r="K38" i="20"/>
  <c r="F38" i="20"/>
  <c r="L37" i="20"/>
  <c r="G37" i="20"/>
  <c r="U36" i="20"/>
  <c r="O36" i="20"/>
  <c r="J36" i="20"/>
  <c r="E36" i="20"/>
  <c r="T35" i="20"/>
  <c r="I35" i="20"/>
  <c r="U55" i="20"/>
  <c r="T54" i="20"/>
  <c r="E44" i="20"/>
  <c r="I43" i="20"/>
  <c r="P41" i="20"/>
  <c r="S40" i="20"/>
  <c r="E38" i="20"/>
  <c r="V37" i="20"/>
  <c r="P56" i="20"/>
  <c r="N55" i="20"/>
  <c r="M54" i="20"/>
  <c r="T53" i="20"/>
  <c r="Q52" i="20"/>
  <c r="H51" i="20"/>
  <c r="O50" i="20"/>
  <c r="U49" i="20"/>
  <c r="T48" i="20"/>
  <c r="R47" i="20"/>
  <c r="T46" i="20"/>
  <c r="R45" i="20"/>
  <c r="U44" i="20"/>
  <c r="K41" i="20"/>
  <c r="N40" i="20"/>
  <c r="R39" i="20"/>
  <c r="U38" i="20"/>
  <c r="P37" i="20"/>
  <c r="S36" i="20"/>
  <c r="S57" i="20"/>
  <c r="J56" i="20"/>
  <c r="G55" i="20"/>
  <c r="F54" i="20"/>
  <c r="M53" i="20"/>
  <c r="K52" i="20"/>
  <c r="H50" i="20"/>
  <c r="M49" i="20"/>
  <c r="N48" i="20"/>
  <c r="O46" i="20"/>
  <c r="O44" i="20"/>
  <c r="Q42" i="20"/>
  <c r="E41" i="20"/>
  <c r="H40" i="20"/>
  <c r="L39" i="20"/>
  <c r="O38" i="20"/>
  <c r="K37" i="20"/>
  <c r="N36" i="20"/>
  <c r="M35" i="20"/>
  <c r="L57" i="20"/>
  <c r="F53" i="20"/>
  <c r="G49" i="20"/>
  <c r="F48" i="20"/>
  <c r="F47" i="20"/>
  <c r="I46" i="20"/>
  <c r="G45" i="20"/>
  <c r="J44" i="20"/>
  <c r="N43" i="20"/>
  <c r="U41" i="20"/>
  <c r="G39" i="20"/>
  <c r="J38" i="20"/>
  <c r="F37" i="20"/>
  <c r="I36" i="20"/>
  <c r="H35" i="20"/>
  <c r="U56" i="20"/>
  <c r="E56" i="20"/>
  <c r="I54" i="20"/>
  <c r="O53" i="20"/>
  <c r="M52" i="20"/>
  <c r="G51" i="20"/>
  <c r="K49" i="20"/>
  <c r="I48" i="20"/>
  <c r="S46" i="20"/>
  <c r="H45" i="20"/>
  <c r="O39" i="20"/>
  <c r="O37" i="20"/>
  <c r="P52" i="20"/>
  <c r="J46" i="20"/>
  <c r="P42" i="20"/>
  <c r="P64" i="20"/>
  <c r="P68" i="20" s="1"/>
  <c r="P29" i="20"/>
  <c r="P40" i="20"/>
  <c r="J39" i="20"/>
  <c r="J37" i="20"/>
  <c r="J68" i="20"/>
  <c r="I57" i="20"/>
  <c r="E55" i="20"/>
  <c r="G52" i="20"/>
  <c r="S48" i="20"/>
  <c r="K47" i="20"/>
  <c r="H44" i="20"/>
  <c r="H43" i="20"/>
  <c r="Q39" i="20"/>
  <c r="U37" i="20"/>
  <c r="E37" i="20"/>
  <c r="J47" i="20"/>
  <c r="U42" i="20"/>
  <c r="T41" i="20"/>
  <c r="T37" i="20"/>
  <c r="T55" i="20"/>
  <c r="V52" i="20"/>
  <c r="F52" i="20"/>
  <c r="J50" i="20"/>
  <c r="L54" i="20"/>
  <c r="M43" i="20"/>
  <c r="N57" i="20"/>
  <c r="P54" i="20"/>
  <c r="H52" i="20"/>
  <c r="R49" i="20"/>
  <c r="L48" i="20"/>
  <c r="O43" i="20"/>
  <c r="O68" i="20"/>
  <c r="M38" i="20"/>
  <c r="S56" i="20"/>
  <c r="U53" i="20"/>
  <c r="Q51" i="20"/>
  <c r="I51" i="20"/>
  <c r="I49" i="20"/>
  <c r="J45" i="20"/>
  <c r="F42" i="20"/>
  <c r="M40" i="20"/>
  <c r="O35" i="20"/>
  <c r="T68" i="20"/>
  <c r="P53" i="20"/>
  <c r="U45" i="20"/>
  <c r="V41" i="20"/>
  <c r="F41" i="20"/>
  <c r="H36" i="20"/>
  <c r="O57" i="20"/>
  <c r="Q56" i="20"/>
  <c r="S55" i="20"/>
  <c r="U54" i="20"/>
  <c r="K53" i="20"/>
  <c r="I52" i="20"/>
  <c r="M50" i="20"/>
  <c r="E50" i="20"/>
  <c r="U48" i="20"/>
  <c r="E48" i="20"/>
  <c r="K46" i="20"/>
  <c r="S44" i="20"/>
  <c r="K39" i="20"/>
  <c r="V46" i="20"/>
  <c r="F46" i="20"/>
  <c r="L40" i="20"/>
  <c r="F39" i="20"/>
  <c r="N68" i="20"/>
  <c r="F35" i="20"/>
  <c r="O56" i="20"/>
  <c r="Q53" i="20"/>
  <c r="G50" i="20"/>
  <c r="K48" i="20"/>
  <c r="O45" i="20"/>
  <c r="P45" i="20"/>
  <c r="G44" i="20"/>
  <c r="V42" i="20"/>
  <c r="M39" i="20"/>
  <c r="Q37" i="20"/>
  <c r="L46" i="20"/>
  <c r="K42" i="20"/>
  <c r="K29" i="20"/>
  <c r="R40" i="20"/>
  <c r="R36" i="20"/>
  <c r="P55" i="20"/>
  <c r="R52" i="20"/>
  <c r="V50" i="20"/>
  <c r="F50" i="20"/>
  <c r="N51" i="20"/>
  <c r="V35" i="20"/>
  <c r="J57" i="20"/>
  <c r="V55" i="20"/>
  <c r="V51" i="20"/>
  <c r="P50" i="20"/>
  <c r="N49" i="20"/>
  <c r="V47" i="20"/>
  <c r="K43" i="20"/>
  <c r="Q55" i="20"/>
  <c r="K54" i="20"/>
  <c r="E53" i="20"/>
  <c r="E51" i="20"/>
  <c r="G48" i="20"/>
  <c r="S64" i="20"/>
  <c r="S68" i="20" s="1"/>
  <c r="S42" i="20"/>
  <c r="I40" i="20"/>
  <c r="K35" i="20"/>
  <c r="P57" i="20"/>
  <c r="P51" i="20"/>
  <c r="I45" i="20"/>
  <c r="R41" i="20"/>
  <c r="T38" i="20"/>
  <c r="L38" i="20"/>
  <c r="T36" i="20"/>
  <c r="V29" i="20"/>
  <c r="K57" i="20"/>
  <c r="M56" i="20"/>
  <c r="O55" i="20"/>
  <c r="Q54" i="20"/>
  <c r="E54" i="20"/>
  <c r="G53" i="20"/>
  <c r="E52" i="20"/>
  <c r="K51" i="20"/>
  <c r="U50" i="20"/>
  <c r="I50" i="20"/>
  <c r="S49" i="20"/>
  <c r="Q48" i="20"/>
  <c r="H47" i="20"/>
  <c r="G46" i="20"/>
  <c r="S41" i="20"/>
  <c r="I38" i="20"/>
  <c r="Q36" i="20"/>
  <c r="R35" i="20"/>
  <c r="R46" i="20"/>
  <c r="F45" i="20"/>
  <c r="O42" i="20"/>
  <c r="V39" i="20"/>
  <c r="R37" i="20"/>
  <c r="R68" i="20"/>
  <c r="J35" i="20"/>
  <c r="T43" i="20"/>
  <c r="G56" i="20"/>
  <c r="I53" i="20"/>
  <c r="Q49" i="20"/>
  <c r="S47" i="20"/>
  <c r="N45" i="20"/>
  <c r="P43" i="20"/>
  <c r="V64" i="20"/>
  <c r="I39" i="20"/>
  <c r="M37" i="20"/>
  <c r="H46" i="20"/>
  <c r="J42" i="20"/>
  <c r="P39" i="20"/>
  <c r="R20" i="19"/>
  <c r="R19" i="19"/>
  <c r="R23" i="19"/>
  <c r="S23" i="19"/>
  <c r="S20" i="19"/>
  <c r="T22" i="19"/>
  <c r="D22" i="19"/>
  <c r="S22" i="19"/>
  <c r="C22" i="19"/>
  <c r="L19" i="19"/>
  <c r="L23" i="19"/>
  <c r="C19" i="19"/>
  <c r="K23" i="19"/>
  <c r="K20" i="19"/>
  <c r="P22" i="19"/>
  <c r="R21" i="19"/>
  <c r="N20" i="19"/>
  <c r="L18" i="19"/>
  <c r="H20" i="19"/>
  <c r="H24" i="19" s="1"/>
  <c r="H19" i="19"/>
  <c r="H23" i="19"/>
  <c r="L21" i="19"/>
  <c r="R18" i="19"/>
  <c r="S21" i="19"/>
  <c r="Q24" i="19"/>
  <c r="I12" i="19"/>
  <c r="L20" i="19"/>
  <c r="C23" i="19"/>
  <c r="C20" i="19"/>
  <c r="T19" i="19"/>
  <c r="D19" i="19"/>
  <c r="T23" i="19"/>
  <c r="D23" i="19"/>
  <c r="S19" i="19"/>
  <c r="N23" i="19"/>
  <c r="N19" i="19"/>
  <c r="G24" i="19"/>
  <c r="N18" i="19"/>
  <c r="N24" i="19" s="1"/>
  <c r="F23" i="19"/>
  <c r="F19" i="19"/>
  <c r="F24" i="19" s="1"/>
  <c r="T18" i="19"/>
  <c r="D18" i="19"/>
  <c r="P19" i="19"/>
  <c r="S18" i="19"/>
  <c r="P23" i="19"/>
  <c r="R22" i="19"/>
  <c r="T21" i="19"/>
  <c r="D21" i="19"/>
  <c r="K19" i="19"/>
  <c r="K24" i="19" s="1"/>
  <c r="C21" i="19"/>
  <c r="M24" i="19"/>
  <c r="P24" i="19" l="1"/>
  <c r="S24" i="19"/>
  <c r="D24" i="19"/>
  <c r="L42" i="20"/>
  <c r="L45" i="20"/>
  <c r="K45" i="20"/>
  <c r="K64" i="20"/>
  <c r="K68" i="20" s="1"/>
  <c r="H64" i="20"/>
  <c r="H68" i="20" s="1"/>
  <c r="H42" i="20"/>
  <c r="H29" i="20"/>
  <c r="C24" i="19"/>
  <c r="R24" i="19"/>
  <c r="J12" i="19"/>
  <c r="J20" i="19" s="1"/>
  <c r="I22" i="19"/>
  <c r="I18" i="19"/>
  <c r="I21" i="19"/>
  <c r="I23" i="19"/>
  <c r="I19" i="19"/>
  <c r="L24" i="19"/>
  <c r="T24" i="19"/>
  <c r="I20" i="19"/>
  <c r="L29" i="20" l="1"/>
  <c r="L64" i="20"/>
  <c r="L68" i="20" s="1"/>
  <c r="J19" i="19"/>
  <c r="J23" i="19"/>
  <c r="J18" i="19"/>
  <c r="J21" i="19"/>
  <c r="J22" i="19"/>
  <c r="I24" i="19"/>
  <c r="J24" i="19" l="1"/>
  <c r="F62" i="10" l="1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F63" i="10"/>
  <c r="G63" i="10"/>
  <c r="G68" i="10" s="1"/>
  <c r="H63" i="10"/>
  <c r="H68" i="10" s="1"/>
  <c r="I63" i="10"/>
  <c r="J63" i="10"/>
  <c r="K63" i="10"/>
  <c r="K68" i="10" s="1"/>
  <c r="L63" i="10"/>
  <c r="L68" i="10" s="1"/>
  <c r="M63" i="10"/>
  <c r="N63" i="10"/>
  <c r="O63" i="10"/>
  <c r="O68" i="10" s="1"/>
  <c r="P63" i="10"/>
  <c r="P68" i="10" s="1"/>
  <c r="Q63" i="10"/>
  <c r="R63" i="10"/>
  <c r="S63" i="10"/>
  <c r="S68" i="10" s="1"/>
  <c r="T63" i="10"/>
  <c r="T68" i="10" s="1"/>
  <c r="U63" i="10"/>
  <c r="V63" i="10"/>
  <c r="F64" i="10"/>
  <c r="F68" i="10" s="1"/>
  <c r="G64" i="10"/>
  <c r="H64" i="10"/>
  <c r="I64" i="10"/>
  <c r="J64" i="10"/>
  <c r="J68" i="10" s="1"/>
  <c r="K64" i="10"/>
  <c r="L64" i="10"/>
  <c r="M64" i="10"/>
  <c r="N64" i="10"/>
  <c r="N68" i="10" s="1"/>
  <c r="O64" i="10"/>
  <c r="P64" i="10"/>
  <c r="Q64" i="10"/>
  <c r="R64" i="10"/>
  <c r="R68" i="10" s="1"/>
  <c r="S64" i="10"/>
  <c r="T64" i="10"/>
  <c r="U64" i="10"/>
  <c r="V64" i="10"/>
  <c r="V68" i="10" s="1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E67" i="10"/>
  <c r="E66" i="10"/>
  <c r="E65" i="10"/>
  <c r="E64" i="10"/>
  <c r="E63" i="10"/>
  <c r="E62" i="10"/>
  <c r="I68" i="10"/>
  <c r="M68" i="10"/>
  <c r="Q68" i="10"/>
  <c r="U68" i="10"/>
  <c r="F61" i="10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E61" i="10"/>
  <c r="P8" i="13"/>
  <c r="Q8" i="13" s="1"/>
  <c r="T8" i="13"/>
  <c r="S8" i="13"/>
  <c r="L8" i="13"/>
  <c r="M8" i="13" s="1"/>
  <c r="N8" i="13" s="1"/>
  <c r="H8" i="13"/>
  <c r="I8" i="13" s="1"/>
  <c r="J8" i="13" s="1"/>
  <c r="I16" i="10"/>
  <c r="D8" i="13"/>
  <c r="E8" i="13" s="1"/>
  <c r="F8" i="13" s="1"/>
  <c r="E68" i="10" l="1"/>
  <c r="D6" i="18"/>
  <c r="E6" i="18"/>
  <c r="F6" i="18"/>
  <c r="G6" i="18"/>
  <c r="H6" i="18"/>
  <c r="I6" i="18"/>
  <c r="J6" i="18"/>
  <c r="K6" i="18"/>
  <c r="L6" i="18"/>
  <c r="M6" i="18"/>
  <c r="N6" i="18"/>
  <c r="O6" i="18"/>
  <c r="P6" i="18"/>
  <c r="Q6" i="18"/>
  <c r="R6" i="18"/>
  <c r="S6" i="18"/>
  <c r="T6" i="18"/>
  <c r="D7" i="18"/>
  <c r="E7" i="18"/>
  <c r="F7" i="18"/>
  <c r="G7" i="18"/>
  <c r="H7" i="18"/>
  <c r="I7" i="18"/>
  <c r="J7" i="18"/>
  <c r="K7" i="18"/>
  <c r="L7" i="18"/>
  <c r="M7" i="18"/>
  <c r="N7" i="18"/>
  <c r="O7" i="18"/>
  <c r="P7" i="18"/>
  <c r="Q7" i="18"/>
  <c r="R7" i="18"/>
  <c r="S7" i="18"/>
  <c r="T7" i="18"/>
  <c r="D8" i="18"/>
  <c r="E8" i="18"/>
  <c r="F8" i="18"/>
  <c r="G8" i="18"/>
  <c r="H8" i="18"/>
  <c r="I8" i="18"/>
  <c r="J8" i="18"/>
  <c r="K8" i="18"/>
  <c r="L8" i="18"/>
  <c r="M8" i="18"/>
  <c r="N8" i="18"/>
  <c r="O8" i="18"/>
  <c r="P8" i="18"/>
  <c r="Q8" i="18"/>
  <c r="R8" i="18"/>
  <c r="S8" i="18"/>
  <c r="T8" i="18"/>
  <c r="D9" i="18"/>
  <c r="E9" i="18"/>
  <c r="F9" i="18"/>
  <c r="G9" i="18"/>
  <c r="H9" i="18"/>
  <c r="I9" i="18"/>
  <c r="J9" i="18"/>
  <c r="K9" i="18"/>
  <c r="L9" i="18"/>
  <c r="M9" i="18"/>
  <c r="N9" i="18"/>
  <c r="O9" i="18"/>
  <c r="P9" i="18"/>
  <c r="Q9" i="18"/>
  <c r="R9" i="18"/>
  <c r="S9" i="18"/>
  <c r="T9" i="18"/>
  <c r="D10" i="18"/>
  <c r="E10" i="18"/>
  <c r="F10" i="18"/>
  <c r="G10" i="18"/>
  <c r="H10" i="18"/>
  <c r="I10" i="18"/>
  <c r="J10" i="18"/>
  <c r="K10" i="18"/>
  <c r="L10" i="18"/>
  <c r="M10" i="18"/>
  <c r="N10" i="18"/>
  <c r="O10" i="18"/>
  <c r="P10" i="18"/>
  <c r="Q10" i="18"/>
  <c r="R10" i="18"/>
  <c r="S10" i="18"/>
  <c r="T10" i="18"/>
  <c r="D11" i="18"/>
  <c r="E11" i="18"/>
  <c r="F11" i="18"/>
  <c r="G11" i="18"/>
  <c r="H11" i="18"/>
  <c r="I11" i="18"/>
  <c r="J11" i="18"/>
  <c r="K11" i="18"/>
  <c r="L11" i="18"/>
  <c r="M11" i="18"/>
  <c r="N11" i="18"/>
  <c r="O11" i="18"/>
  <c r="P11" i="18"/>
  <c r="Q11" i="18"/>
  <c r="R11" i="18"/>
  <c r="S11" i="18"/>
  <c r="T11" i="18"/>
  <c r="C7" i="18"/>
  <c r="C12" i="18" s="1"/>
  <c r="C20" i="18" s="1"/>
  <c r="C8" i="18"/>
  <c r="C9" i="18"/>
  <c r="C10" i="18"/>
  <c r="C11" i="18"/>
  <c r="C6" i="18"/>
  <c r="B23" i="18"/>
  <c r="B22" i="18"/>
  <c r="B21" i="18"/>
  <c r="B20" i="18"/>
  <c r="B19" i="18"/>
  <c r="T17" i="18"/>
  <c r="S17" i="18"/>
  <c r="Q17" i="18"/>
  <c r="P17" i="18"/>
  <c r="O17" i="18"/>
  <c r="M17" i="18"/>
  <c r="I17" i="18"/>
  <c r="H17" i="18"/>
  <c r="E17" i="18"/>
  <c r="D17" i="18"/>
  <c r="C17" i="18"/>
  <c r="B7" i="18"/>
  <c r="B6" i="18"/>
  <c r="B18" i="18" s="1"/>
  <c r="U5" i="18"/>
  <c r="T5" i="18"/>
  <c r="S5" i="18"/>
  <c r="R5" i="18"/>
  <c r="R17" i="18" s="1"/>
  <c r="Q5" i="18"/>
  <c r="P5" i="18"/>
  <c r="O5" i="18"/>
  <c r="N5" i="18"/>
  <c r="N17" i="18" s="1"/>
  <c r="M5" i="18"/>
  <c r="L5" i="18"/>
  <c r="L17" i="18" s="1"/>
  <c r="K5" i="18"/>
  <c r="K17" i="18" s="1"/>
  <c r="J5" i="18"/>
  <c r="J17" i="18" s="1"/>
  <c r="I5" i="18"/>
  <c r="H5" i="18"/>
  <c r="G5" i="18"/>
  <c r="G17" i="18" s="1"/>
  <c r="F5" i="18"/>
  <c r="F17" i="18" s="1"/>
  <c r="E5" i="18"/>
  <c r="D5" i="18"/>
  <c r="C5" i="18"/>
  <c r="T4" i="18"/>
  <c r="S4" i="18"/>
  <c r="R4" i="18"/>
  <c r="Q4" i="18"/>
  <c r="P4" i="18"/>
  <c r="O4" i="18"/>
  <c r="N4" i="18"/>
  <c r="M4" i="18"/>
  <c r="L4" i="18"/>
  <c r="K4" i="18"/>
  <c r="J4" i="18"/>
  <c r="I4" i="18"/>
  <c r="H4" i="18"/>
  <c r="G4" i="18"/>
  <c r="F4" i="18"/>
  <c r="E4" i="18"/>
  <c r="D4" i="18"/>
  <c r="C4" i="18"/>
  <c r="B4" i="18"/>
  <c r="R11" i="12"/>
  <c r="R9" i="12"/>
  <c r="R8" i="12"/>
  <c r="S8" i="12" s="1"/>
  <c r="T8" i="12" s="1"/>
  <c r="O11" i="12"/>
  <c r="P11" i="12" s="1"/>
  <c r="Q11" i="12" s="1"/>
  <c r="O9" i="12"/>
  <c r="O8" i="12"/>
  <c r="P8" i="12" s="1"/>
  <c r="Q8" i="12" s="1"/>
  <c r="K11" i="12"/>
  <c r="K9" i="12"/>
  <c r="K8" i="12"/>
  <c r="L8" i="12" s="1"/>
  <c r="M8" i="12" s="1"/>
  <c r="N8" i="12" s="1"/>
  <c r="G11" i="12"/>
  <c r="G9" i="12"/>
  <c r="G8" i="12"/>
  <c r="C11" i="12"/>
  <c r="C9" i="12"/>
  <c r="C8" i="12"/>
  <c r="T11" i="12"/>
  <c r="S11" i="12"/>
  <c r="S9" i="12"/>
  <c r="T9" i="12" s="1"/>
  <c r="P9" i="12"/>
  <c r="Q9" i="12" s="1"/>
  <c r="L11" i="12"/>
  <c r="M11" i="12" s="1"/>
  <c r="N11" i="12" s="1"/>
  <c r="L9" i="12"/>
  <c r="M9" i="12" s="1"/>
  <c r="N9" i="12" s="1"/>
  <c r="H11" i="12"/>
  <c r="I11" i="12" s="1"/>
  <c r="J11" i="12" s="1"/>
  <c r="H9" i="12"/>
  <c r="I9" i="12" s="1"/>
  <c r="J9" i="12" s="1"/>
  <c r="H8" i="12"/>
  <c r="I8" i="12" s="1"/>
  <c r="J8" i="12" s="1"/>
  <c r="D11" i="12"/>
  <c r="E11" i="12" s="1"/>
  <c r="F11" i="12" s="1"/>
  <c r="D9" i="12"/>
  <c r="E9" i="12" s="1"/>
  <c r="F9" i="12" s="1"/>
  <c r="D8" i="12"/>
  <c r="E8" i="12" s="1"/>
  <c r="F8" i="12" s="1"/>
  <c r="H23" i="18" l="1"/>
  <c r="C19" i="18"/>
  <c r="K19" i="18"/>
  <c r="C23" i="18"/>
  <c r="O12" i="18"/>
  <c r="O19" i="18" s="1"/>
  <c r="O21" i="18"/>
  <c r="C18" i="18"/>
  <c r="S12" i="18"/>
  <c r="S18" i="18" s="1"/>
  <c r="H19" i="18"/>
  <c r="H20" i="18"/>
  <c r="S23" i="18"/>
  <c r="K12" i="18"/>
  <c r="K23" i="18" s="1"/>
  <c r="D12" i="18"/>
  <c r="H12" i="18"/>
  <c r="P12" i="18"/>
  <c r="P21" i="18" s="1"/>
  <c r="T12" i="18"/>
  <c r="T19" i="18" s="1"/>
  <c r="L12" i="18"/>
  <c r="C22" i="18"/>
  <c r="O22" i="18"/>
  <c r="S22" i="18"/>
  <c r="G12" i="18"/>
  <c r="G21" i="18" s="1"/>
  <c r="R12" i="18"/>
  <c r="R22" i="18" s="1"/>
  <c r="O20" i="18"/>
  <c r="C21" i="18"/>
  <c r="R21" i="18"/>
  <c r="H28" i="17"/>
  <c r="G28" i="17"/>
  <c r="F28" i="17"/>
  <c r="E28" i="17"/>
  <c r="H27" i="17"/>
  <c r="G27" i="17"/>
  <c r="F27" i="17"/>
  <c r="E27" i="17"/>
  <c r="H26" i="17"/>
  <c r="G26" i="17"/>
  <c r="F26" i="17"/>
  <c r="E26" i="17"/>
  <c r="H25" i="17"/>
  <c r="G25" i="17"/>
  <c r="F25" i="17"/>
  <c r="E25" i="17"/>
  <c r="H24" i="17"/>
  <c r="G24" i="17"/>
  <c r="F24" i="17"/>
  <c r="E24" i="17"/>
  <c r="H23" i="17"/>
  <c r="G23" i="17"/>
  <c r="F23" i="17"/>
  <c r="E23" i="17"/>
  <c r="H22" i="17"/>
  <c r="G22" i="17"/>
  <c r="F22" i="17"/>
  <c r="E22" i="17"/>
  <c r="E68" i="17" s="1"/>
  <c r="H21" i="17"/>
  <c r="G21" i="17"/>
  <c r="F21" i="17"/>
  <c r="E21" i="17"/>
  <c r="E67" i="17" s="1"/>
  <c r="H20" i="17"/>
  <c r="G20" i="17"/>
  <c r="F20" i="17"/>
  <c r="E20" i="17"/>
  <c r="H19" i="17"/>
  <c r="G19" i="17"/>
  <c r="F19" i="17"/>
  <c r="E19" i="17"/>
  <c r="H18" i="17"/>
  <c r="G18" i="17"/>
  <c r="F18" i="17"/>
  <c r="E18" i="17"/>
  <c r="H17" i="17"/>
  <c r="G17" i="17"/>
  <c r="F17" i="17"/>
  <c r="E17" i="17"/>
  <c r="H16" i="17"/>
  <c r="G16" i="17"/>
  <c r="F16" i="17"/>
  <c r="E16" i="17"/>
  <c r="H15" i="17"/>
  <c r="G15" i="17"/>
  <c r="F15" i="17"/>
  <c r="E15" i="17"/>
  <c r="H14" i="17"/>
  <c r="G14" i="17"/>
  <c r="F14" i="17"/>
  <c r="E14" i="17"/>
  <c r="H13" i="17"/>
  <c r="G13" i="17"/>
  <c r="F13" i="17"/>
  <c r="E13" i="17"/>
  <c r="E66" i="17" s="1"/>
  <c r="H12" i="17"/>
  <c r="G12" i="17"/>
  <c r="F12" i="17"/>
  <c r="E12" i="17"/>
  <c r="H11" i="17"/>
  <c r="G11" i="17"/>
  <c r="F11" i="17"/>
  <c r="E11" i="17"/>
  <c r="H10" i="17"/>
  <c r="G10" i="17"/>
  <c r="F10" i="17"/>
  <c r="E10" i="17"/>
  <c r="H9" i="17"/>
  <c r="G9" i="17"/>
  <c r="F9" i="17"/>
  <c r="E9" i="17"/>
  <c r="E65" i="17" s="1"/>
  <c r="H8" i="17"/>
  <c r="G8" i="17"/>
  <c r="F8" i="17"/>
  <c r="E8" i="17"/>
  <c r="H7" i="17"/>
  <c r="G7" i="17"/>
  <c r="F7" i="17"/>
  <c r="E7" i="17"/>
  <c r="H6" i="17"/>
  <c r="G6" i="17"/>
  <c r="G64" i="17" s="1"/>
  <c r="F6" i="17"/>
  <c r="E6" i="17"/>
  <c r="I6" i="17"/>
  <c r="I64" i="17" s="1"/>
  <c r="J6" i="17"/>
  <c r="K6" i="17"/>
  <c r="L6" i="17"/>
  <c r="I7" i="17"/>
  <c r="J7" i="17"/>
  <c r="K7" i="17"/>
  <c r="L7" i="17"/>
  <c r="I8" i="17"/>
  <c r="J8" i="17"/>
  <c r="K8" i="17"/>
  <c r="L8" i="17"/>
  <c r="I9" i="17"/>
  <c r="J9" i="17"/>
  <c r="K9" i="17"/>
  <c r="L9" i="17"/>
  <c r="I10" i="17"/>
  <c r="J10" i="17"/>
  <c r="K10" i="17"/>
  <c r="L10" i="17"/>
  <c r="I11" i="17"/>
  <c r="J11" i="17"/>
  <c r="K11" i="17"/>
  <c r="L11" i="17"/>
  <c r="I12" i="17"/>
  <c r="J12" i="17"/>
  <c r="K12" i="17"/>
  <c r="L12" i="17"/>
  <c r="I13" i="17"/>
  <c r="I66" i="17" s="1"/>
  <c r="J13" i="17"/>
  <c r="K13" i="17"/>
  <c r="L13" i="17"/>
  <c r="I14" i="17"/>
  <c r="J14" i="17"/>
  <c r="K14" i="17"/>
  <c r="L14" i="17"/>
  <c r="I15" i="17"/>
  <c r="J15" i="17"/>
  <c r="K15" i="17"/>
  <c r="L15" i="17"/>
  <c r="I16" i="17"/>
  <c r="J16" i="17"/>
  <c r="K16" i="17"/>
  <c r="L16" i="17"/>
  <c r="I17" i="17"/>
  <c r="J17" i="17"/>
  <c r="K17" i="17"/>
  <c r="L17" i="17"/>
  <c r="I18" i="17"/>
  <c r="J18" i="17"/>
  <c r="K18" i="17"/>
  <c r="L18" i="17"/>
  <c r="I19" i="17"/>
  <c r="J19" i="17"/>
  <c r="K19" i="17"/>
  <c r="L19" i="17"/>
  <c r="I20" i="17"/>
  <c r="J20" i="17"/>
  <c r="K20" i="17"/>
  <c r="L20" i="17"/>
  <c r="I21" i="17"/>
  <c r="J21" i="17"/>
  <c r="K21" i="17"/>
  <c r="L21" i="17"/>
  <c r="I22" i="17"/>
  <c r="J22" i="17"/>
  <c r="K22" i="17"/>
  <c r="L22" i="17"/>
  <c r="I23" i="17"/>
  <c r="J23" i="17"/>
  <c r="K23" i="17"/>
  <c r="L23" i="17"/>
  <c r="I24" i="17"/>
  <c r="J24" i="17"/>
  <c r="K24" i="17"/>
  <c r="L24" i="17"/>
  <c r="I25" i="17"/>
  <c r="J25" i="17"/>
  <c r="K25" i="17"/>
  <c r="L25" i="17"/>
  <c r="I26" i="17"/>
  <c r="J26" i="17"/>
  <c r="K26" i="17"/>
  <c r="L26" i="17"/>
  <c r="I27" i="17"/>
  <c r="J27" i="17"/>
  <c r="K27" i="17"/>
  <c r="L27" i="17"/>
  <c r="I28" i="17"/>
  <c r="J28" i="17"/>
  <c r="K28" i="17"/>
  <c r="L28" i="17"/>
  <c r="M6" i="17"/>
  <c r="N6" i="17"/>
  <c r="O6" i="17"/>
  <c r="P6" i="17"/>
  <c r="Q6" i="17"/>
  <c r="R6" i="17"/>
  <c r="S6" i="17"/>
  <c r="T6" i="17"/>
  <c r="U6" i="17"/>
  <c r="V6" i="17"/>
  <c r="M7" i="17"/>
  <c r="N7" i="17"/>
  <c r="O7" i="17"/>
  <c r="P7" i="17"/>
  <c r="Q7" i="17"/>
  <c r="R7" i="17"/>
  <c r="S7" i="17"/>
  <c r="T7" i="17"/>
  <c r="U7" i="17"/>
  <c r="V7" i="17"/>
  <c r="M8" i="17"/>
  <c r="N8" i="17"/>
  <c r="O8" i="17"/>
  <c r="P8" i="17"/>
  <c r="Q8" i="17"/>
  <c r="R8" i="17"/>
  <c r="S8" i="17"/>
  <c r="T8" i="17"/>
  <c r="U8" i="17"/>
  <c r="V8" i="17"/>
  <c r="M9" i="17"/>
  <c r="N9" i="17"/>
  <c r="O9" i="17"/>
  <c r="P9" i="17"/>
  <c r="Q9" i="17"/>
  <c r="R9" i="17"/>
  <c r="S9" i="17"/>
  <c r="T9" i="17"/>
  <c r="U9" i="17"/>
  <c r="U65" i="17" s="1"/>
  <c r="V9" i="17"/>
  <c r="M10" i="17"/>
  <c r="N10" i="17"/>
  <c r="O10" i="17"/>
  <c r="P10" i="17"/>
  <c r="Q10" i="17"/>
  <c r="R10" i="17"/>
  <c r="S10" i="17"/>
  <c r="T10" i="17"/>
  <c r="U10" i="17"/>
  <c r="V10" i="17"/>
  <c r="M11" i="17"/>
  <c r="N11" i="17"/>
  <c r="O11" i="17"/>
  <c r="P11" i="17"/>
  <c r="Q11" i="17"/>
  <c r="R11" i="17"/>
  <c r="S11" i="17"/>
  <c r="T11" i="17"/>
  <c r="U11" i="17"/>
  <c r="V11" i="17"/>
  <c r="M12" i="17"/>
  <c r="N12" i="17"/>
  <c r="O12" i="17"/>
  <c r="P12" i="17"/>
  <c r="Q12" i="17"/>
  <c r="R12" i="17"/>
  <c r="S12" i="17"/>
  <c r="T12" i="17"/>
  <c r="U12" i="17"/>
  <c r="V12" i="17"/>
  <c r="M13" i="17"/>
  <c r="N13" i="17"/>
  <c r="O13" i="17"/>
  <c r="P13" i="17"/>
  <c r="Q13" i="17"/>
  <c r="R13" i="17"/>
  <c r="S13" i="17"/>
  <c r="T13" i="17"/>
  <c r="U13" i="17"/>
  <c r="U66" i="17" s="1"/>
  <c r="V13" i="17"/>
  <c r="M14" i="17"/>
  <c r="N14" i="17"/>
  <c r="O14" i="17"/>
  <c r="P14" i="17"/>
  <c r="Q14" i="17"/>
  <c r="R14" i="17"/>
  <c r="S14" i="17"/>
  <c r="T14" i="17"/>
  <c r="T66" i="17" s="1"/>
  <c r="U14" i="17"/>
  <c r="V14" i="17"/>
  <c r="M15" i="17"/>
  <c r="N15" i="17"/>
  <c r="O15" i="17"/>
  <c r="P15" i="17"/>
  <c r="Q15" i="17"/>
  <c r="R15" i="17"/>
  <c r="S15" i="17"/>
  <c r="T15" i="17"/>
  <c r="U15" i="17"/>
  <c r="V15" i="17"/>
  <c r="M16" i="17"/>
  <c r="N16" i="17"/>
  <c r="O16" i="17"/>
  <c r="P16" i="17"/>
  <c r="Q16" i="17"/>
  <c r="R16" i="17"/>
  <c r="S16" i="17"/>
  <c r="T16" i="17"/>
  <c r="U16" i="17"/>
  <c r="V16" i="17"/>
  <c r="M17" i="17"/>
  <c r="N17" i="17"/>
  <c r="O17" i="17"/>
  <c r="P17" i="17"/>
  <c r="Q17" i="17"/>
  <c r="R17" i="17"/>
  <c r="S17" i="17"/>
  <c r="T17" i="17"/>
  <c r="U17" i="17"/>
  <c r="V17" i="17"/>
  <c r="M18" i="17"/>
  <c r="N18" i="17"/>
  <c r="O18" i="17"/>
  <c r="P18" i="17"/>
  <c r="Q18" i="17"/>
  <c r="R18" i="17"/>
  <c r="S18" i="17"/>
  <c r="T18" i="17"/>
  <c r="U18" i="17"/>
  <c r="V18" i="17"/>
  <c r="M19" i="17"/>
  <c r="N19" i="17"/>
  <c r="O19" i="17"/>
  <c r="P19" i="17"/>
  <c r="Q19" i="17"/>
  <c r="R19" i="17"/>
  <c r="S19" i="17"/>
  <c r="T19" i="17"/>
  <c r="U19" i="17"/>
  <c r="V19" i="17"/>
  <c r="M20" i="17"/>
  <c r="N20" i="17"/>
  <c r="O20" i="17"/>
  <c r="P20" i="17"/>
  <c r="Q20" i="17"/>
  <c r="R20" i="17"/>
  <c r="S20" i="17"/>
  <c r="T20" i="17"/>
  <c r="U20" i="17"/>
  <c r="V20" i="17"/>
  <c r="M21" i="17"/>
  <c r="N21" i="17"/>
  <c r="O21" i="17"/>
  <c r="P21" i="17"/>
  <c r="Q21" i="17"/>
  <c r="R21" i="17"/>
  <c r="S21" i="17"/>
  <c r="T21" i="17"/>
  <c r="U21" i="17"/>
  <c r="V21" i="17"/>
  <c r="M22" i="17"/>
  <c r="N22" i="17"/>
  <c r="O22" i="17"/>
  <c r="P22" i="17"/>
  <c r="P68" i="17" s="1"/>
  <c r="Q22" i="17"/>
  <c r="R22" i="17"/>
  <c r="S22" i="17"/>
  <c r="T22" i="17"/>
  <c r="U22" i="17"/>
  <c r="V22" i="17"/>
  <c r="M23" i="17"/>
  <c r="N23" i="17"/>
  <c r="O23" i="17"/>
  <c r="P23" i="17"/>
  <c r="Q23" i="17"/>
  <c r="R23" i="17"/>
  <c r="S23" i="17"/>
  <c r="T23" i="17"/>
  <c r="U23" i="17"/>
  <c r="V23" i="17"/>
  <c r="V68" i="17" s="1"/>
  <c r="M24" i="17"/>
  <c r="N24" i="17"/>
  <c r="O24" i="17"/>
  <c r="P24" i="17"/>
  <c r="Q24" i="17"/>
  <c r="R24" i="17"/>
  <c r="S24" i="17"/>
  <c r="T24" i="17"/>
  <c r="U24" i="17"/>
  <c r="V24" i="17"/>
  <c r="M25" i="17"/>
  <c r="N25" i="17"/>
  <c r="O25" i="17"/>
  <c r="P25" i="17"/>
  <c r="Q25" i="17"/>
  <c r="R25" i="17"/>
  <c r="S25" i="17"/>
  <c r="T25" i="17"/>
  <c r="U25" i="17"/>
  <c r="V25" i="17"/>
  <c r="M26" i="17"/>
  <c r="N26" i="17"/>
  <c r="O26" i="17"/>
  <c r="P26" i="17"/>
  <c r="Q26" i="17"/>
  <c r="R26" i="17"/>
  <c r="S26" i="17"/>
  <c r="S69" i="17" s="1"/>
  <c r="T26" i="17"/>
  <c r="U26" i="17"/>
  <c r="V26" i="17"/>
  <c r="M27" i="17"/>
  <c r="N27" i="17"/>
  <c r="O27" i="17"/>
  <c r="P27" i="17"/>
  <c r="Q27" i="17"/>
  <c r="R27" i="17"/>
  <c r="S27" i="17"/>
  <c r="T27" i="17"/>
  <c r="U27" i="17"/>
  <c r="V27" i="17"/>
  <c r="M28" i="17"/>
  <c r="N28" i="17"/>
  <c r="O28" i="17"/>
  <c r="P28" i="17"/>
  <c r="Q28" i="17"/>
  <c r="R28" i="17"/>
  <c r="S28" i="17"/>
  <c r="T28" i="17"/>
  <c r="U28" i="17"/>
  <c r="V28" i="17"/>
  <c r="L65" i="17"/>
  <c r="Q66" i="17"/>
  <c r="M66" i="17"/>
  <c r="V63" i="17"/>
  <c r="U63" i="17"/>
  <c r="T63" i="17"/>
  <c r="S63" i="17"/>
  <c r="R63" i="17"/>
  <c r="Q63" i="17"/>
  <c r="P63" i="17"/>
  <c r="O63" i="17"/>
  <c r="N63" i="17"/>
  <c r="M63" i="17"/>
  <c r="L63" i="17"/>
  <c r="K63" i="17"/>
  <c r="J63" i="17"/>
  <c r="I63" i="17"/>
  <c r="H63" i="17"/>
  <c r="G63" i="17"/>
  <c r="F63" i="17"/>
  <c r="E63" i="17"/>
  <c r="D57" i="17"/>
  <c r="D56" i="17"/>
  <c r="D55" i="17"/>
  <c r="D54" i="17"/>
  <c r="B54" i="17"/>
  <c r="D53" i="17"/>
  <c r="D52" i="17"/>
  <c r="D51" i="17"/>
  <c r="C51" i="17"/>
  <c r="B51" i="17"/>
  <c r="D50" i="17"/>
  <c r="B50" i="17"/>
  <c r="D49" i="17"/>
  <c r="D48" i="17"/>
  <c r="D47" i="17"/>
  <c r="D46" i="17"/>
  <c r="D45" i="17"/>
  <c r="D44" i="17"/>
  <c r="D43" i="17"/>
  <c r="D42" i="17"/>
  <c r="B42" i="17"/>
  <c r="D41" i="17"/>
  <c r="D40" i="17"/>
  <c r="C40" i="17"/>
  <c r="D39" i="17"/>
  <c r="D38" i="17"/>
  <c r="C38" i="17"/>
  <c r="B38" i="17"/>
  <c r="D37" i="17"/>
  <c r="D36" i="17"/>
  <c r="D35" i="17"/>
  <c r="B35" i="17"/>
  <c r="V34" i="17"/>
  <c r="U34" i="17"/>
  <c r="T34" i="17"/>
  <c r="S34" i="17"/>
  <c r="R34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W29" i="17"/>
  <c r="J68" i="17"/>
  <c r="Q65" i="17"/>
  <c r="M65" i="17"/>
  <c r="I65" i="17"/>
  <c r="U64" i="17"/>
  <c r="O64" i="17"/>
  <c r="K64" i="17"/>
  <c r="U4" i="17"/>
  <c r="V4" i="17" s="1"/>
  <c r="R4" i="17"/>
  <c r="Q4" i="17"/>
  <c r="O4" i="17"/>
  <c r="N4" i="17"/>
  <c r="M4" i="17" s="1"/>
  <c r="K4" i="17"/>
  <c r="J4" i="17"/>
  <c r="I4" i="17"/>
  <c r="G4" i="17"/>
  <c r="F4" i="17"/>
  <c r="E4" i="17"/>
  <c r="F70" i="9"/>
  <c r="G70" i="9"/>
  <c r="H70" i="9"/>
  <c r="I70" i="9"/>
  <c r="J70" i="9"/>
  <c r="K70" i="9"/>
  <c r="L70" i="9"/>
  <c r="M70" i="9"/>
  <c r="N70" i="9"/>
  <c r="O70" i="9"/>
  <c r="P70" i="9"/>
  <c r="Q70" i="9"/>
  <c r="R70" i="9"/>
  <c r="S70" i="9"/>
  <c r="T70" i="9"/>
  <c r="U70" i="9"/>
  <c r="V70" i="9"/>
  <c r="F64" i="9"/>
  <c r="G64" i="9"/>
  <c r="H64" i="9"/>
  <c r="I64" i="9"/>
  <c r="J64" i="9"/>
  <c r="K64" i="9"/>
  <c r="L64" i="9"/>
  <c r="M64" i="9"/>
  <c r="N64" i="9"/>
  <c r="O64" i="9"/>
  <c r="P64" i="9"/>
  <c r="Q64" i="9"/>
  <c r="R64" i="9"/>
  <c r="S64" i="9"/>
  <c r="T64" i="9"/>
  <c r="U64" i="9"/>
  <c r="V64" i="9"/>
  <c r="F65" i="9"/>
  <c r="G65" i="9"/>
  <c r="H65" i="9"/>
  <c r="I65" i="9"/>
  <c r="J65" i="9"/>
  <c r="K65" i="9"/>
  <c r="L65" i="9"/>
  <c r="M65" i="9"/>
  <c r="N65" i="9"/>
  <c r="O65" i="9"/>
  <c r="P65" i="9"/>
  <c r="Q65" i="9"/>
  <c r="R65" i="9"/>
  <c r="S65" i="9"/>
  <c r="T65" i="9"/>
  <c r="U65" i="9"/>
  <c r="V65" i="9"/>
  <c r="F66" i="9"/>
  <c r="G66" i="9"/>
  <c r="H66" i="9"/>
  <c r="I66" i="9"/>
  <c r="J66" i="9"/>
  <c r="K66" i="9"/>
  <c r="L66" i="9"/>
  <c r="M66" i="9"/>
  <c r="N66" i="9"/>
  <c r="O66" i="9"/>
  <c r="P66" i="9"/>
  <c r="Q66" i="9"/>
  <c r="R66" i="9"/>
  <c r="S66" i="9"/>
  <c r="T66" i="9"/>
  <c r="U66" i="9"/>
  <c r="V66" i="9"/>
  <c r="F67" i="9"/>
  <c r="G67" i="9"/>
  <c r="H67" i="9"/>
  <c r="I67" i="9"/>
  <c r="J67" i="9"/>
  <c r="K67" i="9"/>
  <c r="L67" i="9"/>
  <c r="M67" i="9"/>
  <c r="N67" i="9"/>
  <c r="O67" i="9"/>
  <c r="P67" i="9"/>
  <c r="Q67" i="9"/>
  <c r="R67" i="9"/>
  <c r="S67" i="9"/>
  <c r="T67" i="9"/>
  <c r="U67" i="9"/>
  <c r="V67" i="9"/>
  <c r="F68" i="9"/>
  <c r="G68" i="9"/>
  <c r="H68" i="9"/>
  <c r="I68" i="9"/>
  <c r="J68" i="9"/>
  <c r="K68" i="9"/>
  <c r="L68" i="9"/>
  <c r="M68" i="9"/>
  <c r="N68" i="9"/>
  <c r="O68" i="9"/>
  <c r="P68" i="9"/>
  <c r="Q68" i="9"/>
  <c r="R68" i="9"/>
  <c r="S68" i="9"/>
  <c r="T68" i="9"/>
  <c r="U68" i="9"/>
  <c r="V68" i="9"/>
  <c r="F69" i="9"/>
  <c r="G69" i="9"/>
  <c r="H69" i="9"/>
  <c r="I69" i="9"/>
  <c r="J69" i="9"/>
  <c r="K69" i="9"/>
  <c r="L69" i="9"/>
  <c r="M69" i="9"/>
  <c r="N69" i="9"/>
  <c r="O69" i="9"/>
  <c r="P69" i="9"/>
  <c r="Q69" i="9"/>
  <c r="R69" i="9"/>
  <c r="S69" i="9"/>
  <c r="T69" i="9"/>
  <c r="U69" i="9"/>
  <c r="V69" i="9"/>
  <c r="E70" i="9"/>
  <c r="E69" i="9"/>
  <c r="E68" i="9"/>
  <c r="E67" i="9"/>
  <c r="E66" i="9"/>
  <c r="E65" i="9"/>
  <c r="E64" i="9"/>
  <c r="F63" i="9"/>
  <c r="G63" i="9"/>
  <c r="H63" i="9"/>
  <c r="I63" i="9"/>
  <c r="J63" i="9"/>
  <c r="K63" i="9"/>
  <c r="L63" i="9"/>
  <c r="M63" i="9"/>
  <c r="N63" i="9"/>
  <c r="O63" i="9"/>
  <c r="P63" i="9"/>
  <c r="Q63" i="9"/>
  <c r="R63" i="9"/>
  <c r="S63" i="9"/>
  <c r="T63" i="9"/>
  <c r="U63" i="9"/>
  <c r="V63" i="9"/>
  <c r="E63" i="9"/>
  <c r="T21" i="9"/>
  <c r="D68" i="4"/>
  <c r="D74" i="4" s="1"/>
  <c r="E68" i="4"/>
  <c r="F68" i="4"/>
  <c r="G68" i="4"/>
  <c r="H68" i="4"/>
  <c r="H74" i="4" s="1"/>
  <c r="I68" i="4"/>
  <c r="J68" i="4"/>
  <c r="K68" i="4"/>
  <c r="L68" i="4"/>
  <c r="L74" i="4" s="1"/>
  <c r="M68" i="4"/>
  <c r="N68" i="4"/>
  <c r="O68" i="4"/>
  <c r="P68" i="4"/>
  <c r="P74" i="4" s="1"/>
  <c r="Q68" i="4"/>
  <c r="R68" i="4"/>
  <c r="S68" i="4"/>
  <c r="T68" i="4"/>
  <c r="T74" i="4" s="1"/>
  <c r="D69" i="4"/>
  <c r="E69" i="4"/>
  <c r="F69" i="4"/>
  <c r="F74" i="4" s="1"/>
  <c r="G69" i="4"/>
  <c r="H69" i="4"/>
  <c r="I69" i="4"/>
  <c r="J69" i="4"/>
  <c r="J74" i="4" s="1"/>
  <c r="K69" i="4"/>
  <c r="L69" i="4"/>
  <c r="M69" i="4"/>
  <c r="N69" i="4"/>
  <c r="N74" i="4" s="1"/>
  <c r="O69" i="4"/>
  <c r="P69" i="4"/>
  <c r="Q69" i="4"/>
  <c r="R69" i="4"/>
  <c r="R74" i="4" s="1"/>
  <c r="S69" i="4"/>
  <c r="T69" i="4"/>
  <c r="D70" i="4"/>
  <c r="E70" i="4"/>
  <c r="E74" i="4" s="1"/>
  <c r="F70" i="4"/>
  <c r="G70" i="4"/>
  <c r="H70" i="4"/>
  <c r="I70" i="4"/>
  <c r="I74" i="4" s="1"/>
  <c r="J70" i="4"/>
  <c r="K70" i="4"/>
  <c r="L70" i="4"/>
  <c r="M70" i="4"/>
  <c r="M74" i="4" s="1"/>
  <c r="N70" i="4"/>
  <c r="O70" i="4"/>
  <c r="P70" i="4"/>
  <c r="Q70" i="4"/>
  <c r="Q74" i="4" s="1"/>
  <c r="R70" i="4"/>
  <c r="S70" i="4"/>
  <c r="T70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T71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T72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S74" i="4" s="1"/>
  <c r="T73" i="4"/>
  <c r="C73" i="4"/>
  <c r="C72" i="4"/>
  <c r="C71" i="4"/>
  <c r="C70" i="4"/>
  <c r="C69" i="4"/>
  <c r="C68" i="4"/>
  <c r="U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T67" i="4"/>
  <c r="C67" i="4"/>
  <c r="O74" i="4"/>
  <c r="K74" i="4"/>
  <c r="G74" i="4"/>
  <c r="Q21" i="9"/>
  <c r="M21" i="9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E33" i="1"/>
  <c r="F32" i="1"/>
  <c r="J32" i="1"/>
  <c r="K32" i="1"/>
  <c r="L32" i="1"/>
  <c r="N32" i="1"/>
  <c r="O32" i="1"/>
  <c r="P32" i="1"/>
  <c r="Q32" i="1"/>
  <c r="R32" i="1"/>
  <c r="S32" i="1"/>
  <c r="T32" i="1"/>
  <c r="U32" i="1"/>
  <c r="V32" i="1"/>
  <c r="F74" i="1"/>
  <c r="J74" i="1"/>
  <c r="K74" i="1"/>
  <c r="L74" i="1"/>
  <c r="N74" i="1"/>
  <c r="O74" i="1"/>
  <c r="P74" i="1"/>
  <c r="Q74" i="1"/>
  <c r="R74" i="1"/>
  <c r="S74" i="1"/>
  <c r="T74" i="1"/>
  <c r="U74" i="1"/>
  <c r="V74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F69" i="1"/>
  <c r="J69" i="1"/>
  <c r="K69" i="1"/>
  <c r="L69" i="1"/>
  <c r="N69" i="1"/>
  <c r="O69" i="1"/>
  <c r="P69" i="1"/>
  <c r="Q69" i="1"/>
  <c r="R69" i="1"/>
  <c r="S69" i="1"/>
  <c r="T69" i="1"/>
  <c r="U69" i="1"/>
  <c r="V69" i="1"/>
  <c r="F70" i="1"/>
  <c r="J70" i="1"/>
  <c r="K70" i="1"/>
  <c r="L70" i="1"/>
  <c r="N70" i="1"/>
  <c r="O70" i="1"/>
  <c r="P70" i="1"/>
  <c r="Q70" i="1"/>
  <c r="R70" i="1"/>
  <c r="S70" i="1"/>
  <c r="T70" i="1"/>
  <c r="U70" i="1"/>
  <c r="V70" i="1"/>
  <c r="F71" i="1"/>
  <c r="J71" i="1"/>
  <c r="K71" i="1"/>
  <c r="L71" i="1"/>
  <c r="N71" i="1"/>
  <c r="O71" i="1"/>
  <c r="P71" i="1"/>
  <c r="Q71" i="1"/>
  <c r="R71" i="1"/>
  <c r="S71" i="1"/>
  <c r="T71" i="1"/>
  <c r="U71" i="1"/>
  <c r="V71" i="1"/>
  <c r="F72" i="1"/>
  <c r="J72" i="1"/>
  <c r="K72" i="1"/>
  <c r="L72" i="1"/>
  <c r="N72" i="1"/>
  <c r="O72" i="1"/>
  <c r="P72" i="1"/>
  <c r="Q72" i="1"/>
  <c r="R72" i="1"/>
  <c r="S72" i="1"/>
  <c r="T72" i="1"/>
  <c r="U72" i="1"/>
  <c r="V72" i="1"/>
  <c r="F73" i="1"/>
  <c r="J73" i="1"/>
  <c r="K73" i="1"/>
  <c r="L73" i="1"/>
  <c r="N73" i="1"/>
  <c r="O73" i="1"/>
  <c r="P73" i="1"/>
  <c r="Q73" i="1"/>
  <c r="R73" i="1"/>
  <c r="S73" i="1"/>
  <c r="T73" i="1"/>
  <c r="U73" i="1"/>
  <c r="V73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E68" i="1"/>
  <c r="E67" i="1"/>
  <c r="I21" i="9"/>
  <c r="E21" i="9"/>
  <c r="C17" i="12"/>
  <c r="D5" i="12"/>
  <c r="E5" i="12"/>
  <c r="F5" i="12"/>
  <c r="G5" i="12"/>
  <c r="H5" i="12"/>
  <c r="I5" i="12"/>
  <c r="J5" i="12"/>
  <c r="K5" i="12"/>
  <c r="L5" i="12"/>
  <c r="M5" i="12"/>
  <c r="N5" i="12"/>
  <c r="O5" i="12"/>
  <c r="P5" i="12"/>
  <c r="Q5" i="12"/>
  <c r="R5" i="12"/>
  <c r="S5" i="12"/>
  <c r="T5" i="12"/>
  <c r="C5" i="12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C17" i="13"/>
  <c r="D5" i="13"/>
  <c r="E5" i="13"/>
  <c r="F5" i="13"/>
  <c r="G5" i="13"/>
  <c r="H5" i="13"/>
  <c r="I5" i="13"/>
  <c r="J5" i="13"/>
  <c r="K5" i="13"/>
  <c r="L5" i="13"/>
  <c r="M5" i="13"/>
  <c r="N5" i="13"/>
  <c r="O5" i="13"/>
  <c r="P5" i="13"/>
  <c r="Q5" i="13"/>
  <c r="R5" i="13"/>
  <c r="S5" i="13"/>
  <c r="T5" i="13"/>
  <c r="C5" i="13"/>
  <c r="E19" i="14"/>
  <c r="F19" i="14"/>
  <c r="G19" i="14"/>
  <c r="H19" i="14"/>
  <c r="I19" i="14"/>
  <c r="J19" i="14"/>
  <c r="K19" i="14"/>
  <c r="L19" i="14"/>
  <c r="M19" i="14"/>
  <c r="N19" i="14"/>
  <c r="O19" i="14"/>
  <c r="P19" i="14"/>
  <c r="Q19" i="14"/>
  <c r="R19" i="14"/>
  <c r="S19" i="14"/>
  <c r="T19" i="14"/>
  <c r="U19" i="14"/>
  <c r="D19" i="14"/>
  <c r="E3" i="14"/>
  <c r="F3" i="14"/>
  <c r="G3" i="14"/>
  <c r="H3" i="14"/>
  <c r="I3" i="14"/>
  <c r="J3" i="14"/>
  <c r="K3" i="14"/>
  <c r="L3" i="14"/>
  <c r="M3" i="14"/>
  <c r="N3" i="14"/>
  <c r="O3" i="14"/>
  <c r="P3" i="14"/>
  <c r="Q3" i="14"/>
  <c r="R3" i="14"/>
  <c r="S3" i="14"/>
  <c r="T3" i="14"/>
  <c r="U3" i="14"/>
  <c r="D3" i="14"/>
  <c r="F5" i="4"/>
  <c r="F36" i="4" s="1"/>
  <c r="G5" i="4"/>
  <c r="G36" i="4" s="1"/>
  <c r="H5" i="4"/>
  <c r="H36" i="4" s="1"/>
  <c r="I5" i="4"/>
  <c r="I36" i="4" s="1"/>
  <c r="J5" i="4"/>
  <c r="J36" i="4" s="1"/>
  <c r="K5" i="4"/>
  <c r="K36" i="4" s="1"/>
  <c r="L5" i="4"/>
  <c r="L36" i="4" s="1"/>
  <c r="M5" i="4"/>
  <c r="M36" i="4" s="1"/>
  <c r="N5" i="4"/>
  <c r="N36" i="4" s="1"/>
  <c r="O5" i="4"/>
  <c r="O36" i="4" s="1"/>
  <c r="P5" i="4"/>
  <c r="P36" i="4" s="1"/>
  <c r="Q5" i="4"/>
  <c r="Q36" i="4" s="1"/>
  <c r="R5" i="4"/>
  <c r="R36" i="4" s="1"/>
  <c r="S5" i="4"/>
  <c r="S36" i="4" s="1"/>
  <c r="T5" i="4"/>
  <c r="T36" i="4" s="1"/>
  <c r="U5" i="4"/>
  <c r="U36" i="4" s="1"/>
  <c r="V5" i="4"/>
  <c r="V36" i="4" s="1"/>
  <c r="E5" i="4"/>
  <c r="E36" i="4" s="1"/>
  <c r="F34" i="10"/>
  <c r="G34" i="10"/>
  <c r="H34" i="10"/>
  <c r="I34" i="10"/>
  <c r="J34" i="10"/>
  <c r="K34" i="10"/>
  <c r="L34" i="10"/>
  <c r="M34" i="10"/>
  <c r="N34" i="10"/>
  <c r="O34" i="10"/>
  <c r="P34" i="10"/>
  <c r="Q34" i="10"/>
  <c r="R34" i="10"/>
  <c r="S34" i="10"/>
  <c r="T34" i="10"/>
  <c r="U34" i="10"/>
  <c r="V34" i="10"/>
  <c r="E34" i="10"/>
  <c r="F5" i="10"/>
  <c r="G5" i="10"/>
  <c r="H5" i="10"/>
  <c r="I5" i="10"/>
  <c r="J5" i="10"/>
  <c r="K5" i="10"/>
  <c r="L5" i="10"/>
  <c r="M5" i="10"/>
  <c r="N5" i="10"/>
  <c r="O5" i="10"/>
  <c r="P5" i="10"/>
  <c r="Q5" i="10"/>
  <c r="R5" i="10"/>
  <c r="S5" i="10"/>
  <c r="T5" i="10"/>
  <c r="U5" i="10"/>
  <c r="V5" i="10"/>
  <c r="E5" i="10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E34" i="9"/>
  <c r="O23" i="18" l="1"/>
  <c r="O18" i="18"/>
  <c r="L22" i="18"/>
  <c r="L18" i="18"/>
  <c r="L19" i="18"/>
  <c r="L20" i="18"/>
  <c r="L23" i="18"/>
  <c r="D22" i="18"/>
  <c r="D18" i="18"/>
  <c r="O24" i="18"/>
  <c r="G23" i="18"/>
  <c r="P22" i="18"/>
  <c r="P18" i="18"/>
  <c r="D23" i="18"/>
  <c r="K18" i="18"/>
  <c r="G20" i="18"/>
  <c r="P23" i="18"/>
  <c r="K22" i="18"/>
  <c r="I12" i="18"/>
  <c r="I23" i="18" s="1"/>
  <c r="T21" i="18"/>
  <c r="P19" i="18"/>
  <c r="G18" i="18"/>
  <c r="D21" i="18"/>
  <c r="S19" i="18"/>
  <c r="S24" i="18" s="1"/>
  <c r="S21" i="18"/>
  <c r="S20" i="18"/>
  <c r="T22" i="18"/>
  <c r="T18" i="18"/>
  <c r="T23" i="18"/>
  <c r="L21" i="18"/>
  <c r="D19" i="18"/>
  <c r="K20" i="18"/>
  <c r="G19" i="18"/>
  <c r="K21" i="18"/>
  <c r="R20" i="18"/>
  <c r="R23" i="18"/>
  <c r="R19" i="18"/>
  <c r="G22" i="18"/>
  <c r="D20" i="18"/>
  <c r="H22" i="18"/>
  <c r="H18" i="18"/>
  <c r="C24" i="18"/>
  <c r="Q12" i="18"/>
  <c r="Q21" i="18" s="1"/>
  <c r="R18" i="18"/>
  <c r="P20" i="18"/>
  <c r="H21" i="18"/>
  <c r="T20" i="18"/>
  <c r="J40" i="17"/>
  <c r="P44" i="17"/>
  <c r="P48" i="17"/>
  <c r="S35" i="17"/>
  <c r="Q36" i="17"/>
  <c r="Q40" i="17"/>
  <c r="V48" i="17"/>
  <c r="V67" i="17"/>
  <c r="K37" i="17"/>
  <c r="T64" i="17"/>
  <c r="T29" i="17"/>
  <c r="N36" i="17"/>
  <c r="J65" i="17"/>
  <c r="V65" i="17"/>
  <c r="J48" i="17"/>
  <c r="E64" i="17"/>
  <c r="I29" i="17"/>
  <c r="U29" i="17"/>
  <c r="O36" i="17"/>
  <c r="S65" i="17"/>
  <c r="K40" i="17"/>
  <c r="J66" i="17"/>
  <c r="F43" i="17"/>
  <c r="U44" i="17"/>
  <c r="I50" i="17"/>
  <c r="I67" i="17"/>
  <c r="Q67" i="17"/>
  <c r="H68" i="17"/>
  <c r="H51" i="17"/>
  <c r="L68" i="17"/>
  <c r="T68" i="17"/>
  <c r="F68" i="17"/>
  <c r="N52" i="17"/>
  <c r="P53" i="17"/>
  <c r="F69" i="17"/>
  <c r="F54" i="17"/>
  <c r="J69" i="17"/>
  <c r="N69" i="17"/>
  <c r="R69" i="17"/>
  <c r="V69" i="17"/>
  <c r="V54" i="17"/>
  <c r="F56" i="17"/>
  <c r="N57" i="17"/>
  <c r="U36" i="17"/>
  <c r="T69" i="17"/>
  <c r="K39" i="17"/>
  <c r="O41" i="17"/>
  <c r="F66" i="17"/>
  <c r="L42" i="17"/>
  <c r="L46" i="17"/>
  <c r="G49" i="17"/>
  <c r="M67" i="17"/>
  <c r="F51" i="17"/>
  <c r="O45" i="17"/>
  <c r="H64" i="17"/>
  <c r="L64" i="17"/>
  <c r="P64" i="17"/>
  <c r="J64" i="17"/>
  <c r="L37" i="17"/>
  <c r="F65" i="17"/>
  <c r="N65" i="17"/>
  <c r="N38" i="17"/>
  <c r="R65" i="17"/>
  <c r="H39" i="17"/>
  <c r="V66" i="17"/>
  <c r="K66" i="17"/>
  <c r="S44" i="17"/>
  <c r="H49" i="17"/>
  <c r="U67" i="17"/>
  <c r="U70" i="17" s="1"/>
  <c r="G68" i="17"/>
  <c r="K68" i="17"/>
  <c r="S68" i="17"/>
  <c r="E52" i="17"/>
  <c r="Q68" i="17"/>
  <c r="Q52" i="17"/>
  <c r="O53" i="17"/>
  <c r="E69" i="17"/>
  <c r="I54" i="17"/>
  <c r="I69" i="17"/>
  <c r="M69" i="17"/>
  <c r="Q69" i="17"/>
  <c r="U69" i="17"/>
  <c r="G55" i="17"/>
  <c r="I56" i="17"/>
  <c r="G35" i="17"/>
  <c r="U38" i="17"/>
  <c r="S64" i="17"/>
  <c r="J35" i="17"/>
  <c r="H65" i="17"/>
  <c r="H40" i="17"/>
  <c r="F41" i="17"/>
  <c r="R66" i="17"/>
  <c r="P43" i="17"/>
  <c r="V45" i="17"/>
  <c r="G48" i="17"/>
  <c r="J29" i="17"/>
  <c r="O69" i="17"/>
  <c r="F29" i="17"/>
  <c r="N29" i="17"/>
  <c r="I38" i="17"/>
  <c r="N45" i="17"/>
  <c r="O68" i="17"/>
  <c r="M64" i="17"/>
  <c r="Q64" i="17"/>
  <c r="K65" i="17"/>
  <c r="O65" i="17"/>
  <c r="M41" i="17"/>
  <c r="N66" i="17"/>
  <c r="N46" i="17"/>
  <c r="I68" i="17"/>
  <c r="M51" i="17"/>
  <c r="M68" i="17"/>
  <c r="I53" i="17"/>
  <c r="G54" i="17"/>
  <c r="K56" i="17"/>
  <c r="I35" i="17"/>
  <c r="J49" i="17"/>
  <c r="N64" i="17"/>
  <c r="G65" i="17"/>
  <c r="U68" i="17"/>
  <c r="F64" i="17"/>
  <c r="R64" i="17"/>
  <c r="V64" i="17"/>
  <c r="P65" i="17"/>
  <c r="T65" i="17"/>
  <c r="N43" i="17"/>
  <c r="R48" i="17"/>
  <c r="T67" i="17"/>
  <c r="N68" i="17"/>
  <c r="R51" i="17"/>
  <c r="R68" i="17"/>
  <c r="P52" i="17"/>
  <c r="L54" i="17"/>
  <c r="P69" i="17"/>
  <c r="J55" i="17"/>
  <c r="L56" i="17"/>
  <c r="E29" i="17"/>
  <c r="P35" i="17" s="1"/>
  <c r="M29" i="17"/>
  <c r="Q29" i="17"/>
  <c r="V35" i="17"/>
  <c r="K38" i="17"/>
  <c r="S38" i="17"/>
  <c r="P54" i="17"/>
  <c r="C74" i="4"/>
  <c r="T24" i="18" l="1"/>
  <c r="Q20" i="18"/>
  <c r="K24" i="18"/>
  <c r="I21" i="18"/>
  <c r="R24" i="18"/>
  <c r="H24" i="18"/>
  <c r="I19" i="18"/>
  <c r="I18" i="18"/>
  <c r="I22" i="18"/>
  <c r="N12" i="18"/>
  <c r="M12" i="18"/>
  <c r="E21" i="18"/>
  <c r="E12" i="18"/>
  <c r="I20" i="18"/>
  <c r="E23" i="18"/>
  <c r="D24" i="18"/>
  <c r="Q19" i="18"/>
  <c r="Q18" i="18"/>
  <c r="Q22" i="18"/>
  <c r="G24" i="18"/>
  <c r="J12" i="18"/>
  <c r="J20" i="18" s="1"/>
  <c r="Q23" i="18"/>
  <c r="P24" i="18"/>
  <c r="L24" i="18"/>
  <c r="T50" i="17"/>
  <c r="U42" i="17"/>
  <c r="E35" i="17"/>
  <c r="M53" i="17"/>
  <c r="Q41" i="17"/>
  <c r="Q38" i="17"/>
  <c r="Q55" i="17"/>
  <c r="L49" i="17"/>
  <c r="F44" i="17"/>
  <c r="J41" i="17"/>
  <c r="M38" i="17"/>
  <c r="E56" i="17"/>
  <c r="Q54" i="17"/>
  <c r="K51" i="17"/>
  <c r="R49" i="17"/>
  <c r="T37" i="17"/>
  <c r="T56" i="17"/>
  <c r="N49" i="17"/>
  <c r="G45" i="17"/>
  <c r="O39" i="17"/>
  <c r="E50" i="17"/>
  <c r="J56" i="17"/>
  <c r="L53" i="17"/>
  <c r="T51" i="17"/>
  <c r="F47" i="17"/>
  <c r="S36" i="17"/>
  <c r="J38" i="17"/>
  <c r="E40" i="17"/>
  <c r="S49" i="17"/>
  <c r="R40" i="17"/>
  <c r="N51" i="17"/>
  <c r="N55" i="17"/>
  <c r="T52" i="17"/>
  <c r="U46" i="17"/>
  <c r="U35" i="17"/>
  <c r="G56" i="17"/>
  <c r="R43" i="17"/>
  <c r="E51" i="17"/>
  <c r="S46" i="17"/>
  <c r="R42" i="17"/>
  <c r="L40" i="17"/>
  <c r="J57" i="17"/>
  <c r="K53" i="17"/>
  <c r="U50" i="17"/>
  <c r="V46" i="17"/>
  <c r="L39" i="17"/>
  <c r="J36" i="17"/>
  <c r="M50" i="17"/>
  <c r="K47" i="17"/>
  <c r="G37" i="17"/>
  <c r="U57" i="17"/>
  <c r="H55" i="17"/>
  <c r="N54" i="17"/>
  <c r="J52" i="17"/>
  <c r="V43" i="17"/>
  <c r="G40" i="17"/>
  <c r="P41" i="17"/>
  <c r="H37" i="17"/>
  <c r="S37" i="17"/>
  <c r="U40" i="17"/>
  <c r="E36" i="17"/>
  <c r="S45" i="17"/>
  <c r="U56" i="17"/>
  <c r="I70" i="17"/>
  <c r="R67" i="17"/>
  <c r="R50" i="17"/>
  <c r="G66" i="17"/>
  <c r="G42" i="17"/>
  <c r="R35" i="17"/>
  <c r="V53" i="17"/>
  <c r="O66" i="17"/>
  <c r="O42" i="17"/>
  <c r="S56" i="17"/>
  <c r="Q70" i="17"/>
  <c r="K52" i="17"/>
  <c r="P47" i="17"/>
  <c r="J43" i="17"/>
  <c r="K42" i="17"/>
  <c r="T40" i="17"/>
  <c r="E38" i="17"/>
  <c r="Q56" i="17"/>
  <c r="O55" i="17"/>
  <c r="U54" i="17"/>
  <c r="M54" i="17"/>
  <c r="E54" i="17"/>
  <c r="G53" i="17"/>
  <c r="M52" i="17"/>
  <c r="S51" i="17"/>
  <c r="N67" i="17"/>
  <c r="N50" i="17"/>
  <c r="S48" i="17"/>
  <c r="R45" i="17"/>
  <c r="J44" i="17"/>
  <c r="T41" i="17"/>
  <c r="R38" i="17"/>
  <c r="F38" i="17"/>
  <c r="V36" i="17"/>
  <c r="F36" i="17"/>
  <c r="I36" i="17"/>
  <c r="H54" i="17"/>
  <c r="H48" i="17"/>
  <c r="F46" i="17"/>
  <c r="K41" i="17"/>
  <c r="G39" i="17"/>
  <c r="U48" i="17"/>
  <c r="V56" i="17"/>
  <c r="T55" i="17"/>
  <c r="H53" i="17"/>
  <c r="L51" i="17"/>
  <c r="K49" i="17"/>
  <c r="K45" i="17"/>
  <c r="O43" i="17"/>
  <c r="S40" i="17"/>
  <c r="K36" i="17"/>
  <c r="E70" i="17"/>
  <c r="P39" i="17"/>
  <c r="V52" i="17"/>
  <c r="S41" i="17"/>
  <c r="M40" i="17"/>
  <c r="M36" i="17"/>
  <c r="O48" i="17"/>
  <c r="O44" i="17"/>
  <c r="G57" i="17"/>
  <c r="K57" i="17"/>
  <c r="H47" i="17"/>
  <c r="G47" i="17"/>
  <c r="O46" i="17"/>
  <c r="P46" i="17"/>
  <c r="V70" i="17"/>
  <c r="G69" i="17"/>
  <c r="R29" i="17"/>
  <c r="G46" i="17"/>
  <c r="H46" i="17"/>
  <c r="K44" i="17"/>
  <c r="T57" i="17"/>
  <c r="T49" i="17"/>
  <c r="Q46" i="17"/>
  <c r="M46" i="17"/>
  <c r="I46" i="17"/>
  <c r="E46" i="17"/>
  <c r="T45" i="17"/>
  <c r="M57" i="17"/>
  <c r="I49" i="17"/>
  <c r="M48" i="17"/>
  <c r="E47" i="17"/>
  <c r="Q45" i="17"/>
  <c r="Q42" i="17"/>
  <c r="M42" i="17"/>
  <c r="I42" i="17"/>
  <c r="E42" i="17"/>
  <c r="E49" i="17"/>
  <c r="T48" i="17"/>
  <c r="E48" i="17"/>
  <c r="Q47" i="17"/>
  <c r="I47" i="17"/>
  <c r="M45" i="17"/>
  <c r="Q44" i="17"/>
  <c r="T43" i="17"/>
  <c r="I43" i="17"/>
  <c r="Q57" i="17"/>
  <c r="P56" i="17"/>
  <c r="U55" i="17"/>
  <c r="M55" i="17"/>
  <c r="T54" i="17"/>
  <c r="Q51" i="17"/>
  <c r="J51" i="17"/>
  <c r="E57" i="17"/>
  <c r="Q49" i="17"/>
  <c r="Q48" i="17"/>
  <c r="T46" i="17"/>
  <c r="E44" i="17"/>
  <c r="M43" i="17"/>
  <c r="I57" i="17"/>
  <c r="H56" i="17"/>
  <c r="E55" i="17"/>
  <c r="U49" i="17"/>
  <c r="I48" i="17"/>
  <c r="J46" i="17"/>
  <c r="M44" i="17"/>
  <c r="T42" i="17"/>
  <c r="J42" i="17"/>
  <c r="U39" i="17"/>
  <c r="M39" i="17"/>
  <c r="E39" i="17"/>
  <c r="R37" i="17"/>
  <c r="J37" i="17"/>
  <c r="P36" i="17"/>
  <c r="H36" i="17"/>
  <c r="S54" i="17"/>
  <c r="R53" i="17"/>
  <c r="O52" i="17"/>
  <c r="P51" i="17"/>
  <c r="F49" i="17"/>
  <c r="U45" i="17"/>
  <c r="I45" i="17"/>
  <c r="R44" i="17"/>
  <c r="E43" i="17"/>
  <c r="N41" i="17"/>
  <c r="Q39" i="17"/>
  <c r="I39" i="17"/>
  <c r="V37" i="17"/>
  <c r="N37" i="17"/>
  <c r="F37" i="17"/>
  <c r="T36" i="17"/>
  <c r="L36" i="17"/>
  <c r="O57" i="17"/>
  <c r="N56" i="17"/>
  <c r="L55" i="17"/>
  <c r="K54" i="17"/>
  <c r="J53" i="17"/>
  <c r="G52" i="17"/>
  <c r="I51" i="17"/>
  <c r="N48" i="17"/>
  <c r="T47" i="17"/>
  <c r="K46" i="17"/>
  <c r="E45" i="17"/>
  <c r="N44" i="17"/>
  <c r="N42" i="17"/>
  <c r="L41" i="17"/>
  <c r="V40" i="17"/>
  <c r="N40" i="17"/>
  <c r="F40" i="17"/>
  <c r="V39" i="17"/>
  <c r="N39" i="17"/>
  <c r="F39" i="17"/>
  <c r="T38" i="17"/>
  <c r="L38" i="17"/>
  <c r="U37" i="17"/>
  <c r="M37" i="17"/>
  <c r="E37" i="17"/>
  <c r="T35" i="17"/>
  <c r="L35" i="17"/>
  <c r="V51" i="17"/>
  <c r="M49" i="17"/>
  <c r="F48" i="17"/>
  <c r="M47" i="17"/>
  <c r="J45" i="17"/>
  <c r="T44" i="17"/>
  <c r="I44" i="17"/>
  <c r="Q43" i="17"/>
  <c r="R41" i="17"/>
  <c r="R39" i="17"/>
  <c r="J39" i="17"/>
  <c r="P38" i="17"/>
  <c r="H38" i="17"/>
  <c r="Q37" i="17"/>
  <c r="I37" i="17"/>
  <c r="V55" i="17"/>
  <c r="F55" i="17"/>
  <c r="L52" i="17"/>
  <c r="S47" i="17"/>
  <c r="G44" i="17"/>
  <c r="H44" i="17"/>
  <c r="R70" i="17"/>
  <c r="N70" i="17"/>
  <c r="Q35" i="17"/>
  <c r="I55" i="17"/>
  <c r="U53" i="17"/>
  <c r="E53" i="17"/>
  <c r="I41" i="17"/>
  <c r="U43" i="17"/>
  <c r="K35" i="17"/>
  <c r="P57" i="17"/>
  <c r="J67" i="17"/>
  <c r="J70" i="17" s="1"/>
  <c r="J50" i="17"/>
  <c r="L45" i="17"/>
  <c r="O38" i="17"/>
  <c r="F35" i="17"/>
  <c r="R57" i="17"/>
  <c r="R55" i="17"/>
  <c r="F53" i="17"/>
  <c r="H52" i="17"/>
  <c r="N47" i="17"/>
  <c r="S43" i="17"/>
  <c r="O54" i="17"/>
  <c r="M35" i="17"/>
  <c r="O56" i="17"/>
  <c r="K69" i="17"/>
  <c r="Q53" i="17"/>
  <c r="S52" i="17"/>
  <c r="R47" i="17"/>
  <c r="U41" i="17"/>
  <c r="E41" i="17"/>
  <c r="M70" i="17"/>
  <c r="K43" i="17"/>
  <c r="V29" i="17"/>
  <c r="F57" i="17"/>
  <c r="U51" i="17"/>
  <c r="V49" i="17"/>
  <c r="J47" i="17"/>
  <c r="F45" i="17"/>
  <c r="S66" i="17"/>
  <c r="S42" i="17"/>
  <c r="V41" i="17"/>
  <c r="P40" i="17"/>
  <c r="N35" i="17"/>
  <c r="S55" i="17"/>
  <c r="O35" i="17"/>
  <c r="S57" i="17"/>
  <c r="M56" i="17"/>
  <c r="K55" i="17"/>
  <c r="S53" i="17"/>
  <c r="U52" i="17"/>
  <c r="I52" i="17"/>
  <c r="O51" i="17"/>
  <c r="G51" i="17"/>
  <c r="F67" i="17"/>
  <c r="F70" i="17" s="1"/>
  <c r="F50" i="17"/>
  <c r="U47" i="17"/>
  <c r="H45" i="17"/>
  <c r="V42" i="17"/>
  <c r="T39" i="17"/>
  <c r="R36" i="17"/>
  <c r="O29" i="17"/>
  <c r="N53" i="17"/>
  <c r="P49" i="17"/>
  <c r="O49" i="17"/>
  <c r="L47" i="17"/>
  <c r="P45" i="17"/>
  <c r="F42" i="17"/>
  <c r="S39" i="17"/>
  <c r="O37" i="17"/>
  <c r="R46" i="17"/>
  <c r="V57" i="17"/>
  <c r="R56" i="17"/>
  <c r="P55" i="17"/>
  <c r="R54" i="17"/>
  <c r="J54" i="17"/>
  <c r="T53" i="17"/>
  <c r="R52" i="17"/>
  <c r="F52" i="17"/>
  <c r="Q50" i="17"/>
  <c r="O47" i="17"/>
  <c r="V44" i="17"/>
  <c r="H43" i="17"/>
  <c r="G43" i="17"/>
  <c r="O40" i="17"/>
  <c r="G38" i="17"/>
  <c r="G36" i="17"/>
  <c r="K48" i="17"/>
  <c r="L48" i="17"/>
  <c r="V38" i="17"/>
  <c r="P37" i="17"/>
  <c r="T70" i="17"/>
  <c r="V50" i="17"/>
  <c r="G41" i="17"/>
  <c r="I40" i="17"/>
  <c r="L43" i="17"/>
  <c r="V47" i="17"/>
  <c r="H41" i="17"/>
  <c r="H35" i="17"/>
  <c r="J23" i="18" l="1"/>
  <c r="N19" i="18"/>
  <c r="N22" i="18"/>
  <c r="N18" i="18"/>
  <c r="N23" i="18"/>
  <c r="N20" i="18"/>
  <c r="M19" i="18"/>
  <c r="M18" i="18"/>
  <c r="M22" i="18"/>
  <c r="M23" i="18"/>
  <c r="M20" i="18"/>
  <c r="I24" i="18"/>
  <c r="E19" i="18"/>
  <c r="E18" i="18"/>
  <c r="E20" i="18"/>
  <c r="E22" i="18"/>
  <c r="M21" i="18"/>
  <c r="N21" i="18"/>
  <c r="J19" i="18"/>
  <c r="J18" i="18"/>
  <c r="J22" i="18"/>
  <c r="Q24" i="18"/>
  <c r="F12" i="18"/>
  <c r="J21" i="18"/>
  <c r="H57" i="17"/>
  <c r="H69" i="17"/>
  <c r="H66" i="17"/>
  <c r="H42" i="17"/>
  <c r="S50" i="17"/>
  <c r="S67" i="17"/>
  <c r="S70" i="17" s="1"/>
  <c r="S29" i="17"/>
  <c r="L44" i="17"/>
  <c r="L66" i="17"/>
  <c r="L57" i="17"/>
  <c r="L69" i="17"/>
  <c r="O67" i="17"/>
  <c r="O70" i="17" s="1"/>
  <c r="O50" i="17"/>
  <c r="P66" i="17"/>
  <c r="P42" i="17"/>
  <c r="P29" i="17"/>
  <c r="G67" i="17"/>
  <c r="G70" i="17" s="1"/>
  <c r="G50" i="17"/>
  <c r="G29" i="17"/>
  <c r="K67" i="17"/>
  <c r="K70" i="17" s="1"/>
  <c r="L29" i="17"/>
  <c r="K50" i="17"/>
  <c r="K29" i="17"/>
  <c r="F19" i="18" l="1"/>
  <c r="F22" i="18"/>
  <c r="F18" i="18"/>
  <c r="F20" i="18"/>
  <c r="F21" i="18"/>
  <c r="J24" i="18"/>
  <c r="M24" i="18"/>
  <c r="N24" i="18"/>
  <c r="F23" i="18"/>
  <c r="E24" i="18"/>
  <c r="H50" i="17"/>
  <c r="H67" i="17"/>
  <c r="H70" i="17" s="1"/>
  <c r="P50" i="17"/>
  <c r="P67" i="17"/>
  <c r="P70" i="17" s="1"/>
  <c r="L50" i="17"/>
  <c r="L67" i="17"/>
  <c r="L70" i="17" s="1"/>
  <c r="H29" i="17"/>
  <c r="F24" i="18" l="1"/>
  <c r="W15" i="15"/>
  <c r="V15" i="15"/>
  <c r="N31" i="15" s="1"/>
  <c r="W14" i="15"/>
  <c r="V14" i="15"/>
  <c r="Q30" i="15" s="1"/>
  <c r="W13" i="15"/>
  <c r="V13" i="15"/>
  <c r="R29" i="15" s="1"/>
  <c r="W12" i="15"/>
  <c r="V12" i="15"/>
  <c r="U28" i="15" s="1"/>
  <c r="W11" i="15"/>
  <c r="V11" i="15"/>
  <c r="N27" i="15" s="1"/>
  <c r="W10" i="15"/>
  <c r="V10" i="15"/>
  <c r="L26" i="15" s="1"/>
  <c r="W8" i="15"/>
  <c r="V8" i="15"/>
  <c r="T24" i="15" s="1"/>
  <c r="W7" i="15"/>
  <c r="V7" i="15"/>
  <c r="W5" i="15"/>
  <c r="V5" i="15"/>
  <c r="S21" i="15" s="1"/>
  <c r="W4" i="15"/>
  <c r="V4" i="15"/>
  <c r="E20" i="15" s="1"/>
  <c r="C2" i="15"/>
  <c r="S29" i="14"/>
  <c r="M29" i="14"/>
  <c r="I29" i="14"/>
  <c r="U27" i="14"/>
  <c r="O27" i="14"/>
  <c r="J27" i="14"/>
  <c r="E27" i="14"/>
  <c r="U24" i="14"/>
  <c r="Q24" i="14"/>
  <c r="K24" i="14"/>
  <c r="G24" i="14"/>
  <c r="U21" i="14"/>
  <c r="Q21" i="14"/>
  <c r="O21" i="14"/>
  <c r="K21" i="14"/>
  <c r="J21" i="14"/>
  <c r="F21" i="14"/>
  <c r="E21" i="14"/>
  <c r="W15" i="14"/>
  <c r="V15" i="14"/>
  <c r="T31" i="14" s="1"/>
  <c r="W14" i="14"/>
  <c r="V14" i="14"/>
  <c r="W13" i="14"/>
  <c r="V13" i="14"/>
  <c r="T29" i="14" s="1"/>
  <c r="W12" i="14"/>
  <c r="V12" i="14"/>
  <c r="W11" i="14"/>
  <c r="V11" i="14"/>
  <c r="T27" i="14" s="1"/>
  <c r="W10" i="14"/>
  <c r="V10" i="14"/>
  <c r="W8" i="14"/>
  <c r="V8" i="14"/>
  <c r="R24" i="14" s="1"/>
  <c r="W7" i="14"/>
  <c r="V7" i="14"/>
  <c r="N23" i="14" s="1"/>
  <c r="W5" i="14"/>
  <c r="T21" i="14"/>
  <c r="W4" i="14"/>
  <c r="T20" i="14"/>
  <c r="C2" i="14"/>
  <c r="F31" i="15" l="1"/>
  <c r="H26" i="15"/>
  <c r="Q26" i="15"/>
  <c r="D26" i="15"/>
  <c r="N21" i="15"/>
  <c r="F21" i="15"/>
  <c r="J20" i="15"/>
  <c r="T21" i="15"/>
  <c r="P20" i="15"/>
  <c r="I30" i="15"/>
  <c r="T30" i="15"/>
  <c r="L30" i="15"/>
  <c r="D30" i="15"/>
  <c r="P30" i="15"/>
  <c r="H30" i="15"/>
  <c r="J29" i="15"/>
  <c r="D28" i="15"/>
  <c r="E28" i="15"/>
  <c r="P28" i="15"/>
  <c r="M28" i="15"/>
  <c r="H28" i="15"/>
  <c r="T28" i="15"/>
  <c r="L28" i="15"/>
  <c r="F27" i="15"/>
  <c r="T26" i="15"/>
  <c r="I26" i="15"/>
  <c r="P26" i="15"/>
  <c r="H21" i="15"/>
  <c r="U20" i="15"/>
  <c r="J21" i="15"/>
  <c r="P21" i="15"/>
  <c r="O21" i="15"/>
  <c r="D21" i="15"/>
  <c r="K21" i="15"/>
  <c r="N29" i="14"/>
  <c r="G29" i="14"/>
  <c r="R29" i="14"/>
  <c r="G31" i="14"/>
  <c r="R31" i="14"/>
  <c r="M31" i="14"/>
  <c r="K31" i="14"/>
  <c r="F31" i="14"/>
  <c r="Q31" i="14"/>
  <c r="N27" i="14"/>
  <c r="I27" i="14"/>
  <c r="S27" i="14"/>
  <c r="L24" i="14"/>
  <c r="E24" i="14"/>
  <c r="P24" i="14"/>
  <c r="M24" i="15"/>
  <c r="D24" i="15"/>
  <c r="N24" i="15"/>
  <c r="H24" i="15"/>
  <c r="R24" i="15"/>
  <c r="I24" i="15"/>
  <c r="U23" i="15"/>
  <c r="Q23" i="15"/>
  <c r="M23" i="15"/>
  <c r="I23" i="15"/>
  <c r="E23" i="15"/>
  <c r="D23" i="15"/>
  <c r="J23" i="15"/>
  <c r="O23" i="15"/>
  <c r="T23" i="15"/>
  <c r="S20" i="15"/>
  <c r="O20" i="15"/>
  <c r="K20" i="15"/>
  <c r="G20" i="15"/>
  <c r="U27" i="15"/>
  <c r="Q27" i="15"/>
  <c r="M27" i="15"/>
  <c r="I27" i="15"/>
  <c r="E27" i="15"/>
  <c r="T27" i="15"/>
  <c r="P27" i="15"/>
  <c r="L27" i="15"/>
  <c r="H27" i="15"/>
  <c r="D27" i="15"/>
  <c r="U29" i="15"/>
  <c r="Q29" i="15"/>
  <c r="M29" i="15"/>
  <c r="I29" i="15"/>
  <c r="E29" i="15"/>
  <c r="T29" i="15"/>
  <c r="P29" i="15"/>
  <c r="L29" i="15"/>
  <c r="H29" i="15"/>
  <c r="D29" i="15"/>
  <c r="U31" i="15"/>
  <c r="Q31" i="15"/>
  <c r="M31" i="15"/>
  <c r="I31" i="15"/>
  <c r="E31" i="15"/>
  <c r="T31" i="15"/>
  <c r="P31" i="15"/>
  <c r="L31" i="15"/>
  <c r="H31" i="15"/>
  <c r="D31" i="15"/>
  <c r="F20" i="15"/>
  <c r="L20" i="15"/>
  <c r="Q20" i="15"/>
  <c r="F23" i="15"/>
  <c r="K23" i="15"/>
  <c r="P23" i="15"/>
  <c r="G27" i="15"/>
  <c r="O27" i="15"/>
  <c r="K29" i="15"/>
  <c r="S29" i="15"/>
  <c r="G31" i="15"/>
  <c r="O31" i="15"/>
  <c r="S24" i="15"/>
  <c r="O24" i="15"/>
  <c r="K24" i="15"/>
  <c r="G24" i="15"/>
  <c r="H20" i="15"/>
  <c r="M20" i="15"/>
  <c r="R20" i="15"/>
  <c r="G23" i="15"/>
  <c r="L23" i="15"/>
  <c r="R23" i="15"/>
  <c r="E24" i="15"/>
  <c r="J24" i="15"/>
  <c r="P24" i="15"/>
  <c r="U24" i="15"/>
  <c r="J27" i="15"/>
  <c r="R27" i="15"/>
  <c r="F29" i="15"/>
  <c r="N29" i="15"/>
  <c r="J31" i="15"/>
  <c r="R31" i="15"/>
  <c r="U21" i="15"/>
  <c r="Q21" i="15"/>
  <c r="M21" i="15"/>
  <c r="I21" i="15"/>
  <c r="E21" i="15"/>
  <c r="S26" i="15"/>
  <c r="O26" i="15"/>
  <c r="K26" i="15"/>
  <c r="G26" i="15"/>
  <c r="R26" i="15"/>
  <c r="N26" i="15"/>
  <c r="J26" i="15"/>
  <c r="F26" i="15"/>
  <c r="S28" i="15"/>
  <c r="O28" i="15"/>
  <c r="K28" i="15"/>
  <c r="G28" i="15"/>
  <c r="R28" i="15"/>
  <c r="N28" i="15"/>
  <c r="J28" i="15"/>
  <c r="F28" i="15"/>
  <c r="S30" i="15"/>
  <c r="O30" i="15"/>
  <c r="K30" i="15"/>
  <c r="G30" i="15"/>
  <c r="R30" i="15"/>
  <c r="N30" i="15"/>
  <c r="J30" i="15"/>
  <c r="F30" i="15"/>
  <c r="D20" i="15"/>
  <c r="I20" i="15"/>
  <c r="N20" i="15"/>
  <c r="T20" i="15"/>
  <c r="G21" i="15"/>
  <c r="L21" i="15"/>
  <c r="R21" i="15"/>
  <c r="H23" i="15"/>
  <c r="N23" i="15"/>
  <c r="S23" i="15"/>
  <c r="F24" i="15"/>
  <c r="L24" i="15"/>
  <c r="Q24" i="15"/>
  <c r="E26" i="15"/>
  <c r="M26" i="15"/>
  <c r="U26" i="15"/>
  <c r="K27" i="15"/>
  <c r="S27" i="15"/>
  <c r="I28" i="15"/>
  <c r="Q28" i="15"/>
  <c r="G29" i="15"/>
  <c r="O29" i="15"/>
  <c r="E30" i="15"/>
  <c r="M30" i="15"/>
  <c r="U30" i="15"/>
  <c r="K31" i="15"/>
  <c r="S31" i="15"/>
  <c r="K20" i="14"/>
  <c r="D20" i="14"/>
  <c r="O20" i="14"/>
  <c r="F23" i="14"/>
  <c r="E20" i="14"/>
  <c r="P20" i="14"/>
  <c r="G21" i="14"/>
  <c r="M21" i="14"/>
  <c r="R21" i="14"/>
  <c r="H24" i="14"/>
  <c r="M24" i="14"/>
  <c r="S24" i="14"/>
  <c r="F27" i="14"/>
  <c r="K27" i="14"/>
  <c r="Q27" i="14"/>
  <c r="E29" i="14"/>
  <c r="J29" i="14"/>
  <c r="O29" i="14"/>
  <c r="U29" i="14"/>
  <c r="I31" i="14"/>
  <c r="N31" i="14"/>
  <c r="S31" i="14"/>
  <c r="I20" i="14"/>
  <c r="I21" i="14"/>
  <c r="N21" i="14"/>
  <c r="S21" i="14"/>
  <c r="D24" i="14"/>
  <c r="I24" i="14"/>
  <c r="O24" i="14"/>
  <c r="T24" i="14"/>
  <c r="G27" i="14"/>
  <c r="M27" i="14"/>
  <c r="R27" i="14"/>
  <c r="F29" i="14"/>
  <c r="K29" i="14"/>
  <c r="Q29" i="14"/>
  <c r="E31" i="14"/>
  <c r="J31" i="14"/>
  <c r="O31" i="14"/>
  <c r="U31" i="14"/>
  <c r="R26" i="14"/>
  <c r="N26" i="14"/>
  <c r="J26" i="14"/>
  <c r="F26" i="14"/>
  <c r="U26" i="14"/>
  <c r="Q26" i="14"/>
  <c r="M26" i="14"/>
  <c r="I26" i="14"/>
  <c r="E26" i="14"/>
  <c r="R28" i="14"/>
  <c r="N28" i="14"/>
  <c r="J28" i="14"/>
  <c r="F28" i="14"/>
  <c r="U28" i="14"/>
  <c r="Q28" i="14"/>
  <c r="M28" i="14"/>
  <c r="I28" i="14"/>
  <c r="E28" i="14"/>
  <c r="R30" i="14"/>
  <c r="N30" i="14"/>
  <c r="J30" i="14"/>
  <c r="F30" i="14"/>
  <c r="U30" i="14"/>
  <c r="Q30" i="14"/>
  <c r="M30" i="14"/>
  <c r="I30" i="14"/>
  <c r="E30" i="14"/>
  <c r="G26" i="14"/>
  <c r="O26" i="14"/>
  <c r="K28" i="14"/>
  <c r="S28" i="14"/>
  <c r="G30" i="14"/>
  <c r="O30" i="14"/>
  <c r="T23" i="14"/>
  <c r="P23" i="14"/>
  <c r="L23" i="14"/>
  <c r="H23" i="14"/>
  <c r="D23" i="14"/>
  <c r="S23" i="14"/>
  <c r="O23" i="14"/>
  <c r="K23" i="14"/>
  <c r="G23" i="14"/>
  <c r="I23" i="14"/>
  <c r="Q23" i="14"/>
  <c r="H26" i="14"/>
  <c r="P26" i="14"/>
  <c r="D28" i="14"/>
  <c r="L28" i="14"/>
  <c r="T28" i="14"/>
  <c r="H30" i="14"/>
  <c r="P30" i="14"/>
  <c r="R20" i="14"/>
  <c r="N20" i="14"/>
  <c r="J20" i="14"/>
  <c r="F20" i="14"/>
  <c r="U20" i="14"/>
  <c r="G20" i="14"/>
  <c r="L20" i="14"/>
  <c r="Q20" i="14"/>
  <c r="J23" i="14"/>
  <c r="R23" i="14"/>
  <c r="K26" i="14"/>
  <c r="S26" i="14"/>
  <c r="G28" i="14"/>
  <c r="O28" i="14"/>
  <c r="K30" i="14"/>
  <c r="S30" i="14"/>
  <c r="H20" i="14"/>
  <c r="M20" i="14"/>
  <c r="S20" i="14"/>
  <c r="E23" i="14"/>
  <c r="M23" i="14"/>
  <c r="U23" i="14"/>
  <c r="D26" i="14"/>
  <c r="L26" i="14"/>
  <c r="T26" i="14"/>
  <c r="H28" i="14"/>
  <c r="P28" i="14"/>
  <c r="D30" i="14"/>
  <c r="L30" i="14"/>
  <c r="T30" i="14"/>
  <c r="D21" i="14"/>
  <c r="H21" i="14"/>
  <c r="L21" i="14"/>
  <c r="P21" i="14"/>
  <c r="F24" i="14"/>
  <c r="J24" i="14"/>
  <c r="N24" i="14"/>
  <c r="D27" i="14"/>
  <c r="H27" i="14"/>
  <c r="L27" i="14"/>
  <c r="P27" i="14"/>
  <c r="D29" i="14"/>
  <c r="H29" i="14"/>
  <c r="L29" i="14"/>
  <c r="P29" i="14"/>
  <c r="D31" i="14"/>
  <c r="H31" i="14"/>
  <c r="L31" i="14"/>
  <c r="P31" i="14"/>
  <c r="D9" i="13"/>
  <c r="E9" i="13"/>
  <c r="F9" i="13"/>
  <c r="G9" i="13"/>
  <c r="H9" i="13"/>
  <c r="I9" i="13"/>
  <c r="J9" i="13"/>
  <c r="K9" i="13"/>
  <c r="L9" i="13"/>
  <c r="M9" i="13"/>
  <c r="N9" i="13"/>
  <c r="O9" i="13"/>
  <c r="P9" i="13"/>
  <c r="Q9" i="13"/>
  <c r="R9" i="13"/>
  <c r="S9" i="13"/>
  <c r="T9" i="13"/>
  <c r="C9" i="13"/>
  <c r="D11" i="13"/>
  <c r="E11" i="13"/>
  <c r="F11" i="13"/>
  <c r="G11" i="13"/>
  <c r="H11" i="13"/>
  <c r="I11" i="13"/>
  <c r="J11" i="13"/>
  <c r="K11" i="13"/>
  <c r="L11" i="13"/>
  <c r="M11" i="13"/>
  <c r="N11" i="13"/>
  <c r="O11" i="13"/>
  <c r="P11" i="13"/>
  <c r="Q11" i="13"/>
  <c r="R11" i="13"/>
  <c r="S11" i="13"/>
  <c r="T11" i="13"/>
  <c r="C11" i="13"/>
  <c r="Q46" i="11"/>
  <c r="P46" i="11"/>
  <c r="O46" i="11"/>
  <c r="N46" i="11"/>
  <c r="M46" i="11"/>
  <c r="L46" i="11"/>
  <c r="K46" i="11"/>
  <c r="J46" i="11"/>
  <c r="I46" i="11"/>
  <c r="H46" i="11"/>
  <c r="G46" i="11"/>
  <c r="F46" i="11"/>
  <c r="C46" i="11"/>
  <c r="B23" i="13"/>
  <c r="B22" i="13"/>
  <c r="B21" i="13"/>
  <c r="B2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B19" i="13" s="1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B18" i="13" s="1"/>
  <c r="U5" i="13"/>
  <c r="T4" i="13"/>
  <c r="S4" i="13"/>
  <c r="R4" i="13"/>
  <c r="Q4" i="13"/>
  <c r="P4" i="13"/>
  <c r="O4" i="13"/>
  <c r="N4" i="13"/>
  <c r="M4" i="13"/>
  <c r="L4" i="13"/>
  <c r="K4" i="13"/>
  <c r="J4" i="13"/>
  <c r="I4" i="13"/>
  <c r="H4" i="13"/>
  <c r="G4" i="13"/>
  <c r="F4" i="13"/>
  <c r="E4" i="13"/>
  <c r="D4" i="13"/>
  <c r="C4" i="13"/>
  <c r="B4" i="13"/>
  <c r="D10" i="12"/>
  <c r="E10" i="12"/>
  <c r="F10" i="12"/>
  <c r="G10" i="12"/>
  <c r="H10" i="12"/>
  <c r="I10" i="12"/>
  <c r="J10" i="12"/>
  <c r="K10" i="12"/>
  <c r="L10" i="12"/>
  <c r="M10" i="12"/>
  <c r="N10" i="12"/>
  <c r="O10" i="12"/>
  <c r="P10" i="12"/>
  <c r="Q10" i="12"/>
  <c r="R10" i="12"/>
  <c r="S10" i="12"/>
  <c r="T10" i="12"/>
  <c r="C10" i="12"/>
  <c r="D6" i="12"/>
  <c r="E6" i="12"/>
  <c r="F6" i="12"/>
  <c r="G6" i="12"/>
  <c r="H6" i="12"/>
  <c r="I6" i="12"/>
  <c r="J6" i="12"/>
  <c r="K6" i="12"/>
  <c r="L6" i="12"/>
  <c r="M6" i="12"/>
  <c r="N6" i="12"/>
  <c r="O6" i="12"/>
  <c r="P6" i="12"/>
  <c r="Q6" i="12"/>
  <c r="R6" i="12"/>
  <c r="S6" i="12"/>
  <c r="T6" i="12"/>
  <c r="D7" i="12"/>
  <c r="E7" i="12"/>
  <c r="F7" i="12"/>
  <c r="G7" i="12"/>
  <c r="H7" i="12"/>
  <c r="I7" i="12"/>
  <c r="J7" i="12"/>
  <c r="K7" i="12"/>
  <c r="L7" i="12"/>
  <c r="M7" i="12"/>
  <c r="N7" i="12"/>
  <c r="O7" i="12"/>
  <c r="P7" i="12"/>
  <c r="Q7" i="12"/>
  <c r="R7" i="12"/>
  <c r="S7" i="12"/>
  <c r="T7" i="12"/>
  <c r="C7" i="12"/>
  <c r="C6" i="12"/>
  <c r="B23" i="12"/>
  <c r="B22" i="12"/>
  <c r="B21" i="12"/>
  <c r="B20" i="12"/>
  <c r="S17" i="12"/>
  <c r="B7" i="12"/>
  <c r="B19" i="12" s="1"/>
  <c r="B6" i="12"/>
  <c r="B18" i="12" s="1"/>
  <c r="U5" i="12"/>
  <c r="T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T4" i="12"/>
  <c r="S4" i="12"/>
  <c r="R4" i="12"/>
  <c r="Q4" i="12"/>
  <c r="P4" i="12"/>
  <c r="O4" i="12"/>
  <c r="N4" i="12"/>
  <c r="M4" i="12"/>
  <c r="L4" i="12"/>
  <c r="K4" i="12"/>
  <c r="J4" i="12"/>
  <c r="I4" i="12"/>
  <c r="H4" i="12"/>
  <c r="G4" i="12"/>
  <c r="F4" i="12"/>
  <c r="E4" i="12"/>
  <c r="D4" i="12"/>
  <c r="C4" i="12"/>
  <c r="B4" i="12"/>
  <c r="D9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C7" i="11"/>
  <c r="D7" i="11" s="1"/>
  <c r="E7" i="11" s="1"/>
  <c r="I19" i="10"/>
  <c r="K19" i="10"/>
  <c r="L19" i="10"/>
  <c r="M19" i="10"/>
  <c r="Q19" i="10"/>
  <c r="R19" i="10"/>
  <c r="S19" i="10"/>
  <c r="T19" i="10"/>
  <c r="E19" i="10"/>
  <c r="F28" i="10"/>
  <c r="I28" i="10"/>
  <c r="J28" i="10"/>
  <c r="M28" i="10"/>
  <c r="Q28" i="10"/>
  <c r="T28" i="10"/>
  <c r="E28" i="10"/>
  <c r="I20" i="10"/>
  <c r="L20" i="10"/>
  <c r="M20" i="10"/>
  <c r="O20" i="10"/>
  <c r="Q20" i="10"/>
  <c r="T20" i="10"/>
  <c r="I21" i="10"/>
  <c r="L21" i="10"/>
  <c r="M21" i="10"/>
  <c r="Q21" i="10"/>
  <c r="T21" i="10"/>
  <c r="U21" i="10"/>
  <c r="E21" i="10"/>
  <c r="E20" i="10"/>
  <c r="I17" i="10"/>
  <c r="J17" i="10"/>
  <c r="M17" i="10"/>
  <c r="Q17" i="10"/>
  <c r="T17" i="10"/>
  <c r="U17" i="10"/>
  <c r="E17" i="10"/>
  <c r="H14" i="10"/>
  <c r="I14" i="10"/>
  <c r="J14" i="10"/>
  <c r="M14" i="10"/>
  <c r="N14" i="10"/>
  <c r="Q14" i="10"/>
  <c r="T14" i="10"/>
  <c r="E14" i="10"/>
  <c r="D57" i="10"/>
  <c r="D56" i="10"/>
  <c r="D55" i="10"/>
  <c r="D54" i="10"/>
  <c r="B54" i="10"/>
  <c r="D53" i="10"/>
  <c r="D52" i="10"/>
  <c r="D51" i="10"/>
  <c r="C51" i="10"/>
  <c r="B51" i="10"/>
  <c r="D50" i="10"/>
  <c r="B50" i="10"/>
  <c r="D49" i="10"/>
  <c r="D48" i="10"/>
  <c r="D47" i="10"/>
  <c r="D46" i="10"/>
  <c r="D45" i="10"/>
  <c r="D44" i="10"/>
  <c r="D43" i="10"/>
  <c r="D42" i="10"/>
  <c r="B42" i="10"/>
  <c r="D41" i="10"/>
  <c r="D40" i="10"/>
  <c r="C40" i="10"/>
  <c r="D39" i="10"/>
  <c r="D38" i="10"/>
  <c r="C38" i="10"/>
  <c r="B38" i="10"/>
  <c r="D37" i="10"/>
  <c r="D36" i="10"/>
  <c r="D35" i="10"/>
  <c r="B35" i="10"/>
  <c r="W29" i="10"/>
  <c r="V27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V26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V25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V24" i="10"/>
  <c r="U24" i="10"/>
  <c r="T24" i="10"/>
  <c r="S24" i="10"/>
  <c r="R24" i="10"/>
  <c r="Q24" i="10"/>
  <c r="P24" i="10"/>
  <c r="O24" i="10"/>
  <c r="N24" i="10"/>
  <c r="L24" i="10"/>
  <c r="K24" i="10"/>
  <c r="J24" i="10"/>
  <c r="F24" i="10"/>
  <c r="V23" i="10"/>
  <c r="U23" i="10"/>
  <c r="T23" i="10"/>
  <c r="S23" i="10"/>
  <c r="R23" i="10"/>
  <c r="Q23" i="10"/>
  <c r="P23" i="10"/>
  <c r="O23" i="10"/>
  <c r="N23" i="10"/>
  <c r="L23" i="10"/>
  <c r="K23" i="10"/>
  <c r="J23" i="10"/>
  <c r="F23" i="10"/>
  <c r="V22" i="10"/>
  <c r="U22" i="10"/>
  <c r="T22" i="10"/>
  <c r="S22" i="10"/>
  <c r="R22" i="10"/>
  <c r="Q22" i="10"/>
  <c r="P22" i="10"/>
  <c r="O22" i="10"/>
  <c r="N22" i="10"/>
  <c r="L22" i="10"/>
  <c r="K22" i="10"/>
  <c r="J22" i="10"/>
  <c r="F22" i="10"/>
  <c r="U18" i="10"/>
  <c r="S18" i="10"/>
  <c r="R18" i="10"/>
  <c r="O18" i="10"/>
  <c r="N18" i="10"/>
  <c r="J18" i="10"/>
  <c r="F18" i="10"/>
  <c r="G18" i="10" s="1"/>
  <c r="U16" i="10"/>
  <c r="V16" i="10" s="1"/>
  <c r="R16" i="10"/>
  <c r="N16" i="10"/>
  <c r="O16" i="10" s="1"/>
  <c r="J16" i="10"/>
  <c r="K16" i="10" s="1"/>
  <c r="L16" i="10" s="1"/>
  <c r="F16" i="10"/>
  <c r="G16" i="10" s="1"/>
  <c r="U15" i="10"/>
  <c r="S15" i="10"/>
  <c r="R15" i="10"/>
  <c r="N15" i="10"/>
  <c r="J15" i="10"/>
  <c r="K15" i="10" s="1"/>
  <c r="F15" i="10"/>
  <c r="G15" i="10" s="1"/>
  <c r="H15" i="10" s="1"/>
  <c r="U13" i="10"/>
  <c r="V13" i="10" s="1"/>
  <c r="R13" i="10"/>
  <c r="S13" i="10" s="1"/>
  <c r="N13" i="10"/>
  <c r="O13" i="10" s="1"/>
  <c r="P13" i="10" s="1"/>
  <c r="J13" i="10"/>
  <c r="K13" i="10" s="1"/>
  <c r="F13" i="10"/>
  <c r="V12" i="10"/>
  <c r="U12" i="10"/>
  <c r="T12" i="10"/>
  <c r="S12" i="10"/>
  <c r="R12" i="10"/>
  <c r="Q12" i="10"/>
  <c r="P12" i="10"/>
  <c r="O12" i="10"/>
  <c r="N12" i="10"/>
  <c r="L12" i="10"/>
  <c r="K12" i="10"/>
  <c r="J12" i="10"/>
  <c r="F12" i="10"/>
  <c r="V11" i="10"/>
  <c r="U11" i="10"/>
  <c r="T11" i="10"/>
  <c r="S11" i="10"/>
  <c r="R11" i="10"/>
  <c r="Q11" i="10"/>
  <c r="P11" i="10"/>
  <c r="O11" i="10"/>
  <c r="N11" i="10"/>
  <c r="L11" i="10"/>
  <c r="K11" i="10"/>
  <c r="J11" i="10"/>
  <c r="F11" i="10"/>
  <c r="V10" i="10"/>
  <c r="U10" i="10"/>
  <c r="T10" i="10"/>
  <c r="S10" i="10"/>
  <c r="R10" i="10"/>
  <c r="Q10" i="10"/>
  <c r="P10" i="10"/>
  <c r="O10" i="10"/>
  <c r="N10" i="10"/>
  <c r="L10" i="10"/>
  <c r="K10" i="10"/>
  <c r="J10" i="10"/>
  <c r="F10" i="10"/>
  <c r="V9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F9" i="10"/>
  <c r="V8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G6" i="10"/>
  <c r="F6" i="10"/>
  <c r="E6" i="10"/>
  <c r="U4" i="10"/>
  <c r="V4" i="10" s="1"/>
  <c r="R4" i="10"/>
  <c r="Q4" i="10" s="1"/>
  <c r="O4" i="10"/>
  <c r="N4" i="10"/>
  <c r="M4" i="10" s="1"/>
  <c r="K4" i="10"/>
  <c r="J4" i="10"/>
  <c r="I4" i="10"/>
  <c r="G4" i="10"/>
  <c r="F4" i="10" s="1"/>
  <c r="E4" i="10" s="1"/>
  <c r="D36" i="9"/>
  <c r="D37" i="9"/>
  <c r="B38" i="9"/>
  <c r="C38" i="9"/>
  <c r="D38" i="9"/>
  <c r="D39" i="9"/>
  <c r="C40" i="9"/>
  <c r="D40" i="9"/>
  <c r="D41" i="9"/>
  <c r="B42" i="9"/>
  <c r="D42" i="9"/>
  <c r="D43" i="9"/>
  <c r="D44" i="9"/>
  <c r="D45" i="9"/>
  <c r="D46" i="9"/>
  <c r="D47" i="9"/>
  <c r="D48" i="9"/>
  <c r="D49" i="9"/>
  <c r="B50" i="9"/>
  <c r="D50" i="9"/>
  <c r="B51" i="9"/>
  <c r="C51" i="9"/>
  <c r="D51" i="9"/>
  <c r="D52" i="9"/>
  <c r="D53" i="9"/>
  <c r="B54" i="9"/>
  <c r="D54" i="9"/>
  <c r="D55" i="9"/>
  <c r="D56" i="9"/>
  <c r="D57" i="9"/>
  <c r="D35" i="9"/>
  <c r="B35" i="9"/>
  <c r="V20" i="9"/>
  <c r="U14" i="9"/>
  <c r="U15" i="9"/>
  <c r="U16" i="9"/>
  <c r="U17" i="9"/>
  <c r="U18" i="9"/>
  <c r="U19" i="9"/>
  <c r="U20" i="9"/>
  <c r="U21" i="9"/>
  <c r="U13" i="9"/>
  <c r="R14" i="9"/>
  <c r="R14" i="10" s="1"/>
  <c r="R15" i="9"/>
  <c r="S15" i="9" s="1"/>
  <c r="R16" i="9"/>
  <c r="S16" i="9" s="1"/>
  <c r="R17" i="9"/>
  <c r="S17" i="9" s="1"/>
  <c r="S17" i="10" s="1"/>
  <c r="R18" i="9"/>
  <c r="S18" i="9" s="1"/>
  <c r="R19" i="9"/>
  <c r="S19" i="9" s="1"/>
  <c r="R20" i="9"/>
  <c r="S20" i="9" s="1"/>
  <c r="S20" i="10" s="1"/>
  <c r="R21" i="9"/>
  <c r="S21" i="9" s="1"/>
  <c r="S21" i="10" s="1"/>
  <c r="R13" i="9"/>
  <c r="S13" i="9" s="1"/>
  <c r="O15" i="9"/>
  <c r="P15" i="9" s="1"/>
  <c r="N14" i="9"/>
  <c r="O14" i="9" s="1"/>
  <c r="P14" i="9" s="1"/>
  <c r="P14" i="10" s="1"/>
  <c r="N15" i="9"/>
  <c r="N16" i="9"/>
  <c r="O16" i="9" s="1"/>
  <c r="P16" i="9" s="1"/>
  <c r="N17" i="9"/>
  <c r="O17" i="9" s="1"/>
  <c r="P17" i="9" s="1"/>
  <c r="P17" i="10" s="1"/>
  <c r="N18" i="9"/>
  <c r="O18" i="9" s="1"/>
  <c r="P18" i="9" s="1"/>
  <c r="N19" i="9"/>
  <c r="O19" i="9" s="1"/>
  <c r="N20" i="9"/>
  <c r="O20" i="9" s="1"/>
  <c r="P20" i="9" s="1"/>
  <c r="P20" i="10" s="1"/>
  <c r="N21" i="9"/>
  <c r="O21" i="9" s="1"/>
  <c r="P21" i="9" s="1"/>
  <c r="P21" i="10" s="1"/>
  <c r="N13" i="9"/>
  <c r="O13" i="9" s="1"/>
  <c r="P13" i="9" s="1"/>
  <c r="K20" i="9"/>
  <c r="L20" i="9" s="1"/>
  <c r="J14" i="9"/>
  <c r="K14" i="9" s="1"/>
  <c r="L14" i="9" s="1"/>
  <c r="L14" i="10" s="1"/>
  <c r="J15" i="9"/>
  <c r="K15" i="9" s="1"/>
  <c r="L15" i="9" s="1"/>
  <c r="J16" i="9"/>
  <c r="K16" i="9" s="1"/>
  <c r="L16" i="9" s="1"/>
  <c r="J17" i="9"/>
  <c r="K17" i="9" s="1"/>
  <c r="L17" i="9" s="1"/>
  <c r="L17" i="10" s="1"/>
  <c r="J18" i="9"/>
  <c r="K18" i="9" s="1"/>
  <c r="L18" i="9" s="1"/>
  <c r="J19" i="9"/>
  <c r="K19" i="9" s="1"/>
  <c r="L19" i="9" s="1"/>
  <c r="J20" i="9"/>
  <c r="J20" i="10" s="1"/>
  <c r="J21" i="9"/>
  <c r="K21" i="9" s="1"/>
  <c r="L21" i="9" s="1"/>
  <c r="J13" i="9"/>
  <c r="K13" i="9" s="1"/>
  <c r="L13" i="9" s="1"/>
  <c r="G17" i="9"/>
  <c r="H17" i="9" s="1"/>
  <c r="H17" i="10" s="1"/>
  <c r="F14" i="9"/>
  <c r="G14" i="9" s="1"/>
  <c r="H14" i="9" s="1"/>
  <c r="F15" i="9"/>
  <c r="G15" i="9" s="1"/>
  <c r="H15" i="9" s="1"/>
  <c r="F16" i="9"/>
  <c r="G16" i="9" s="1"/>
  <c r="H16" i="9" s="1"/>
  <c r="F17" i="9"/>
  <c r="F17" i="10" s="1"/>
  <c r="F18" i="9"/>
  <c r="G18" i="9" s="1"/>
  <c r="H18" i="9" s="1"/>
  <c r="F19" i="9"/>
  <c r="G19" i="9" s="1"/>
  <c r="H19" i="9" s="1"/>
  <c r="H19" i="10" s="1"/>
  <c r="F20" i="9"/>
  <c r="G20" i="9" s="1"/>
  <c r="H20" i="9" s="1"/>
  <c r="H20" i="10" s="1"/>
  <c r="F21" i="9"/>
  <c r="F21" i="10" s="1"/>
  <c r="F13" i="9"/>
  <c r="G13" i="9" s="1"/>
  <c r="U28" i="9"/>
  <c r="R28" i="9"/>
  <c r="S28" i="9" s="1"/>
  <c r="S28" i="10" s="1"/>
  <c r="N28" i="9"/>
  <c r="O28" i="9" s="1"/>
  <c r="J28" i="9"/>
  <c r="K28" i="9" s="1"/>
  <c r="L28" i="9" s="1"/>
  <c r="L28" i="10" s="1"/>
  <c r="F28" i="9"/>
  <c r="G28" i="9" s="1"/>
  <c r="H28" i="9" s="1"/>
  <c r="H28" i="10" s="1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E26" i="9"/>
  <c r="E27" i="9"/>
  <c r="E25" i="9"/>
  <c r="F22" i="9"/>
  <c r="J22" i="9"/>
  <c r="K22" i="9"/>
  <c r="L22" i="9"/>
  <c r="N22" i="9"/>
  <c r="O22" i="9"/>
  <c r="P22" i="9"/>
  <c r="Q22" i="9"/>
  <c r="R22" i="9"/>
  <c r="S22" i="9"/>
  <c r="T22" i="9"/>
  <c r="U22" i="9"/>
  <c r="V22" i="9"/>
  <c r="F23" i="9"/>
  <c r="J23" i="9"/>
  <c r="K23" i="9"/>
  <c r="L23" i="9"/>
  <c r="N23" i="9"/>
  <c r="O23" i="9"/>
  <c r="P23" i="9"/>
  <c r="Q23" i="9"/>
  <c r="R23" i="9"/>
  <c r="S23" i="9"/>
  <c r="T23" i="9"/>
  <c r="U23" i="9"/>
  <c r="V23" i="9"/>
  <c r="F24" i="9"/>
  <c r="J24" i="9"/>
  <c r="K24" i="9"/>
  <c r="L24" i="9"/>
  <c r="N24" i="9"/>
  <c r="O24" i="9"/>
  <c r="P24" i="9"/>
  <c r="Q24" i="9"/>
  <c r="R24" i="9"/>
  <c r="S24" i="9"/>
  <c r="T24" i="9"/>
  <c r="U24" i="9"/>
  <c r="V24" i="9"/>
  <c r="F10" i="9"/>
  <c r="J10" i="9"/>
  <c r="K10" i="9"/>
  <c r="L10" i="9"/>
  <c r="N10" i="9"/>
  <c r="O10" i="9"/>
  <c r="P10" i="9"/>
  <c r="Q10" i="9"/>
  <c r="R10" i="9"/>
  <c r="S10" i="9"/>
  <c r="T10" i="9"/>
  <c r="U10" i="9"/>
  <c r="V10" i="9"/>
  <c r="F11" i="9"/>
  <c r="J11" i="9"/>
  <c r="K11" i="9"/>
  <c r="L11" i="9"/>
  <c r="N11" i="9"/>
  <c r="O11" i="9"/>
  <c r="P11" i="9"/>
  <c r="Q11" i="9"/>
  <c r="R11" i="9"/>
  <c r="S11" i="9"/>
  <c r="T11" i="9"/>
  <c r="U11" i="9"/>
  <c r="V11" i="9"/>
  <c r="F12" i="9"/>
  <c r="J12" i="9"/>
  <c r="K12" i="9"/>
  <c r="L12" i="9"/>
  <c r="N12" i="9"/>
  <c r="O12" i="9"/>
  <c r="P12" i="9"/>
  <c r="Q12" i="9"/>
  <c r="R12" i="9"/>
  <c r="S12" i="9"/>
  <c r="T12" i="9"/>
  <c r="U12" i="9"/>
  <c r="V12" i="9"/>
  <c r="F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F6" i="9"/>
  <c r="G6" i="9"/>
  <c r="H6" i="9"/>
  <c r="I6" i="9"/>
  <c r="J6" i="9"/>
  <c r="K6" i="9"/>
  <c r="L6" i="9"/>
  <c r="M6" i="9"/>
  <c r="N6" i="9"/>
  <c r="O6" i="9"/>
  <c r="P6" i="9"/>
  <c r="Q6" i="9"/>
  <c r="R6" i="9"/>
  <c r="S6" i="9"/>
  <c r="T6" i="9"/>
  <c r="U6" i="9"/>
  <c r="V6" i="9"/>
  <c r="F7" i="9"/>
  <c r="G7" i="9"/>
  <c r="H7" i="9"/>
  <c r="I7" i="9"/>
  <c r="J7" i="9"/>
  <c r="K7" i="9"/>
  <c r="L7" i="9"/>
  <c r="M7" i="9"/>
  <c r="N7" i="9"/>
  <c r="O7" i="9"/>
  <c r="P7" i="9"/>
  <c r="Q7" i="9"/>
  <c r="R7" i="9"/>
  <c r="S7" i="9"/>
  <c r="T7" i="9"/>
  <c r="U7" i="9"/>
  <c r="V7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E7" i="9"/>
  <c r="E8" i="9"/>
  <c r="E6" i="9"/>
  <c r="W29" i="9"/>
  <c r="U4" i="9"/>
  <c r="V4" i="9" s="1"/>
  <c r="R4" i="9"/>
  <c r="Q4" i="9" s="1"/>
  <c r="O4" i="9"/>
  <c r="N4" i="9" s="1"/>
  <c r="M4" i="9" s="1"/>
  <c r="K4" i="9"/>
  <c r="J4" i="9" s="1"/>
  <c r="I4" i="9" s="1"/>
  <c r="G4" i="9"/>
  <c r="F4" i="9" s="1"/>
  <c r="E4" i="9" s="1"/>
  <c r="G12" i="13" l="1"/>
  <c r="H9" i="15" s="1"/>
  <c r="V28" i="9"/>
  <c r="U28" i="10"/>
  <c r="U29" i="10" s="1"/>
  <c r="T6" i="15" s="1"/>
  <c r="V21" i="9"/>
  <c r="V20" i="10"/>
  <c r="U20" i="10"/>
  <c r="V19" i="9"/>
  <c r="U19" i="10"/>
  <c r="V18" i="9"/>
  <c r="V17" i="9"/>
  <c r="V16" i="9"/>
  <c r="V15" i="9"/>
  <c r="V14" i="9"/>
  <c r="U14" i="10"/>
  <c r="V13" i="9"/>
  <c r="R28" i="10"/>
  <c r="R21" i="10"/>
  <c r="R20" i="10"/>
  <c r="R17" i="10"/>
  <c r="S14" i="9"/>
  <c r="S14" i="10" s="1"/>
  <c r="N21" i="10"/>
  <c r="P28" i="9"/>
  <c r="P28" i="10" s="1"/>
  <c r="O28" i="10"/>
  <c r="N28" i="10"/>
  <c r="O21" i="10"/>
  <c r="N20" i="10"/>
  <c r="P19" i="9"/>
  <c r="P19" i="10" s="1"/>
  <c r="O19" i="10"/>
  <c r="N19" i="10"/>
  <c r="O17" i="10"/>
  <c r="N17" i="10"/>
  <c r="O14" i="10"/>
  <c r="O29" i="10" s="1"/>
  <c r="N6" i="15" s="1"/>
  <c r="D12" i="11"/>
  <c r="E12" i="11" s="1"/>
  <c r="K21" i="10"/>
  <c r="J21" i="10"/>
  <c r="G20" i="10"/>
  <c r="G21" i="9"/>
  <c r="O12" i="13"/>
  <c r="K12" i="13"/>
  <c r="L9" i="15" s="1"/>
  <c r="G22" i="13"/>
  <c r="F12" i="13"/>
  <c r="J12" i="13"/>
  <c r="K9" i="15" s="1"/>
  <c r="N12" i="13"/>
  <c r="R12" i="13"/>
  <c r="G19" i="13"/>
  <c r="C12" i="13"/>
  <c r="D9" i="15" s="1"/>
  <c r="S12" i="13"/>
  <c r="D12" i="13"/>
  <c r="L12" i="13"/>
  <c r="T12" i="13"/>
  <c r="E12" i="13"/>
  <c r="F9" i="15" s="1"/>
  <c r="I12" i="13"/>
  <c r="J9" i="15" s="1"/>
  <c r="M12" i="13"/>
  <c r="Q12" i="13"/>
  <c r="R9" i="15" s="1"/>
  <c r="H12" i="13"/>
  <c r="P12" i="13"/>
  <c r="R12" i="12"/>
  <c r="S9" i="14" s="1"/>
  <c r="R23" i="12"/>
  <c r="D12" i="12"/>
  <c r="S12" i="12"/>
  <c r="T9" i="14" s="1"/>
  <c r="C12" i="12"/>
  <c r="D9" i="14" s="1"/>
  <c r="G12" i="12"/>
  <c r="O12" i="12"/>
  <c r="K12" i="12"/>
  <c r="L9" i="14" s="1"/>
  <c r="R19" i="12"/>
  <c r="K28" i="10"/>
  <c r="K20" i="10"/>
  <c r="J19" i="10"/>
  <c r="K17" i="10"/>
  <c r="K14" i="10"/>
  <c r="G28" i="10"/>
  <c r="F20" i="10"/>
  <c r="G19" i="10"/>
  <c r="F19" i="10"/>
  <c r="G17" i="10"/>
  <c r="G14" i="10"/>
  <c r="F14" i="10"/>
  <c r="F29" i="10" s="1"/>
  <c r="E6" i="15" s="1"/>
  <c r="H13" i="9"/>
  <c r="G13" i="10"/>
  <c r="O15" i="10"/>
  <c r="V18" i="10"/>
  <c r="H16" i="10"/>
  <c r="P16" i="10"/>
  <c r="P18" i="10"/>
  <c r="L15" i="10"/>
  <c r="K18" i="10"/>
  <c r="L13" i="10"/>
  <c r="S16" i="10"/>
  <c r="H18" i="10"/>
  <c r="Q29" i="10"/>
  <c r="P6" i="15" s="1"/>
  <c r="V15" i="10"/>
  <c r="T29" i="10"/>
  <c r="S6" i="15" s="1"/>
  <c r="J29" i="10"/>
  <c r="I6" i="15" s="1"/>
  <c r="R29" i="10"/>
  <c r="Q6" i="15" s="1"/>
  <c r="F29" i="9"/>
  <c r="E6" i="14" s="1"/>
  <c r="R29" i="9"/>
  <c r="Q6" i="14" s="1"/>
  <c r="Q29" i="9"/>
  <c r="P6" i="14" s="1"/>
  <c r="T29" i="9"/>
  <c r="S6" i="14" s="1"/>
  <c r="N29" i="9"/>
  <c r="M6" i="14" s="1"/>
  <c r="J29" i="9"/>
  <c r="I6" i="14" s="1"/>
  <c r="K29" i="9"/>
  <c r="J6" i="14" s="1"/>
  <c r="O29" i="9"/>
  <c r="N6" i="14" s="1"/>
  <c r="U29" i="9"/>
  <c r="T6" i="14" s="1"/>
  <c r="C2" i="2"/>
  <c r="W4" i="2"/>
  <c r="W5" i="2"/>
  <c r="W7" i="2"/>
  <c r="W8" i="2"/>
  <c r="W9" i="2"/>
  <c r="W10" i="2"/>
  <c r="W11" i="2"/>
  <c r="W12" i="2"/>
  <c r="W13" i="2"/>
  <c r="W14" i="2"/>
  <c r="W15" i="2"/>
  <c r="V15" i="2"/>
  <c r="V14" i="2"/>
  <c r="V13" i="2"/>
  <c r="V12" i="2"/>
  <c r="V11" i="2"/>
  <c r="V10" i="2"/>
  <c r="V9" i="2"/>
  <c r="V8" i="2"/>
  <c r="V7" i="2"/>
  <c r="V5" i="2"/>
  <c r="V4" i="2"/>
  <c r="M11" i="7"/>
  <c r="O11" i="7"/>
  <c r="P11" i="7"/>
  <c r="G20" i="13" l="1"/>
  <c r="G21" i="13"/>
  <c r="G18" i="13"/>
  <c r="G23" i="13"/>
  <c r="K23" i="13"/>
  <c r="K22" i="13"/>
  <c r="K20" i="13"/>
  <c r="K18" i="13"/>
  <c r="V28" i="10"/>
  <c r="V21" i="10"/>
  <c r="V19" i="10"/>
  <c r="V17" i="10"/>
  <c r="V14" i="10"/>
  <c r="N29" i="10"/>
  <c r="M6" i="15" s="1"/>
  <c r="S21" i="12"/>
  <c r="R20" i="12"/>
  <c r="R22" i="12"/>
  <c r="F18" i="13"/>
  <c r="G9" i="15"/>
  <c r="O22" i="13"/>
  <c r="P9" i="15"/>
  <c r="O19" i="12"/>
  <c r="P9" i="14"/>
  <c r="D21" i="12"/>
  <c r="E9" i="14"/>
  <c r="R21" i="12"/>
  <c r="H19" i="13"/>
  <c r="I9" i="15"/>
  <c r="S18" i="13"/>
  <c r="T9" i="15"/>
  <c r="J19" i="13"/>
  <c r="G20" i="12"/>
  <c r="H9" i="14"/>
  <c r="T22" i="13"/>
  <c r="U9" i="15"/>
  <c r="R19" i="13"/>
  <c r="S9" i="15"/>
  <c r="O18" i="13"/>
  <c r="M22" i="13"/>
  <c r="N9" i="15"/>
  <c r="L18" i="13"/>
  <c r="M9" i="15"/>
  <c r="O19" i="13"/>
  <c r="N18" i="13"/>
  <c r="O9" i="15"/>
  <c r="O20" i="13"/>
  <c r="R18" i="12"/>
  <c r="P22" i="13"/>
  <c r="Q9" i="15"/>
  <c r="D18" i="13"/>
  <c r="E9" i="15"/>
  <c r="K19" i="13"/>
  <c r="J18" i="13"/>
  <c r="H22" i="13"/>
  <c r="K21" i="13"/>
  <c r="H21" i="9"/>
  <c r="G21" i="10"/>
  <c r="O21" i="13"/>
  <c r="O23" i="13"/>
  <c r="R18" i="13"/>
  <c r="T19" i="13"/>
  <c r="L19" i="13"/>
  <c r="F19" i="13"/>
  <c r="E46" i="11"/>
  <c r="D46" i="11"/>
  <c r="I20" i="13"/>
  <c r="I23" i="13"/>
  <c r="I21" i="13"/>
  <c r="I18" i="13"/>
  <c r="E20" i="13"/>
  <c r="E23" i="13"/>
  <c r="E21" i="13"/>
  <c r="I22" i="13"/>
  <c r="J23" i="13"/>
  <c r="J21" i="13"/>
  <c r="J22" i="13"/>
  <c r="J20" i="13"/>
  <c r="E19" i="13"/>
  <c r="Q20" i="13"/>
  <c r="Q23" i="13"/>
  <c r="Q21" i="13"/>
  <c r="T21" i="13"/>
  <c r="T23" i="13"/>
  <c r="T20" i="13"/>
  <c r="C20" i="13"/>
  <c r="C21" i="13"/>
  <c r="C22" i="13"/>
  <c r="C23" i="13"/>
  <c r="E22" i="13"/>
  <c r="D19" i="13"/>
  <c r="Q18" i="13"/>
  <c r="Q19" i="13"/>
  <c r="T18" i="13"/>
  <c r="P21" i="13"/>
  <c r="P23" i="13"/>
  <c r="P20" i="13"/>
  <c r="D21" i="13"/>
  <c r="D23" i="13"/>
  <c r="D20" i="13"/>
  <c r="I19" i="13"/>
  <c r="H21" i="13"/>
  <c r="H23" i="13"/>
  <c r="H20" i="13"/>
  <c r="S20" i="13"/>
  <c r="S21" i="13"/>
  <c r="S22" i="13"/>
  <c r="S23" i="13"/>
  <c r="R23" i="13"/>
  <c r="R21" i="13"/>
  <c r="R22" i="13"/>
  <c r="R20" i="13"/>
  <c r="D22" i="13"/>
  <c r="E18" i="13"/>
  <c r="H18" i="13"/>
  <c r="M20" i="13"/>
  <c r="M23" i="13"/>
  <c r="M21" i="13"/>
  <c r="L21" i="13"/>
  <c r="L23" i="13"/>
  <c r="L20" i="13"/>
  <c r="Q22" i="13"/>
  <c r="S19" i="13"/>
  <c r="C19" i="13"/>
  <c r="N23" i="13"/>
  <c r="N20" i="13"/>
  <c r="N21" i="13"/>
  <c r="N22" i="13"/>
  <c r="F23" i="13"/>
  <c r="F21" i="13"/>
  <c r="F20" i="13"/>
  <c r="F22" i="13"/>
  <c r="L22" i="13"/>
  <c r="N19" i="13"/>
  <c r="M18" i="13"/>
  <c r="M19" i="13"/>
  <c r="P18" i="13"/>
  <c r="P19" i="13"/>
  <c r="C18" i="13"/>
  <c r="C21" i="12"/>
  <c r="C19" i="12"/>
  <c r="C18" i="12"/>
  <c r="C22" i="12"/>
  <c r="L12" i="12"/>
  <c r="M9" i="14" s="1"/>
  <c r="O21" i="12"/>
  <c r="O22" i="12"/>
  <c r="O18" i="12"/>
  <c r="O20" i="12"/>
  <c r="O23" i="12"/>
  <c r="D20" i="12"/>
  <c r="S19" i="12"/>
  <c r="S18" i="12"/>
  <c r="S23" i="12"/>
  <c r="S22" i="12"/>
  <c r="S20" i="12"/>
  <c r="H12" i="12"/>
  <c r="K21" i="12"/>
  <c r="K22" i="12"/>
  <c r="K23" i="12"/>
  <c r="K19" i="12"/>
  <c r="K18" i="12"/>
  <c r="D18" i="12"/>
  <c r="D23" i="12"/>
  <c r="K20" i="12"/>
  <c r="G21" i="12"/>
  <c r="G19" i="12"/>
  <c r="G23" i="12"/>
  <c r="G22" i="12"/>
  <c r="G18" i="12"/>
  <c r="D22" i="12"/>
  <c r="D19" i="12"/>
  <c r="P12" i="12"/>
  <c r="C20" i="12"/>
  <c r="C23" i="12"/>
  <c r="T12" i="12"/>
  <c r="T20" i="12" s="1"/>
  <c r="K29" i="10"/>
  <c r="J6" i="15" s="1"/>
  <c r="H13" i="10"/>
  <c r="E9" i="11" s="1"/>
  <c r="L18" i="10"/>
  <c r="V29" i="10"/>
  <c r="U6" i="15" s="1"/>
  <c r="P15" i="10"/>
  <c r="S29" i="10"/>
  <c r="R6" i="15" s="1"/>
  <c r="S29" i="9"/>
  <c r="R6" i="14" s="1"/>
  <c r="L29" i="9"/>
  <c r="K6" i="14" s="1"/>
  <c r="P29" i="9"/>
  <c r="O6" i="14" s="1"/>
  <c r="V29" i="9"/>
  <c r="U6" i="14" s="1"/>
  <c r="O8" i="7"/>
  <c r="O7" i="7"/>
  <c r="K11" i="7"/>
  <c r="K8" i="7"/>
  <c r="F9" i="2"/>
  <c r="G9" i="2"/>
  <c r="H9" i="2"/>
  <c r="I9" i="2"/>
  <c r="J9" i="2"/>
  <c r="K9" i="2"/>
  <c r="E9" i="2"/>
  <c r="D9" i="2"/>
  <c r="J11" i="7"/>
  <c r="I9" i="8"/>
  <c r="B23" i="8"/>
  <c r="B22" i="8"/>
  <c r="B21" i="8"/>
  <c r="B20" i="8"/>
  <c r="B7" i="8"/>
  <c r="B19" i="8" s="1"/>
  <c r="B6" i="8"/>
  <c r="B18" i="8" s="1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H7" i="7"/>
  <c r="I7" i="7" s="1"/>
  <c r="J7" i="7" s="1"/>
  <c r="G11" i="7"/>
  <c r="G8" i="7"/>
  <c r="C19" i="7"/>
  <c r="C20" i="7"/>
  <c r="C21" i="7"/>
  <c r="C22" i="7"/>
  <c r="C23" i="7"/>
  <c r="C18" i="7"/>
  <c r="B19" i="7"/>
  <c r="B20" i="7"/>
  <c r="B21" i="7"/>
  <c r="B22" i="7"/>
  <c r="B23" i="7"/>
  <c r="G12" i="7"/>
  <c r="G18" i="7" s="1"/>
  <c r="C12" i="7"/>
  <c r="C11" i="7"/>
  <c r="C8" i="7"/>
  <c r="D8" i="7" s="1"/>
  <c r="E8" i="7" s="1"/>
  <c r="F8" i="7" s="1"/>
  <c r="P8" i="7"/>
  <c r="Q8" i="7" s="1"/>
  <c r="S8" i="7" s="1"/>
  <c r="T8" i="7" s="1"/>
  <c r="P9" i="7"/>
  <c r="Q9" i="7" s="1"/>
  <c r="S9" i="7" s="1"/>
  <c r="T9" i="7" s="1"/>
  <c r="P10" i="7"/>
  <c r="Q10" i="7" s="1"/>
  <c r="S10" i="7" s="1"/>
  <c r="T10" i="7" s="1"/>
  <c r="L8" i="7"/>
  <c r="M8" i="7" s="1"/>
  <c r="N8" i="7" s="1"/>
  <c r="L9" i="7"/>
  <c r="M9" i="7" s="1"/>
  <c r="N9" i="7" s="1"/>
  <c r="L10" i="7"/>
  <c r="M10" i="7" s="1"/>
  <c r="N10" i="7" s="1"/>
  <c r="L7" i="7"/>
  <c r="M7" i="7" s="1"/>
  <c r="N7" i="7" s="1"/>
  <c r="H8" i="7"/>
  <c r="I8" i="7" s="1"/>
  <c r="J8" i="7" s="1"/>
  <c r="H9" i="7"/>
  <c r="I9" i="7" s="1"/>
  <c r="J9" i="7" s="1"/>
  <c r="H10" i="7"/>
  <c r="I10" i="7" s="1"/>
  <c r="J10" i="7" s="1"/>
  <c r="D9" i="7"/>
  <c r="E9" i="7" s="1"/>
  <c r="F9" i="7" s="1"/>
  <c r="D10" i="7"/>
  <c r="E10" i="7" s="1"/>
  <c r="F10" i="7" s="1"/>
  <c r="D7" i="7"/>
  <c r="E7" i="7" s="1"/>
  <c r="F7" i="7" s="1"/>
  <c r="C4" i="7"/>
  <c r="C8" i="8" s="1"/>
  <c r="D4" i="7"/>
  <c r="E4" i="7"/>
  <c r="F4" i="7"/>
  <c r="F7" i="8" s="1"/>
  <c r="G4" i="7"/>
  <c r="G6" i="8" s="1"/>
  <c r="H4" i="7"/>
  <c r="I4" i="7"/>
  <c r="I8" i="8" s="1"/>
  <c r="J4" i="7"/>
  <c r="K4" i="7"/>
  <c r="K6" i="8" s="1"/>
  <c r="L4" i="7"/>
  <c r="M4" i="7"/>
  <c r="N4" i="7"/>
  <c r="O4" i="7"/>
  <c r="O6" i="8" s="1"/>
  <c r="P4" i="7"/>
  <c r="P10" i="8" s="1"/>
  <c r="Q4" i="7"/>
  <c r="Q9" i="8" s="1"/>
  <c r="R4" i="7"/>
  <c r="R9" i="8" s="1"/>
  <c r="S4" i="7"/>
  <c r="S6" i="8" s="1"/>
  <c r="T4" i="7"/>
  <c r="T6" i="8" s="1"/>
  <c r="B4" i="7"/>
  <c r="D5" i="7"/>
  <c r="D17" i="7" s="1"/>
  <c r="E5" i="7"/>
  <c r="E17" i="7" s="1"/>
  <c r="F5" i="7"/>
  <c r="F17" i="7" s="1"/>
  <c r="G5" i="7"/>
  <c r="G17" i="7" s="1"/>
  <c r="H5" i="7"/>
  <c r="H17" i="7" s="1"/>
  <c r="I5" i="7"/>
  <c r="I17" i="7" s="1"/>
  <c r="J5" i="7"/>
  <c r="J17" i="7" s="1"/>
  <c r="K5" i="7"/>
  <c r="K17" i="7" s="1"/>
  <c r="L5" i="7"/>
  <c r="L17" i="7" s="1"/>
  <c r="M5" i="7"/>
  <c r="M17" i="7" s="1"/>
  <c r="N5" i="7"/>
  <c r="N17" i="7" s="1"/>
  <c r="O5" i="7"/>
  <c r="O17" i="7" s="1"/>
  <c r="P5" i="7"/>
  <c r="P17" i="7" s="1"/>
  <c r="Q5" i="7"/>
  <c r="Q17" i="7" s="1"/>
  <c r="R5" i="7"/>
  <c r="R17" i="7" s="1"/>
  <c r="S5" i="7"/>
  <c r="S17" i="7" s="1"/>
  <c r="T5" i="7"/>
  <c r="T17" i="7" s="1"/>
  <c r="U5" i="7"/>
  <c r="C5" i="7"/>
  <c r="C17" i="7" s="1"/>
  <c r="B7" i="7"/>
  <c r="B6" i="7"/>
  <c r="B18" i="7" s="1"/>
  <c r="G24" i="13" l="1"/>
  <c r="R24" i="12"/>
  <c r="K24" i="13"/>
  <c r="D9" i="8"/>
  <c r="D7" i="8"/>
  <c r="D6" i="8"/>
  <c r="M11" i="8"/>
  <c r="M6" i="8"/>
  <c r="E8" i="8"/>
  <c r="E6" i="8"/>
  <c r="T9" i="8"/>
  <c r="I7" i="8"/>
  <c r="Q6" i="8"/>
  <c r="H9" i="8"/>
  <c r="H11" i="8"/>
  <c r="P6" i="8"/>
  <c r="N10" i="8"/>
  <c r="E11" i="8"/>
  <c r="F9" i="8"/>
  <c r="E7" i="8"/>
  <c r="I6" i="8"/>
  <c r="L9" i="8"/>
  <c r="L6" i="8"/>
  <c r="H7" i="8"/>
  <c r="N9" i="8"/>
  <c r="N7" i="8"/>
  <c r="J7" i="8"/>
  <c r="J9" i="8"/>
  <c r="T8" i="8"/>
  <c r="D11" i="8"/>
  <c r="E9" i="8"/>
  <c r="H6" i="8"/>
  <c r="W9" i="15"/>
  <c r="V9" i="15"/>
  <c r="L25" i="15" s="1"/>
  <c r="O24" i="13"/>
  <c r="J17" i="8"/>
  <c r="K3" i="2"/>
  <c r="K19" i="2" s="1"/>
  <c r="N17" i="8"/>
  <c r="O3" i="2"/>
  <c r="O19" i="2" s="1"/>
  <c r="R17" i="8"/>
  <c r="S3" i="2"/>
  <c r="S19" i="2" s="1"/>
  <c r="C10" i="8"/>
  <c r="G10" i="8"/>
  <c r="G8" i="8"/>
  <c r="G17" i="8"/>
  <c r="H3" i="2"/>
  <c r="H19" i="2" s="1"/>
  <c r="O17" i="8"/>
  <c r="P3" i="2"/>
  <c r="P19" i="2" s="1"/>
  <c r="C9" i="8"/>
  <c r="F10" i="8"/>
  <c r="J8" i="8"/>
  <c r="G7" i="8"/>
  <c r="T10" i="8"/>
  <c r="E17" i="8"/>
  <c r="F3" i="2"/>
  <c r="F19" i="2" s="1"/>
  <c r="I17" i="8"/>
  <c r="J3" i="2"/>
  <c r="J19" i="2" s="1"/>
  <c r="M17" i="8"/>
  <c r="N3" i="2"/>
  <c r="N19" i="2" s="1"/>
  <c r="Q17" i="8"/>
  <c r="R3" i="2"/>
  <c r="R19" i="2" s="1"/>
  <c r="C11" i="8"/>
  <c r="C7" i="8"/>
  <c r="L11" i="8"/>
  <c r="F11" i="8"/>
  <c r="O10" i="8"/>
  <c r="H10" i="8"/>
  <c r="D10" i="8"/>
  <c r="P9" i="8"/>
  <c r="K9" i="8"/>
  <c r="G9" i="8"/>
  <c r="P8" i="8"/>
  <c r="H8" i="8"/>
  <c r="D8" i="8"/>
  <c r="R6" i="8"/>
  <c r="N6" i="8"/>
  <c r="J6" i="8"/>
  <c r="F6" i="8"/>
  <c r="K8" i="8"/>
  <c r="T21" i="12"/>
  <c r="U9" i="14"/>
  <c r="H20" i="12"/>
  <c r="I9" i="14"/>
  <c r="F17" i="8"/>
  <c r="G3" i="2"/>
  <c r="G19" i="2" s="1"/>
  <c r="O11" i="8"/>
  <c r="K11" i="8"/>
  <c r="K10" i="8"/>
  <c r="O9" i="8"/>
  <c r="O8" i="8"/>
  <c r="C17" i="8"/>
  <c r="D3" i="2"/>
  <c r="D19" i="2" s="1"/>
  <c r="K17" i="8"/>
  <c r="L3" i="2"/>
  <c r="L19" i="2" s="1"/>
  <c r="S17" i="8"/>
  <c r="T3" i="2"/>
  <c r="T19" i="2" s="1"/>
  <c r="N11" i="8"/>
  <c r="J10" i="8"/>
  <c r="F8" i="8"/>
  <c r="K7" i="8"/>
  <c r="O7" i="8"/>
  <c r="D17" i="8"/>
  <c r="E3" i="2"/>
  <c r="E19" i="2" s="1"/>
  <c r="H17" i="8"/>
  <c r="I3" i="2"/>
  <c r="I19" i="2" s="1"/>
  <c r="L17" i="8"/>
  <c r="M3" i="2"/>
  <c r="M19" i="2" s="1"/>
  <c r="P17" i="8"/>
  <c r="Q3" i="2"/>
  <c r="Q19" i="2" s="1"/>
  <c r="T17" i="8"/>
  <c r="U3" i="2"/>
  <c r="U19" i="2" s="1"/>
  <c r="C6" i="8"/>
  <c r="G11" i="8"/>
  <c r="G12" i="8" s="1"/>
  <c r="I10" i="8"/>
  <c r="E10" i="8"/>
  <c r="J11" i="8"/>
  <c r="P20" i="12"/>
  <c r="Q9" i="14"/>
  <c r="H21" i="10"/>
  <c r="D10" i="11"/>
  <c r="N24" i="13"/>
  <c r="J24" i="13"/>
  <c r="C24" i="13"/>
  <c r="R24" i="13"/>
  <c r="Q24" i="13"/>
  <c r="M24" i="13"/>
  <c r="F24" i="13"/>
  <c r="S24" i="13"/>
  <c r="L24" i="13"/>
  <c r="H24" i="13"/>
  <c r="D24" i="13"/>
  <c r="P24" i="13"/>
  <c r="T24" i="13"/>
  <c r="E24" i="13"/>
  <c r="I24" i="13"/>
  <c r="G24" i="12"/>
  <c r="L18" i="12"/>
  <c r="L23" i="12"/>
  <c r="L19" i="12"/>
  <c r="L22" i="12"/>
  <c r="L21" i="12"/>
  <c r="F12" i="12"/>
  <c r="G9" i="14" s="1"/>
  <c r="P19" i="12"/>
  <c r="O24" i="12"/>
  <c r="C24" i="12"/>
  <c r="Q12" i="12"/>
  <c r="R9" i="14" s="1"/>
  <c r="I12" i="12"/>
  <c r="L20" i="12"/>
  <c r="P18" i="12"/>
  <c r="P22" i="12"/>
  <c r="P21" i="12"/>
  <c r="T18" i="12"/>
  <c r="T23" i="12"/>
  <c r="T19" i="12"/>
  <c r="T22" i="12"/>
  <c r="M12" i="12"/>
  <c r="N9" i="14" s="1"/>
  <c r="D24" i="12"/>
  <c r="K24" i="12"/>
  <c r="H22" i="12"/>
  <c r="H18" i="12"/>
  <c r="H23" i="12"/>
  <c r="H19" i="12"/>
  <c r="H21" i="12"/>
  <c r="S24" i="12"/>
  <c r="E12" i="12"/>
  <c r="P23" i="12"/>
  <c r="L29" i="10"/>
  <c r="K6" i="15" s="1"/>
  <c r="P29" i="10"/>
  <c r="O6" i="15" s="1"/>
  <c r="S8" i="8"/>
  <c r="Q11" i="8"/>
  <c r="P11" i="8"/>
  <c r="Q10" i="8"/>
  <c r="S10" i="8"/>
  <c r="R10" i="8"/>
  <c r="S9" i="8"/>
  <c r="R8" i="8"/>
  <c r="Q8" i="8"/>
  <c r="P7" i="7"/>
  <c r="O12" i="7"/>
  <c r="O19" i="7" s="1"/>
  <c r="L7" i="8"/>
  <c r="M7" i="8"/>
  <c r="M10" i="8"/>
  <c r="L10" i="8"/>
  <c r="M9" i="8"/>
  <c r="L12" i="7"/>
  <c r="L20" i="7" s="1"/>
  <c r="N8" i="8"/>
  <c r="K12" i="7"/>
  <c r="K23" i="7" s="1"/>
  <c r="M8" i="8"/>
  <c r="N12" i="7"/>
  <c r="L8" i="8"/>
  <c r="L12" i="8" s="1"/>
  <c r="L19" i="8" s="1"/>
  <c r="M12" i="7"/>
  <c r="I11" i="8"/>
  <c r="J12" i="7"/>
  <c r="J21" i="7" s="1"/>
  <c r="I12" i="7"/>
  <c r="I19" i="7" s="1"/>
  <c r="H12" i="7"/>
  <c r="H22" i="7" s="1"/>
  <c r="G23" i="7"/>
  <c r="G21" i="7"/>
  <c r="G19" i="7"/>
  <c r="G22" i="7"/>
  <c r="G20" i="7"/>
  <c r="E12" i="7"/>
  <c r="E23" i="7" s="1"/>
  <c r="F12" i="7"/>
  <c r="D12" i="7"/>
  <c r="E6" i="2"/>
  <c r="I6" i="2"/>
  <c r="J6" i="2"/>
  <c r="K6" i="2"/>
  <c r="M6" i="2"/>
  <c r="N6" i="2"/>
  <c r="P6" i="2"/>
  <c r="Q6" i="2"/>
  <c r="R6" i="2"/>
  <c r="S6" i="2"/>
  <c r="T6" i="2"/>
  <c r="U6" i="2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F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F10" i="4"/>
  <c r="J10" i="4"/>
  <c r="K10" i="4"/>
  <c r="L10" i="4"/>
  <c r="N10" i="4"/>
  <c r="O10" i="4"/>
  <c r="P10" i="4"/>
  <c r="Q10" i="4"/>
  <c r="R10" i="4"/>
  <c r="S10" i="4"/>
  <c r="T10" i="4"/>
  <c r="U10" i="4"/>
  <c r="V10" i="4"/>
  <c r="F11" i="4"/>
  <c r="J11" i="4"/>
  <c r="K11" i="4"/>
  <c r="L11" i="4"/>
  <c r="N11" i="4"/>
  <c r="O11" i="4"/>
  <c r="P11" i="4"/>
  <c r="Q11" i="4"/>
  <c r="R11" i="4"/>
  <c r="S11" i="4"/>
  <c r="T11" i="4"/>
  <c r="U11" i="4"/>
  <c r="V11" i="4"/>
  <c r="F12" i="4"/>
  <c r="J12" i="4"/>
  <c r="K12" i="4"/>
  <c r="L12" i="4"/>
  <c r="N12" i="4"/>
  <c r="O12" i="4"/>
  <c r="P12" i="4"/>
  <c r="Q12" i="4"/>
  <c r="R12" i="4"/>
  <c r="S12" i="4"/>
  <c r="T12" i="4"/>
  <c r="U12" i="4"/>
  <c r="V12" i="4"/>
  <c r="F13" i="4"/>
  <c r="J13" i="4"/>
  <c r="K13" i="4"/>
  <c r="L13" i="4"/>
  <c r="N13" i="4"/>
  <c r="O13" i="4"/>
  <c r="P13" i="4"/>
  <c r="Q13" i="4"/>
  <c r="R13" i="4"/>
  <c r="S13" i="4"/>
  <c r="T13" i="4"/>
  <c r="U13" i="4"/>
  <c r="V13" i="4"/>
  <c r="F14" i="4"/>
  <c r="J14" i="4"/>
  <c r="K14" i="4"/>
  <c r="L14" i="4"/>
  <c r="N14" i="4"/>
  <c r="O14" i="4"/>
  <c r="P14" i="4"/>
  <c r="Q14" i="4"/>
  <c r="R14" i="4"/>
  <c r="S14" i="4"/>
  <c r="T14" i="4"/>
  <c r="U14" i="4"/>
  <c r="V14" i="4"/>
  <c r="F15" i="4"/>
  <c r="J15" i="4"/>
  <c r="K15" i="4"/>
  <c r="L15" i="4"/>
  <c r="N15" i="4"/>
  <c r="O15" i="4"/>
  <c r="P15" i="4"/>
  <c r="Q15" i="4"/>
  <c r="R15" i="4"/>
  <c r="S15" i="4"/>
  <c r="T15" i="4"/>
  <c r="U15" i="4"/>
  <c r="V15" i="4"/>
  <c r="F16" i="4"/>
  <c r="J16" i="4"/>
  <c r="K16" i="4"/>
  <c r="L16" i="4"/>
  <c r="N16" i="4"/>
  <c r="O16" i="4"/>
  <c r="P16" i="4"/>
  <c r="Q16" i="4"/>
  <c r="R16" i="4"/>
  <c r="S16" i="4"/>
  <c r="T16" i="4"/>
  <c r="U16" i="4"/>
  <c r="V16" i="4"/>
  <c r="F17" i="4"/>
  <c r="J17" i="4"/>
  <c r="K17" i="4"/>
  <c r="L17" i="4"/>
  <c r="N17" i="4"/>
  <c r="O17" i="4"/>
  <c r="P17" i="4"/>
  <c r="Q17" i="4"/>
  <c r="R17" i="4"/>
  <c r="S17" i="4"/>
  <c r="T17" i="4"/>
  <c r="U17" i="4"/>
  <c r="V17" i="4"/>
  <c r="F18" i="4"/>
  <c r="J18" i="4"/>
  <c r="K18" i="4"/>
  <c r="L18" i="4"/>
  <c r="N18" i="4"/>
  <c r="O18" i="4"/>
  <c r="P18" i="4"/>
  <c r="Q18" i="4"/>
  <c r="R18" i="4"/>
  <c r="S18" i="4"/>
  <c r="T18" i="4"/>
  <c r="U18" i="4"/>
  <c r="V18" i="4"/>
  <c r="F19" i="4"/>
  <c r="J19" i="4"/>
  <c r="K19" i="4"/>
  <c r="L19" i="4"/>
  <c r="N19" i="4"/>
  <c r="O19" i="4"/>
  <c r="P19" i="4"/>
  <c r="Q19" i="4"/>
  <c r="R19" i="4"/>
  <c r="S19" i="4"/>
  <c r="T19" i="4"/>
  <c r="U19" i="4"/>
  <c r="V19" i="4"/>
  <c r="F20" i="4"/>
  <c r="J20" i="4"/>
  <c r="K20" i="4"/>
  <c r="L20" i="4"/>
  <c r="N20" i="4"/>
  <c r="O20" i="4"/>
  <c r="P20" i="4"/>
  <c r="Q20" i="4"/>
  <c r="R20" i="4"/>
  <c r="S20" i="4"/>
  <c r="T20" i="4"/>
  <c r="U20" i="4"/>
  <c r="V20" i="4"/>
  <c r="F21" i="4"/>
  <c r="J21" i="4"/>
  <c r="K21" i="4"/>
  <c r="L21" i="4"/>
  <c r="N21" i="4"/>
  <c r="O21" i="4"/>
  <c r="P21" i="4"/>
  <c r="Q21" i="4"/>
  <c r="R21" i="4"/>
  <c r="S21" i="4"/>
  <c r="T21" i="4"/>
  <c r="U21" i="4"/>
  <c r="V21" i="4"/>
  <c r="F22" i="4"/>
  <c r="J22" i="4"/>
  <c r="K22" i="4"/>
  <c r="L22" i="4"/>
  <c r="N22" i="4"/>
  <c r="O22" i="4"/>
  <c r="P22" i="4"/>
  <c r="Q22" i="4"/>
  <c r="R22" i="4"/>
  <c r="S22" i="4"/>
  <c r="T22" i="4"/>
  <c r="U22" i="4"/>
  <c r="V22" i="4"/>
  <c r="F23" i="4"/>
  <c r="J23" i="4"/>
  <c r="K23" i="4"/>
  <c r="L23" i="4"/>
  <c r="N23" i="4"/>
  <c r="O23" i="4"/>
  <c r="P23" i="4"/>
  <c r="Q23" i="4"/>
  <c r="R23" i="4"/>
  <c r="S23" i="4"/>
  <c r="T23" i="4"/>
  <c r="U23" i="4"/>
  <c r="V23" i="4"/>
  <c r="F24" i="4"/>
  <c r="J24" i="4"/>
  <c r="K24" i="4"/>
  <c r="L24" i="4"/>
  <c r="N24" i="4"/>
  <c r="O24" i="4"/>
  <c r="P24" i="4"/>
  <c r="Q24" i="4"/>
  <c r="R24" i="4"/>
  <c r="S24" i="4"/>
  <c r="T24" i="4"/>
  <c r="U24" i="4"/>
  <c r="V24" i="4"/>
  <c r="F25" i="4"/>
  <c r="J25" i="4"/>
  <c r="K25" i="4"/>
  <c r="L25" i="4"/>
  <c r="N25" i="4"/>
  <c r="O25" i="4"/>
  <c r="P25" i="4"/>
  <c r="Q25" i="4"/>
  <c r="R25" i="4"/>
  <c r="S25" i="4"/>
  <c r="T25" i="4"/>
  <c r="U25" i="4"/>
  <c r="V25" i="4"/>
  <c r="F26" i="4"/>
  <c r="J26" i="4"/>
  <c r="K26" i="4"/>
  <c r="L26" i="4"/>
  <c r="N26" i="4"/>
  <c r="O26" i="4"/>
  <c r="P26" i="4"/>
  <c r="Q26" i="4"/>
  <c r="R26" i="4"/>
  <c r="S26" i="4"/>
  <c r="T26" i="4"/>
  <c r="U26" i="4"/>
  <c r="V26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F30" i="4"/>
  <c r="J30" i="4"/>
  <c r="K30" i="4"/>
  <c r="L30" i="4"/>
  <c r="N30" i="4"/>
  <c r="O30" i="4"/>
  <c r="P30" i="4"/>
  <c r="Q30" i="4"/>
  <c r="R30" i="4"/>
  <c r="S30" i="4"/>
  <c r="T30" i="4"/>
  <c r="U30" i="4"/>
  <c r="V30" i="4"/>
  <c r="E7" i="4"/>
  <c r="E8" i="4"/>
  <c r="E27" i="4"/>
  <c r="E28" i="4"/>
  <c r="E29" i="4"/>
  <c r="E6" i="4"/>
  <c r="W31" i="4"/>
  <c r="U4" i="4"/>
  <c r="V4" i="4" s="1"/>
  <c r="R4" i="4"/>
  <c r="Q4" i="4" s="1"/>
  <c r="O4" i="4"/>
  <c r="N4" i="4"/>
  <c r="M4" i="4" s="1"/>
  <c r="K4" i="4"/>
  <c r="J4" i="4"/>
  <c r="I4" i="4"/>
  <c r="G4" i="4"/>
  <c r="F4" i="4" s="1"/>
  <c r="E4" i="4" s="1"/>
  <c r="E4" i="1"/>
  <c r="F4" i="1"/>
  <c r="G4" i="1"/>
  <c r="I4" i="1"/>
  <c r="J4" i="1"/>
  <c r="K4" i="1"/>
  <c r="M4" i="1"/>
  <c r="N4" i="1"/>
  <c r="O4" i="1"/>
  <c r="Q4" i="1"/>
  <c r="R4" i="1"/>
  <c r="V4" i="1"/>
  <c r="U4" i="1"/>
  <c r="G25" i="15" l="1"/>
  <c r="T25" i="15"/>
  <c r="P25" i="15"/>
  <c r="I25" i="15"/>
  <c r="F25" i="15"/>
  <c r="H25" i="15"/>
  <c r="S25" i="15"/>
  <c r="E25" i="15"/>
  <c r="D25" i="15"/>
  <c r="O25" i="15"/>
  <c r="U25" i="15"/>
  <c r="K25" i="15"/>
  <c r="J25" i="15"/>
  <c r="Q25" i="15"/>
  <c r="M25" i="15"/>
  <c r="R25" i="15"/>
  <c r="N25" i="15"/>
  <c r="K12" i="8"/>
  <c r="K22" i="8" s="1"/>
  <c r="H12" i="8"/>
  <c r="Q20" i="12"/>
  <c r="F31" i="4"/>
  <c r="Q31" i="4"/>
  <c r="D2" i="15"/>
  <c r="D2" i="14"/>
  <c r="D2" i="2"/>
  <c r="R2" i="15"/>
  <c r="R2" i="14"/>
  <c r="R2" i="2"/>
  <c r="N2" i="15"/>
  <c r="N2" i="14"/>
  <c r="N2" i="2"/>
  <c r="J2" i="15"/>
  <c r="J2" i="14"/>
  <c r="J2" i="2"/>
  <c r="F2" i="15"/>
  <c r="F2" i="14"/>
  <c r="F2" i="2"/>
  <c r="O12" i="8"/>
  <c r="T31" i="4"/>
  <c r="R31" i="4"/>
  <c r="N31" i="4"/>
  <c r="J31" i="4"/>
  <c r="K31" i="4"/>
  <c r="U2" i="15"/>
  <c r="U2" i="14"/>
  <c r="U2" i="2"/>
  <c r="Q2" i="15"/>
  <c r="Q2" i="14"/>
  <c r="Q2" i="2"/>
  <c r="M2" i="15"/>
  <c r="M2" i="14"/>
  <c r="M2" i="2"/>
  <c r="I2" i="15"/>
  <c r="I2" i="14"/>
  <c r="I2" i="2"/>
  <c r="E2" i="15"/>
  <c r="E2" i="14"/>
  <c r="E2" i="2"/>
  <c r="C12" i="8"/>
  <c r="C21" i="8" s="1"/>
  <c r="S2" i="15"/>
  <c r="S2" i="14"/>
  <c r="S2" i="2"/>
  <c r="O2" i="15"/>
  <c r="O2" i="14"/>
  <c r="O2" i="2"/>
  <c r="K2" i="15"/>
  <c r="K2" i="14"/>
  <c r="K2" i="2"/>
  <c r="G2" i="15"/>
  <c r="G2" i="14"/>
  <c r="G2" i="2"/>
  <c r="I20" i="12"/>
  <c r="J9" i="14"/>
  <c r="E20" i="12"/>
  <c r="F9" i="14"/>
  <c r="T2" i="14"/>
  <c r="T2" i="15"/>
  <c r="T2" i="2"/>
  <c r="P2" i="15"/>
  <c r="P2" i="14"/>
  <c r="P2" i="2"/>
  <c r="L2" i="15"/>
  <c r="L2" i="14"/>
  <c r="L2" i="2"/>
  <c r="H2" i="15"/>
  <c r="H2" i="14"/>
  <c r="H2" i="2"/>
  <c r="E10" i="11"/>
  <c r="T24" i="12"/>
  <c r="H24" i="12"/>
  <c r="M18" i="12"/>
  <c r="M19" i="12"/>
  <c r="M21" i="12"/>
  <c r="M22" i="12"/>
  <c r="M20" i="12"/>
  <c r="N12" i="12"/>
  <c r="P24" i="12"/>
  <c r="I18" i="12"/>
  <c r="I23" i="12"/>
  <c r="I22" i="12"/>
  <c r="I19" i="12"/>
  <c r="I21" i="12"/>
  <c r="Q18" i="12"/>
  <c r="Q23" i="12"/>
  <c r="Q21" i="12"/>
  <c r="Q22" i="12"/>
  <c r="L24" i="12"/>
  <c r="M23" i="12"/>
  <c r="F23" i="12"/>
  <c r="F18" i="12"/>
  <c r="F21" i="12"/>
  <c r="F22" i="12"/>
  <c r="F20" i="12"/>
  <c r="F19" i="12"/>
  <c r="E18" i="12"/>
  <c r="E23" i="12"/>
  <c r="E22" i="12"/>
  <c r="E21" i="12"/>
  <c r="E19" i="12"/>
  <c r="J12" i="12"/>
  <c r="Q19" i="12"/>
  <c r="O20" i="8"/>
  <c r="R11" i="8"/>
  <c r="O23" i="8"/>
  <c r="O19" i="8"/>
  <c r="O18" i="8"/>
  <c r="Q7" i="7"/>
  <c r="P7" i="8"/>
  <c r="P12" i="8" s="1"/>
  <c r="P19" i="8" s="1"/>
  <c r="P12" i="7"/>
  <c r="P9" i="2"/>
  <c r="O21" i="7"/>
  <c r="O18" i="7"/>
  <c r="O22" i="7"/>
  <c r="O23" i="7"/>
  <c r="O20" i="7"/>
  <c r="K20" i="7"/>
  <c r="K21" i="7"/>
  <c r="K21" i="8"/>
  <c r="K19" i="8"/>
  <c r="N9" i="2"/>
  <c r="M18" i="7"/>
  <c r="M21" i="7"/>
  <c r="M19" i="7"/>
  <c r="M22" i="7"/>
  <c r="M23" i="7"/>
  <c r="K23" i="8"/>
  <c r="K20" i="8"/>
  <c r="M20" i="7"/>
  <c r="K18" i="8"/>
  <c r="L19" i="7"/>
  <c r="L22" i="7"/>
  <c r="L23" i="7"/>
  <c r="M9" i="2"/>
  <c r="L18" i="7"/>
  <c r="L21" i="7"/>
  <c r="N23" i="7"/>
  <c r="O9" i="2"/>
  <c r="N18" i="7"/>
  <c r="N21" i="7"/>
  <c r="N19" i="7"/>
  <c r="N22" i="7"/>
  <c r="K19" i="7"/>
  <c r="K22" i="7"/>
  <c r="L9" i="2"/>
  <c r="K18" i="7"/>
  <c r="N20" i="7"/>
  <c r="J22" i="7"/>
  <c r="J23" i="7"/>
  <c r="J20" i="7"/>
  <c r="J18" i="7"/>
  <c r="J19" i="7"/>
  <c r="H18" i="7"/>
  <c r="L20" i="8"/>
  <c r="L22" i="8"/>
  <c r="L21" i="8"/>
  <c r="H21" i="8"/>
  <c r="H22" i="8"/>
  <c r="H18" i="8"/>
  <c r="H23" i="8"/>
  <c r="H19" i="8"/>
  <c r="M12" i="8"/>
  <c r="M22" i="8" s="1"/>
  <c r="H20" i="8"/>
  <c r="E12" i="8"/>
  <c r="G21" i="8"/>
  <c r="G22" i="8"/>
  <c r="G18" i="8"/>
  <c r="G19" i="8"/>
  <c r="G20" i="8"/>
  <c r="C18" i="8"/>
  <c r="G23" i="8"/>
  <c r="C23" i="8"/>
  <c r="L18" i="8"/>
  <c r="L23" i="8"/>
  <c r="D12" i="8"/>
  <c r="I23" i="7"/>
  <c r="I20" i="7"/>
  <c r="I18" i="7"/>
  <c r="H21" i="7"/>
  <c r="H20" i="7"/>
  <c r="H19" i="7"/>
  <c r="H23" i="7"/>
  <c r="I21" i="7"/>
  <c r="I22" i="7"/>
  <c r="F18" i="7"/>
  <c r="F19" i="7"/>
  <c r="F20" i="7"/>
  <c r="F21" i="7"/>
  <c r="F22" i="7"/>
  <c r="F23" i="7"/>
  <c r="E20" i="7"/>
  <c r="E22" i="7"/>
  <c r="E19" i="7"/>
  <c r="E18" i="7"/>
  <c r="E21" i="7"/>
  <c r="D18" i="7"/>
  <c r="D22" i="7"/>
  <c r="D19" i="7"/>
  <c r="D23" i="7"/>
  <c r="D20" i="7"/>
  <c r="D21" i="7"/>
  <c r="U31" i="4"/>
  <c r="O31" i="4"/>
  <c r="L21" i="2"/>
  <c r="I23" i="2"/>
  <c r="I24" i="2"/>
  <c r="L26" i="2"/>
  <c r="I27" i="2"/>
  <c r="I28" i="2"/>
  <c r="S29" i="2"/>
  <c r="L30" i="2"/>
  <c r="I31" i="2"/>
  <c r="I20" i="2"/>
  <c r="C19" i="8" l="1"/>
  <c r="C20" i="8"/>
  <c r="C22" i="8"/>
  <c r="O22" i="8"/>
  <c r="O21" i="8"/>
  <c r="J20" i="12"/>
  <c r="K9" i="14"/>
  <c r="N20" i="12"/>
  <c r="O9" i="14"/>
  <c r="E24" i="12"/>
  <c r="Q24" i="12"/>
  <c r="J18" i="12"/>
  <c r="J23" i="12"/>
  <c r="J22" i="12"/>
  <c r="J19" i="12"/>
  <c r="J21" i="12"/>
  <c r="N23" i="12"/>
  <c r="N18" i="12"/>
  <c r="N21" i="12"/>
  <c r="N19" i="12"/>
  <c r="N22" i="12"/>
  <c r="F24" i="12"/>
  <c r="I24" i="12"/>
  <c r="M24" i="12"/>
  <c r="O24" i="8"/>
  <c r="P18" i="8"/>
  <c r="S11" i="8"/>
  <c r="T11" i="8"/>
  <c r="P22" i="8"/>
  <c r="P20" i="8"/>
  <c r="P21" i="8"/>
  <c r="P23" i="8"/>
  <c r="Q7" i="8"/>
  <c r="Q12" i="8" s="1"/>
  <c r="Q12" i="7"/>
  <c r="Q19" i="7" s="1"/>
  <c r="P20" i="7"/>
  <c r="Q9" i="2"/>
  <c r="P21" i="7"/>
  <c r="P18" i="7"/>
  <c r="P22" i="7"/>
  <c r="P23" i="7"/>
  <c r="P19" i="7"/>
  <c r="K24" i="8"/>
  <c r="L24" i="8"/>
  <c r="O24" i="2"/>
  <c r="D28" i="2"/>
  <c r="T28" i="2"/>
  <c r="F23" i="2"/>
  <c r="D24" i="2"/>
  <c r="G24" i="2"/>
  <c r="E26" i="2"/>
  <c r="T26" i="2"/>
  <c r="P23" i="2"/>
  <c r="L28" i="2"/>
  <c r="T29" i="2"/>
  <c r="K23" i="2"/>
  <c r="E18" i="8"/>
  <c r="E23" i="8"/>
  <c r="E19" i="8"/>
  <c r="E21" i="8"/>
  <c r="E22" i="8"/>
  <c r="M18" i="8"/>
  <c r="M23" i="8"/>
  <c r="M20" i="8"/>
  <c r="D18" i="8"/>
  <c r="D23" i="8"/>
  <c r="D21" i="8"/>
  <c r="D22" i="8"/>
  <c r="D19" i="8"/>
  <c r="C24" i="8"/>
  <c r="N12" i="8"/>
  <c r="M21" i="8"/>
  <c r="H24" i="8"/>
  <c r="E20" i="8"/>
  <c r="I12" i="8"/>
  <c r="M19" i="8"/>
  <c r="G24" i="8"/>
  <c r="D20" i="8"/>
  <c r="O27" i="2"/>
  <c r="D31" i="2"/>
  <c r="T31" i="2"/>
  <c r="O31" i="2"/>
  <c r="J31" i="2"/>
  <c r="T30" i="2"/>
  <c r="L29" i="2"/>
  <c r="P28" i="2"/>
  <c r="H28" i="2"/>
  <c r="R27" i="2"/>
  <c r="L27" i="2"/>
  <c r="G27" i="2"/>
  <c r="R31" i="2"/>
  <c r="L31" i="2"/>
  <c r="G31" i="2"/>
  <c r="T27" i="2"/>
  <c r="D29" i="2"/>
  <c r="E31" i="2"/>
  <c r="S31" i="2"/>
  <c r="N31" i="2"/>
  <c r="H31" i="2"/>
  <c r="K29" i="2"/>
  <c r="O28" i="2"/>
  <c r="G28" i="2"/>
  <c r="P27" i="2"/>
  <c r="K27" i="2"/>
  <c r="F27" i="2"/>
  <c r="J27" i="2"/>
  <c r="D27" i="2"/>
  <c r="P31" i="2"/>
  <c r="K31" i="2"/>
  <c r="F31" i="2"/>
  <c r="S28" i="2"/>
  <c r="K28" i="2"/>
  <c r="S27" i="2"/>
  <c r="N27" i="2"/>
  <c r="H27" i="2"/>
  <c r="D23" i="2"/>
  <c r="T24" i="2"/>
  <c r="L24" i="2"/>
  <c r="T23" i="2"/>
  <c r="O23" i="2"/>
  <c r="J23" i="2"/>
  <c r="S24" i="2"/>
  <c r="K24" i="2"/>
  <c r="S23" i="2"/>
  <c r="N23" i="2"/>
  <c r="H23" i="2"/>
  <c r="P24" i="2"/>
  <c r="H24" i="2"/>
  <c r="R23" i="2"/>
  <c r="L23" i="2"/>
  <c r="G23" i="2"/>
  <c r="T21" i="2"/>
  <c r="P20" i="2"/>
  <c r="D20" i="2"/>
  <c r="O20" i="2"/>
  <c r="G20" i="2"/>
  <c r="T20" i="2"/>
  <c r="L20" i="2"/>
  <c r="E20" i="2"/>
  <c r="S20" i="2"/>
  <c r="K20" i="2"/>
  <c r="H20" i="2"/>
  <c r="P31" i="4"/>
  <c r="L31" i="4"/>
  <c r="S31" i="4"/>
  <c r="V31" i="4"/>
  <c r="I30" i="2"/>
  <c r="M30" i="2"/>
  <c r="Q30" i="2"/>
  <c r="U30" i="2"/>
  <c r="D30" i="2"/>
  <c r="F30" i="2"/>
  <c r="J30" i="2"/>
  <c r="N30" i="2"/>
  <c r="R30" i="2"/>
  <c r="I26" i="2"/>
  <c r="M26" i="2"/>
  <c r="Q26" i="2"/>
  <c r="U26" i="2"/>
  <c r="D26" i="2"/>
  <c r="F26" i="2"/>
  <c r="J26" i="2"/>
  <c r="N26" i="2"/>
  <c r="R26" i="2"/>
  <c r="I21" i="2"/>
  <c r="M21" i="2"/>
  <c r="Q21" i="2"/>
  <c r="U21" i="2"/>
  <c r="D21" i="2"/>
  <c r="F21" i="2"/>
  <c r="J21" i="2"/>
  <c r="N21" i="2"/>
  <c r="R21" i="2"/>
  <c r="G21" i="2"/>
  <c r="S30" i="2"/>
  <c r="K30" i="2"/>
  <c r="S26" i="2"/>
  <c r="K26" i="2"/>
  <c r="S21" i="2"/>
  <c r="K21" i="2"/>
  <c r="I29" i="2"/>
  <c r="M29" i="2"/>
  <c r="Q29" i="2"/>
  <c r="U29" i="2"/>
  <c r="F29" i="2"/>
  <c r="J29" i="2"/>
  <c r="N29" i="2"/>
  <c r="R29" i="2"/>
  <c r="E29" i="2"/>
  <c r="E21" i="2"/>
  <c r="P30" i="2"/>
  <c r="H30" i="2"/>
  <c r="P29" i="2"/>
  <c r="H29" i="2"/>
  <c r="P26" i="2"/>
  <c r="H26" i="2"/>
  <c r="P21" i="2"/>
  <c r="H21" i="2"/>
  <c r="E30" i="2"/>
  <c r="O30" i="2"/>
  <c r="G30" i="2"/>
  <c r="O29" i="2"/>
  <c r="G29" i="2"/>
  <c r="O26" i="2"/>
  <c r="G26" i="2"/>
  <c r="O21" i="2"/>
  <c r="E28" i="2"/>
  <c r="E24" i="2"/>
  <c r="R28" i="2"/>
  <c r="N28" i="2"/>
  <c r="J28" i="2"/>
  <c r="F28" i="2"/>
  <c r="R24" i="2"/>
  <c r="N24" i="2"/>
  <c r="J24" i="2"/>
  <c r="F24" i="2"/>
  <c r="R20" i="2"/>
  <c r="N20" i="2"/>
  <c r="J20" i="2"/>
  <c r="F20" i="2"/>
  <c r="E27" i="2"/>
  <c r="E23" i="2"/>
  <c r="U31" i="2"/>
  <c r="Q31" i="2"/>
  <c r="M31" i="2"/>
  <c r="U28" i="2"/>
  <c r="Q28" i="2"/>
  <c r="M28" i="2"/>
  <c r="U27" i="2"/>
  <c r="Q27" i="2"/>
  <c r="M27" i="2"/>
  <c r="U24" i="2"/>
  <c r="Q24" i="2"/>
  <c r="M24" i="2"/>
  <c r="U23" i="2"/>
  <c r="Q23" i="2"/>
  <c r="M23" i="2"/>
  <c r="U20" i="2"/>
  <c r="Q20" i="2"/>
  <c r="M20" i="2"/>
  <c r="F31" i="1"/>
  <c r="J31" i="1"/>
  <c r="N31" i="1"/>
  <c r="Q31" i="1"/>
  <c r="T31" i="1"/>
  <c r="U30" i="1"/>
  <c r="V30" i="1" s="1"/>
  <c r="U26" i="1"/>
  <c r="U25" i="1"/>
  <c r="V25" i="1" s="1"/>
  <c r="U24" i="1"/>
  <c r="V24" i="1" s="1"/>
  <c r="U23" i="1"/>
  <c r="V23" i="1" s="1"/>
  <c r="U22" i="1"/>
  <c r="U21" i="1"/>
  <c r="V21" i="1" s="1"/>
  <c r="U20" i="1"/>
  <c r="V20" i="1" s="1"/>
  <c r="U19" i="1"/>
  <c r="V19" i="1" s="1"/>
  <c r="U18" i="1"/>
  <c r="V18" i="1" s="1"/>
  <c r="U17" i="1"/>
  <c r="V17" i="1" s="1"/>
  <c r="U16" i="1"/>
  <c r="V16" i="1" s="1"/>
  <c r="U15" i="1"/>
  <c r="V15" i="1" s="1"/>
  <c r="U14" i="1"/>
  <c r="U13" i="1"/>
  <c r="V13" i="1" s="1"/>
  <c r="U12" i="1"/>
  <c r="V12" i="1" s="1"/>
  <c r="U11" i="1"/>
  <c r="V11" i="1" s="1"/>
  <c r="U10" i="1"/>
  <c r="V10" i="1" s="1"/>
  <c r="U9" i="1"/>
  <c r="V9" i="1" s="1"/>
  <c r="R30" i="1"/>
  <c r="S30" i="1" s="1"/>
  <c r="R26" i="1"/>
  <c r="S26" i="1" s="1"/>
  <c r="R25" i="1"/>
  <c r="S25" i="1" s="1"/>
  <c r="R24" i="1"/>
  <c r="S24" i="1" s="1"/>
  <c r="R23" i="1"/>
  <c r="S23" i="1" s="1"/>
  <c r="R22" i="1"/>
  <c r="S22" i="1" s="1"/>
  <c r="R21" i="1"/>
  <c r="S21" i="1" s="1"/>
  <c r="R20" i="1"/>
  <c r="S20" i="1" s="1"/>
  <c r="R19" i="1"/>
  <c r="S19" i="1" s="1"/>
  <c r="R18" i="1"/>
  <c r="S18" i="1" s="1"/>
  <c r="R17" i="1"/>
  <c r="S17" i="1" s="1"/>
  <c r="R16" i="1"/>
  <c r="S16" i="1" s="1"/>
  <c r="R15" i="1"/>
  <c r="R14" i="1"/>
  <c r="S14" i="1" s="1"/>
  <c r="R13" i="1"/>
  <c r="S13" i="1" s="1"/>
  <c r="R12" i="1"/>
  <c r="S12" i="1" s="1"/>
  <c r="R11" i="1"/>
  <c r="S11" i="1" s="1"/>
  <c r="R10" i="1"/>
  <c r="S10" i="1" s="1"/>
  <c r="R9" i="1"/>
  <c r="O30" i="1"/>
  <c r="P30" i="1" s="1"/>
  <c r="M30" i="1"/>
  <c r="O26" i="1"/>
  <c r="P26" i="1" s="1"/>
  <c r="M26" i="1"/>
  <c r="O25" i="1"/>
  <c r="P25" i="1" s="1"/>
  <c r="M25" i="1"/>
  <c r="O24" i="1"/>
  <c r="P24" i="1" s="1"/>
  <c r="M24" i="1"/>
  <c r="O23" i="1"/>
  <c r="P23" i="1" s="1"/>
  <c r="M23" i="1"/>
  <c r="O22" i="1"/>
  <c r="P22" i="1" s="1"/>
  <c r="M22" i="1"/>
  <c r="M22" i="4" s="1"/>
  <c r="O21" i="1"/>
  <c r="P21" i="1" s="1"/>
  <c r="M21" i="1"/>
  <c r="M21" i="4" s="1"/>
  <c r="O20" i="1"/>
  <c r="P20" i="1" s="1"/>
  <c r="M20" i="1"/>
  <c r="M20" i="4" s="1"/>
  <c r="O19" i="1"/>
  <c r="P19" i="1" s="1"/>
  <c r="M19" i="1"/>
  <c r="M19" i="4" s="1"/>
  <c r="O18" i="1"/>
  <c r="P18" i="1" s="1"/>
  <c r="M18" i="1"/>
  <c r="M18" i="4" s="1"/>
  <c r="O17" i="1"/>
  <c r="P17" i="1" s="1"/>
  <c r="M17" i="1"/>
  <c r="M17" i="4" s="1"/>
  <c r="O16" i="1"/>
  <c r="P16" i="1" s="1"/>
  <c r="M16" i="1"/>
  <c r="M16" i="4" s="1"/>
  <c r="O15" i="1"/>
  <c r="P15" i="1" s="1"/>
  <c r="M15" i="1"/>
  <c r="M15" i="4" s="1"/>
  <c r="O14" i="1"/>
  <c r="P14" i="1" s="1"/>
  <c r="M14" i="1"/>
  <c r="M14" i="4" s="1"/>
  <c r="O13" i="1"/>
  <c r="P13" i="1" s="1"/>
  <c r="M13" i="1"/>
  <c r="O12" i="1"/>
  <c r="P12" i="1" s="1"/>
  <c r="M12" i="1"/>
  <c r="O11" i="1"/>
  <c r="P11" i="1" s="1"/>
  <c r="M11" i="1"/>
  <c r="O10" i="1"/>
  <c r="P10" i="1" s="1"/>
  <c r="M10" i="1"/>
  <c r="O9" i="1"/>
  <c r="P9" i="1" s="1"/>
  <c r="M9" i="1"/>
  <c r="I9" i="1"/>
  <c r="K30" i="1"/>
  <c r="L30" i="1" s="1"/>
  <c r="I30" i="1"/>
  <c r="K26" i="1"/>
  <c r="L26" i="1" s="1"/>
  <c r="I26" i="1"/>
  <c r="K25" i="1"/>
  <c r="L25" i="1" s="1"/>
  <c r="I25" i="1"/>
  <c r="K24" i="1"/>
  <c r="L24" i="1" s="1"/>
  <c r="I24" i="1"/>
  <c r="K23" i="1"/>
  <c r="L23" i="1" s="1"/>
  <c r="I23" i="1"/>
  <c r="K22" i="1"/>
  <c r="L22" i="1" s="1"/>
  <c r="I22" i="1"/>
  <c r="I22" i="4" s="1"/>
  <c r="K21" i="1"/>
  <c r="L21" i="1" s="1"/>
  <c r="I21" i="1"/>
  <c r="I21" i="4" s="1"/>
  <c r="K20" i="1"/>
  <c r="L20" i="1" s="1"/>
  <c r="I20" i="1"/>
  <c r="I20" i="4" s="1"/>
  <c r="K19" i="1"/>
  <c r="L19" i="1" s="1"/>
  <c r="I19" i="1"/>
  <c r="I19" i="4" s="1"/>
  <c r="K18" i="1"/>
  <c r="L18" i="1" s="1"/>
  <c r="I18" i="1"/>
  <c r="I18" i="4" s="1"/>
  <c r="K17" i="1"/>
  <c r="L17" i="1" s="1"/>
  <c r="I17" i="1"/>
  <c r="I17" i="4" s="1"/>
  <c r="K16" i="1"/>
  <c r="L16" i="1" s="1"/>
  <c r="I16" i="1"/>
  <c r="I16" i="4" s="1"/>
  <c r="K15" i="1"/>
  <c r="L15" i="1" s="1"/>
  <c r="I15" i="1"/>
  <c r="I15" i="4" s="1"/>
  <c r="K14" i="1"/>
  <c r="L14" i="1" s="1"/>
  <c r="I14" i="1"/>
  <c r="I14" i="4" s="1"/>
  <c r="K13" i="1"/>
  <c r="L13" i="1" s="1"/>
  <c r="I13" i="1"/>
  <c r="K12" i="1"/>
  <c r="L12" i="1" s="1"/>
  <c r="I12" i="1"/>
  <c r="K11" i="1"/>
  <c r="L11" i="1" s="1"/>
  <c r="I11" i="1"/>
  <c r="K10" i="1"/>
  <c r="I10" i="1"/>
  <c r="K9" i="1"/>
  <c r="L9" i="1" s="1"/>
  <c r="G9" i="1"/>
  <c r="G10" i="1"/>
  <c r="G11" i="1"/>
  <c r="G12" i="1"/>
  <c r="G13" i="1"/>
  <c r="G14" i="1"/>
  <c r="G15" i="1"/>
  <c r="G15" i="4" s="1"/>
  <c r="G16" i="1"/>
  <c r="G16" i="4" s="1"/>
  <c r="G17" i="1"/>
  <c r="G17" i="4" s="1"/>
  <c r="G18" i="1"/>
  <c r="G18" i="4" s="1"/>
  <c r="G19" i="1"/>
  <c r="G19" i="4" s="1"/>
  <c r="G20" i="1"/>
  <c r="G20" i="4" s="1"/>
  <c r="G21" i="1"/>
  <c r="G21" i="4" s="1"/>
  <c r="G22" i="1"/>
  <c r="G22" i="4" s="1"/>
  <c r="G23" i="1"/>
  <c r="G24" i="1"/>
  <c r="G25" i="1"/>
  <c r="G26" i="1"/>
  <c r="G30" i="1"/>
  <c r="E9" i="1"/>
  <c r="E10" i="1"/>
  <c r="E11" i="1"/>
  <c r="E12" i="1"/>
  <c r="E13" i="1"/>
  <c r="E14" i="1"/>
  <c r="E14" i="4" s="1"/>
  <c r="E15" i="1"/>
  <c r="E15" i="4" s="1"/>
  <c r="E16" i="1"/>
  <c r="E16" i="4" s="1"/>
  <c r="E17" i="1"/>
  <c r="E17" i="4" s="1"/>
  <c r="E18" i="1"/>
  <c r="E18" i="4" s="1"/>
  <c r="E19" i="1"/>
  <c r="E19" i="4" s="1"/>
  <c r="E20" i="1"/>
  <c r="E20" i="4" s="1"/>
  <c r="E21" i="1"/>
  <c r="E21" i="4" s="1"/>
  <c r="E22" i="1"/>
  <c r="E22" i="4" s="1"/>
  <c r="E23" i="1"/>
  <c r="E24" i="1"/>
  <c r="E25" i="1"/>
  <c r="E26" i="1"/>
  <c r="E30" i="1"/>
  <c r="W31" i="1"/>
  <c r="V9" i="14" l="1"/>
  <c r="T25" i="14" s="1"/>
  <c r="E24" i="10"/>
  <c r="E24" i="9"/>
  <c r="E26" i="4"/>
  <c r="E32" i="1"/>
  <c r="E10" i="10"/>
  <c r="E10" i="9"/>
  <c r="E10" i="4"/>
  <c r="G23" i="10"/>
  <c r="G23" i="9"/>
  <c r="G25" i="4"/>
  <c r="G70" i="1"/>
  <c r="G13" i="4"/>
  <c r="G69" i="1"/>
  <c r="G9" i="10"/>
  <c r="G9" i="9"/>
  <c r="G9" i="4"/>
  <c r="I11" i="10"/>
  <c r="I11" i="9"/>
  <c r="I11" i="4"/>
  <c r="I70" i="1"/>
  <c r="I13" i="4"/>
  <c r="I71" i="1"/>
  <c r="I23" i="4"/>
  <c r="I23" i="9"/>
  <c r="I23" i="10"/>
  <c r="I25" i="4"/>
  <c r="I73" i="1"/>
  <c r="I30" i="4"/>
  <c r="E73" i="1"/>
  <c r="E30" i="4"/>
  <c r="E71" i="1"/>
  <c r="E23" i="4"/>
  <c r="E11" i="9"/>
  <c r="E11" i="10"/>
  <c r="E11" i="4"/>
  <c r="G24" i="9"/>
  <c r="G24" i="10"/>
  <c r="G26" i="4"/>
  <c r="H14" i="1"/>
  <c r="H14" i="4" s="1"/>
  <c r="G14" i="4"/>
  <c r="H10" i="1"/>
  <c r="G32" i="1"/>
  <c r="G10" i="9"/>
  <c r="G10" i="10"/>
  <c r="G10" i="4"/>
  <c r="M11" i="10"/>
  <c r="M11" i="9"/>
  <c r="M11" i="4"/>
  <c r="M70" i="1"/>
  <c r="M13" i="4"/>
  <c r="M71" i="1"/>
  <c r="M23" i="4"/>
  <c r="M23" i="10"/>
  <c r="M23" i="9"/>
  <c r="M25" i="4"/>
  <c r="M73" i="1"/>
  <c r="M30" i="4"/>
  <c r="M72" i="1"/>
  <c r="M22" i="10"/>
  <c r="M22" i="9"/>
  <c r="M24" i="4"/>
  <c r="M24" i="10"/>
  <c r="M24" i="9"/>
  <c r="M26" i="4"/>
  <c r="E23" i="9"/>
  <c r="E23" i="10"/>
  <c r="E25" i="4"/>
  <c r="E70" i="1"/>
  <c r="E13" i="4"/>
  <c r="E69" i="1"/>
  <c r="E9" i="9"/>
  <c r="E9" i="10"/>
  <c r="E9" i="4"/>
  <c r="G72" i="1"/>
  <c r="G22" i="9"/>
  <c r="G22" i="10"/>
  <c r="G24" i="4"/>
  <c r="G12" i="10"/>
  <c r="G12" i="9"/>
  <c r="G12" i="4"/>
  <c r="M69" i="1"/>
  <c r="M74" i="1" s="1"/>
  <c r="M32" i="1"/>
  <c r="M10" i="9"/>
  <c r="M10" i="10"/>
  <c r="M10" i="4"/>
  <c r="M12" i="9"/>
  <c r="M12" i="10"/>
  <c r="M12" i="4"/>
  <c r="E72" i="1"/>
  <c r="E22" i="10"/>
  <c r="E22" i="9"/>
  <c r="E24" i="4"/>
  <c r="E12" i="9"/>
  <c r="E12" i="10"/>
  <c r="E12" i="4"/>
  <c r="H30" i="1"/>
  <c r="G73" i="1"/>
  <c r="G30" i="4"/>
  <c r="H23" i="1"/>
  <c r="G71" i="1"/>
  <c r="G23" i="4"/>
  <c r="G11" i="10"/>
  <c r="G11" i="9"/>
  <c r="G11" i="4"/>
  <c r="I69" i="1"/>
  <c r="I32" i="1"/>
  <c r="I10" i="10"/>
  <c r="I10" i="9"/>
  <c r="I10" i="4"/>
  <c r="I12" i="10"/>
  <c r="I12" i="9"/>
  <c r="I12" i="4"/>
  <c r="I72" i="1"/>
  <c r="I22" i="10"/>
  <c r="I22" i="9"/>
  <c r="I24" i="4"/>
  <c r="I24" i="10"/>
  <c r="I24" i="9"/>
  <c r="I26" i="4"/>
  <c r="W9" i="14"/>
  <c r="J24" i="12"/>
  <c r="N24" i="12"/>
  <c r="P24" i="8"/>
  <c r="S7" i="7"/>
  <c r="R7" i="8"/>
  <c r="R12" i="7"/>
  <c r="Q18" i="7"/>
  <c r="Q21" i="7"/>
  <c r="R9" i="2"/>
  <c r="Q22" i="7"/>
  <c r="Q23" i="7"/>
  <c r="Q20" i="7"/>
  <c r="Q19" i="8"/>
  <c r="Q22" i="8"/>
  <c r="Q20" i="8"/>
  <c r="Q18" i="8"/>
  <c r="Q21" i="8"/>
  <c r="Q23" i="8"/>
  <c r="M24" i="8"/>
  <c r="N23" i="8"/>
  <c r="N18" i="8"/>
  <c r="N20" i="8"/>
  <c r="I18" i="8"/>
  <c r="I23" i="8"/>
  <c r="I19" i="8"/>
  <c r="I22" i="8"/>
  <c r="I21" i="8"/>
  <c r="N19" i="8"/>
  <c r="D24" i="8"/>
  <c r="J12" i="8"/>
  <c r="F12" i="8"/>
  <c r="F20" i="8" s="1"/>
  <c r="N21" i="8"/>
  <c r="N22" i="8"/>
  <c r="I20" i="8"/>
  <c r="E24" i="8"/>
  <c r="H21" i="1"/>
  <c r="H21" i="4" s="1"/>
  <c r="E31" i="1"/>
  <c r="H19" i="1"/>
  <c r="H19" i="4" s="1"/>
  <c r="H11" i="1"/>
  <c r="H26" i="1"/>
  <c r="H22" i="1"/>
  <c r="H22" i="4" s="1"/>
  <c r="H18" i="1"/>
  <c r="H18" i="4" s="1"/>
  <c r="L10" i="1"/>
  <c r="H13" i="1"/>
  <c r="H24" i="1"/>
  <c r="H20" i="1"/>
  <c r="H20" i="4" s="1"/>
  <c r="H16" i="1"/>
  <c r="H16" i="4" s="1"/>
  <c r="H12" i="1"/>
  <c r="S9" i="1"/>
  <c r="V14" i="1"/>
  <c r="V22" i="1"/>
  <c r="V26" i="1"/>
  <c r="H25" i="1"/>
  <c r="H17" i="1"/>
  <c r="H17" i="4" s="1"/>
  <c r="H9" i="1"/>
  <c r="G31" i="1"/>
  <c r="F6" i="2" s="1"/>
  <c r="H15" i="1"/>
  <c r="H15" i="4" s="1"/>
  <c r="U31" i="1"/>
  <c r="S15" i="1"/>
  <c r="R31" i="1"/>
  <c r="M31" i="1"/>
  <c r="L6" i="2" s="1"/>
  <c r="O31" i="1"/>
  <c r="P31" i="1"/>
  <c r="O6" i="2" s="1"/>
  <c r="I31" i="1"/>
  <c r="H6" i="2" s="1"/>
  <c r="L31" i="1"/>
  <c r="K31" i="1"/>
  <c r="R25" i="14" l="1"/>
  <c r="J25" i="14"/>
  <c r="P25" i="14"/>
  <c r="K25" i="14"/>
  <c r="L25" i="14"/>
  <c r="N25" i="14"/>
  <c r="Q25" i="14"/>
  <c r="E25" i="14"/>
  <c r="S25" i="14"/>
  <c r="O25" i="14"/>
  <c r="I25" i="14"/>
  <c r="H25" i="14"/>
  <c r="D25" i="14"/>
  <c r="F25" i="14"/>
  <c r="G25" i="14"/>
  <c r="U25" i="14"/>
  <c r="M25" i="14"/>
  <c r="H70" i="1"/>
  <c r="C9" i="11"/>
  <c r="H13" i="4"/>
  <c r="H44" i="4" s="1"/>
  <c r="H45" i="4"/>
  <c r="H23" i="9"/>
  <c r="H23" i="10"/>
  <c r="H25" i="4"/>
  <c r="H72" i="1"/>
  <c r="C11" i="11"/>
  <c r="D11" i="11" s="1"/>
  <c r="E11" i="11" s="1"/>
  <c r="H22" i="10"/>
  <c r="H22" i="9"/>
  <c r="H24" i="4"/>
  <c r="E44" i="1"/>
  <c r="D6" i="2"/>
  <c r="E74" i="1"/>
  <c r="I56" i="4"/>
  <c r="G29" i="10"/>
  <c r="F6" i="15" s="1"/>
  <c r="E41" i="4"/>
  <c r="I31" i="4"/>
  <c r="M31" i="4"/>
  <c r="M41" i="4"/>
  <c r="G74" i="1"/>
  <c r="G56" i="4"/>
  <c r="I55" i="4"/>
  <c r="I43" i="4"/>
  <c r="I29" i="9"/>
  <c r="H6" i="14" s="1"/>
  <c r="G42" i="4"/>
  <c r="H73" i="1"/>
  <c r="C12" i="11"/>
  <c r="H30" i="4"/>
  <c r="E55" i="4"/>
  <c r="M43" i="4"/>
  <c r="M29" i="10"/>
  <c r="L6" i="15" s="1"/>
  <c r="G43" i="4"/>
  <c r="E29" i="10"/>
  <c r="E51" i="10" s="1"/>
  <c r="G57" i="4"/>
  <c r="I61" i="4"/>
  <c r="I52" i="9"/>
  <c r="G31" i="4"/>
  <c r="G44" i="4"/>
  <c r="G52" i="9"/>
  <c r="H12" i="10"/>
  <c r="H12" i="9"/>
  <c r="H12" i="4"/>
  <c r="H43" i="4" s="1"/>
  <c r="H24" i="10"/>
  <c r="H24" i="9"/>
  <c r="H26" i="4"/>
  <c r="H57" i="4" s="1"/>
  <c r="I74" i="1"/>
  <c r="G55" i="4"/>
  <c r="E31" i="4"/>
  <c r="M57" i="4" s="1"/>
  <c r="E40" i="4"/>
  <c r="M51" i="9"/>
  <c r="M56" i="4"/>
  <c r="I44" i="4"/>
  <c r="H69" i="1"/>
  <c r="H9" i="10"/>
  <c r="C8" i="11"/>
  <c r="H9" i="9"/>
  <c r="H9" i="4"/>
  <c r="H11" i="10"/>
  <c r="H11" i="9"/>
  <c r="H11" i="4"/>
  <c r="H42" i="4" s="1"/>
  <c r="H48" i="4"/>
  <c r="H51" i="4"/>
  <c r="H49" i="4"/>
  <c r="H50" i="4"/>
  <c r="I57" i="4"/>
  <c r="I51" i="9"/>
  <c r="I29" i="10"/>
  <c r="H6" i="15" s="1"/>
  <c r="G40" i="9"/>
  <c r="H71" i="1"/>
  <c r="C10" i="11"/>
  <c r="H23" i="4"/>
  <c r="H54" i="4" s="1"/>
  <c r="E43" i="4"/>
  <c r="M29" i="9"/>
  <c r="L6" i="14" s="1"/>
  <c r="M39" i="9"/>
  <c r="E29" i="9"/>
  <c r="M41" i="9" s="1"/>
  <c r="E38" i="9"/>
  <c r="E56" i="4"/>
  <c r="M61" i="4"/>
  <c r="G41" i="4"/>
  <c r="H32" i="1"/>
  <c r="H10" i="10"/>
  <c r="H10" i="9"/>
  <c r="H39" i="9" s="1"/>
  <c r="H10" i="4"/>
  <c r="H41" i="4" s="1"/>
  <c r="E40" i="9"/>
  <c r="I54" i="4"/>
  <c r="G29" i="9"/>
  <c r="F6" i="14" s="1"/>
  <c r="E57" i="4"/>
  <c r="T7" i="7"/>
  <c r="S7" i="8"/>
  <c r="S12" i="7"/>
  <c r="R23" i="7"/>
  <c r="R20" i="7"/>
  <c r="S9" i="2"/>
  <c r="R21" i="7"/>
  <c r="R18" i="7"/>
  <c r="R22" i="7"/>
  <c r="R12" i="8"/>
  <c r="R19" i="8" s="1"/>
  <c r="Q24" i="8"/>
  <c r="R19" i="7"/>
  <c r="N24" i="8"/>
  <c r="J23" i="8"/>
  <c r="J18" i="8"/>
  <c r="J22" i="8"/>
  <c r="J21" i="8"/>
  <c r="J19" i="8"/>
  <c r="I24" i="8"/>
  <c r="J20" i="8"/>
  <c r="F23" i="8"/>
  <c r="F18" i="8"/>
  <c r="F19" i="8"/>
  <c r="F21" i="8"/>
  <c r="F22" i="8"/>
  <c r="S38" i="1"/>
  <c r="K50" i="1"/>
  <c r="O58" i="1"/>
  <c r="U55" i="1"/>
  <c r="M51" i="1"/>
  <c r="K62" i="1"/>
  <c r="O43" i="1"/>
  <c r="R48" i="1"/>
  <c r="O52" i="1"/>
  <c r="R56" i="1"/>
  <c r="U42" i="1"/>
  <c r="K45" i="1"/>
  <c r="O53" i="1"/>
  <c r="R44" i="1"/>
  <c r="R49" i="1"/>
  <c r="R57" i="1"/>
  <c r="R47" i="1"/>
  <c r="U47" i="1"/>
  <c r="P58" i="1"/>
  <c r="S52" i="1"/>
  <c r="V51" i="1"/>
  <c r="I58" i="1"/>
  <c r="G55" i="1"/>
  <c r="V50" i="1"/>
  <c r="S41" i="1"/>
  <c r="L53" i="1"/>
  <c r="G43" i="1"/>
  <c r="S42" i="1"/>
  <c r="S56" i="1"/>
  <c r="I41" i="1"/>
  <c r="I62" i="1"/>
  <c r="R41" i="1"/>
  <c r="I53" i="1"/>
  <c r="K49" i="1"/>
  <c r="O46" i="1"/>
  <c r="P38" i="1"/>
  <c r="K52" i="1"/>
  <c r="K55" i="1"/>
  <c r="O57" i="1"/>
  <c r="O45" i="1"/>
  <c r="O48" i="1"/>
  <c r="O42" i="1"/>
  <c r="R45" i="1"/>
  <c r="R51" i="1"/>
  <c r="R58" i="1"/>
  <c r="M57" i="1"/>
  <c r="U52" i="1"/>
  <c r="P54" i="1"/>
  <c r="P57" i="1"/>
  <c r="S50" i="1"/>
  <c r="I52" i="1"/>
  <c r="E48" i="1"/>
  <c r="U58" i="1"/>
  <c r="M52" i="1"/>
  <c r="L45" i="1"/>
  <c r="S43" i="1"/>
  <c r="G54" i="1"/>
  <c r="I42" i="1"/>
  <c r="V54" i="1"/>
  <c r="M44" i="1"/>
  <c r="F39" i="1"/>
  <c r="K56" i="1"/>
  <c r="K38" i="1"/>
  <c r="T38" i="1"/>
  <c r="K46" i="1"/>
  <c r="K54" i="1"/>
  <c r="K41" i="1"/>
  <c r="O54" i="1"/>
  <c r="O49" i="1"/>
  <c r="O41" i="1"/>
  <c r="R54" i="1"/>
  <c r="U51" i="1"/>
  <c r="M53" i="1"/>
  <c r="U56" i="1"/>
  <c r="U45" i="1"/>
  <c r="P48" i="1"/>
  <c r="I44" i="1"/>
  <c r="P45" i="1"/>
  <c r="H49" i="1"/>
  <c r="S57" i="1"/>
  <c r="M46" i="1"/>
  <c r="V57" i="1"/>
  <c r="L48" i="1"/>
  <c r="H44" i="1"/>
  <c r="H45" i="1"/>
  <c r="M47" i="1"/>
  <c r="E42" i="1"/>
  <c r="L58" i="1"/>
  <c r="H42" i="1"/>
  <c r="L47" i="1"/>
  <c r="G52" i="1"/>
  <c r="V45" i="1"/>
  <c r="V48" i="1"/>
  <c r="L50" i="1"/>
  <c r="E47" i="1"/>
  <c r="I57" i="1"/>
  <c r="K42" i="1"/>
  <c r="L54" i="1"/>
  <c r="M43" i="1"/>
  <c r="S62" i="1"/>
  <c r="U50" i="1"/>
  <c r="G45" i="1"/>
  <c r="P47" i="1"/>
  <c r="L41" i="1"/>
  <c r="L49" i="1"/>
  <c r="L62" i="1"/>
  <c r="M48" i="1"/>
  <c r="M56" i="1"/>
  <c r="S45" i="1"/>
  <c r="U54" i="1"/>
  <c r="E50" i="1"/>
  <c r="G49" i="1"/>
  <c r="I51" i="1"/>
  <c r="P51" i="1"/>
  <c r="I46" i="1"/>
  <c r="I54" i="1"/>
  <c r="P42" i="1"/>
  <c r="P50" i="1"/>
  <c r="V55" i="1"/>
  <c r="S44" i="1"/>
  <c r="R62" i="1"/>
  <c r="P56" i="1"/>
  <c r="S54" i="1"/>
  <c r="U43" i="1"/>
  <c r="M55" i="1"/>
  <c r="S55" i="1"/>
  <c r="R42" i="1"/>
  <c r="R55" i="1"/>
  <c r="R52" i="1"/>
  <c r="O55" i="1"/>
  <c r="O50" i="1"/>
  <c r="O62" i="1"/>
  <c r="O47" i="1"/>
  <c r="K58" i="1"/>
  <c r="K44" i="1"/>
  <c r="K51" i="1"/>
  <c r="K48" i="1"/>
  <c r="I45" i="1"/>
  <c r="K57" i="1"/>
  <c r="L38" i="1"/>
  <c r="O38" i="1"/>
  <c r="V53" i="1"/>
  <c r="G58" i="1"/>
  <c r="G50" i="1"/>
  <c r="L46" i="1"/>
  <c r="L56" i="1"/>
  <c r="M45" i="1"/>
  <c r="V44" i="1"/>
  <c r="E54" i="1"/>
  <c r="I47" i="1"/>
  <c r="P53" i="1"/>
  <c r="G56" i="1"/>
  <c r="G48" i="1"/>
  <c r="L43" i="1"/>
  <c r="L51" i="1"/>
  <c r="M42" i="1"/>
  <c r="M50" i="1"/>
  <c r="M58" i="1"/>
  <c r="S53" i="1"/>
  <c r="U46" i="1"/>
  <c r="I55" i="1"/>
  <c r="V49" i="1"/>
  <c r="G47" i="1"/>
  <c r="I48" i="1"/>
  <c r="I56" i="1"/>
  <c r="P44" i="1"/>
  <c r="P52" i="1"/>
  <c r="V62" i="1"/>
  <c r="P55" i="1"/>
  <c r="S48" i="1"/>
  <c r="H38" i="1"/>
  <c r="L57" i="1"/>
  <c r="K47" i="1"/>
  <c r="K53" i="1"/>
  <c r="K43" i="1"/>
  <c r="O44" i="1"/>
  <c r="O51" i="1"/>
  <c r="O56" i="1"/>
  <c r="R46" i="1"/>
  <c r="R50" i="1"/>
  <c r="R53" i="1"/>
  <c r="U49" i="1"/>
  <c r="M62" i="1"/>
  <c r="M49" i="1"/>
  <c r="S46" i="1"/>
  <c r="U41" i="1"/>
  <c r="P62" i="1"/>
  <c r="G46" i="1"/>
  <c r="P46" i="1"/>
  <c r="I50" i="1"/>
  <c r="H62" i="1"/>
  <c r="G41" i="1"/>
  <c r="G57" i="1"/>
  <c r="V42" i="1"/>
  <c r="M54" i="1"/>
  <c r="L55" i="1"/>
  <c r="G44" i="1"/>
  <c r="H52" i="1"/>
  <c r="P41" i="1"/>
  <c r="G62" i="1"/>
  <c r="M41" i="1"/>
  <c r="L42" i="1"/>
  <c r="H57" i="1"/>
  <c r="V58" i="1"/>
  <c r="H43" i="1"/>
  <c r="S47" i="1"/>
  <c r="H47" i="1"/>
  <c r="V46" i="1"/>
  <c r="H48" i="1"/>
  <c r="H56" i="1"/>
  <c r="H50" i="1"/>
  <c r="H58" i="1"/>
  <c r="H53" i="1"/>
  <c r="S49" i="1"/>
  <c r="L52" i="1"/>
  <c r="L44" i="1"/>
  <c r="H46" i="1"/>
  <c r="H54" i="1"/>
  <c r="E51" i="1"/>
  <c r="H55" i="1"/>
  <c r="V31" i="1"/>
  <c r="G38" i="1"/>
  <c r="M38" i="1"/>
  <c r="U38" i="1"/>
  <c r="I39" i="1"/>
  <c r="M39" i="1"/>
  <c r="Q39" i="1"/>
  <c r="U39" i="1"/>
  <c r="H40" i="1"/>
  <c r="L40" i="1"/>
  <c r="P40" i="1"/>
  <c r="T40" i="1"/>
  <c r="Q41" i="1"/>
  <c r="J42" i="1"/>
  <c r="F43" i="1"/>
  <c r="N43" i="1"/>
  <c r="T43" i="1"/>
  <c r="Q44" i="1"/>
  <c r="F45" i="1"/>
  <c r="N45" i="1"/>
  <c r="J46" i="1"/>
  <c r="T47" i="1"/>
  <c r="Q48" i="1"/>
  <c r="F49" i="1"/>
  <c r="N49" i="1"/>
  <c r="F51" i="1"/>
  <c r="N51" i="1"/>
  <c r="T52" i="1"/>
  <c r="Q53" i="1"/>
  <c r="F54" i="1"/>
  <c r="N54" i="1"/>
  <c r="J55" i="1"/>
  <c r="T56" i="1"/>
  <c r="Q57" i="1"/>
  <c r="F58" i="1"/>
  <c r="N58" i="1"/>
  <c r="H59" i="1"/>
  <c r="L59" i="1"/>
  <c r="P59" i="1"/>
  <c r="T59" i="1"/>
  <c r="G60" i="1"/>
  <c r="K60" i="1"/>
  <c r="O60" i="1"/>
  <c r="S60" i="1"/>
  <c r="F61" i="1"/>
  <c r="J61" i="1"/>
  <c r="N61" i="1"/>
  <c r="R61" i="1"/>
  <c r="V61" i="1"/>
  <c r="J62" i="1"/>
  <c r="E39" i="1"/>
  <c r="E59" i="1"/>
  <c r="E38" i="1"/>
  <c r="F38" i="1"/>
  <c r="N38" i="1"/>
  <c r="V38" i="1"/>
  <c r="J39" i="1"/>
  <c r="N39" i="1"/>
  <c r="R39" i="1"/>
  <c r="V39" i="1"/>
  <c r="I40" i="1"/>
  <c r="M40" i="1"/>
  <c r="Q40" i="1"/>
  <c r="U40" i="1"/>
  <c r="F42" i="1"/>
  <c r="T42" i="1"/>
  <c r="Q43" i="1"/>
  <c r="T44" i="1"/>
  <c r="Q45" i="1"/>
  <c r="F46" i="1"/>
  <c r="N46" i="1"/>
  <c r="J47" i="1"/>
  <c r="T48" i="1"/>
  <c r="Q49" i="1"/>
  <c r="J50" i="1"/>
  <c r="T50" i="1"/>
  <c r="Q51" i="1"/>
  <c r="J52" i="1"/>
  <c r="T53" i="1"/>
  <c r="Q54" i="1"/>
  <c r="F55" i="1"/>
  <c r="N55" i="1"/>
  <c r="J56" i="1"/>
  <c r="T57" i="1"/>
  <c r="Q58" i="1"/>
  <c r="I59" i="1"/>
  <c r="M59" i="1"/>
  <c r="Q59" i="1"/>
  <c r="U59" i="1"/>
  <c r="H60" i="1"/>
  <c r="L60" i="1"/>
  <c r="P60" i="1"/>
  <c r="T60" i="1"/>
  <c r="G61" i="1"/>
  <c r="K61" i="1"/>
  <c r="O61" i="1"/>
  <c r="S61" i="1"/>
  <c r="F62" i="1"/>
  <c r="N62" i="1"/>
  <c r="T62" i="1"/>
  <c r="E40" i="1"/>
  <c r="E60" i="1"/>
  <c r="J38" i="1"/>
  <c r="R38" i="1"/>
  <c r="H39" i="1"/>
  <c r="L39" i="1"/>
  <c r="P39" i="1"/>
  <c r="T39" i="1"/>
  <c r="G40" i="1"/>
  <c r="K40" i="1"/>
  <c r="O40" i="1"/>
  <c r="S40" i="1"/>
  <c r="F41" i="1"/>
  <c r="N41" i="1"/>
  <c r="Q42" i="1"/>
  <c r="J43" i="1"/>
  <c r="F44" i="1"/>
  <c r="N44" i="1"/>
  <c r="J45" i="1"/>
  <c r="T46" i="1"/>
  <c r="Q47" i="1"/>
  <c r="F48" i="1"/>
  <c r="N48" i="1"/>
  <c r="J49" i="1"/>
  <c r="T49" i="1"/>
  <c r="Q50" i="1"/>
  <c r="J51" i="1"/>
  <c r="T51" i="1"/>
  <c r="Q52" i="1"/>
  <c r="F53" i="1"/>
  <c r="N53" i="1"/>
  <c r="J54" i="1"/>
  <c r="T55" i="1"/>
  <c r="Q56" i="1"/>
  <c r="F57" i="1"/>
  <c r="N57" i="1"/>
  <c r="J58" i="1"/>
  <c r="T58" i="1"/>
  <c r="G59" i="1"/>
  <c r="K59" i="1"/>
  <c r="O59" i="1"/>
  <c r="S59" i="1"/>
  <c r="F60" i="1"/>
  <c r="J60" i="1"/>
  <c r="N60" i="1"/>
  <c r="R60" i="1"/>
  <c r="V60" i="1"/>
  <c r="I61" i="1"/>
  <c r="M61" i="1"/>
  <c r="Q61" i="1"/>
  <c r="U61" i="1"/>
  <c r="K39" i="1"/>
  <c r="J40" i="1"/>
  <c r="J41" i="1"/>
  <c r="J44" i="1"/>
  <c r="V47" i="1"/>
  <c r="V52" i="1"/>
  <c r="T54" i="1"/>
  <c r="N56" i="1"/>
  <c r="N59" i="1"/>
  <c r="M60" i="1"/>
  <c r="L61" i="1"/>
  <c r="Q62" i="1"/>
  <c r="R40" i="1"/>
  <c r="U48" i="1"/>
  <c r="Q55" i="1"/>
  <c r="V59" i="1"/>
  <c r="E41" i="1"/>
  <c r="I38" i="1"/>
  <c r="O39" i="1"/>
  <c r="N40" i="1"/>
  <c r="T41" i="1"/>
  <c r="U44" i="1"/>
  <c r="Q46" i="1"/>
  <c r="J48" i="1"/>
  <c r="F50" i="1"/>
  <c r="S51" i="1"/>
  <c r="J53" i="1"/>
  <c r="V56" i="1"/>
  <c r="S58" i="1"/>
  <c r="R59" i="1"/>
  <c r="Q60" i="1"/>
  <c r="P61" i="1"/>
  <c r="U62" i="1"/>
  <c r="S39" i="1"/>
  <c r="R43" i="1"/>
  <c r="N50" i="1"/>
  <c r="U53" i="1"/>
  <c r="F59" i="1"/>
  <c r="T61" i="1"/>
  <c r="G39" i="1"/>
  <c r="F40" i="1"/>
  <c r="V40" i="1"/>
  <c r="N42" i="1"/>
  <c r="V43" i="1"/>
  <c r="T45" i="1"/>
  <c r="N47" i="1"/>
  <c r="N52" i="1"/>
  <c r="F56" i="1"/>
  <c r="U57" i="1"/>
  <c r="J59" i="1"/>
  <c r="I60" i="1"/>
  <c r="H61" i="1"/>
  <c r="E61" i="1"/>
  <c r="Q38" i="1"/>
  <c r="G42" i="1"/>
  <c r="F47" i="1"/>
  <c r="F52" i="1"/>
  <c r="J57" i="1"/>
  <c r="U60" i="1"/>
  <c r="E57" i="1"/>
  <c r="P43" i="1"/>
  <c r="G53" i="1"/>
  <c r="E53" i="1"/>
  <c r="S31" i="1"/>
  <c r="H31" i="1"/>
  <c r="G6" i="2" s="1"/>
  <c r="H41" i="1"/>
  <c r="E55" i="1"/>
  <c r="G51" i="1"/>
  <c r="E52" i="1"/>
  <c r="V41" i="1"/>
  <c r="I49" i="1"/>
  <c r="E46" i="1"/>
  <c r="E49" i="1"/>
  <c r="E43" i="1"/>
  <c r="E62" i="1"/>
  <c r="H51" i="1"/>
  <c r="E56" i="1"/>
  <c r="P49" i="1"/>
  <c r="I43" i="1"/>
  <c r="E58" i="1"/>
  <c r="E45" i="1"/>
  <c r="C24" i="7"/>
  <c r="E24" i="7"/>
  <c r="M24" i="7"/>
  <c r="L24" i="7"/>
  <c r="Q24" i="7"/>
  <c r="K24" i="7"/>
  <c r="P24" i="7"/>
  <c r="I24" i="7"/>
  <c r="G24" i="7"/>
  <c r="J24" i="7"/>
  <c r="D24" i="7"/>
  <c r="N24" i="7"/>
  <c r="H24" i="7"/>
  <c r="F24" i="7"/>
  <c r="O24" i="7"/>
  <c r="G52" i="10" l="1"/>
  <c r="G53" i="10"/>
  <c r="M53" i="10"/>
  <c r="I39" i="10"/>
  <c r="E40" i="10"/>
  <c r="G51" i="10"/>
  <c r="G39" i="10"/>
  <c r="H51" i="10"/>
  <c r="H52" i="10"/>
  <c r="I52" i="10"/>
  <c r="E52" i="10"/>
  <c r="H39" i="10"/>
  <c r="I41" i="10"/>
  <c r="M52" i="10"/>
  <c r="M41" i="10"/>
  <c r="H40" i="10"/>
  <c r="H53" i="10"/>
  <c r="E39" i="10"/>
  <c r="M40" i="10"/>
  <c r="M51" i="10"/>
  <c r="W6" i="2"/>
  <c r="G38" i="9"/>
  <c r="G41" i="9"/>
  <c r="E51" i="9"/>
  <c r="I41" i="9"/>
  <c r="H40" i="9"/>
  <c r="C13" i="11"/>
  <c r="D8" i="11"/>
  <c r="M52" i="9"/>
  <c r="D6" i="15"/>
  <c r="T40" i="10"/>
  <c r="V53" i="10"/>
  <c r="Q51" i="10"/>
  <c r="P54" i="10"/>
  <c r="V43" i="10"/>
  <c r="N47" i="10"/>
  <c r="O40" i="10"/>
  <c r="E56" i="10"/>
  <c r="V45" i="10"/>
  <c r="R42" i="10"/>
  <c r="I35" i="10"/>
  <c r="Q52" i="10"/>
  <c r="S46" i="10"/>
  <c r="R51" i="10"/>
  <c r="R35" i="10"/>
  <c r="N37" i="10"/>
  <c r="P57" i="10"/>
  <c r="J56" i="10"/>
  <c r="T51" i="10"/>
  <c r="U56" i="10"/>
  <c r="F39" i="10"/>
  <c r="F36" i="10"/>
  <c r="V44" i="10"/>
  <c r="V50" i="10"/>
  <c r="P45" i="10"/>
  <c r="G57" i="10"/>
  <c r="M48" i="10"/>
  <c r="Q44" i="10"/>
  <c r="T43" i="10"/>
  <c r="E57" i="10"/>
  <c r="E50" i="10"/>
  <c r="E49" i="10"/>
  <c r="I45" i="10"/>
  <c r="T50" i="10"/>
  <c r="E46" i="10"/>
  <c r="E42" i="10"/>
  <c r="U54" i="10"/>
  <c r="M54" i="10"/>
  <c r="P40" i="10"/>
  <c r="N35" i="10"/>
  <c r="Q46" i="10"/>
  <c r="L39" i="10"/>
  <c r="M37" i="10"/>
  <c r="T54" i="10"/>
  <c r="Q42" i="10"/>
  <c r="K56" i="10"/>
  <c r="F48" i="10"/>
  <c r="V39" i="10"/>
  <c r="T55" i="10"/>
  <c r="S44" i="10"/>
  <c r="L44" i="10"/>
  <c r="L37" i="10"/>
  <c r="F42" i="10"/>
  <c r="V49" i="10"/>
  <c r="V38" i="10"/>
  <c r="G44" i="10"/>
  <c r="J39" i="10"/>
  <c r="P49" i="10"/>
  <c r="T56" i="10"/>
  <c r="F41" i="10"/>
  <c r="V56" i="10"/>
  <c r="O47" i="10"/>
  <c r="U42" i="10"/>
  <c r="V36" i="10"/>
  <c r="U47" i="10"/>
  <c r="S51" i="10"/>
  <c r="O54" i="10"/>
  <c r="V51" i="10"/>
  <c r="I55" i="10"/>
  <c r="G36" i="10"/>
  <c r="K49" i="10"/>
  <c r="G55" i="10"/>
  <c r="F49" i="10"/>
  <c r="V57" i="10"/>
  <c r="N43" i="10"/>
  <c r="N56" i="10"/>
  <c r="J40" i="10"/>
  <c r="R53" i="10"/>
  <c r="M38" i="10"/>
  <c r="K51" i="10"/>
  <c r="G54" i="10"/>
  <c r="N50" i="10"/>
  <c r="P50" i="10"/>
  <c r="K53" i="10"/>
  <c r="H55" i="10"/>
  <c r="L38" i="10"/>
  <c r="V41" i="10"/>
  <c r="J36" i="10"/>
  <c r="M55" i="10"/>
  <c r="U57" i="10"/>
  <c r="L49" i="10"/>
  <c r="Q36" i="10"/>
  <c r="J35" i="10"/>
  <c r="R41" i="10"/>
  <c r="V40" i="10"/>
  <c r="U49" i="10"/>
  <c r="N54" i="10"/>
  <c r="H48" i="10"/>
  <c r="H57" i="10"/>
  <c r="Q48" i="10"/>
  <c r="T47" i="10"/>
  <c r="E44" i="10"/>
  <c r="I57" i="10"/>
  <c r="I50" i="10"/>
  <c r="I49" i="10"/>
  <c r="N57" i="10"/>
  <c r="J37" i="10"/>
  <c r="J48" i="10"/>
  <c r="F47" i="10"/>
  <c r="K41" i="10"/>
  <c r="R54" i="10"/>
  <c r="H47" i="10"/>
  <c r="G42" i="10"/>
  <c r="M44" i="10"/>
  <c r="Q50" i="10"/>
  <c r="T48" i="10"/>
  <c r="T44" i="10"/>
  <c r="M46" i="10"/>
  <c r="T46" i="10"/>
  <c r="T45" i="10"/>
  <c r="R47" i="10"/>
  <c r="S36" i="10"/>
  <c r="L54" i="10"/>
  <c r="K40" i="10"/>
  <c r="E37" i="10"/>
  <c r="I46" i="10"/>
  <c r="T49" i="10"/>
  <c r="K45" i="10"/>
  <c r="U48" i="10"/>
  <c r="O49" i="10"/>
  <c r="T36" i="10"/>
  <c r="L45" i="10"/>
  <c r="K39" i="10"/>
  <c r="S55" i="10"/>
  <c r="N53" i="10"/>
  <c r="R48" i="10"/>
  <c r="N41" i="10"/>
  <c r="G56" i="10"/>
  <c r="N40" i="10"/>
  <c r="J54" i="10"/>
  <c r="J49" i="10"/>
  <c r="U35" i="10"/>
  <c r="K54" i="10"/>
  <c r="R38" i="10"/>
  <c r="L53" i="10"/>
  <c r="H49" i="10"/>
  <c r="O57" i="10"/>
  <c r="K44" i="10"/>
  <c r="P48" i="10"/>
  <c r="P42" i="10"/>
  <c r="K48" i="10"/>
  <c r="U40" i="10"/>
  <c r="S35" i="10"/>
  <c r="F57" i="10"/>
  <c r="F54" i="10"/>
  <c r="S42" i="10"/>
  <c r="S49" i="10"/>
  <c r="N48" i="10"/>
  <c r="I36" i="10"/>
  <c r="O53" i="10"/>
  <c r="I54" i="10"/>
  <c r="J46" i="10"/>
  <c r="N39" i="10"/>
  <c r="K52" i="10"/>
  <c r="R36" i="10"/>
  <c r="J55" i="10"/>
  <c r="J45" i="10"/>
  <c r="U53" i="10"/>
  <c r="J38" i="10"/>
  <c r="V52" i="10"/>
  <c r="G49" i="10"/>
  <c r="S38" i="10"/>
  <c r="S56" i="10"/>
  <c r="U43" i="10"/>
  <c r="F46" i="10"/>
  <c r="T52" i="10"/>
  <c r="S39" i="10"/>
  <c r="G35" i="10"/>
  <c r="K55" i="10"/>
  <c r="N38" i="10"/>
  <c r="J57" i="10"/>
  <c r="R45" i="10"/>
  <c r="N46" i="10"/>
  <c r="P56" i="10"/>
  <c r="H54" i="10"/>
  <c r="K37" i="10"/>
  <c r="I44" i="10"/>
  <c r="M50" i="10"/>
  <c r="Q45" i="10"/>
  <c r="T57" i="10"/>
  <c r="Q43" i="10"/>
  <c r="T42" i="10"/>
  <c r="V55" i="10"/>
  <c r="K36" i="10"/>
  <c r="M47" i="10"/>
  <c r="O38" i="10"/>
  <c r="P36" i="10"/>
  <c r="M43" i="10"/>
  <c r="Q55" i="10"/>
  <c r="I42" i="10"/>
  <c r="T39" i="10"/>
  <c r="Q37" i="10"/>
  <c r="V46" i="10"/>
  <c r="P43" i="10"/>
  <c r="S53" i="10"/>
  <c r="Q54" i="10"/>
  <c r="O46" i="10"/>
  <c r="L40" i="10"/>
  <c r="S52" i="10"/>
  <c r="F38" i="10"/>
  <c r="R55" i="10"/>
  <c r="U45" i="10"/>
  <c r="M35" i="10"/>
  <c r="U51" i="10"/>
  <c r="T35" i="10"/>
  <c r="J52" i="10"/>
  <c r="P46" i="10"/>
  <c r="I37" i="10"/>
  <c r="R39" i="10"/>
  <c r="G46" i="10"/>
  <c r="N44" i="10"/>
  <c r="K43" i="10"/>
  <c r="N52" i="10"/>
  <c r="S40" i="10"/>
  <c r="K47" i="10"/>
  <c r="O45" i="10"/>
  <c r="S57" i="10"/>
  <c r="R57" i="10"/>
  <c r="S43" i="10"/>
  <c r="R37" i="10"/>
  <c r="N49" i="10"/>
  <c r="H35" i="10"/>
  <c r="P52" i="10"/>
  <c r="Q41" i="10"/>
  <c r="L35" i="10"/>
  <c r="F52" i="10"/>
  <c r="S45" i="10"/>
  <c r="O36" i="10"/>
  <c r="O52" i="10"/>
  <c r="T38" i="10"/>
  <c r="G45" i="10"/>
  <c r="K50" i="10"/>
  <c r="V42" i="10"/>
  <c r="Q35" i="10"/>
  <c r="L57" i="10"/>
  <c r="O39" i="10"/>
  <c r="U46" i="10"/>
  <c r="K46" i="10"/>
  <c r="F43" i="10"/>
  <c r="F44" i="10"/>
  <c r="E48" i="10"/>
  <c r="M57" i="10"/>
  <c r="M49" i="10"/>
  <c r="E45" i="10"/>
  <c r="I47" i="10"/>
  <c r="M42" i="10"/>
  <c r="E54" i="10"/>
  <c r="G48" i="10"/>
  <c r="P38" i="10"/>
  <c r="F35" i="10"/>
  <c r="U41" i="10"/>
  <c r="U37" i="10"/>
  <c r="E47" i="10"/>
  <c r="O51" i="10"/>
  <c r="J51" i="10"/>
  <c r="E55" i="10"/>
  <c r="P51" i="10"/>
  <c r="Q53" i="10"/>
  <c r="S50" i="10"/>
  <c r="Q56" i="10"/>
  <c r="L56" i="10"/>
  <c r="U50" i="10"/>
  <c r="O42" i="10"/>
  <c r="F37" i="10"/>
  <c r="N45" i="10"/>
  <c r="F56" i="10"/>
  <c r="N51" i="10"/>
  <c r="O56" i="10"/>
  <c r="L41" i="10"/>
  <c r="P53" i="10"/>
  <c r="G50" i="10"/>
  <c r="L42" i="10"/>
  <c r="M36" i="10"/>
  <c r="J47" i="10"/>
  <c r="O48" i="10"/>
  <c r="H45" i="10"/>
  <c r="L50" i="10"/>
  <c r="S41" i="10"/>
  <c r="O37" i="10"/>
  <c r="H43" i="10"/>
  <c r="N36" i="10"/>
  <c r="G47" i="10"/>
  <c r="K35" i="10"/>
  <c r="L48" i="10"/>
  <c r="O55" i="10"/>
  <c r="J53" i="10"/>
  <c r="S47" i="10"/>
  <c r="J41" i="10"/>
  <c r="S54" i="10"/>
  <c r="F40" i="10"/>
  <c r="V48" i="10"/>
  <c r="U55" i="10"/>
  <c r="R40" i="10"/>
  <c r="R56" i="10"/>
  <c r="F50" i="10"/>
  <c r="K42" i="10"/>
  <c r="E36" i="10"/>
  <c r="L46" i="10"/>
  <c r="P47" i="10"/>
  <c r="T37" i="10"/>
  <c r="O44" i="10"/>
  <c r="Q40" i="10"/>
  <c r="K38" i="10"/>
  <c r="F45" i="10"/>
  <c r="I48" i="10"/>
  <c r="Q47" i="10"/>
  <c r="H36" i="10"/>
  <c r="T53" i="10"/>
  <c r="O35" i="10"/>
  <c r="V37" i="10"/>
  <c r="N42" i="10"/>
  <c r="L51" i="10"/>
  <c r="L36" i="10"/>
  <c r="U38" i="10"/>
  <c r="H56" i="10"/>
  <c r="J44" i="10"/>
  <c r="U44" i="10"/>
  <c r="S37" i="10"/>
  <c r="V47" i="10"/>
  <c r="G37" i="10"/>
  <c r="I56" i="10"/>
  <c r="P37" i="10"/>
  <c r="N55" i="10"/>
  <c r="R46" i="10"/>
  <c r="I38" i="10"/>
  <c r="P39" i="10"/>
  <c r="F51" i="10"/>
  <c r="R52" i="10"/>
  <c r="Q39" i="10"/>
  <c r="Q57" i="10"/>
  <c r="I43" i="10"/>
  <c r="V35" i="10"/>
  <c r="F55" i="10"/>
  <c r="U36" i="10"/>
  <c r="U52" i="10"/>
  <c r="R50" i="10"/>
  <c r="E35" i="10"/>
  <c r="H44" i="10"/>
  <c r="H46" i="10"/>
  <c r="G43" i="10"/>
  <c r="J50" i="10"/>
  <c r="P55" i="10"/>
  <c r="V54" i="10"/>
  <c r="S48" i="10"/>
  <c r="R43" i="10"/>
  <c r="T41" i="10"/>
  <c r="K57" i="10"/>
  <c r="M45" i="10"/>
  <c r="L52" i="10"/>
  <c r="R44" i="10"/>
  <c r="F53" i="10"/>
  <c r="L55" i="10"/>
  <c r="R49" i="10"/>
  <c r="O43" i="10"/>
  <c r="O50" i="10"/>
  <c r="M56" i="10"/>
  <c r="U39" i="10"/>
  <c r="J43" i="10"/>
  <c r="P41" i="10"/>
  <c r="Q38" i="10"/>
  <c r="Q49" i="10"/>
  <c r="E43" i="10"/>
  <c r="P35" i="10"/>
  <c r="H37" i="10"/>
  <c r="J42" i="10"/>
  <c r="O41" i="10"/>
  <c r="H42" i="10"/>
  <c r="L43" i="10"/>
  <c r="P44" i="10"/>
  <c r="L47" i="10"/>
  <c r="H50" i="10"/>
  <c r="E39" i="9"/>
  <c r="E52" i="9"/>
  <c r="I41" i="4"/>
  <c r="E53" i="9"/>
  <c r="I40" i="9"/>
  <c r="G45" i="4"/>
  <c r="M55" i="4"/>
  <c r="G40" i="10"/>
  <c r="H51" i="9"/>
  <c r="H56" i="4"/>
  <c r="I40" i="10"/>
  <c r="G54" i="4"/>
  <c r="D6" i="14"/>
  <c r="H42" i="9"/>
  <c r="R35" i="9"/>
  <c r="Q36" i="9"/>
  <c r="P37" i="9"/>
  <c r="O38" i="9"/>
  <c r="N39" i="9"/>
  <c r="L41" i="9"/>
  <c r="O42" i="9"/>
  <c r="N43" i="9"/>
  <c r="M44" i="9"/>
  <c r="L45" i="9"/>
  <c r="K46" i="9"/>
  <c r="J47" i="9"/>
  <c r="I48" i="9"/>
  <c r="H49" i="9"/>
  <c r="G50" i="9"/>
  <c r="F51" i="9"/>
  <c r="V51" i="9"/>
  <c r="U52" i="9"/>
  <c r="T53" i="9"/>
  <c r="S54" i="9"/>
  <c r="F36" i="9"/>
  <c r="J37" i="9"/>
  <c r="N38" i="9"/>
  <c r="S39" i="9"/>
  <c r="F41" i="9"/>
  <c r="J42" i="9"/>
  <c r="O43" i="9"/>
  <c r="S44" i="9"/>
  <c r="F46" i="9"/>
  <c r="K47" i="9"/>
  <c r="O48" i="9"/>
  <c r="S49" i="9"/>
  <c r="L51" i="9"/>
  <c r="P52" i="9"/>
  <c r="U53" i="9"/>
  <c r="G55" i="9"/>
  <c r="F56" i="9"/>
  <c r="V56" i="9"/>
  <c r="U57" i="9"/>
  <c r="E50" i="9"/>
  <c r="T35" i="9"/>
  <c r="M35" i="9"/>
  <c r="R36" i="9"/>
  <c r="V37" i="9"/>
  <c r="N40" i="9"/>
  <c r="R41" i="9"/>
  <c r="K43" i="9"/>
  <c r="O44" i="9"/>
  <c r="S45" i="9"/>
  <c r="G47" i="9"/>
  <c r="K48" i="9"/>
  <c r="O49" i="9"/>
  <c r="T50" i="9"/>
  <c r="K53" i="9"/>
  <c r="P54" i="9"/>
  <c r="P55" i="9"/>
  <c r="O56" i="9"/>
  <c r="N57" i="9"/>
  <c r="E43" i="9"/>
  <c r="O35" i="9"/>
  <c r="O36" i="9"/>
  <c r="L39" i="9"/>
  <c r="U41" i="9"/>
  <c r="L44" i="9"/>
  <c r="U46" i="9"/>
  <c r="M49" i="9"/>
  <c r="U51" i="9"/>
  <c r="M54" i="9"/>
  <c r="M56" i="9"/>
  <c r="M38" i="9"/>
  <c r="M43" i="9"/>
  <c r="N48" i="9"/>
  <c r="N53" i="9"/>
  <c r="P57" i="9"/>
  <c r="U39" i="9"/>
  <c r="V44" i="9"/>
  <c r="V49" i="9"/>
  <c r="V54" i="9"/>
  <c r="F35" i="9"/>
  <c r="V35" i="9"/>
  <c r="U36" i="9"/>
  <c r="T37" i="9"/>
  <c r="S38" i="9"/>
  <c r="R39" i="9"/>
  <c r="Q40" i="9"/>
  <c r="P41" i="9"/>
  <c r="S42" i="9"/>
  <c r="R43" i="9"/>
  <c r="Q44" i="9"/>
  <c r="P45" i="9"/>
  <c r="O46" i="9"/>
  <c r="N47" i="9"/>
  <c r="M48" i="9"/>
  <c r="L49" i="9"/>
  <c r="K50" i="9"/>
  <c r="J51" i="9"/>
  <c r="G54" i="9"/>
  <c r="G35" i="9"/>
  <c r="K36" i="9"/>
  <c r="O37" i="9"/>
  <c r="T38" i="9"/>
  <c r="K41" i="9"/>
  <c r="P42" i="9"/>
  <c r="T43" i="9"/>
  <c r="G45" i="9"/>
  <c r="L46" i="9"/>
  <c r="P47" i="9"/>
  <c r="T48" i="9"/>
  <c r="M50" i="9"/>
  <c r="Q51" i="9"/>
  <c r="V52" i="9"/>
  <c r="I54" i="9"/>
  <c r="K55" i="9"/>
  <c r="J56" i="9"/>
  <c r="I57" i="9"/>
  <c r="E54" i="9"/>
  <c r="N36" i="9"/>
  <c r="S35" i="9"/>
  <c r="F37" i="9"/>
  <c r="J38" i="9"/>
  <c r="O39" i="9"/>
  <c r="S40" i="9"/>
  <c r="L42" i="9"/>
  <c r="P43" i="9"/>
  <c r="T44" i="9"/>
  <c r="H46" i="9"/>
  <c r="N35" i="9"/>
  <c r="M36" i="9"/>
  <c r="L37" i="9"/>
  <c r="K38" i="9"/>
  <c r="J39" i="9"/>
  <c r="K42" i="9"/>
  <c r="J43" i="9"/>
  <c r="I44" i="9"/>
  <c r="H45" i="9"/>
  <c r="G46" i="9"/>
  <c r="F47" i="9"/>
  <c r="V47" i="9"/>
  <c r="U48" i="9"/>
  <c r="T49" i="9"/>
  <c r="S50" i="9"/>
  <c r="R51" i="9"/>
  <c r="Q52" i="9"/>
  <c r="P53" i="9"/>
  <c r="O54" i="9"/>
  <c r="Q35" i="9"/>
  <c r="V36" i="9"/>
  <c r="I38" i="9"/>
  <c r="R40" i="9"/>
  <c r="V41" i="9"/>
  <c r="I43" i="9"/>
  <c r="N44" i="9"/>
  <c r="R45" i="9"/>
  <c r="V46" i="9"/>
  <c r="J48" i="9"/>
  <c r="N49" i="9"/>
  <c r="K52" i="9"/>
  <c r="O53" i="9"/>
  <c r="T54" i="9"/>
  <c r="S55" i="9"/>
  <c r="R56" i="9"/>
  <c r="Q57" i="9"/>
  <c r="E46" i="9"/>
  <c r="I35" i="9"/>
  <c r="H35" i="9"/>
  <c r="L36" i="9"/>
  <c r="Q37" i="9"/>
  <c r="U38" i="9"/>
  <c r="V42" i="9"/>
  <c r="J44" i="9"/>
  <c r="N45" i="9"/>
  <c r="R46" i="9"/>
  <c r="F48" i="9"/>
  <c r="J49" i="9"/>
  <c r="N50" i="9"/>
  <c r="S51" i="9"/>
  <c r="F53" i="9"/>
  <c r="J54" i="9"/>
  <c r="L55" i="9"/>
  <c r="K56" i="9"/>
  <c r="J57" i="9"/>
  <c r="E55" i="9"/>
  <c r="K35" i="9"/>
  <c r="R38" i="9"/>
  <c r="J41" i="9"/>
  <c r="S43" i="9"/>
  <c r="J46" i="9"/>
  <c r="S48" i="9"/>
  <c r="K51" i="9"/>
  <c r="S53" i="9"/>
  <c r="V55" i="9"/>
  <c r="T57" i="9"/>
  <c r="I37" i="9"/>
  <c r="I42" i="9"/>
  <c r="I47" i="9"/>
  <c r="J52" i="9"/>
  <c r="I36" i="9"/>
  <c r="V39" i="9"/>
  <c r="V43" i="9"/>
  <c r="R47" i="9"/>
  <c r="N51" i="9"/>
  <c r="L35" i="9"/>
  <c r="L40" i="9"/>
  <c r="M45" i="9"/>
  <c r="R50" i="9"/>
  <c r="O55" i="9"/>
  <c r="E35" i="9"/>
  <c r="P38" i="9"/>
  <c r="U43" i="9"/>
  <c r="Q47" i="9"/>
  <c r="I50" i="9"/>
  <c r="R52" i="9"/>
  <c r="H55" i="9"/>
  <c r="F57" i="9"/>
  <c r="H43" i="9"/>
  <c r="H48" i="9"/>
  <c r="L57" i="9"/>
  <c r="V40" i="9"/>
  <c r="V50" i="9"/>
  <c r="E45" i="9"/>
  <c r="M42" i="9"/>
  <c r="R48" i="9"/>
  <c r="U55" i="9"/>
  <c r="E56" i="9"/>
  <c r="L38" i="9"/>
  <c r="T40" i="9"/>
  <c r="F44" i="9"/>
  <c r="N46" i="9"/>
  <c r="F49" i="9"/>
  <c r="O51" i="9"/>
  <c r="F54" i="9"/>
  <c r="H56" i="9"/>
  <c r="E36" i="9"/>
  <c r="S37" i="9"/>
  <c r="T42" i="9"/>
  <c r="T47" i="9"/>
  <c r="T52" i="9"/>
  <c r="H57" i="9"/>
  <c r="F38" i="9"/>
  <c r="G43" i="9"/>
  <c r="G48" i="9"/>
  <c r="S57" i="9"/>
  <c r="H37" i="9"/>
  <c r="U40" i="9"/>
  <c r="U44" i="9"/>
  <c r="Q48" i="9"/>
  <c r="P36" i="9"/>
  <c r="Q41" i="9"/>
  <c r="Q46" i="9"/>
  <c r="F52" i="9"/>
  <c r="N56" i="9"/>
  <c r="G37" i="9"/>
  <c r="T39" i="9"/>
  <c r="I45" i="9"/>
  <c r="P48" i="9"/>
  <c r="Q53" i="9"/>
  <c r="T55" i="9"/>
  <c r="R57" i="9"/>
  <c r="H36" i="9"/>
  <c r="F40" i="9"/>
  <c r="F45" i="9"/>
  <c r="F50" i="9"/>
  <c r="F55" i="9"/>
  <c r="E49" i="9"/>
  <c r="R44" i="9"/>
  <c r="R54" i="9"/>
  <c r="M37" i="9"/>
  <c r="Q43" i="9"/>
  <c r="T56" i="9"/>
  <c r="P35" i="9"/>
  <c r="V38" i="9"/>
  <c r="N41" i="9"/>
  <c r="P44" i="9"/>
  <c r="H47" i="9"/>
  <c r="Q49" i="9"/>
  <c r="Q54" i="9"/>
  <c r="P56" i="9"/>
  <c r="E44" i="9"/>
  <c r="G44" i="9"/>
  <c r="G49" i="9"/>
  <c r="H54" i="9"/>
  <c r="E37" i="9"/>
  <c r="K39" i="9"/>
  <c r="K44" i="9"/>
  <c r="K49" i="9"/>
  <c r="L54" i="9"/>
  <c r="E48" i="9"/>
  <c r="J35" i="9"/>
  <c r="F39" i="9"/>
  <c r="F43" i="9"/>
  <c r="S46" i="9"/>
  <c r="O50" i="9"/>
  <c r="K54" i="9"/>
  <c r="H44" i="9"/>
  <c r="I49" i="9"/>
  <c r="N54" i="9"/>
  <c r="E42" i="9"/>
  <c r="K37" i="9"/>
  <c r="Q42" i="9"/>
  <c r="L47" i="9"/>
  <c r="U49" i="9"/>
  <c r="L52" i="9"/>
  <c r="U54" i="9"/>
  <c r="S56" i="9"/>
  <c r="E47" i="9"/>
  <c r="N37" i="9"/>
  <c r="N42" i="9"/>
  <c r="O47" i="9"/>
  <c r="O52" i="9"/>
  <c r="U56" i="9"/>
  <c r="Q39" i="9"/>
  <c r="R49" i="9"/>
  <c r="Q56" i="9"/>
  <c r="M47" i="9"/>
  <c r="R53" i="9"/>
  <c r="R37" i="9"/>
  <c r="J40" i="9"/>
  <c r="L43" i="9"/>
  <c r="U45" i="9"/>
  <c r="L48" i="9"/>
  <c r="U50" i="9"/>
  <c r="Q55" i="9"/>
  <c r="O57" i="9"/>
  <c r="U35" i="9"/>
  <c r="O41" i="9"/>
  <c r="P46" i="9"/>
  <c r="P51" i="9"/>
  <c r="I56" i="9"/>
  <c r="J36" i="9"/>
  <c r="S41" i="9"/>
  <c r="T46" i="9"/>
  <c r="T51" i="9"/>
  <c r="L56" i="9"/>
  <c r="F42" i="9"/>
  <c r="T41" i="9"/>
  <c r="U37" i="9"/>
  <c r="M57" i="9"/>
  <c r="V48" i="9"/>
  <c r="V57" i="9"/>
  <c r="Q50" i="9"/>
  <c r="R55" i="9"/>
  <c r="K57" i="9"/>
  <c r="J45" i="9"/>
  <c r="I55" i="9"/>
  <c r="K45" i="9"/>
  <c r="O40" i="9"/>
  <c r="G42" i="9"/>
  <c r="T45" i="9"/>
  <c r="U42" i="9"/>
  <c r="G36" i="9"/>
  <c r="S36" i="9"/>
  <c r="N55" i="9"/>
  <c r="Q38" i="9"/>
  <c r="T36" i="9"/>
  <c r="S47" i="9"/>
  <c r="G57" i="9"/>
  <c r="L50" i="9"/>
  <c r="O45" i="9"/>
  <c r="L53" i="9"/>
  <c r="J53" i="9"/>
  <c r="M46" i="9"/>
  <c r="G56" i="9"/>
  <c r="Q45" i="9"/>
  <c r="V45" i="9"/>
  <c r="N52" i="9"/>
  <c r="R42" i="9"/>
  <c r="S52" i="9"/>
  <c r="K40" i="9"/>
  <c r="M55" i="9"/>
  <c r="U47" i="9"/>
  <c r="E57" i="9"/>
  <c r="P39" i="9"/>
  <c r="I46" i="9"/>
  <c r="J55" i="9"/>
  <c r="P49" i="9"/>
  <c r="P40" i="9"/>
  <c r="J50" i="9"/>
  <c r="V53" i="9"/>
  <c r="P50" i="9"/>
  <c r="H50" i="9"/>
  <c r="H31" i="4"/>
  <c r="H40" i="4"/>
  <c r="H74" i="1"/>
  <c r="G39" i="9"/>
  <c r="H41" i="9"/>
  <c r="M53" i="9"/>
  <c r="I53" i="10"/>
  <c r="E54" i="4"/>
  <c r="M42" i="4"/>
  <c r="E41" i="10"/>
  <c r="I51" i="10"/>
  <c r="H53" i="4"/>
  <c r="H52" i="9"/>
  <c r="H38" i="10"/>
  <c r="H29" i="10"/>
  <c r="G6" i="15" s="1"/>
  <c r="V6" i="2"/>
  <c r="O22" i="2" s="1"/>
  <c r="G51" i="9"/>
  <c r="H38" i="9"/>
  <c r="H29" i="9"/>
  <c r="G6" i="14" s="1"/>
  <c r="E53" i="10"/>
  <c r="M40" i="9"/>
  <c r="I42" i="4"/>
  <c r="R51" i="4"/>
  <c r="K57" i="4"/>
  <c r="P61" i="4"/>
  <c r="U53" i="4"/>
  <c r="P52" i="4"/>
  <c r="S61" i="4"/>
  <c r="V56" i="4"/>
  <c r="S56" i="4"/>
  <c r="R40" i="4"/>
  <c r="P45" i="4"/>
  <c r="P56" i="4"/>
  <c r="O45" i="4"/>
  <c r="K51" i="4"/>
  <c r="L44" i="4"/>
  <c r="P50" i="4"/>
  <c r="U44" i="4"/>
  <c r="L47" i="4"/>
  <c r="U54" i="4"/>
  <c r="V49" i="4"/>
  <c r="U43" i="4"/>
  <c r="N61" i="4"/>
  <c r="P60" i="4"/>
  <c r="R59" i="4"/>
  <c r="T58" i="4"/>
  <c r="N57" i="4"/>
  <c r="N55" i="4"/>
  <c r="N53" i="4"/>
  <c r="N51" i="4"/>
  <c r="N49" i="4"/>
  <c r="N47" i="4"/>
  <c r="N45" i="4"/>
  <c r="T61" i="4"/>
  <c r="J60" i="4"/>
  <c r="L59" i="4"/>
  <c r="N58" i="4"/>
  <c r="N56" i="4"/>
  <c r="N54" i="4"/>
  <c r="N52" i="4"/>
  <c r="N50" i="4"/>
  <c r="N48" i="4"/>
  <c r="N46" i="4"/>
  <c r="N44" i="4"/>
  <c r="O60" i="4"/>
  <c r="S58" i="4"/>
  <c r="Q47" i="4"/>
  <c r="Q39" i="4"/>
  <c r="S38" i="4"/>
  <c r="U37" i="4"/>
  <c r="E37" i="4"/>
  <c r="K59" i="4"/>
  <c r="Q56" i="4"/>
  <c r="Q43" i="4"/>
  <c r="J41" i="4"/>
  <c r="R39" i="4"/>
  <c r="T38" i="4"/>
  <c r="V37" i="4"/>
  <c r="F37" i="4"/>
  <c r="I58" i="4"/>
  <c r="Q46" i="4"/>
  <c r="J40" i="4"/>
  <c r="N38" i="4"/>
  <c r="K61" i="4"/>
  <c r="U59" i="4"/>
  <c r="Q45" i="4"/>
  <c r="U38" i="4"/>
  <c r="G37" i="4"/>
  <c r="S57" i="4"/>
  <c r="H39" i="4"/>
  <c r="O51" i="4"/>
  <c r="R38" i="4"/>
  <c r="K44" i="4"/>
  <c r="Q57" i="4"/>
  <c r="M59" i="4"/>
  <c r="T37" i="4"/>
  <c r="S37" i="4"/>
  <c r="O52" i="4"/>
  <c r="V45" i="4"/>
  <c r="R56" i="4"/>
  <c r="S45" i="4"/>
  <c r="L42" i="4"/>
  <c r="L43" i="4"/>
  <c r="O61" i="4"/>
  <c r="O48" i="4"/>
  <c r="O42" i="4"/>
  <c r="L40" i="4"/>
  <c r="O57" i="4"/>
  <c r="P49" i="4"/>
  <c r="K42" i="4"/>
  <c r="U46" i="4"/>
  <c r="S43" i="4"/>
  <c r="V50" i="4"/>
  <c r="U49" i="4"/>
  <c r="O49" i="4"/>
  <c r="V48" i="4"/>
  <c r="K46" i="4"/>
  <c r="L51" i="4"/>
  <c r="S52" i="4"/>
  <c r="L54" i="4"/>
  <c r="R61" i="4"/>
  <c r="V57" i="4"/>
  <c r="R48" i="4"/>
  <c r="F61" i="4"/>
  <c r="L58" i="4"/>
  <c r="F55" i="4"/>
  <c r="F51" i="4"/>
  <c r="F47" i="4"/>
  <c r="T59" i="4"/>
  <c r="F58" i="4"/>
  <c r="F52" i="4"/>
  <c r="F46" i="4"/>
  <c r="Q59" i="4"/>
  <c r="Q41" i="4"/>
  <c r="K38" i="4"/>
  <c r="M58" i="4"/>
  <c r="T42" i="4"/>
  <c r="L38" i="4"/>
  <c r="E60" i="4"/>
  <c r="N42" i="4"/>
  <c r="P37" i="4"/>
  <c r="S39" i="4"/>
  <c r="O59" i="4"/>
  <c r="T41" i="4"/>
  <c r="J42" i="4"/>
  <c r="K52" i="4"/>
  <c r="Q42" i="4"/>
  <c r="I53" i="4"/>
  <c r="K41" i="4"/>
  <c r="S49" i="4"/>
  <c r="U51" i="4"/>
  <c r="I49" i="4"/>
  <c r="L61" i="4"/>
  <c r="O43" i="4"/>
  <c r="P54" i="4"/>
  <c r="L46" i="4"/>
  <c r="P47" i="4"/>
  <c r="S41" i="4"/>
  <c r="S55" i="4"/>
  <c r="S46" i="4"/>
  <c r="O53" i="4"/>
  <c r="V51" i="4"/>
  <c r="S54" i="4"/>
  <c r="P53" i="4"/>
  <c r="U41" i="4"/>
  <c r="O44" i="4"/>
  <c r="R55" i="4"/>
  <c r="K55" i="4"/>
  <c r="V44" i="4"/>
  <c r="R50" i="4"/>
  <c r="S42" i="4"/>
  <c r="K49" i="4"/>
  <c r="V61" i="4"/>
  <c r="J61" i="4"/>
  <c r="L60" i="4"/>
  <c r="N59" i="4"/>
  <c r="P58" i="4"/>
  <c r="J57" i="4"/>
  <c r="J55" i="4"/>
  <c r="J53" i="4"/>
  <c r="J51" i="4"/>
  <c r="J49" i="4"/>
  <c r="J47" i="4"/>
  <c r="J45" i="4"/>
  <c r="V60" i="4"/>
  <c r="F60" i="4"/>
  <c r="H59" i="4"/>
  <c r="J58" i="4"/>
  <c r="J56" i="4"/>
  <c r="J54" i="4"/>
  <c r="J52" i="4"/>
  <c r="J50" i="4"/>
  <c r="J48" i="4"/>
  <c r="J46" i="4"/>
  <c r="J44" i="4"/>
  <c r="G60" i="4"/>
  <c r="K58" i="4"/>
  <c r="J43" i="4"/>
  <c r="M39" i="4"/>
  <c r="O38" i="4"/>
  <c r="Q37" i="4"/>
  <c r="Q60" i="4"/>
  <c r="U58" i="4"/>
  <c r="Q52" i="4"/>
  <c r="F43" i="4"/>
  <c r="F41" i="4"/>
  <c r="N39" i="4"/>
  <c r="P38" i="4"/>
  <c r="R37" i="4"/>
  <c r="U60" i="4"/>
  <c r="N43" i="4"/>
  <c r="T39" i="4"/>
  <c r="F38" i="4"/>
  <c r="Q58" i="4"/>
  <c r="E59" i="4"/>
  <c r="Q40" i="4"/>
  <c r="M38" i="4"/>
  <c r="M60" i="4"/>
  <c r="R42" i="4"/>
  <c r="J38" i="4"/>
  <c r="M40" i="4"/>
  <c r="U55" i="4"/>
  <c r="R43" i="4"/>
  <c r="G39" i="4"/>
  <c r="O58" i="4"/>
  <c r="I40" i="4"/>
  <c r="V42" i="4"/>
  <c r="K54" i="4"/>
  <c r="V41" i="4"/>
  <c r="P57" i="4"/>
  <c r="P41" i="4"/>
  <c r="P46" i="4"/>
  <c r="P40" i="4"/>
  <c r="V40" i="4"/>
  <c r="R49" i="4"/>
  <c r="L50" i="4"/>
  <c r="L53" i="4"/>
  <c r="S47" i="4"/>
  <c r="V53" i="4"/>
  <c r="V46" i="4"/>
  <c r="K47" i="4"/>
  <c r="R53" i="4"/>
  <c r="K50" i="4"/>
  <c r="V52" i="4"/>
  <c r="K48" i="4"/>
  <c r="H60" i="4"/>
  <c r="F53" i="4"/>
  <c r="F45" i="4"/>
  <c r="F56" i="4"/>
  <c r="F48" i="4"/>
  <c r="Q55" i="4"/>
  <c r="M37" i="4"/>
  <c r="T40" i="4"/>
  <c r="O55" i="4"/>
  <c r="Q61" i="4"/>
  <c r="Q50" i="4"/>
  <c r="M51" i="4"/>
  <c r="I38" i="4"/>
  <c r="R46" i="4"/>
  <c r="K56" i="4"/>
  <c r="E51" i="4"/>
  <c r="R54" i="4"/>
  <c r="R57" i="4"/>
  <c r="P44" i="4"/>
  <c r="R52" i="4"/>
  <c r="L57" i="4"/>
  <c r="R41" i="4"/>
  <c r="S51" i="4"/>
  <c r="U52" i="4"/>
  <c r="V55" i="4"/>
  <c r="P48" i="4"/>
  <c r="L49" i="4"/>
  <c r="U50" i="4"/>
  <c r="P55" i="4"/>
  <c r="S50" i="4"/>
  <c r="L52" i="4"/>
  <c r="L55" i="4"/>
  <c r="K53" i="4"/>
  <c r="T60" i="4"/>
  <c r="V59" i="4"/>
  <c r="F59" i="4"/>
  <c r="H58" i="4"/>
  <c r="T56" i="4"/>
  <c r="T54" i="4"/>
  <c r="T52" i="4"/>
  <c r="T50" i="4"/>
  <c r="T48" i="4"/>
  <c r="T46" i="4"/>
  <c r="T44" i="4"/>
  <c r="N60" i="4"/>
  <c r="P59" i="4"/>
  <c r="R58" i="4"/>
  <c r="T57" i="4"/>
  <c r="T55" i="4"/>
  <c r="T53" i="4"/>
  <c r="T51" i="4"/>
  <c r="T49" i="4"/>
  <c r="T47" i="4"/>
  <c r="T45" i="4"/>
  <c r="T43" i="4"/>
  <c r="I59" i="4"/>
  <c r="Q51" i="4"/>
  <c r="U39" i="4"/>
  <c r="E39" i="4"/>
  <c r="G38" i="4"/>
  <c r="I37" i="4"/>
  <c r="S59" i="4"/>
  <c r="E58" i="4"/>
  <c r="Q44" i="4"/>
  <c r="N41" i="4"/>
  <c r="V39" i="4"/>
  <c r="F39" i="4"/>
  <c r="H38" i="4"/>
  <c r="J37" i="4"/>
  <c r="G59" i="4"/>
  <c r="Q54" i="4"/>
  <c r="F42" i="4"/>
  <c r="V38" i="4"/>
  <c r="H37" i="4"/>
  <c r="S60" i="4"/>
  <c r="Q53" i="4"/>
  <c r="K39" i="4"/>
  <c r="O37" i="4"/>
  <c r="U48" i="4"/>
  <c r="F40" i="4"/>
  <c r="U56" i="4"/>
  <c r="N40" i="4"/>
  <c r="U47" i="4"/>
  <c r="K60" i="4"/>
  <c r="U40" i="4"/>
  <c r="K37" i="4"/>
  <c r="P39" i="4"/>
  <c r="Q49" i="4"/>
  <c r="O39" i="4"/>
  <c r="V54" i="4"/>
  <c r="K43" i="4"/>
  <c r="V47" i="4"/>
  <c r="U57" i="4"/>
  <c r="S48" i="4"/>
  <c r="R44" i="4"/>
  <c r="L45" i="4"/>
  <c r="O47" i="4"/>
  <c r="O50" i="4"/>
  <c r="S40" i="4"/>
  <c r="U45" i="4"/>
  <c r="O40" i="4"/>
  <c r="S44" i="4"/>
  <c r="L56" i="4"/>
  <c r="R45" i="4"/>
  <c r="P42" i="4"/>
  <c r="P51" i="4"/>
  <c r="U42" i="4"/>
  <c r="V43" i="4"/>
  <c r="U61" i="4"/>
  <c r="K40" i="4"/>
  <c r="O46" i="4"/>
  <c r="O41" i="4"/>
  <c r="O54" i="4"/>
  <c r="P43" i="4"/>
  <c r="J59" i="4"/>
  <c r="F57" i="4"/>
  <c r="F49" i="4"/>
  <c r="R60" i="4"/>
  <c r="V58" i="4"/>
  <c r="F54" i="4"/>
  <c r="F50" i="4"/>
  <c r="F44" i="4"/>
  <c r="I39" i="4"/>
  <c r="I60" i="4"/>
  <c r="Q48" i="4"/>
  <c r="J39" i="4"/>
  <c r="N37" i="4"/>
  <c r="L39" i="4"/>
  <c r="G58" i="4"/>
  <c r="E38" i="4"/>
  <c r="L37" i="4"/>
  <c r="Q38" i="4"/>
  <c r="O56" i="4"/>
  <c r="L41" i="4"/>
  <c r="M48" i="4"/>
  <c r="G49" i="4"/>
  <c r="S53" i="4"/>
  <c r="R47" i="4"/>
  <c r="M47" i="4"/>
  <c r="K45" i="4"/>
  <c r="L48" i="4"/>
  <c r="G48" i="4"/>
  <c r="I48" i="4"/>
  <c r="M45" i="4"/>
  <c r="M49" i="4"/>
  <c r="I45" i="4"/>
  <c r="G53" i="4"/>
  <c r="I51" i="4"/>
  <c r="E50" i="4"/>
  <c r="G51" i="4"/>
  <c r="E53" i="4"/>
  <c r="I50" i="4"/>
  <c r="G46" i="4"/>
  <c r="M53" i="4"/>
  <c r="I47" i="4"/>
  <c r="M46" i="4"/>
  <c r="E49" i="4"/>
  <c r="I52" i="4"/>
  <c r="E48" i="4"/>
  <c r="E47" i="4"/>
  <c r="E45" i="4"/>
  <c r="G52" i="4"/>
  <c r="I46" i="4"/>
  <c r="G47" i="4"/>
  <c r="E52" i="4"/>
  <c r="G50" i="4"/>
  <c r="E46" i="4"/>
  <c r="M52" i="4"/>
  <c r="M50" i="4"/>
  <c r="H53" i="9"/>
  <c r="H41" i="10"/>
  <c r="G40" i="4"/>
  <c r="E61" i="4"/>
  <c r="M44" i="4"/>
  <c r="E38" i="10"/>
  <c r="M39" i="10"/>
  <c r="H61" i="4"/>
  <c r="I39" i="9"/>
  <c r="H47" i="4"/>
  <c r="E42" i="4"/>
  <c r="E41" i="9"/>
  <c r="H52" i="4"/>
  <c r="G38" i="10"/>
  <c r="G53" i="9"/>
  <c r="M54" i="4"/>
  <c r="G41" i="10"/>
  <c r="G61" i="4"/>
  <c r="I53" i="9"/>
  <c r="H55" i="4"/>
  <c r="H46" i="4"/>
  <c r="E44" i="4"/>
  <c r="U22" i="2"/>
  <c r="G22" i="2"/>
  <c r="H22" i="2"/>
  <c r="D22" i="2"/>
  <c r="I22" i="2"/>
  <c r="F22" i="2"/>
  <c r="K22" i="2"/>
  <c r="L22" i="2"/>
  <c r="E22" i="2"/>
  <c r="Q22" i="2"/>
  <c r="R22" i="2"/>
  <c r="S22" i="2"/>
  <c r="T22" i="2"/>
  <c r="M22" i="2"/>
  <c r="N22" i="2"/>
  <c r="P22" i="2"/>
  <c r="J22" i="2"/>
  <c r="R24" i="7"/>
  <c r="T7" i="8"/>
  <c r="T12" i="7"/>
  <c r="T19" i="7" s="1"/>
  <c r="S18" i="7"/>
  <c r="S22" i="7"/>
  <c r="S23" i="7"/>
  <c r="S20" i="7"/>
  <c r="T9" i="2"/>
  <c r="S21" i="7"/>
  <c r="S12" i="8"/>
  <c r="S19" i="8" s="1"/>
  <c r="R18" i="8"/>
  <c r="R20" i="8"/>
  <c r="R21" i="8"/>
  <c r="R22" i="8"/>
  <c r="R23" i="8"/>
  <c r="S19" i="7"/>
  <c r="J24" i="8"/>
  <c r="F24" i="8"/>
  <c r="E8" i="11" l="1"/>
  <c r="E13" i="11" s="1"/>
  <c r="D13" i="11"/>
  <c r="V6" i="14"/>
  <c r="G22" i="14" s="1"/>
  <c r="W6" i="14"/>
  <c r="V6" i="15"/>
  <c r="D22" i="15" s="1"/>
  <c r="W6" i="15"/>
  <c r="R24" i="8"/>
  <c r="S24" i="7"/>
  <c r="S23" i="8"/>
  <c r="S21" i="8"/>
  <c r="S22" i="8"/>
  <c r="S20" i="8"/>
  <c r="S18" i="8"/>
  <c r="U9" i="2"/>
  <c r="T21" i="7"/>
  <c r="T18" i="7"/>
  <c r="T22" i="7"/>
  <c r="T23" i="7"/>
  <c r="T20" i="7"/>
  <c r="T12" i="8"/>
  <c r="D22" i="14" l="1"/>
  <c r="T22" i="15"/>
  <c r="I22" i="15"/>
  <c r="N22" i="15"/>
  <c r="S22" i="15"/>
  <c r="K22" i="15"/>
  <c r="J22" i="15"/>
  <c r="P22" i="15"/>
  <c r="O22" i="15"/>
  <c r="Q22" i="15"/>
  <c r="R22" i="15"/>
  <c r="M22" i="15"/>
  <c r="E22" i="15"/>
  <c r="U22" i="15"/>
  <c r="L22" i="15"/>
  <c r="F22" i="15"/>
  <c r="H22" i="15"/>
  <c r="J22" i="14"/>
  <c r="Q22" i="14"/>
  <c r="S22" i="14"/>
  <c r="E22" i="14"/>
  <c r="U22" i="14"/>
  <c r="T22" i="14"/>
  <c r="K22" i="14"/>
  <c r="N22" i="14"/>
  <c r="R22" i="14"/>
  <c r="M22" i="14"/>
  <c r="I22" i="14"/>
  <c r="O22" i="14"/>
  <c r="P22" i="14"/>
  <c r="H22" i="14"/>
  <c r="F22" i="14"/>
  <c r="L22" i="14"/>
  <c r="G22" i="15"/>
  <c r="S24" i="8"/>
  <c r="T24" i="7"/>
  <c r="T22" i="8"/>
  <c r="T18" i="8"/>
  <c r="T21" i="8"/>
  <c r="T23" i="8"/>
  <c r="T20" i="8"/>
  <c r="T19" i="8"/>
  <c r="K25" i="2" l="1"/>
  <c r="L25" i="2"/>
  <c r="E25" i="2"/>
  <c r="H25" i="2"/>
  <c r="F25" i="2"/>
  <c r="O25" i="2"/>
  <c r="J25" i="2"/>
  <c r="G25" i="2"/>
  <c r="D25" i="2"/>
  <c r="N25" i="2"/>
  <c r="M25" i="2"/>
  <c r="P25" i="2"/>
  <c r="Q25" i="2"/>
  <c r="I25" i="2"/>
  <c r="R25" i="2"/>
  <c r="S25" i="2"/>
  <c r="T25" i="2"/>
  <c r="U25" i="2"/>
  <c r="T24" i="8"/>
</calcChain>
</file>

<file path=xl/comments1.xml><?xml version="1.0" encoding="utf-8"?>
<comments xmlns="http://schemas.openxmlformats.org/spreadsheetml/2006/main">
  <authors>
    <author>Sarah Cashman</author>
  </authors>
  <commentList>
    <comment ref="D33" authorId="0" shapeId="0">
      <text>
        <r>
          <rPr>
            <b/>
            <sz val="9"/>
            <color indexed="81"/>
            <rFont val="Tahoma"/>
            <family val="2"/>
          </rPr>
          <t>Sarah Cashman:</t>
        </r>
        <r>
          <rPr>
            <sz val="9"/>
            <color indexed="81"/>
            <rFont val="Tahoma"/>
            <family val="2"/>
          </rPr>
          <t xml:space="preserve">
exclude displacement of drinking water</t>
        </r>
      </text>
    </comment>
  </commentList>
</comments>
</file>

<file path=xl/sharedStrings.xml><?xml version="1.0" encoding="utf-8"?>
<sst xmlns="http://schemas.openxmlformats.org/spreadsheetml/2006/main" count="1150" uniqueCount="178">
  <si>
    <t>Unit</t>
  </si>
  <si>
    <t>MJ</t>
  </si>
  <si>
    <t>Aeration, AeMBR</t>
  </si>
  <si>
    <t>Operation</t>
  </si>
  <si>
    <t>Infrastructure</t>
  </si>
  <si>
    <t>Plug flow activated sludge with MBR</t>
  </si>
  <si>
    <t>Sludge recycle pumping</t>
  </si>
  <si>
    <t>Chlorination</t>
  </si>
  <si>
    <t>Scouring</t>
  </si>
  <si>
    <t>Permeate pumping</t>
  </si>
  <si>
    <t>Preliminary treatment</t>
  </si>
  <si>
    <t>Recycled water delivery</t>
  </si>
  <si>
    <t>Wastewater collection</t>
  </si>
  <si>
    <t>Fine screening</t>
  </si>
  <si>
    <t>Post treatment</t>
  </si>
  <si>
    <t>MBR</t>
  </si>
  <si>
    <t>MBR operation</t>
  </si>
  <si>
    <t xml:space="preserve">Sodium hypochlorite, 15% </t>
  </si>
  <si>
    <t>waste sludge pumping</t>
  </si>
  <si>
    <t>Pre Treatment</t>
  </si>
  <si>
    <t>Pipe infrastructure</t>
  </si>
  <si>
    <t>Pipe installation</t>
  </si>
  <si>
    <t>Displaced drinking water</t>
  </si>
  <si>
    <t>Net Impact</t>
  </si>
  <si>
    <t>%</t>
  </si>
  <si>
    <t>Cumulative Energy Demand, Contribution Analysis</t>
  </si>
  <si>
    <t>Acidification</t>
  </si>
  <si>
    <t>Energy Demand</t>
  </si>
  <si>
    <t>Eutrophication</t>
  </si>
  <si>
    <t>Fossil Depletion</t>
  </si>
  <si>
    <t>Global Warming</t>
  </si>
  <si>
    <t>Human Health Criteria</t>
  </si>
  <si>
    <t>Smog</t>
  </si>
  <si>
    <t>Water Depletion</t>
  </si>
  <si>
    <t>Ecotoxicity</t>
  </si>
  <si>
    <t>kg SO2 eq</t>
  </si>
  <si>
    <t>CTUe</t>
  </si>
  <si>
    <t>kg oil eq</t>
  </si>
  <si>
    <t>kg O3 eq</t>
  </si>
  <si>
    <t>kg CO2 eq</t>
  </si>
  <si>
    <t>m3</t>
  </si>
  <si>
    <t>AeMBR LCIA Summary, Annual Basis</t>
  </si>
  <si>
    <t>kg N eq</t>
  </si>
  <si>
    <t>kg PM 2.5 eq</t>
  </si>
  <si>
    <t>Human Health Cancer</t>
  </si>
  <si>
    <t>Human Health NonCancer</t>
  </si>
  <si>
    <t>CTUh</t>
  </si>
  <si>
    <t>Ozone Depletion</t>
  </si>
  <si>
    <t>kg CFC-11 eq</t>
  </si>
  <si>
    <t>Max</t>
  </si>
  <si>
    <t>AeMBR LCIA Summary, Percent of Maximum</t>
  </si>
  <si>
    <t>Min</t>
  </si>
  <si>
    <t>DRAFT</t>
  </si>
  <si>
    <t>Water treated per year (m3)</t>
  </si>
  <si>
    <t>Cumulative Energy Demand (MJ), m3 water treated basis</t>
  </si>
  <si>
    <t>Pre treatment</t>
  </si>
  <si>
    <t>MBR infrastructure</t>
  </si>
  <si>
    <t>Total</t>
  </si>
  <si>
    <t>GWP, Contribution Analysis</t>
  </si>
  <si>
    <t>Sheet</t>
  </si>
  <si>
    <t>AeMBR_Baseline_CED_Detail_yr</t>
  </si>
  <si>
    <t>AeMBR_Baseline_GWP_yr</t>
  </si>
  <si>
    <t>AeMBR_Baseline_CED_Detail_m3</t>
  </si>
  <si>
    <t>AeMBR_Baseline_GWP_m3</t>
  </si>
  <si>
    <t>Results for Life Cycle Assessment and Cost Analysis of Water and Wastewater Treatment Options for Sustainability: Influence of Scale on Membrane Bioreactor Systems</t>
  </si>
  <si>
    <t>Draft</t>
  </si>
  <si>
    <t>Description</t>
  </si>
  <si>
    <t>AeMBR_LCIA_Summary_yr</t>
  </si>
  <si>
    <t>EPA Contract No. EP-C-12-021</t>
  </si>
  <si>
    <t>WA 2-41</t>
  </si>
  <si>
    <t xml:space="preserve">Detailed baseline AeMBR cumulative energy demand results for all scenarios, annual basis </t>
  </si>
  <si>
    <t xml:space="preserve">Baseline AeMBR global warming potential results for all scenarios, annual basis </t>
  </si>
  <si>
    <t xml:space="preserve">Detailed baseline AeMBR cumulative energy demand results for all scenarios, m3 water treated basis </t>
  </si>
  <si>
    <t>Baseline AeMBR global warming potential results for all scenarios, m3 water treated basis</t>
  </si>
  <si>
    <t>Summary baseline life cycle impact assessment results for AeMBR, annual basis</t>
  </si>
  <si>
    <t>Global Warming Potential (GWP), m3 water treated basis</t>
  </si>
  <si>
    <t>AeMBR Cumulative Energy Demand (MJ), Annual Basis</t>
  </si>
  <si>
    <t>AnMBR (@ 35 C) Cumulative Energy Demand (MJ), Annual Basis</t>
  </si>
  <si>
    <t>Heating of influent</t>
  </si>
  <si>
    <t>Grinder pump</t>
  </si>
  <si>
    <t>Heat loss control</t>
  </si>
  <si>
    <t>Recovery of methane</t>
  </si>
  <si>
    <t>Effluent pumping out</t>
  </si>
  <si>
    <t>Heat recovery from discharge water</t>
  </si>
  <si>
    <t>Biogas recirculation pump</t>
  </si>
  <si>
    <t>AnMBR (@ 20 C) Cumulative Energy Demand (MJ), Annual Basis</t>
  </si>
  <si>
    <t>AnMBR_35_CED_Detail_yr</t>
  </si>
  <si>
    <t>AnMBR_20_CED_Detail_yr</t>
  </si>
  <si>
    <t xml:space="preserve">Detailed AnMBR cumulative energy demand results, reactor at 35 C, for all scenarios, annual basis </t>
  </si>
  <si>
    <t xml:space="preserve">Detailed AnMBR cumulative energy demand results, reactor at 20 C, for all scenarios, annual basis </t>
  </si>
  <si>
    <t>AeMBR</t>
  </si>
  <si>
    <t>AnMBR @ 35 C</t>
  </si>
  <si>
    <t>AnMBR @ 20 C</t>
  </si>
  <si>
    <t>0.05 MGD</t>
  </si>
  <si>
    <t>0.1 MGD</t>
  </si>
  <si>
    <t>1 MGD</t>
  </si>
  <si>
    <t>5 MGD</t>
  </si>
  <si>
    <t>10 MGD</t>
  </si>
  <si>
    <t>MBR Cumulative Energy Demand (MJ), Annual Basis-Comparison</t>
  </si>
  <si>
    <t>AeMBR Global Warming Potential (GWP), Annual Basis</t>
  </si>
  <si>
    <t>AnMBR 35 C, Global Warming Potential (GWP), Annual Basis</t>
  </si>
  <si>
    <t>AnMBR 20 C, Global Warming Potential (GWP), Annual Basis</t>
  </si>
  <si>
    <t>MBR GWP, Annual Basis-Comparison</t>
  </si>
  <si>
    <t>AnMBR_35_GWP_yr</t>
  </si>
  <si>
    <t>AnMBR_20_GWP_yr</t>
  </si>
  <si>
    <t xml:space="preserve">AnMBR global warming potential results for all scenarios, reactor @ 35 C, annual basis </t>
  </si>
  <si>
    <t xml:space="preserve">AnMBR global warming potential results for all scenarios, reactor @ 20 C, annual basis </t>
  </si>
  <si>
    <t>AnMBR @ 35 C LCIA Summary, Annual Basis</t>
  </si>
  <si>
    <t>AnMBR @ 20 C LCIA Summary, Annual Basis</t>
  </si>
  <si>
    <t>AnMBR_35LCIA_Summary_yr</t>
  </si>
  <si>
    <t>AnMBR_20LCIA_Summary_yr</t>
  </si>
  <si>
    <t>Summary baseline life cycle impact assessment results for AnMBR, 35 C, annual basis</t>
  </si>
  <si>
    <t>Summary baseline life cycle impact assessment results for AnMBR, 20 C, annual basis</t>
  </si>
  <si>
    <t>AnMBR_35_CED_Detail_m3</t>
  </si>
  <si>
    <t>AnMBR_20_CED_Detail_m3</t>
  </si>
  <si>
    <t xml:space="preserve">Detailed baseline AnMBR cumulative energy demand results for all scenarios, @35 C, m3 water treated basis </t>
  </si>
  <si>
    <t xml:space="preserve">Detailed baseline AnMBR cumulative energy demand results for all scenarios, @20 C, m3 water treated basis </t>
  </si>
  <si>
    <t>AnMBR_35_GWP_m3</t>
  </si>
  <si>
    <t>AnMBR global warming potential results for all scenarios, @ 35 C, m3 water treated basis</t>
  </si>
  <si>
    <t>AnMBR global warming potential results for all scenarios, @ 20 C, m3 water treated basis</t>
  </si>
  <si>
    <t>CED_GWP_Compare_yr</t>
  </si>
  <si>
    <t>Energy demand and global warming potential results comparison of AeMBR and AnMBR scenarios @ 100,000 people/sq mi, annual basis</t>
  </si>
  <si>
    <t>Energy demand and global warming potential results comparison of AeMBR and AnMBR scenarios @ 100,000 people/sq mi, m3 basis</t>
  </si>
  <si>
    <t>0.05 MGD AeMBR [high density urban]</t>
  </si>
  <si>
    <t>0.05 MGD AeMBR [semi rural single family]</t>
  </si>
  <si>
    <t>0.05 MGD AeMBR [single family]</t>
  </si>
  <si>
    <t>0.05 MGD AeMBR [multi family]</t>
  </si>
  <si>
    <t>0.1 MGD AeMBR [semi rural single family]</t>
  </si>
  <si>
    <t>0.1 MGD AeMBR [single family]</t>
  </si>
  <si>
    <t>0.1 MGD AeMBR [multi family]</t>
  </si>
  <si>
    <t>0.1 MGD AeMBR [high density urban]</t>
  </si>
  <si>
    <t>1 MGD AeMBR [semi rural single family]</t>
  </si>
  <si>
    <t>1 MGD AeMBR [single family]</t>
  </si>
  <si>
    <t>1 MGD AeMBR [multi family]</t>
  </si>
  <si>
    <t>1 MGD AeMBR [high density urban]</t>
  </si>
  <si>
    <t>5 MGD AeMBR [single family]</t>
  </si>
  <si>
    <t>5 MGD AeMBR [multi family]</t>
  </si>
  <si>
    <t>5 MGD AeMBR [high density urban]</t>
  </si>
  <si>
    <t>10 MGD AeMBR [single family]</t>
  </si>
  <si>
    <t>10 MGD AeMBR [multi family]</t>
  </si>
  <si>
    <t>10 MGD AeMBR [high density urban]</t>
  </si>
  <si>
    <t>0.05 MGD AnMBR [semi rural single family]</t>
  </si>
  <si>
    <t>0.05 MGD AnMBR [single family]</t>
  </si>
  <si>
    <t>0.05 MGD AnMBR [multi family]</t>
  </si>
  <si>
    <t>0.05 MGD AnMBR [high density urban]</t>
  </si>
  <si>
    <t>0.1 MGD AnMBR [semi rural single family]</t>
  </si>
  <si>
    <t>0.1 MGD AnMBR [single family]</t>
  </si>
  <si>
    <t>0.1 MGD AnMBR [multi family]</t>
  </si>
  <si>
    <t>0.1 MGD AnMBR [high density urban]</t>
  </si>
  <si>
    <t>1 MGD AnMBR [semi rural single family]</t>
  </si>
  <si>
    <t>1 MGD AnMBR [single family]</t>
  </si>
  <si>
    <t>1 MGD AnMBR [multi family]</t>
  </si>
  <si>
    <t>1 MGD AnMBR [high density urban]</t>
  </si>
  <si>
    <t>5 MGD AnMBR [single family]</t>
  </si>
  <si>
    <t>5 MGD AnMBR [multi family]</t>
  </si>
  <si>
    <t>5 MGD AnMBR [high density urban]</t>
  </si>
  <si>
    <t>10 MGD AnMBR [single family]</t>
  </si>
  <si>
    <t>10 MGD AnMBR [multi family]</t>
  </si>
  <si>
    <t>10 MGD AnMBR [high density urban]</t>
  </si>
  <si>
    <t>Showing results for population density 100,000 people/sq mi [high density urban]</t>
  </si>
  <si>
    <t>MJ/yr</t>
  </si>
  <si>
    <t>Infrastructure %</t>
  </si>
  <si>
    <t>MJ/m3</t>
  </si>
  <si>
    <t>MJ/m4</t>
  </si>
  <si>
    <t>MJ/m5</t>
  </si>
  <si>
    <t>MJ/m6</t>
  </si>
  <si>
    <t>MJ/m7</t>
  </si>
  <si>
    <t>MJ/m8</t>
  </si>
  <si>
    <t>AnMBR (@ 35 C) Cumulative Energy Demand (MJ), m3 wastewater treated basis</t>
  </si>
  <si>
    <t>AnMBR 35 C, Global Warming Potential (GWP), m3 Basis</t>
  </si>
  <si>
    <t>AnMBR (@ 20 C) Cumulative Energy Demand (MJ), m3 Wastewater Treated Basis</t>
  </si>
  <si>
    <t>MBR Cumulative Energy Demand (MJ), m3 Water Treated Basis-Comparison</t>
  </si>
  <si>
    <t>AnMBR 20 C, Global Warming Potential (GWP), m3 Basis</t>
  </si>
  <si>
    <t>Summary Results</t>
  </si>
  <si>
    <t>CED_GWP_Compare_m3</t>
  </si>
  <si>
    <t>AnMBR LCIA Summary, Percent of Maximum</t>
  </si>
  <si>
    <t>AnMBR_20_GWP_m3</t>
  </si>
  <si>
    <t>MBR GWP, m3 Water Treated Basis-Comparison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</si>
</sst>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0.0"/>
    <numFmt numFmtId="166" formatCode="0.000"/>
    <numFmt numFmtId="167" formatCode="0.0E+00"/>
    <numFmt numFmtId="168" formatCode="0.0000"/>
    <numFmt numFmtId="169" formatCode="#,##0.00000"/>
    <numFmt numFmtId="170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sz val="10"/>
      <color theme="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ont="0" applyFill="0" applyBorder="0" applyAlignment="0" applyProtection="0"/>
    <xf numFmtId="43" fontId="18" fillId="0" borderId="0" applyNumberFormat="0" applyFont="0" applyFill="0" applyBorder="0" applyAlignment="0" applyProtection="0"/>
    <xf numFmtId="3" fontId="19" fillId="0" borderId="0"/>
    <xf numFmtId="44" fontId="19" fillId="0" borderId="0" applyNumberFormat="0" applyFont="0" applyFill="0" applyBorder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9" fontId="18" fillId="0" borderId="0" applyNumberFormat="0" applyFont="0" applyFill="0" applyBorder="0" applyAlignment="0" applyProtection="0"/>
    <xf numFmtId="44" fontId="18" fillId="0" borderId="0" applyNumberFormat="0" applyFont="0" applyFill="0" applyBorder="0" applyAlignment="0" applyProtection="0"/>
    <xf numFmtId="9" fontId="19" fillId="0" borderId="0" applyNumberFormat="0" applyFont="0" applyFill="0" applyBorder="0" applyAlignment="0" applyProtection="0"/>
  </cellStyleXfs>
  <cellXfs count="15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/>
    <xf numFmtId="9" fontId="2" fillId="0" borderId="1" xfId="1" applyFont="1" applyFill="1" applyBorder="1"/>
    <xf numFmtId="3" fontId="2" fillId="0" borderId="1" xfId="0" applyNumberFormat="1" applyFont="1" applyFill="1" applyBorder="1"/>
    <xf numFmtId="3" fontId="2" fillId="0" borderId="1" xfId="0" applyNumberFormat="1" applyFont="1" applyBorder="1"/>
    <xf numFmtId="164" fontId="2" fillId="0" borderId="1" xfId="0" applyNumberFormat="1" applyFont="1" applyFill="1" applyBorder="1"/>
    <xf numFmtId="164" fontId="2" fillId="0" borderId="1" xfId="0" applyNumberFormat="1" applyFont="1" applyBorder="1"/>
    <xf numFmtId="165" fontId="2" fillId="0" borderId="1" xfId="0" applyNumberFormat="1" applyFont="1" applyBorder="1"/>
    <xf numFmtId="166" fontId="2" fillId="0" borderId="1" xfId="0" applyNumberFormat="1" applyFont="1" applyBorder="1"/>
    <xf numFmtId="2" fontId="2" fillId="0" borderId="1" xfId="0" applyNumberFormat="1" applyFont="1" applyBorder="1"/>
    <xf numFmtId="0" fontId="2" fillId="0" borderId="2" xfId="0" applyFont="1" applyBorder="1" applyAlignment="1"/>
    <xf numFmtId="0" fontId="2" fillId="0" borderId="2" xfId="0" applyFont="1" applyBorder="1"/>
    <xf numFmtId="0" fontId="4" fillId="0" borderId="1" xfId="0" applyFont="1" applyBorder="1"/>
    <xf numFmtId="3" fontId="4" fillId="0" borderId="1" xfId="0" applyNumberFormat="1" applyFont="1" applyBorder="1"/>
    <xf numFmtId="165" fontId="2" fillId="0" borderId="1" xfId="0" applyNumberFormat="1" applyFont="1" applyFill="1" applyBorder="1"/>
    <xf numFmtId="2" fontId="2" fillId="0" borderId="1" xfId="0" applyNumberFormat="1" applyFont="1" applyFill="1" applyBorder="1"/>
    <xf numFmtId="3" fontId="2" fillId="2" borderId="1" xfId="0" applyNumberFormat="1" applyFont="1" applyFill="1" applyBorder="1"/>
    <xf numFmtId="3" fontId="4" fillId="2" borderId="1" xfId="0" applyNumberFormat="1" applyFont="1" applyFill="1" applyBorder="1"/>
    <xf numFmtId="166" fontId="2" fillId="0" borderId="1" xfId="0" applyNumberFormat="1" applyFont="1" applyFill="1" applyBorder="1"/>
    <xf numFmtId="3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7" fontId="2" fillId="0" borderId="1" xfId="0" applyNumberFormat="1" applyFont="1" applyBorder="1"/>
    <xf numFmtId="168" fontId="2" fillId="0" borderId="1" xfId="0" applyNumberFormat="1" applyFont="1" applyBorder="1"/>
    <xf numFmtId="9" fontId="2" fillId="0" borderId="1" xfId="1" applyFont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164" fontId="3" fillId="3" borderId="5" xfId="0" applyNumberFormat="1" applyFont="1" applyFill="1" applyBorder="1"/>
    <xf numFmtId="3" fontId="3" fillId="3" borderId="6" xfId="0" applyNumberFormat="1" applyFont="1" applyFill="1" applyBorder="1"/>
    <xf numFmtId="3" fontId="3" fillId="3" borderId="5" xfId="0" applyNumberFormat="1" applyFont="1" applyFill="1" applyBorder="1"/>
    <xf numFmtId="164" fontId="3" fillId="3" borderId="6" xfId="0" applyNumberFormat="1" applyFont="1" applyFill="1" applyBorder="1"/>
    <xf numFmtId="165" fontId="3" fillId="3" borderId="6" xfId="0" applyNumberFormat="1" applyFont="1" applyFill="1" applyBorder="1"/>
    <xf numFmtId="165" fontId="3" fillId="3" borderId="5" xfId="0" applyNumberFormat="1" applyFont="1" applyFill="1" applyBorder="1"/>
    <xf numFmtId="167" fontId="3" fillId="3" borderId="5" xfId="0" applyNumberFormat="1" applyFont="1" applyFill="1" applyBorder="1"/>
    <xf numFmtId="167" fontId="3" fillId="3" borderId="6" xfId="0" applyNumberFormat="1" applyFont="1" applyFill="1" applyBorder="1"/>
    <xf numFmtId="166" fontId="3" fillId="3" borderId="5" xfId="0" applyNumberFormat="1" applyFont="1" applyFill="1" applyBorder="1"/>
    <xf numFmtId="2" fontId="3" fillId="3" borderId="6" xfId="0" applyNumberFormat="1" applyFont="1" applyFill="1" applyBorder="1"/>
    <xf numFmtId="168" fontId="3" fillId="3" borderId="5" xfId="0" applyNumberFormat="1" applyFont="1" applyFill="1" applyBorder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" fontId="7" fillId="4" borderId="3" xfId="0" applyNumberFormat="1" applyFont="1" applyFill="1" applyBorder="1"/>
    <xf numFmtId="3" fontId="7" fillId="4" borderId="11" xfId="0" applyNumberFormat="1" applyFont="1" applyFill="1" applyBorder="1"/>
    <xf numFmtId="3" fontId="7" fillId="4" borderId="4" xfId="0" applyNumberFormat="1" applyFont="1" applyFill="1" applyBorder="1"/>
    <xf numFmtId="168" fontId="2" fillId="0" borderId="1" xfId="0" applyNumberFormat="1" applyFont="1" applyFill="1" applyBorder="1"/>
    <xf numFmtId="167" fontId="2" fillId="0" borderId="1" xfId="0" applyNumberFormat="1" applyFont="1" applyFill="1" applyBorder="1"/>
    <xf numFmtId="2" fontId="4" fillId="0" borderId="1" xfId="0" applyNumberFormat="1" applyFont="1" applyBorder="1"/>
    <xf numFmtId="2" fontId="4" fillId="2" borderId="1" xfId="0" applyNumberFormat="1" applyFont="1" applyFill="1" applyBorder="1"/>
    <xf numFmtId="2" fontId="3" fillId="3" borderId="5" xfId="0" applyNumberFormat="1" applyFont="1" applyFill="1" applyBorder="1"/>
    <xf numFmtId="166" fontId="3" fillId="3" borderId="6" xfId="0" applyNumberFormat="1" applyFont="1" applyFill="1" applyBorder="1"/>
    <xf numFmtId="0" fontId="0" fillId="0" borderId="1" xfId="0" applyBorder="1"/>
    <xf numFmtId="0" fontId="10" fillId="0" borderId="0" xfId="0" applyFont="1" applyAlignment="1">
      <alignment horizontal="right"/>
    </xf>
    <xf numFmtId="3" fontId="0" fillId="4" borderId="3" xfId="0" applyNumberFormat="1" applyFill="1" applyBorder="1"/>
    <xf numFmtId="3" fontId="0" fillId="4" borderId="11" xfId="0" applyNumberFormat="1" applyFill="1" applyBorder="1"/>
    <xf numFmtId="3" fontId="0" fillId="4" borderId="4" xfId="0" applyNumberFormat="1" applyFill="1" applyBorder="1"/>
    <xf numFmtId="0" fontId="0" fillId="0" borderId="1" xfId="0" applyBorder="1" applyAlignment="1">
      <alignment wrapText="1"/>
    </xf>
    <xf numFmtId="10" fontId="0" fillId="0" borderId="1" xfId="0" applyNumberFormat="1" applyBorder="1"/>
    <xf numFmtId="0" fontId="11" fillId="0" borderId="1" xfId="0" applyFont="1" applyBorder="1" applyAlignment="1">
      <alignment horizontal="right"/>
    </xf>
    <xf numFmtId="3" fontId="11" fillId="0" borderId="1" xfId="0" applyNumberFormat="1" applyFont="1" applyBorder="1"/>
    <xf numFmtId="164" fontId="0" fillId="0" borderId="1" xfId="0" applyNumberFormat="1" applyBorder="1"/>
    <xf numFmtId="3" fontId="0" fillId="0" borderId="1" xfId="0" applyNumberFormat="1" applyBorder="1"/>
    <xf numFmtId="9" fontId="0" fillId="0" borderId="1" xfId="1" applyFont="1" applyBorder="1"/>
    <xf numFmtId="9" fontId="11" fillId="0" borderId="1" xfId="1" applyFont="1" applyBorder="1"/>
    <xf numFmtId="165" fontId="0" fillId="0" borderId="1" xfId="0" applyNumberFormat="1" applyBorder="1"/>
    <xf numFmtId="0" fontId="9" fillId="0" borderId="0" xfId="0" applyFont="1"/>
    <xf numFmtId="0" fontId="8" fillId="0" borderId="0" xfId="0" applyFont="1"/>
    <xf numFmtId="0" fontId="12" fillId="0" borderId="0" xfId="0" applyFont="1"/>
    <xf numFmtId="0" fontId="14" fillId="5" borderId="1" xfId="2" applyFont="1" applyFill="1" applyBorder="1"/>
    <xf numFmtId="168" fontId="0" fillId="0" borderId="1" xfId="0" applyNumberFormat="1" applyBorder="1"/>
    <xf numFmtId="167" fontId="0" fillId="0" borderId="1" xfId="0" applyNumberFormat="1" applyBorder="1"/>
    <xf numFmtId="166" fontId="0" fillId="0" borderId="1" xfId="0" applyNumberFormat="1" applyBorder="1"/>
    <xf numFmtId="2" fontId="0" fillId="0" borderId="1" xfId="0" applyNumberFormat="1" applyBorder="1"/>
    <xf numFmtId="2" fontId="11" fillId="0" borderId="1" xfId="0" applyNumberFormat="1" applyFont="1" applyBorder="1"/>
    <xf numFmtId="166" fontId="11" fillId="0" borderId="1" xfId="0" applyNumberFormat="1" applyFont="1" applyBorder="1"/>
    <xf numFmtId="164" fontId="3" fillId="3" borderId="7" xfId="0" applyNumberFormat="1" applyFont="1" applyFill="1" applyBorder="1"/>
    <xf numFmtId="3" fontId="2" fillId="0" borderId="1" xfId="0" applyNumberFormat="1" applyFont="1" applyFill="1" applyBorder="1" applyAlignment="1">
      <alignment horizontal="right"/>
    </xf>
    <xf numFmtId="164" fontId="3" fillId="3" borderId="8" xfId="0" applyNumberFormat="1" applyFont="1" applyFill="1" applyBorder="1"/>
    <xf numFmtId="0" fontId="2" fillId="0" borderId="1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9" fillId="0" borderId="1" xfId="0" applyFont="1" applyFill="1" applyBorder="1" applyAlignment="1">
      <alignment horizontal="right"/>
    </xf>
    <xf numFmtId="0" fontId="0" fillId="0" borderId="0" xfId="0" applyFont="1"/>
    <xf numFmtId="3" fontId="2" fillId="0" borderId="1" xfId="0" applyNumberFormat="1" applyFont="1" applyBorder="1" applyAlignment="1">
      <alignment wrapText="1"/>
    </xf>
    <xf numFmtId="169" fontId="2" fillId="0" borderId="1" xfId="0" applyNumberFormat="1" applyFont="1" applyBorder="1" applyAlignment="1">
      <alignment wrapText="1"/>
    </xf>
    <xf numFmtId="3" fontId="7" fillId="0" borderId="0" xfId="0" applyNumberFormat="1" applyFont="1"/>
    <xf numFmtId="0" fontId="15" fillId="0" borderId="0" xfId="0" applyFont="1" applyAlignment="1">
      <alignment horizontal="right"/>
    </xf>
    <xf numFmtId="170" fontId="2" fillId="0" borderId="0" xfId="1" applyNumberFormat="1" applyFont="1"/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166" fontId="2" fillId="0" borderId="1" xfId="0" applyNumberFormat="1" applyFont="1" applyBorder="1" applyAlignment="1">
      <alignment vertical="center"/>
    </xf>
    <xf numFmtId="166" fontId="2" fillId="0" borderId="1" xfId="0" applyNumberFormat="1" applyFont="1" applyFill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166" fontId="2" fillId="0" borderId="1" xfId="0" applyNumberFormat="1" applyFont="1" applyBorder="1" applyAlignment="1">
      <alignment wrapText="1"/>
    </xf>
    <xf numFmtId="168" fontId="2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2" fontId="7" fillId="0" borderId="0" xfId="0" applyNumberFormat="1" applyFont="1"/>
    <xf numFmtId="164" fontId="2" fillId="0" borderId="1" xfId="0" applyNumberFormat="1" applyFont="1" applyBorder="1" applyAlignment="1">
      <alignment wrapText="1"/>
    </xf>
    <xf numFmtId="165" fontId="4" fillId="0" borderId="1" xfId="0" applyNumberFormat="1" applyFont="1" applyBorder="1"/>
    <xf numFmtId="165" fontId="7" fillId="0" borderId="0" xfId="0" applyNumberFormat="1" applyFont="1"/>
    <xf numFmtId="3" fontId="0" fillId="0" borderId="1" xfId="0" applyNumberFormat="1" applyFill="1" applyBorder="1"/>
    <xf numFmtId="168" fontId="11" fillId="0" borderId="1" xfId="0" applyNumberFormat="1" applyFont="1" applyBorder="1"/>
    <xf numFmtId="1" fontId="2" fillId="0" borderId="1" xfId="0" applyNumberFormat="1" applyFont="1" applyFill="1" applyBorder="1"/>
    <xf numFmtId="165" fontId="3" fillId="3" borderId="7" xfId="0" applyNumberFormat="1" applyFont="1" applyFill="1" applyBorder="1"/>
    <xf numFmtId="3" fontId="3" fillId="3" borderId="8" xfId="0" applyNumberFormat="1" applyFont="1" applyFill="1" applyBorder="1"/>
    <xf numFmtId="0" fontId="3" fillId="0" borderId="0" xfId="0" applyFont="1"/>
    <xf numFmtId="0" fontId="2" fillId="0" borderId="1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" xfId="0" applyFont="1" applyBorder="1" applyAlignment="1">
      <alignment horizontal="right" vertical="center"/>
    </xf>
    <xf numFmtId="10" fontId="2" fillId="0" borderId="1" xfId="0" applyNumberFormat="1" applyFont="1" applyBorder="1" applyAlignment="1">
      <alignment horizontal="right" vertical="center" wrapText="1"/>
    </xf>
    <xf numFmtId="10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wrapText="1"/>
    </xf>
    <xf numFmtId="10" fontId="2" fillId="0" borderId="1" xfId="0" applyNumberFormat="1" applyFont="1" applyBorder="1" applyAlignment="1">
      <alignment horizontal="right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0" fillId="4" borderId="3" xfId="0" applyNumberFormat="1" applyFill="1" applyBorder="1" applyAlignment="1">
      <alignment horizontal="center"/>
    </xf>
    <xf numFmtId="3" fontId="0" fillId="4" borderId="11" xfId="0" applyNumberFormat="1" applyFill="1" applyBorder="1" applyAlignment="1">
      <alignment horizontal="center"/>
    </xf>
    <xf numFmtId="3" fontId="0" fillId="4" borderId="4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3">
    <cellStyle name="Comma 0" xfId="5"/>
    <cellStyle name="Comma 2" xfId="4"/>
    <cellStyle name="Currency 2" xfId="6"/>
    <cellStyle name="Currency 3" xfId="11"/>
    <cellStyle name="General Default" xfId="7"/>
    <cellStyle name="Hyperlink" xfId="2" builtinId="8"/>
    <cellStyle name="Hyperlink 2" xfId="8"/>
    <cellStyle name="Normal" xfId="0" builtinId="0"/>
    <cellStyle name="Normal 2" xfId="9"/>
    <cellStyle name="Normal 3" xfId="3"/>
    <cellStyle name="Percent" xfId="1" builtinId="5"/>
    <cellStyle name="Percent 2" xfId="10"/>
    <cellStyle name="Percent 2 2" xfId="1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437087749865926E-2"/>
          <c:y val="4.1552076387112391E-2"/>
          <c:w val="0.92468259292176957"/>
          <c:h val="0.870474080154200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AeMBR_Baseline_CED_Detail_yr!$D$68</c:f>
              <c:strCache>
                <c:ptCount val="1"/>
                <c:pt idx="0">
                  <c:v>Wastewater collection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AeMBR_Baseline_CED_Detail_yr!$E$67:$V$67</c:f>
              <c:strCache>
                <c:ptCount val="18"/>
                <c:pt idx="0">
                  <c:v>0.05 MGD AeMBR [semi rural single family]</c:v>
                </c:pt>
                <c:pt idx="1">
                  <c:v>0.05 MGD AeMBR [single family]</c:v>
                </c:pt>
                <c:pt idx="2">
                  <c:v>0.05 MGD AeMBR [multi family]</c:v>
                </c:pt>
                <c:pt idx="3">
                  <c:v>0.05 MGD AeMBR [high density urban]</c:v>
                </c:pt>
                <c:pt idx="4">
                  <c:v>0.1 MGD AeMBR [semi rural single family]</c:v>
                </c:pt>
                <c:pt idx="5">
                  <c:v>0.1 MGD AeMBR [single family]</c:v>
                </c:pt>
                <c:pt idx="6">
                  <c:v>0.1 MGD AeMBR [multi family]</c:v>
                </c:pt>
                <c:pt idx="7">
                  <c:v>0.1 MGD AeMBR [high density urban]</c:v>
                </c:pt>
                <c:pt idx="8">
                  <c:v>1 MGD AeMBR [semi rural single family]</c:v>
                </c:pt>
                <c:pt idx="9">
                  <c:v>1 MGD AeMBR [single family]</c:v>
                </c:pt>
                <c:pt idx="10">
                  <c:v>1 MGD AeMBR [multi family]</c:v>
                </c:pt>
                <c:pt idx="11">
                  <c:v>1 MGD AeMBR [high density urban]</c:v>
                </c:pt>
                <c:pt idx="12">
                  <c:v>5 MGD AeMBR [single family]</c:v>
                </c:pt>
                <c:pt idx="13">
                  <c:v>5 MGD AeMBR [multi family]</c:v>
                </c:pt>
                <c:pt idx="14">
                  <c:v>5 MGD AeMBR [high density urban]</c:v>
                </c:pt>
                <c:pt idx="15">
                  <c:v>10 MGD AeMBR [single family]</c:v>
                </c:pt>
                <c:pt idx="16">
                  <c:v>10 MGD AeMBR [multi family]</c:v>
                </c:pt>
                <c:pt idx="17">
                  <c:v>10 MGD AeMBR [high density urban]</c:v>
                </c:pt>
              </c:strCache>
            </c:strRef>
          </c:cat>
          <c:val>
            <c:numRef>
              <c:f>AeMBR_Baseline_CED_Detail_yr!$E$68:$V$68</c:f>
              <c:numCache>
                <c:formatCode>#,##0</c:formatCode>
                <c:ptCount val="18"/>
                <c:pt idx="0">
                  <c:v>2782.0075300000003</c:v>
                </c:pt>
                <c:pt idx="1">
                  <c:v>1459.8052599999999</c:v>
                </c:pt>
                <c:pt idx="2">
                  <c:v>370.93502000000001</c:v>
                </c:pt>
                <c:pt idx="3">
                  <c:v>174.29093</c:v>
                </c:pt>
                <c:pt idx="4">
                  <c:v>5306.8091299999996</c:v>
                </c:pt>
                <c:pt idx="5">
                  <c:v>2720.1900900000001</c:v>
                </c:pt>
                <c:pt idx="6">
                  <c:v>741.85900000000004</c:v>
                </c:pt>
                <c:pt idx="7">
                  <c:v>367.91653000000002</c:v>
                </c:pt>
                <c:pt idx="8">
                  <c:v>55639.64</c:v>
                </c:pt>
                <c:pt idx="9">
                  <c:v>27201.902679999999</c:v>
                </c:pt>
                <c:pt idx="10">
                  <c:v>7418.6989199999998</c:v>
                </c:pt>
                <c:pt idx="11">
                  <c:v>3554.6329999999998</c:v>
                </c:pt>
                <c:pt idx="12">
                  <c:v>118177.41256</c:v>
                </c:pt>
                <c:pt idx="13">
                  <c:v>37093.480000000003</c:v>
                </c:pt>
                <c:pt idx="14">
                  <c:v>18020.11</c:v>
                </c:pt>
                <c:pt idx="15">
                  <c:v>272019</c:v>
                </c:pt>
                <c:pt idx="16">
                  <c:v>79123.5</c:v>
                </c:pt>
                <c:pt idx="17">
                  <c:v>38416.53</c:v>
                </c:pt>
              </c:numCache>
            </c:numRef>
          </c:val>
        </c:ser>
        <c:ser>
          <c:idx val="1"/>
          <c:order val="1"/>
          <c:tx>
            <c:strRef>
              <c:f>AeMBR_Baseline_CED_Detail_yr!$D$69</c:f>
              <c:strCache>
                <c:ptCount val="1"/>
                <c:pt idx="0">
                  <c:v>Pre treatment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AeMBR_Baseline_CED_Detail_yr!$E$67:$V$67</c:f>
              <c:strCache>
                <c:ptCount val="18"/>
                <c:pt idx="0">
                  <c:v>0.05 MGD AeMBR [semi rural single family]</c:v>
                </c:pt>
                <c:pt idx="1">
                  <c:v>0.05 MGD AeMBR [single family]</c:v>
                </c:pt>
                <c:pt idx="2">
                  <c:v>0.05 MGD AeMBR [multi family]</c:v>
                </c:pt>
                <c:pt idx="3">
                  <c:v>0.05 MGD AeMBR [high density urban]</c:v>
                </c:pt>
                <c:pt idx="4">
                  <c:v>0.1 MGD AeMBR [semi rural single family]</c:v>
                </c:pt>
                <c:pt idx="5">
                  <c:v>0.1 MGD AeMBR [single family]</c:v>
                </c:pt>
                <c:pt idx="6">
                  <c:v>0.1 MGD AeMBR [multi family]</c:v>
                </c:pt>
                <c:pt idx="7">
                  <c:v>0.1 MGD AeMBR [high density urban]</c:v>
                </c:pt>
                <c:pt idx="8">
                  <c:v>1 MGD AeMBR [semi rural single family]</c:v>
                </c:pt>
                <c:pt idx="9">
                  <c:v>1 MGD AeMBR [single family]</c:v>
                </c:pt>
                <c:pt idx="10">
                  <c:v>1 MGD AeMBR [multi family]</c:v>
                </c:pt>
                <c:pt idx="11">
                  <c:v>1 MGD AeMBR [high density urban]</c:v>
                </c:pt>
                <c:pt idx="12">
                  <c:v>5 MGD AeMBR [single family]</c:v>
                </c:pt>
                <c:pt idx="13">
                  <c:v>5 MGD AeMBR [multi family]</c:v>
                </c:pt>
                <c:pt idx="14">
                  <c:v>5 MGD AeMBR [high density urban]</c:v>
                </c:pt>
                <c:pt idx="15">
                  <c:v>10 MGD AeMBR [single family]</c:v>
                </c:pt>
                <c:pt idx="16">
                  <c:v>10 MGD AeMBR [multi family]</c:v>
                </c:pt>
                <c:pt idx="17">
                  <c:v>10 MGD AeMBR [high density urban]</c:v>
                </c:pt>
              </c:strCache>
            </c:strRef>
          </c:cat>
          <c:val>
            <c:numRef>
              <c:f>AeMBR_Baseline_CED_Detail_yr!$E$69:$V$69</c:f>
              <c:numCache>
                <c:formatCode>#,##0.00000</c:formatCode>
                <c:ptCount val="18"/>
                <c:pt idx="0">
                  <c:v>44914.636740000002</c:v>
                </c:pt>
                <c:pt idx="1">
                  <c:v>44914.636740000002</c:v>
                </c:pt>
                <c:pt idx="2">
                  <c:v>44914.636740000002</c:v>
                </c:pt>
                <c:pt idx="3">
                  <c:v>44914.636740000002</c:v>
                </c:pt>
                <c:pt idx="4">
                  <c:v>62551.973299999998</c:v>
                </c:pt>
                <c:pt idx="5">
                  <c:v>62551.973299999998</c:v>
                </c:pt>
                <c:pt idx="6">
                  <c:v>62551.973299999998</c:v>
                </c:pt>
                <c:pt idx="7">
                  <c:v>62551.973299999998</c:v>
                </c:pt>
                <c:pt idx="8">
                  <c:v>197955.52377</c:v>
                </c:pt>
                <c:pt idx="9">
                  <c:v>197955.52377</c:v>
                </c:pt>
                <c:pt idx="10">
                  <c:v>197955.52377</c:v>
                </c:pt>
                <c:pt idx="11">
                  <c:v>197955.52377</c:v>
                </c:pt>
                <c:pt idx="12">
                  <c:v>482682.12810000003</c:v>
                </c:pt>
                <c:pt idx="13">
                  <c:v>482682.12810000003</c:v>
                </c:pt>
                <c:pt idx="14">
                  <c:v>482682.12810000003</c:v>
                </c:pt>
                <c:pt idx="15">
                  <c:v>736411.23765000002</c:v>
                </c:pt>
                <c:pt idx="16">
                  <c:v>736411.23765000002</c:v>
                </c:pt>
                <c:pt idx="17">
                  <c:v>736411.23765000002</c:v>
                </c:pt>
              </c:numCache>
            </c:numRef>
          </c:val>
        </c:ser>
        <c:ser>
          <c:idx val="2"/>
          <c:order val="2"/>
          <c:tx>
            <c:strRef>
              <c:f>AeMBR_Baseline_CED_Detail_yr!$D$70</c:f>
              <c:strCache>
                <c:ptCount val="1"/>
                <c:pt idx="0">
                  <c:v>MBR operation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AeMBR_Baseline_CED_Detail_yr!$E$67:$V$67</c:f>
              <c:strCache>
                <c:ptCount val="18"/>
                <c:pt idx="0">
                  <c:v>0.05 MGD AeMBR [semi rural single family]</c:v>
                </c:pt>
                <c:pt idx="1">
                  <c:v>0.05 MGD AeMBR [single family]</c:v>
                </c:pt>
                <c:pt idx="2">
                  <c:v>0.05 MGD AeMBR [multi family]</c:v>
                </c:pt>
                <c:pt idx="3">
                  <c:v>0.05 MGD AeMBR [high density urban]</c:v>
                </c:pt>
                <c:pt idx="4">
                  <c:v>0.1 MGD AeMBR [semi rural single family]</c:v>
                </c:pt>
                <c:pt idx="5">
                  <c:v>0.1 MGD AeMBR [single family]</c:v>
                </c:pt>
                <c:pt idx="6">
                  <c:v>0.1 MGD AeMBR [multi family]</c:v>
                </c:pt>
                <c:pt idx="7">
                  <c:v>0.1 MGD AeMBR [high density urban]</c:v>
                </c:pt>
                <c:pt idx="8">
                  <c:v>1 MGD AeMBR [semi rural single family]</c:v>
                </c:pt>
                <c:pt idx="9">
                  <c:v>1 MGD AeMBR [single family]</c:v>
                </c:pt>
                <c:pt idx="10">
                  <c:v>1 MGD AeMBR [multi family]</c:v>
                </c:pt>
                <c:pt idx="11">
                  <c:v>1 MGD AeMBR [high density urban]</c:v>
                </c:pt>
                <c:pt idx="12">
                  <c:v>5 MGD AeMBR [single family]</c:v>
                </c:pt>
                <c:pt idx="13">
                  <c:v>5 MGD AeMBR [multi family]</c:v>
                </c:pt>
                <c:pt idx="14">
                  <c:v>5 MGD AeMBR [high density urban]</c:v>
                </c:pt>
                <c:pt idx="15">
                  <c:v>10 MGD AeMBR [single family]</c:v>
                </c:pt>
                <c:pt idx="16">
                  <c:v>10 MGD AeMBR [multi family]</c:v>
                </c:pt>
                <c:pt idx="17">
                  <c:v>10 MGD AeMBR [high density urban]</c:v>
                </c:pt>
              </c:strCache>
            </c:strRef>
          </c:cat>
          <c:val>
            <c:numRef>
              <c:f>AeMBR_Baseline_CED_Detail_yr!$E$70:$V$70</c:f>
              <c:numCache>
                <c:formatCode>#,##0</c:formatCode>
                <c:ptCount val="18"/>
                <c:pt idx="0">
                  <c:v>764342.20019999996</c:v>
                </c:pt>
                <c:pt idx="1">
                  <c:v>764342.20019999996</c:v>
                </c:pt>
                <c:pt idx="2">
                  <c:v>764342.20019999996</c:v>
                </c:pt>
                <c:pt idx="3">
                  <c:v>764342.20019999996</c:v>
                </c:pt>
                <c:pt idx="4">
                  <c:v>1068206.4730200002</c:v>
                </c:pt>
                <c:pt idx="5">
                  <c:v>1068206.4730200002</c:v>
                </c:pt>
                <c:pt idx="6">
                  <c:v>1068206.4730200002</c:v>
                </c:pt>
                <c:pt idx="7">
                  <c:v>1068206.4730200002</c:v>
                </c:pt>
                <c:pt idx="8">
                  <c:v>6074157.7066200003</c:v>
                </c:pt>
                <c:pt idx="9">
                  <c:v>6074157.7066200003</c:v>
                </c:pt>
                <c:pt idx="10">
                  <c:v>6074157.7066200003</c:v>
                </c:pt>
                <c:pt idx="11">
                  <c:v>6074157.7066200003</c:v>
                </c:pt>
                <c:pt idx="12">
                  <c:v>29519148.83035</c:v>
                </c:pt>
                <c:pt idx="13">
                  <c:v>29519148.83035</c:v>
                </c:pt>
                <c:pt idx="14">
                  <c:v>29519148.83035</c:v>
                </c:pt>
                <c:pt idx="15">
                  <c:v>57388119.110730007</c:v>
                </c:pt>
                <c:pt idx="16">
                  <c:v>57388119.110730007</c:v>
                </c:pt>
                <c:pt idx="17">
                  <c:v>57388119.110730007</c:v>
                </c:pt>
              </c:numCache>
            </c:numRef>
          </c:val>
        </c:ser>
        <c:ser>
          <c:idx val="3"/>
          <c:order val="3"/>
          <c:tx>
            <c:strRef>
              <c:f>AeMBR_Baseline_CED_Detail_yr!$D$71</c:f>
              <c:strCache>
                <c:ptCount val="1"/>
                <c:pt idx="0">
                  <c:v>MBR infrastructure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AeMBR_Baseline_CED_Detail_yr!$E$67:$V$67</c:f>
              <c:strCache>
                <c:ptCount val="18"/>
                <c:pt idx="0">
                  <c:v>0.05 MGD AeMBR [semi rural single family]</c:v>
                </c:pt>
                <c:pt idx="1">
                  <c:v>0.05 MGD AeMBR [single family]</c:v>
                </c:pt>
                <c:pt idx="2">
                  <c:v>0.05 MGD AeMBR [multi family]</c:v>
                </c:pt>
                <c:pt idx="3">
                  <c:v>0.05 MGD AeMBR [high density urban]</c:v>
                </c:pt>
                <c:pt idx="4">
                  <c:v>0.1 MGD AeMBR [semi rural single family]</c:v>
                </c:pt>
                <c:pt idx="5">
                  <c:v>0.1 MGD AeMBR [single family]</c:v>
                </c:pt>
                <c:pt idx="6">
                  <c:v>0.1 MGD AeMBR [multi family]</c:v>
                </c:pt>
                <c:pt idx="7">
                  <c:v>0.1 MGD AeMBR [high density urban]</c:v>
                </c:pt>
                <c:pt idx="8">
                  <c:v>1 MGD AeMBR [semi rural single family]</c:v>
                </c:pt>
                <c:pt idx="9">
                  <c:v>1 MGD AeMBR [single family]</c:v>
                </c:pt>
                <c:pt idx="10">
                  <c:v>1 MGD AeMBR [multi family]</c:v>
                </c:pt>
                <c:pt idx="11">
                  <c:v>1 MGD AeMBR [high density urban]</c:v>
                </c:pt>
                <c:pt idx="12">
                  <c:v>5 MGD AeMBR [single family]</c:v>
                </c:pt>
                <c:pt idx="13">
                  <c:v>5 MGD AeMBR [multi family]</c:v>
                </c:pt>
                <c:pt idx="14">
                  <c:v>5 MGD AeMBR [high density urban]</c:v>
                </c:pt>
                <c:pt idx="15">
                  <c:v>10 MGD AeMBR [single family]</c:v>
                </c:pt>
                <c:pt idx="16">
                  <c:v>10 MGD AeMBR [multi family]</c:v>
                </c:pt>
                <c:pt idx="17">
                  <c:v>10 MGD AeMBR [high density urban]</c:v>
                </c:pt>
              </c:strCache>
            </c:strRef>
          </c:cat>
          <c:val>
            <c:numRef>
              <c:f>AeMBR_Baseline_CED_Detail_yr!$E$71:$V$71</c:f>
              <c:numCache>
                <c:formatCode>#,##0</c:formatCode>
                <c:ptCount val="18"/>
                <c:pt idx="0">
                  <c:v>11101</c:v>
                </c:pt>
                <c:pt idx="1">
                  <c:v>11101</c:v>
                </c:pt>
                <c:pt idx="2">
                  <c:v>11101</c:v>
                </c:pt>
                <c:pt idx="3">
                  <c:v>11101</c:v>
                </c:pt>
                <c:pt idx="4">
                  <c:v>20800.5</c:v>
                </c:pt>
                <c:pt idx="5">
                  <c:v>20800.5</c:v>
                </c:pt>
                <c:pt idx="6">
                  <c:v>20800.5</c:v>
                </c:pt>
                <c:pt idx="7">
                  <c:v>20800.5</c:v>
                </c:pt>
                <c:pt idx="8">
                  <c:v>192694</c:v>
                </c:pt>
                <c:pt idx="9">
                  <c:v>192694</c:v>
                </c:pt>
                <c:pt idx="10">
                  <c:v>192694</c:v>
                </c:pt>
                <c:pt idx="11">
                  <c:v>192694</c:v>
                </c:pt>
                <c:pt idx="12">
                  <c:v>859360</c:v>
                </c:pt>
                <c:pt idx="13">
                  <c:v>859360</c:v>
                </c:pt>
                <c:pt idx="14">
                  <c:v>859360</c:v>
                </c:pt>
                <c:pt idx="15">
                  <c:v>1705070</c:v>
                </c:pt>
                <c:pt idx="16">
                  <c:v>1705070</c:v>
                </c:pt>
                <c:pt idx="17">
                  <c:v>1705070</c:v>
                </c:pt>
              </c:numCache>
            </c:numRef>
          </c:val>
        </c:ser>
        <c:ser>
          <c:idx val="4"/>
          <c:order val="4"/>
          <c:tx>
            <c:strRef>
              <c:f>AeMBR_Baseline_CED_Detail_yr!$D$72</c:f>
              <c:strCache>
                <c:ptCount val="1"/>
                <c:pt idx="0">
                  <c:v>Post treatment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AeMBR_Baseline_CED_Detail_yr!$E$67:$V$67</c:f>
              <c:strCache>
                <c:ptCount val="18"/>
                <c:pt idx="0">
                  <c:v>0.05 MGD AeMBR [semi rural single family]</c:v>
                </c:pt>
                <c:pt idx="1">
                  <c:v>0.05 MGD AeMBR [single family]</c:v>
                </c:pt>
                <c:pt idx="2">
                  <c:v>0.05 MGD AeMBR [multi family]</c:v>
                </c:pt>
                <c:pt idx="3">
                  <c:v>0.05 MGD AeMBR [high density urban]</c:v>
                </c:pt>
                <c:pt idx="4">
                  <c:v>0.1 MGD AeMBR [semi rural single family]</c:v>
                </c:pt>
                <c:pt idx="5">
                  <c:v>0.1 MGD AeMBR [single family]</c:v>
                </c:pt>
                <c:pt idx="6">
                  <c:v>0.1 MGD AeMBR [multi family]</c:v>
                </c:pt>
                <c:pt idx="7">
                  <c:v>0.1 MGD AeMBR [high density urban]</c:v>
                </c:pt>
                <c:pt idx="8">
                  <c:v>1 MGD AeMBR [semi rural single family]</c:v>
                </c:pt>
                <c:pt idx="9">
                  <c:v>1 MGD AeMBR [single family]</c:v>
                </c:pt>
                <c:pt idx="10">
                  <c:v>1 MGD AeMBR [multi family]</c:v>
                </c:pt>
                <c:pt idx="11">
                  <c:v>1 MGD AeMBR [high density urban]</c:v>
                </c:pt>
                <c:pt idx="12">
                  <c:v>5 MGD AeMBR [single family]</c:v>
                </c:pt>
                <c:pt idx="13">
                  <c:v>5 MGD AeMBR [multi family]</c:v>
                </c:pt>
                <c:pt idx="14">
                  <c:v>5 MGD AeMBR [high density urban]</c:v>
                </c:pt>
                <c:pt idx="15">
                  <c:v>10 MGD AeMBR [single family]</c:v>
                </c:pt>
                <c:pt idx="16">
                  <c:v>10 MGD AeMBR [multi family]</c:v>
                </c:pt>
                <c:pt idx="17">
                  <c:v>10 MGD AeMBR [high density urban]</c:v>
                </c:pt>
              </c:strCache>
            </c:strRef>
          </c:cat>
          <c:val>
            <c:numRef>
              <c:f>AeMBR_Baseline_CED_Detail_yr!$E$72:$V$72</c:f>
              <c:numCache>
                <c:formatCode>#,##0</c:formatCode>
                <c:ptCount val="18"/>
                <c:pt idx="0">
                  <c:v>534976.39701000007</c:v>
                </c:pt>
                <c:pt idx="1">
                  <c:v>534976.39701000007</c:v>
                </c:pt>
                <c:pt idx="2">
                  <c:v>534976.39701000007</c:v>
                </c:pt>
                <c:pt idx="3">
                  <c:v>534976.39701000007</c:v>
                </c:pt>
                <c:pt idx="4">
                  <c:v>642002.67801999999</c:v>
                </c:pt>
                <c:pt idx="5">
                  <c:v>642002.67801999999</c:v>
                </c:pt>
                <c:pt idx="6">
                  <c:v>642002.67801999999</c:v>
                </c:pt>
                <c:pt idx="7">
                  <c:v>642002.67801999999</c:v>
                </c:pt>
                <c:pt idx="8">
                  <c:v>2479824.1082199998</c:v>
                </c:pt>
                <c:pt idx="9">
                  <c:v>2479824.1082199998</c:v>
                </c:pt>
                <c:pt idx="10">
                  <c:v>2479824.1082199998</c:v>
                </c:pt>
                <c:pt idx="11">
                  <c:v>2479824.1082199998</c:v>
                </c:pt>
                <c:pt idx="12">
                  <c:v>4545469.1922899997</c:v>
                </c:pt>
                <c:pt idx="13">
                  <c:v>4545469.1922899997</c:v>
                </c:pt>
                <c:pt idx="14">
                  <c:v>4545469.1922899997</c:v>
                </c:pt>
                <c:pt idx="15">
                  <c:v>8019323.3073800001</c:v>
                </c:pt>
                <c:pt idx="16">
                  <c:v>8019323.3073800001</c:v>
                </c:pt>
                <c:pt idx="17">
                  <c:v>8019323.3073800001</c:v>
                </c:pt>
              </c:numCache>
            </c:numRef>
          </c:val>
        </c:ser>
        <c:ser>
          <c:idx val="5"/>
          <c:order val="5"/>
          <c:tx>
            <c:strRef>
              <c:f>AeMBR_Baseline_CED_Detail_yr!$D$73</c:f>
              <c:strCache>
                <c:ptCount val="1"/>
                <c:pt idx="0">
                  <c:v>Recycled water delivery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AeMBR_Baseline_CED_Detail_yr!$E$67:$V$67</c:f>
              <c:strCache>
                <c:ptCount val="18"/>
                <c:pt idx="0">
                  <c:v>0.05 MGD AeMBR [semi rural single family]</c:v>
                </c:pt>
                <c:pt idx="1">
                  <c:v>0.05 MGD AeMBR [single family]</c:v>
                </c:pt>
                <c:pt idx="2">
                  <c:v>0.05 MGD AeMBR [multi family]</c:v>
                </c:pt>
                <c:pt idx="3">
                  <c:v>0.05 MGD AeMBR [high density urban]</c:v>
                </c:pt>
                <c:pt idx="4">
                  <c:v>0.1 MGD AeMBR [semi rural single family]</c:v>
                </c:pt>
                <c:pt idx="5">
                  <c:v>0.1 MGD AeMBR [single family]</c:v>
                </c:pt>
                <c:pt idx="6">
                  <c:v>0.1 MGD AeMBR [multi family]</c:v>
                </c:pt>
                <c:pt idx="7">
                  <c:v>0.1 MGD AeMBR [high density urban]</c:v>
                </c:pt>
                <c:pt idx="8">
                  <c:v>1 MGD AeMBR [semi rural single family]</c:v>
                </c:pt>
                <c:pt idx="9">
                  <c:v>1 MGD AeMBR [single family]</c:v>
                </c:pt>
                <c:pt idx="10">
                  <c:v>1 MGD AeMBR [multi family]</c:v>
                </c:pt>
                <c:pt idx="11">
                  <c:v>1 MGD AeMBR [high density urban]</c:v>
                </c:pt>
                <c:pt idx="12">
                  <c:v>5 MGD AeMBR [single family]</c:v>
                </c:pt>
                <c:pt idx="13">
                  <c:v>5 MGD AeMBR [multi family]</c:v>
                </c:pt>
                <c:pt idx="14">
                  <c:v>5 MGD AeMBR [high density urban]</c:v>
                </c:pt>
                <c:pt idx="15">
                  <c:v>10 MGD AeMBR [single family]</c:v>
                </c:pt>
                <c:pt idx="16">
                  <c:v>10 MGD AeMBR [multi family]</c:v>
                </c:pt>
                <c:pt idx="17">
                  <c:v>10 MGD AeMBR [high density urban]</c:v>
                </c:pt>
              </c:strCache>
            </c:strRef>
          </c:cat>
          <c:val>
            <c:numRef>
              <c:f>AeMBR_Baseline_CED_Detail_yr!$E$73:$V$73</c:f>
              <c:numCache>
                <c:formatCode>#,##0</c:formatCode>
                <c:ptCount val="18"/>
                <c:pt idx="0">
                  <c:v>-801355.33826999995</c:v>
                </c:pt>
                <c:pt idx="1">
                  <c:v>-820005.00601999997</c:v>
                </c:pt>
                <c:pt idx="2">
                  <c:v>-832773.87100000004</c:v>
                </c:pt>
                <c:pt idx="3">
                  <c:v>-835425.79599999997</c:v>
                </c:pt>
                <c:pt idx="4">
                  <c:v>-1602854.054</c:v>
                </c:pt>
                <c:pt idx="5">
                  <c:v>-1639850.62757</c:v>
                </c:pt>
                <c:pt idx="6">
                  <c:v>-1665716.1140000001</c:v>
                </c:pt>
                <c:pt idx="7">
                  <c:v>-1670852.784</c:v>
                </c:pt>
                <c:pt idx="8">
                  <c:v>-16028132.5</c:v>
                </c:pt>
                <c:pt idx="9">
                  <c:v>-16398506.199999999</c:v>
                </c:pt>
                <c:pt idx="10">
                  <c:v>-16657203.539999999</c:v>
                </c:pt>
                <c:pt idx="11">
                  <c:v>-16708406.58</c:v>
                </c:pt>
                <c:pt idx="12">
                  <c:v>-81994914.200000003</c:v>
                </c:pt>
                <c:pt idx="13">
                  <c:v>-83284839.700000003</c:v>
                </c:pt>
                <c:pt idx="14">
                  <c:v>-83542853.599999994</c:v>
                </c:pt>
                <c:pt idx="15">
                  <c:v>-163989319</c:v>
                </c:pt>
                <c:pt idx="16">
                  <c:v>-166569598.40000001</c:v>
                </c:pt>
                <c:pt idx="17">
                  <c:v>-167085509.5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29608336"/>
        <c:axId val="329608728"/>
      </c:barChart>
      <c:lineChart>
        <c:grouping val="standard"/>
        <c:varyColors val="0"/>
        <c:ser>
          <c:idx val="6"/>
          <c:order val="6"/>
          <c:tx>
            <c:strRef>
              <c:f>AeMBR_Baseline_CED_Detail_yr!$D$74</c:f>
              <c:strCache>
                <c:ptCount val="1"/>
                <c:pt idx="0">
                  <c:v>Total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5.670716604438685E-3"/>
                  <c:y val="-6.64639216621214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5.41557880209877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5.41557880209878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1010237206266631E-3"/>
                  <c:y val="-4.92325345645343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670716604438685E-3"/>
                  <c:y val="-5.6617414749214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8606142323760152E-3"/>
                  <c:y val="-5.41557880209877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2909213485640237E-3"/>
                  <c:y val="-4.92325345645343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053133083681476E-2"/>
                  <c:y val="-4.67709078363076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0505118603133466E-2"/>
                  <c:y val="0.105849949313748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9442456929504061E-2"/>
                  <c:y val="9.6003442400841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2151535580940159E-2"/>
                  <c:y val="8.36953087597084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670716604438685E-3"/>
                  <c:y val="0.105849949313748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1.1881364202386006E-16"/>
                  <c:y val="2.95395207387205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AeMBR_Baseline_CED_Detail_yr!$E$67:$V$67</c:f>
              <c:strCache>
                <c:ptCount val="18"/>
                <c:pt idx="0">
                  <c:v>0.05 MGD AeMBR [semi rural single family]</c:v>
                </c:pt>
                <c:pt idx="1">
                  <c:v>0.05 MGD AeMBR [single family]</c:v>
                </c:pt>
                <c:pt idx="2">
                  <c:v>0.05 MGD AeMBR [multi family]</c:v>
                </c:pt>
                <c:pt idx="3">
                  <c:v>0.05 MGD AeMBR [high density urban]</c:v>
                </c:pt>
                <c:pt idx="4">
                  <c:v>0.1 MGD AeMBR [semi rural single family]</c:v>
                </c:pt>
                <c:pt idx="5">
                  <c:v>0.1 MGD AeMBR [single family]</c:v>
                </c:pt>
                <c:pt idx="6">
                  <c:v>0.1 MGD AeMBR [multi family]</c:v>
                </c:pt>
                <c:pt idx="7">
                  <c:v>0.1 MGD AeMBR [high density urban]</c:v>
                </c:pt>
                <c:pt idx="8">
                  <c:v>1 MGD AeMBR [semi rural single family]</c:v>
                </c:pt>
                <c:pt idx="9">
                  <c:v>1 MGD AeMBR [single family]</c:v>
                </c:pt>
                <c:pt idx="10">
                  <c:v>1 MGD AeMBR [multi family]</c:v>
                </c:pt>
                <c:pt idx="11">
                  <c:v>1 MGD AeMBR [high density urban]</c:v>
                </c:pt>
                <c:pt idx="12">
                  <c:v>5 MGD AeMBR [single family]</c:v>
                </c:pt>
                <c:pt idx="13">
                  <c:v>5 MGD AeMBR [multi family]</c:v>
                </c:pt>
                <c:pt idx="14">
                  <c:v>5 MGD AeMBR [high density urban]</c:v>
                </c:pt>
                <c:pt idx="15">
                  <c:v>10 MGD AeMBR [single family]</c:v>
                </c:pt>
                <c:pt idx="16">
                  <c:v>10 MGD AeMBR [multi family]</c:v>
                </c:pt>
                <c:pt idx="17">
                  <c:v>10 MGD AeMBR [high density urban]</c:v>
                </c:pt>
              </c:strCache>
            </c:strRef>
          </c:cat>
          <c:val>
            <c:numRef>
              <c:f>AeMBR_Baseline_CED_Detail_yr!$E$74:$V$74</c:f>
              <c:numCache>
                <c:formatCode>#,##0</c:formatCode>
                <c:ptCount val="18"/>
                <c:pt idx="0">
                  <c:v>556760.90321000014</c:v>
                </c:pt>
                <c:pt idx="1">
                  <c:v>536789.0331900001</c:v>
                </c:pt>
                <c:pt idx="2">
                  <c:v>522931.29796999996</c:v>
                </c:pt>
                <c:pt idx="3">
                  <c:v>520082.72887999995</c:v>
                </c:pt>
                <c:pt idx="4">
                  <c:v>196014.37947000004</c:v>
                </c:pt>
                <c:pt idx="5">
                  <c:v>156431.18686000025</c:v>
                </c:pt>
                <c:pt idx="6">
                  <c:v>128587.36933999998</c:v>
                </c:pt>
                <c:pt idx="7">
                  <c:v>123076.75687000016</c:v>
                </c:pt>
                <c:pt idx="8">
                  <c:v>-7027861.5213900004</c:v>
                </c:pt>
                <c:pt idx="9">
                  <c:v>-7426672.9587099999</c:v>
                </c:pt>
                <c:pt idx="10">
                  <c:v>-7705153.5024699979</c:v>
                </c:pt>
                <c:pt idx="11">
                  <c:v>-7760220.6083899997</c:v>
                </c:pt>
                <c:pt idx="12">
                  <c:v>-46470076.636700004</c:v>
                </c:pt>
                <c:pt idx="13">
                  <c:v>-47841086.069260001</c:v>
                </c:pt>
                <c:pt idx="14">
                  <c:v>-48118173.339259997</c:v>
                </c:pt>
                <c:pt idx="15">
                  <c:v>-95868376.344239995</c:v>
                </c:pt>
                <c:pt idx="16">
                  <c:v>-98641551.244240001</c:v>
                </c:pt>
                <c:pt idx="17">
                  <c:v>-99198169.314239994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608336"/>
        <c:axId val="329608728"/>
      </c:lineChart>
      <c:catAx>
        <c:axId val="32960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608728"/>
        <c:crosses val="autoZero"/>
        <c:auto val="1"/>
        <c:lblAlgn val="ctr"/>
        <c:lblOffset val="100"/>
        <c:noMultiLvlLbl val="0"/>
      </c:catAx>
      <c:valAx>
        <c:axId val="329608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MJ/Year</a:t>
                </a:r>
              </a:p>
            </c:rich>
          </c:tx>
          <c:layout>
            <c:manualLayout>
              <c:xMode val="edge"/>
              <c:yMode val="edge"/>
              <c:x val="9.8826086259994807E-3"/>
              <c:y val="0.38105687460904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608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74005775350282E-2"/>
          <c:y val="0.20950455723278777"/>
          <c:w val="0.93428981141411516"/>
          <c:h val="0.71173493392717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AnMBR_35LCIA_Summary_yr!$C$20</c:f>
              <c:strCache>
                <c:ptCount val="1"/>
                <c:pt idx="0">
                  <c:v>Acidification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AnMBR_35LCIA_Summary_yr!$D$19:$U$19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AnMBR_35LCIA_Summary_yr!$D$20:$U$20</c:f>
              <c:numCache>
                <c:formatCode>0%</c:formatCode>
                <c:ptCount val="18"/>
                <c:pt idx="0">
                  <c:v>1</c:v>
                </c:pt>
                <c:pt idx="1">
                  <c:v>1.0802626891563281</c:v>
                </c:pt>
                <c:pt idx="2">
                  <c:v>1.1355807505847002</c:v>
                </c:pt>
                <c:pt idx="3">
                  <c:v>1.146995957436922</c:v>
                </c:pt>
                <c:pt idx="4">
                  <c:v>4.1115809364496698</c:v>
                </c:pt>
                <c:pt idx="5">
                  <c:v>4.2695816489320508</c:v>
                </c:pt>
                <c:pt idx="6">
                  <c:v>4.3811703297554319</c:v>
                </c:pt>
                <c:pt idx="7">
                  <c:v>4.4032030729674885</c:v>
                </c:pt>
                <c:pt idx="8">
                  <c:v>66.22213961556929</c:v>
                </c:pt>
                <c:pt idx="9">
                  <c:v>67.409584436906584</c:v>
                </c:pt>
                <c:pt idx="10">
                  <c:v>68.936542601799786</c:v>
                </c:pt>
                <c:pt idx="11">
                  <c:v>69.164536963895728</c:v>
                </c:pt>
                <c:pt idx="12">
                  <c:v>350.52197078822235</c:v>
                </c:pt>
                <c:pt idx="13">
                  <c:v>355.98949862924582</c:v>
                </c:pt>
                <c:pt idx="14">
                  <c:v>357.09926738224681</c:v>
                </c:pt>
                <c:pt idx="15">
                  <c:v>709.07175936682006</c:v>
                </c:pt>
                <c:pt idx="16">
                  <c:v>720.17486795842819</c:v>
                </c:pt>
                <c:pt idx="17">
                  <c:v>722.40757089974136</c:v>
                </c:pt>
              </c:numCache>
            </c:numRef>
          </c:val>
        </c:ser>
        <c:ser>
          <c:idx val="1"/>
          <c:order val="1"/>
          <c:tx>
            <c:strRef>
              <c:f>AnMBR_35LCIA_Summary_yr!$C$21</c:f>
              <c:strCache>
                <c:ptCount val="1"/>
                <c:pt idx="0">
                  <c:v>Ecotoxicity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AnMBR_35LCIA_Summary_yr!$D$19:$U$19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AnMBR_35LCIA_Summary_yr!$D$21:$U$21</c:f>
              <c:numCache>
                <c:formatCode>0%</c:formatCode>
                <c:ptCount val="18"/>
                <c:pt idx="0">
                  <c:v>8.8813760639450123E-3</c:v>
                </c:pt>
                <c:pt idx="1">
                  <c:v>8.1801276855712392E-3</c:v>
                </c:pt>
                <c:pt idx="2">
                  <c:v>7.6809953925126503E-3</c:v>
                </c:pt>
                <c:pt idx="3">
                  <c:v>7.5834179134629661E-3</c:v>
                </c:pt>
                <c:pt idx="4">
                  <c:v>1.4739675747773533E-2</c:v>
                </c:pt>
                <c:pt idx="5">
                  <c:v>1.332184503946667E-2</c:v>
                </c:pt>
                <c:pt idx="6">
                  <c:v>1.2340082705979997E-2</c:v>
                </c:pt>
                <c:pt idx="7">
                  <c:v>1.2153300572224128E-2</c:v>
                </c:pt>
                <c:pt idx="8">
                  <c:v>0.10372079551567104</c:v>
                </c:pt>
                <c:pt idx="9">
                  <c:v>0.10906869366902516</c:v>
                </c:pt>
                <c:pt idx="10">
                  <c:v>7.9662312311215927E-2</c:v>
                </c:pt>
                <c:pt idx="11">
                  <c:v>7.6997855680742258E-2</c:v>
                </c:pt>
                <c:pt idx="12">
                  <c:v>0.52380778526626304</c:v>
                </c:pt>
                <c:pt idx="13">
                  <c:v>0.47449331025938718</c:v>
                </c:pt>
                <c:pt idx="14">
                  <c:v>0.46485726038266723</c:v>
                </c:pt>
                <c:pt idx="15">
                  <c:v>1</c:v>
                </c:pt>
                <c:pt idx="16">
                  <c:v>0.90335472784669935</c:v>
                </c:pt>
                <c:pt idx="17">
                  <c:v>0.88272934601913566</c:v>
                </c:pt>
              </c:numCache>
            </c:numRef>
          </c:val>
        </c:ser>
        <c:ser>
          <c:idx val="2"/>
          <c:order val="2"/>
          <c:tx>
            <c:strRef>
              <c:f>AnMBR_35LCIA_Summary_yr!$C$22</c:f>
              <c:strCache>
                <c:ptCount val="1"/>
                <c:pt idx="0">
                  <c:v>Energy Demand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AnMBR_35LCIA_Summary_yr!$D$19:$U$19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AnMBR_35LCIA_Summary_yr!$D$22:$U$22</c:f>
              <c:numCache>
                <c:formatCode>0%</c:formatCode>
                <c:ptCount val="18"/>
                <c:pt idx="0">
                  <c:v>0.32510953556703331</c:v>
                </c:pt>
                <c:pt idx="1">
                  <c:v>0.31657829309128488</c:v>
                </c:pt>
                <c:pt idx="2">
                  <c:v>0.31065878233900435</c:v>
                </c:pt>
                <c:pt idx="3">
                  <c:v>0.30944197922585709</c:v>
                </c:pt>
                <c:pt idx="4">
                  <c:v>0.39665039534469898</c:v>
                </c:pt>
                <c:pt idx="5">
                  <c:v>0.37974192288909014</c:v>
                </c:pt>
                <c:pt idx="6">
                  <c:v>0.36784807627003402</c:v>
                </c:pt>
                <c:pt idx="7">
                  <c:v>0.36549414691217386</c:v>
                </c:pt>
                <c:pt idx="8">
                  <c:v>1</c:v>
                </c:pt>
                <c:pt idx="9">
                  <c:v>0.82964253870711402</c:v>
                </c:pt>
                <c:pt idx="10">
                  <c:v>0.71068597423840763</c:v>
                </c:pt>
                <c:pt idx="11">
                  <c:v>0.68716334803611734</c:v>
                </c:pt>
                <c:pt idx="12">
                  <c:v>-0.94019024656963712</c:v>
                </c:pt>
                <c:pt idx="13">
                  <c:v>-1.525834650122976</c:v>
                </c:pt>
                <c:pt idx="14">
                  <c:v>-1.64419605969283</c:v>
                </c:pt>
                <c:pt idx="15">
                  <c:v>-3.5591676896537696</c:v>
                </c:pt>
                <c:pt idx="16">
                  <c:v>-4.7437651998452148</c:v>
                </c:pt>
                <c:pt idx="17">
                  <c:v>-4.9815318044144368</c:v>
                </c:pt>
              </c:numCache>
            </c:numRef>
          </c:val>
        </c:ser>
        <c:ser>
          <c:idx val="3"/>
          <c:order val="3"/>
          <c:tx>
            <c:strRef>
              <c:f>AnMBR_35LCIA_Summary_yr!$C$23</c:f>
              <c:strCache>
                <c:ptCount val="1"/>
                <c:pt idx="0">
                  <c:v>Eutrophication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AnMBR_35LCIA_Summary_yr!$D$19:$U$19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AnMBR_35LCIA_Summary_yr!$D$23:$U$23</c:f>
              <c:numCache>
                <c:formatCode>0%</c:formatCode>
                <c:ptCount val="18"/>
                <c:pt idx="0">
                  <c:v>9.3107950005707121E-3</c:v>
                </c:pt>
                <c:pt idx="1">
                  <c:v>9.1850602100216859E-3</c:v>
                </c:pt>
                <c:pt idx="2">
                  <c:v>9.0961362858121217E-3</c:v>
                </c:pt>
                <c:pt idx="3">
                  <c:v>9.078479910969068E-3</c:v>
                </c:pt>
                <c:pt idx="4">
                  <c:v>1.4560124415021117E-2</c:v>
                </c:pt>
                <c:pt idx="5">
                  <c:v>1.4309082867252597E-2</c:v>
                </c:pt>
                <c:pt idx="6">
                  <c:v>1.4133196838260474E-2</c:v>
                </c:pt>
                <c:pt idx="7">
                  <c:v>1.4098668816345167E-2</c:v>
                </c:pt>
                <c:pt idx="8">
                  <c:v>8.8835463988129207E-2</c:v>
                </c:pt>
                <c:pt idx="9">
                  <c:v>0.12000128409998859</c:v>
                </c:pt>
                <c:pt idx="10">
                  <c:v>8.4531232165277942E-2</c:v>
                </c:pt>
                <c:pt idx="11">
                  <c:v>8.4146358863143478E-2</c:v>
                </c:pt>
                <c:pt idx="12">
                  <c:v>0.53204899554845331</c:v>
                </c:pt>
                <c:pt idx="13">
                  <c:v>0.52335278507019745</c:v>
                </c:pt>
                <c:pt idx="14">
                  <c:v>0.52160498230795571</c:v>
                </c:pt>
                <c:pt idx="15">
                  <c:v>1</c:v>
                </c:pt>
                <c:pt idx="16">
                  <c:v>0.98246133432256588</c:v>
                </c:pt>
                <c:pt idx="17">
                  <c:v>0.97888725602100213</c:v>
                </c:pt>
              </c:numCache>
            </c:numRef>
          </c:val>
        </c:ser>
        <c:ser>
          <c:idx val="4"/>
          <c:order val="4"/>
          <c:tx>
            <c:strRef>
              <c:f>AnMBR_35LCIA_Summary_yr!$C$24</c:f>
              <c:strCache>
                <c:ptCount val="1"/>
                <c:pt idx="0">
                  <c:v>Fossil Depletion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AnMBR_35LCIA_Summary_yr!$D$19:$U$19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AnMBR_35LCIA_Summary_yr!$D$24:$U$24</c:f>
              <c:numCache>
                <c:formatCode>0%</c:formatCode>
                <c:ptCount val="18"/>
                <c:pt idx="0">
                  <c:v>1.9900607243751582E-2</c:v>
                </c:pt>
                <c:pt idx="1">
                  <c:v>1.9564511436267563E-2</c:v>
                </c:pt>
                <c:pt idx="2">
                  <c:v>1.9330436333261376E-2</c:v>
                </c:pt>
                <c:pt idx="3">
                  <c:v>1.9282476278074466E-2</c:v>
                </c:pt>
                <c:pt idx="4">
                  <c:v>2.8374238598928174E-2</c:v>
                </c:pt>
                <c:pt idx="5">
                  <c:v>2.7707772156888508E-2</c:v>
                </c:pt>
                <c:pt idx="6">
                  <c:v>2.7238401832055337E-2</c:v>
                </c:pt>
                <c:pt idx="7">
                  <c:v>2.7145578946380471E-2</c:v>
                </c:pt>
                <c:pt idx="8">
                  <c:v>0.13230780782190019</c:v>
                </c:pt>
                <c:pt idx="9">
                  <c:v>0.12959820548678047</c:v>
                </c:pt>
                <c:pt idx="10">
                  <c:v>0.12088937276507081</c:v>
                </c:pt>
                <c:pt idx="11">
                  <c:v>0.11992641744957624</c:v>
                </c:pt>
                <c:pt idx="12">
                  <c:v>0.53761344758651108</c:v>
                </c:pt>
                <c:pt idx="13">
                  <c:v>0.51455320187335163</c:v>
                </c:pt>
                <c:pt idx="14">
                  <c:v>0.50988390100143599</c:v>
                </c:pt>
                <c:pt idx="15">
                  <c:v>1</c:v>
                </c:pt>
                <c:pt idx="16">
                  <c:v>0.95326944916328005</c:v>
                </c:pt>
                <c:pt idx="17">
                  <c:v>0.94388391977249475</c:v>
                </c:pt>
              </c:numCache>
            </c:numRef>
          </c:val>
        </c:ser>
        <c:ser>
          <c:idx val="5"/>
          <c:order val="5"/>
          <c:tx>
            <c:strRef>
              <c:f>AnMBR_35LCIA_Summary_yr!$C$25</c:f>
              <c:strCache>
                <c:ptCount val="1"/>
                <c:pt idx="0">
                  <c:v>Global Warming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AnMBR_35LCIA_Summary_yr!$D$19:$U$19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AnMBR_35LCIA_Summary_yr!$D$25:$U$25</c:f>
              <c:numCache>
                <c:formatCode>0%</c:formatCode>
                <c:ptCount val="18"/>
                <c:pt idx="0">
                  <c:v>0.84935145940493217</c:v>
                </c:pt>
                <c:pt idx="1">
                  <c:v>0.84676667969789232</c:v>
                </c:pt>
                <c:pt idx="2">
                  <c:v>0.8448194145268435</c:v>
                </c:pt>
                <c:pt idx="3">
                  <c:v>0.84445193473590574</c:v>
                </c:pt>
                <c:pt idx="4">
                  <c:v>1</c:v>
                </c:pt>
                <c:pt idx="5">
                  <c:v>0.99524319761442648</c:v>
                </c:pt>
                <c:pt idx="6">
                  <c:v>0.99152459664474291</c:v>
                </c:pt>
                <c:pt idx="7">
                  <c:v>0.99081590583599688</c:v>
                </c:pt>
                <c:pt idx="8">
                  <c:v>0.24726797845970572</c:v>
                </c:pt>
                <c:pt idx="9">
                  <c:v>0.1938129626379396</c:v>
                </c:pt>
                <c:pt idx="10">
                  <c:v>0.15662710381557751</c:v>
                </c:pt>
                <c:pt idx="11">
                  <c:v>0.14932695662702697</c:v>
                </c:pt>
                <c:pt idx="12">
                  <c:v>-6.0447948212242499</c:v>
                </c:pt>
                <c:pt idx="13">
                  <c:v>-6.1956076049136213</c:v>
                </c:pt>
                <c:pt idx="14">
                  <c:v>-6.2317420405600226</c:v>
                </c:pt>
                <c:pt idx="15">
                  <c:v>-19.77797236552648</c:v>
                </c:pt>
                <c:pt idx="16">
                  <c:v>-20.143349844857152</c:v>
                </c:pt>
                <c:pt idx="17">
                  <c:v>-20.218527346761707</c:v>
                </c:pt>
              </c:numCache>
            </c:numRef>
          </c:val>
        </c:ser>
        <c:ser>
          <c:idx val="6"/>
          <c:order val="6"/>
          <c:tx>
            <c:strRef>
              <c:f>AnMBR_35LCIA_Summary_yr!$C$26</c:f>
              <c:strCache>
                <c:ptCount val="1"/>
                <c:pt idx="0">
                  <c:v>Human Health Criteria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AnMBR_35LCIA_Summary_yr!$D$19:$U$19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AnMBR_35LCIA_Summary_yr!$D$26:$U$26</c:f>
              <c:numCache>
                <c:formatCode>0%</c:formatCode>
                <c:ptCount val="18"/>
                <c:pt idx="0">
                  <c:v>1</c:v>
                </c:pt>
                <c:pt idx="1">
                  <c:v>1.10022027910975</c:v>
                </c:pt>
                <c:pt idx="2">
                  <c:v>1.1694218344951712</c:v>
                </c:pt>
                <c:pt idx="3">
                  <c:v>1.1836509919275766</c:v>
                </c:pt>
                <c:pt idx="4">
                  <c:v>4.4433755087238582</c:v>
                </c:pt>
                <c:pt idx="5">
                  <c:v>4.6409719144135071</c:v>
                </c:pt>
                <c:pt idx="6">
                  <c:v>4.7803588937690566</c:v>
                </c:pt>
                <c:pt idx="7">
                  <c:v>4.8077426763911832</c:v>
                </c:pt>
                <c:pt idx="8">
                  <c:v>73.607809163073696</c:v>
                </c:pt>
                <c:pt idx="9">
                  <c:v>74.603262548521855</c:v>
                </c:pt>
                <c:pt idx="10">
                  <c:v>76.999805241031012</c:v>
                </c:pt>
                <c:pt idx="11">
                  <c:v>77.296812668735143</c:v>
                </c:pt>
                <c:pt idx="12">
                  <c:v>388.79430766544436</c:v>
                </c:pt>
                <c:pt idx="13">
                  <c:v>395.63269801614484</c:v>
                </c:pt>
                <c:pt idx="14">
                  <c:v>397.01615827859933</c:v>
                </c:pt>
                <c:pt idx="15">
                  <c:v>787.70432902177276</c:v>
                </c:pt>
                <c:pt idx="16">
                  <c:v>801.55068434272209</c:v>
                </c:pt>
                <c:pt idx="17">
                  <c:v>804.35286295684409</c:v>
                </c:pt>
              </c:numCache>
            </c:numRef>
          </c:val>
        </c:ser>
        <c:ser>
          <c:idx val="7"/>
          <c:order val="7"/>
          <c:tx>
            <c:strRef>
              <c:f>AnMBR_35LCIA_Summary_yr!$C$27</c:f>
              <c:strCache>
                <c:ptCount val="1"/>
                <c:pt idx="0">
                  <c:v>Human Health Cancer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AnMBR_35LCIA_Summary_yr!$D$19:$U$19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AnMBR_35LCIA_Summary_yr!$D$27:$U$27</c:f>
              <c:numCache>
                <c:formatCode>0%</c:formatCode>
                <c:ptCount val="18"/>
                <c:pt idx="0">
                  <c:v>1</c:v>
                </c:pt>
                <c:pt idx="1">
                  <c:v>0.1381024923965854</c:v>
                </c:pt>
                <c:pt idx="2">
                  <c:v>-0.4671543370747393</c:v>
                </c:pt>
                <c:pt idx="3">
                  <c:v>-0.58602875967769141</c:v>
                </c:pt>
                <c:pt idx="4">
                  <c:v>-0.28850809852066661</c:v>
                </c:pt>
                <c:pt idx="5">
                  <c:v>-1.8331247721695985</c:v>
                </c:pt>
                <c:pt idx="6">
                  <c:v>-3.0378837752109642</c:v>
                </c:pt>
                <c:pt idx="7">
                  <c:v>-3.2777925886430284</c:v>
                </c:pt>
                <c:pt idx="8">
                  <c:v>-26.894243167808312</c:v>
                </c:pt>
                <c:pt idx="9">
                  <c:v>-42.14712811277537</c:v>
                </c:pt>
                <c:pt idx="10">
                  <c:v>-56.417880401960836</c:v>
                </c:pt>
                <c:pt idx="11">
                  <c:v>-58.672517260703273</c:v>
                </c:pt>
                <c:pt idx="12">
                  <c:v>-235.46020380959638</c:v>
                </c:pt>
                <c:pt idx="13">
                  <c:v>-286.66913312912476</c:v>
                </c:pt>
                <c:pt idx="14">
                  <c:v>-298.70401906430396</c:v>
                </c:pt>
                <c:pt idx="15">
                  <c:v>-464.05312324876638</c:v>
                </c:pt>
                <c:pt idx="16">
                  <c:v>-585.34050783736586</c:v>
                </c:pt>
                <c:pt idx="17">
                  <c:v>-608.5479246350634</c:v>
                </c:pt>
              </c:numCache>
            </c:numRef>
          </c:val>
        </c:ser>
        <c:ser>
          <c:idx val="8"/>
          <c:order val="8"/>
          <c:tx>
            <c:strRef>
              <c:f>AnMBR_35LCIA_Summary_yr!$C$28</c:f>
              <c:strCache>
                <c:ptCount val="1"/>
                <c:pt idx="0">
                  <c:v>Human Health NonCancer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AnMBR_35LCIA_Summary_yr!$D$19:$U$19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AnMBR_35LCIA_Summary_yr!$D$28:$U$28</c:f>
              <c:numCache>
                <c:formatCode>0%</c:formatCode>
                <c:ptCount val="18"/>
                <c:pt idx="0">
                  <c:v>1</c:v>
                </c:pt>
                <c:pt idx="1">
                  <c:v>0.86188076634602073</c:v>
                </c:pt>
                <c:pt idx="2">
                  <c:v>0.76603289957546583</c:v>
                </c:pt>
                <c:pt idx="3">
                  <c:v>0.74660846009888804</c:v>
                </c:pt>
                <c:pt idx="4">
                  <c:v>-0.2418340894361633</c:v>
                </c:pt>
                <c:pt idx="5">
                  <c:v>-0.51377005250242114</c:v>
                </c:pt>
                <c:pt idx="6">
                  <c:v>-0.70601556867913806</c:v>
                </c:pt>
                <c:pt idx="7">
                  <c:v>-0.74243593757964566</c:v>
                </c:pt>
                <c:pt idx="8">
                  <c:v>-30.26345875173855</c:v>
                </c:pt>
                <c:pt idx="9">
                  <c:v>-31.006684774297842</c:v>
                </c:pt>
                <c:pt idx="10">
                  <c:v>-34.948189358247099</c:v>
                </c:pt>
                <c:pt idx="11">
                  <c:v>-35.422021889358973</c:v>
                </c:pt>
                <c:pt idx="12">
                  <c:v>-170.23345736817961</c:v>
                </c:pt>
                <c:pt idx="13">
                  <c:v>-179.63109949245231</c:v>
                </c:pt>
                <c:pt idx="14">
                  <c:v>-181.50727824826873</c:v>
                </c:pt>
                <c:pt idx="15">
                  <c:v>-353.2717528235525</c:v>
                </c:pt>
                <c:pt idx="16">
                  <c:v>-372.08633407851335</c:v>
                </c:pt>
                <c:pt idx="17">
                  <c:v>-376.08409125663559</c:v>
                </c:pt>
              </c:numCache>
            </c:numRef>
          </c:val>
        </c:ser>
        <c:ser>
          <c:idx val="9"/>
          <c:order val="9"/>
          <c:tx>
            <c:strRef>
              <c:f>AnMBR_35LCIA_Summary_yr!$C$29</c:f>
              <c:strCache>
                <c:ptCount val="1"/>
                <c:pt idx="0">
                  <c:v>Ozone Depletion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AnMBR_35LCIA_Summary_yr!$D$19:$U$19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AnMBR_35LCIA_Summary_yr!$D$29:$U$29</c:f>
              <c:numCache>
                <c:formatCode>0%</c:formatCode>
                <c:ptCount val="18"/>
                <c:pt idx="0">
                  <c:v>1</c:v>
                </c:pt>
                <c:pt idx="1">
                  <c:v>1.322222118184627</c:v>
                </c:pt>
                <c:pt idx="2">
                  <c:v>1.5452953679341566</c:v>
                </c:pt>
                <c:pt idx="3">
                  <c:v>1.5908482289160011</c:v>
                </c:pt>
                <c:pt idx="4">
                  <c:v>9.6628245582823808</c:v>
                </c:pt>
                <c:pt idx="5">
                  <c:v>10.301594584218952</c:v>
                </c:pt>
                <c:pt idx="6">
                  <c:v>10.749819754866618</c:v>
                </c:pt>
                <c:pt idx="7">
                  <c:v>10.836899221902826</c:v>
                </c:pt>
                <c:pt idx="8">
                  <c:v>188.12067528722179</c:v>
                </c:pt>
                <c:pt idx="9">
                  <c:v>173.80031648236405</c:v>
                </c:pt>
                <c:pt idx="10">
                  <c:v>173.80031648236405</c:v>
                </c:pt>
                <c:pt idx="11">
                  <c:v>200.07771608348392</c:v>
                </c:pt>
                <c:pt idx="12">
                  <c:v>1900.7387709622749</c:v>
                </c:pt>
                <c:pt idx="13">
                  <c:v>1945.0650286987704</c:v>
                </c:pt>
                <c:pt idx="14">
                  <c:v>1954.1943276622439</c:v>
                </c:pt>
                <c:pt idx="15">
                  <c:v>926.58170956656897</c:v>
                </c:pt>
                <c:pt idx="16">
                  <c:v>948.72611166771219</c:v>
                </c:pt>
                <c:pt idx="17">
                  <c:v>953.15499208794085</c:v>
                </c:pt>
              </c:numCache>
            </c:numRef>
          </c:val>
        </c:ser>
        <c:ser>
          <c:idx val="10"/>
          <c:order val="10"/>
          <c:tx>
            <c:strRef>
              <c:f>AnMBR_35LCIA_Summary_yr!$C$30</c:f>
              <c:strCache>
                <c:ptCount val="1"/>
                <c:pt idx="0">
                  <c:v>Smog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AnMBR_35LCIA_Summary_yr!$D$19:$U$19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AnMBR_35LCIA_Summary_yr!$D$30:$U$30</c:f>
              <c:numCache>
                <c:formatCode>0%</c:formatCode>
                <c:ptCount val="18"/>
                <c:pt idx="0">
                  <c:v>1</c:v>
                </c:pt>
                <c:pt idx="1">
                  <c:v>0.42879254694835683</c:v>
                </c:pt>
                <c:pt idx="2">
                  <c:v>3.3776286189358372E-2</c:v>
                </c:pt>
                <c:pt idx="3">
                  <c:v>-4.7047877543035993E-2</c:v>
                </c:pt>
                <c:pt idx="4">
                  <c:v>-10.619192586071987</c:v>
                </c:pt>
                <c:pt idx="5">
                  <c:v>-11.738434076682315</c:v>
                </c:pt>
                <c:pt idx="6">
                  <c:v>-12.53319395539906</c:v>
                </c:pt>
                <c:pt idx="7">
                  <c:v>-12.687793427230046</c:v>
                </c:pt>
                <c:pt idx="8">
                  <c:v>-260.84458137715177</c:v>
                </c:pt>
                <c:pt idx="9">
                  <c:v>-272.03210582942097</c:v>
                </c:pt>
                <c:pt idx="10">
                  <c:v>-280.19427327856027</c:v>
                </c:pt>
                <c:pt idx="11">
                  <c:v>-281.93282961658838</c:v>
                </c:pt>
                <c:pt idx="12">
                  <c:v>-1445.4164221439748</c:v>
                </c:pt>
                <c:pt idx="13">
                  <c:v>-1484.0448943661972</c:v>
                </c:pt>
                <c:pt idx="14">
                  <c:v>-1491.894072769953</c:v>
                </c:pt>
                <c:pt idx="15">
                  <c:v>-2945.9421459311425</c:v>
                </c:pt>
                <c:pt idx="16">
                  <c:v>-3024.5745305164319</c:v>
                </c:pt>
                <c:pt idx="17">
                  <c:v>-3040.6702366979657</c:v>
                </c:pt>
              </c:numCache>
            </c:numRef>
          </c:val>
        </c:ser>
        <c:ser>
          <c:idx val="11"/>
          <c:order val="11"/>
          <c:tx>
            <c:strRef>
              <c:f>AnMBR_35LCIA_Summary_yr!$C$31</c:f>
              <c:strCache>
                <c:ptCount val="1"/>
                <c:pt idx="0">
                  <c:v>Water Depletion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AnMBR_35LCIA_Summary_yr!$D$19:$U$19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AnMBR_35LCIA_Summary_yr!$D$31:$U$31</c:f>
              <c:numCache>
                <c:formatCode>0%</c:formatCode>
                <c:ptCount val="18"/>
                <c:pt idx="0">
                  <c:v>1</c:v>
                </c:pt>
                <c:pt idx="1">
                  <c:v>0.96563184366953048</c:v>
                </c:pt>
                <c:pt idx="2">
                  <c:v>0.94164079609173834</c:v>
                </c:pt>
                <c:pt idx="3">
                  <c:v>0.93677472144008866</c:v>
                </c:pt>
                <c:pt idx="4">
                  <c:v>0.47040406228190512</c:v>
                </c:pt>
                <c:pt idx="5">
                  <c:v>0.40171106779293914</c:v>
                </c:pt>
                <c:pt idx="6">
                  <c:v>0.35380598272086256</c:v>
                </c:pt>
                <c:pt idx="7">
                  <c:v>0.34432411618896352</c:v>
                </c:pt>
                <c:pt idx="8">
                  <c:v>-13.716434433133587</c:v>
                </c:pt>
                <c:pt idx="9">
                  <c:v>-4.5662166389911683</c:v>
                </c:pt>
                <c:pt idx="10">
                  <c:v>-14.885495632084329</c:v>
                </c:pt>
                <c:pt idx="11">
                  <c:v>-14.985175558924746</c:v>
                </c:pt>
                <c:pt idx="12">
                  <c:v>-38.577238707193224</c:v>
                </c:pt>
                <c:pt idx="13">
                  <c:v>-40.965513921979159</c:v>
                </c:pt>
                <c:pt idx="14">
                  <c:v>-41.443217096238541</c:v>
                </c:pt>
                <c:pt idx="15">
                  <c:v>-91.155391909128113</c:v>
                </c:pt>
                <c:pt idx="16">
                  <c:v>-95.938680721006918</c:v>
                </c:pt>
                <c:pt idx="17">
                  <c:v>-96.903232016942226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7305824"/>
        <c:axId val="316645472"/>
      </c:barChart>
      <c:catAx>
        <c:axId val="31730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645472"/>
        <c:crosses val="autoZero"/>
        <c:auto val="1"/>
        <c:lblAlgn val="ctr"/>
        <c:lblOffset val="100"/>
        <c:noMultiLvlLbl val="0"/>
      </c:catAx>
      <c:valAx>
        <c:axId val="316645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  <a:r>
                  <a:rPr lang="en-US" baseline="0"/>
                  <a:t> of Maximum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4638307944210822E-3"/>
              <c:y val="0.428800034271240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30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74005775350282E-2"/>
          <c:y val="0.20950455723278777"/>
          <c:w val="0.93428981141411516"/>
          <c:h val="0.71173493392717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AnMBR_20LCIA_Summary_yr!$C$20</c:f>
              <c:strCache>
                <c:ptCount val="1"/>
                <c:pt idx="0">
                  <c:v>Acidification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AnMBR_20LCIA_Summary_yr!$D$19:$U$19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AnMBR_20LCIA_Summary_yr!$D$20:$U$20</c:f>
              <c:numCache>
                <c:formatCode>0%</c:formatCode>
                <c:ptCount val="18"/>
                <c:pt idx="0">
                  <c:v>1</c:v>
                </c:pt>
                <c:pt idx="1">
                  <c:v>1.0223933001596743</c:v>
                </c:pt>
                <c:pt idx="2">
                  <c:v>1.0378270461110979</c:v>
                </c:pt>
                <c:pt idx="3">
                  <c:v>1.0410118902287513</c:v>
                </c:pt>
                <c:pt idx="4">
                  <c:v>2.5694172858818929</c:v>
                </c:pt>
                <c:pt idx="5">
                  <c:v>2.6135167895734166</c:v>
                </c:pt>
                <c:pt idx="6">
                  <c:v>2.6446305991352954</c:v>
                </c:pt>
                <c:pt idx="7">
                  <c:v>2.6507885406110838</c:v>
                </c:pt>
                <c:pt idx="8">
                  <c:v>32.224183640618214</c:v>
                </c:pt>
                <c:pt idx="9">
                  <c:v>32.555416071579046</c:v>
                </c:pt>
                <c:pt idx="10">
                  <c:v>32.555416071579046</c:v>
                </c:pt>
                <c:pt idx="11">
                  <c:v>33.045026435934716</c:v>
                </c:pt>
                <c:pt idx="12">
                  <c:v>166.04251788503879</c:v>
                </c:pt>
                <c:pt idx="13">
                  <c:v>167.56817489418063</c:v>
                </c:pt>
                <c:pt idx="14">
                  <c:v>167.87758444482378</c:v>
                </c:pt>
                <c:pt idx="15">
                  <c:v>333.96137134115645</c:v>
                </c:pt>
                <c:pt idx="16">
                  <c:v>337.0576275288073</c:v>
                </c:pt>
                <c:pt idx="17">
                  <c:v>337.68206440126443</c:v>
                </c:pt>
              </c:numCache>
            </c:numRef>
          </c:val>
        </c:ser>
        <c:ser>
          <c:idx val="1"/>
          <c:order val="1"/>
          <c:tx>
            <c:strRef>
              <c:f>AnMBR_20LCIA_Summary_yr!$C$21</c:f>
              <c:strCache>
                <c:ptCount val="1"/>
                <c:pt idx="0">
                  <c:v>Ecotoxicity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AnMBR_20LCIA_Summary_yr!$D$19:$U$19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AnMBR_20LCIA_Summary_yr!$D$21:$U$21</c:f>
              <c:numCache>
                <c:formatCode>0%</c:formatCode>
                <c:ptCount val="18"/>
                <c:pt idx="0">
                  <c:v>1.0506998939554613E-2</c:v>
                </c:pt>
                <c:pt idx="1">
                  <c:v>9.4885471898197241E-3</c:v>
                </c:pt>
                <c:pt idx="2">
                  <c:v>8.7636974195828918E-3</c:v>
                </c:pt>
                <c:pt idx="3">
                  <c:v>8.6219865676917633E-3</c:v>
                </c:pt>
                <c:pt idx="4">
                  <c:v>1.6687027218098269E-2</c:v>
                </c:pt>
                <c:pt idx="5">
                  <c:v>1.4627889713679745E-2</c:v>
                </c:pt>
                <c:pt idx="6">
                  <c:v>1.3202120890774126E-2</c:v>
                </c:pt>
                <c:pt idx="7">
                  <c:v>1.2930858960763521E-2</c:v>
                </c:pt>
                <c:pt idx="8">
                  <c:v>0.10496854012018381</c:v>
                </c:pt>
                <c:pt idx="9">
                  <c:v>0.11273559561682574</c:v>
                </c:pt>
                <c:pt idx="10">
                  <c:v>0.11273559561682574</c:v>
                </c:pt>
                <c:pt idx="11">
                  <c:v>6.6159420289855081E-2</c:v>
                </c:pt>
                <c:pt idx="12">
                  <c:v>0.53399080947331212</c:v>
                </c:pt>
                <c:pt idx="13">
                  <c:v>0.46237186284906329</c:v>
                </c:pt>
                <c:pt idx="14">
                  <c:v>0.44837751855779429</c:v>
                </c:pt>
                <c:pt idx="15">
                  <c:v>1</c:v>
                </c:pt>
                <c:pt idx="16">
                  <c:v>0.85964298338635559</c:v>
                </c:pt>
                <c:pt idx="17">
                  <c:v>0.82968893601979499</c:v>
                </c:pt>
              </c:numCache>
            </c:numRef>
          </c:val>
        </c:ser>
        <c:ser>
          <c:idx val="2"/>
          <c:order val="2"/>
          <c:tx>
            <c:strRef>
              <c:f>AnMBR_20LCIA_Summary_yr!$C$22</c:f>
              <c:strCache>
                <c:ptCount val="1"/>
                <c:pt idx="0">
                  <c:v>Energy Demand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AnMBR_20LCIA_Summary_yr!$D$19:$U$19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AnMBR_20LCIA_Summary_yr!$D$22:$U$22</c:f>
              <c:numCache>
                <c:formatCode>0%</c:formatCode>
                <c:ptCount val="18"/>
                <c:pt idx="0">
                  <c:v>1</c:v>
                </c:pt>
                <c:pt idx="1">
                  <c:v>1.0517352669571118</c:v>
                </c:pt>
                <c:pt idx="2">
                  <c:v>1.0876324378434499</c:v>
                </c:pt>
                <c:pt idx="3">
                  <c:v>1.0950113904487564</c:v>
                </c:pt>
                <c:pt idx="4">
                  <c:v>3.2514906438278959</c:v>
                </c:pt>
                <c:pt idx="5">
                  <c:v>3.3540272132449007</c:v>
                </c:pt>
                <c:pt idx="6">
                  <c:v>3.4261540261602548</c:v>
                </c:pt>
                <c:pt idx="7">
                  <c:v>3.4404287539121952</c:v>
                </c:pt>
                <c:pt idx="8">
                  <c:v>43.609834112894838</c:v>
                </c:pt>
                <c:pt idx="9">
                  <c:v>44.642917953047913</c:v>
                </c:pt>
                <c:pt idx="10">
                  <c:v>45.364295834005368</c:v>
                </c:pt>
                <c:pt idx="11">
                  <c:v>45.506942037013587</c:v>
                </c:pt>
                <c:pt idx="12">
                  <c:v>246.89552951973207</c:v>
                </c:pt>
                <c:pt idx="13">
                  <c:v>250.44700161138806</c:v>
                </c:pt>
                <c:pt idx="14">
                  <c:v>251.16477034658971</c:v>
                </c:pt>
                <c:pt idx="15">
                  <c:v>498.6830586639303</c:v>
                </c:pt>
                <c:pt idx="16">
                  <c:v>505.86670965037212</c:v>
                </c:pt>
                <c:pt idx="17">
                  <c:v>507.3085768573871</c:v>
                </c:pt>
              </c:numCache>
            </c:numRef>
          </c:val>
        </c:ser>
        <c:ser>
          <c:idx val="3"/>
          <c:order val="3"/>
          <c:tx>
            <c:strRef>
              <c:f>AnMBR_20LCIA_Summary_yr!$C$23</c:f>
              <c:strCache>
                <c:ptCount val="1"/>
                <c:pt idx="0">
                  <c:v>Eutrophication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AnMBR_20LCIA_Summary_yr!$D$19:$U$19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AnMBR_20LCIA_Summary_yr!$D$23:$U$23</c:f>
              <c:numCache>
                <c:formatCode>0%</c:formatCode>
                <c:ptCount val="18"/>
                <c:pt idx="0">
                  <c:v>1</c:v>
                </c:pt>
                <c:pt idx="1">
                  <c:v>0.90599628315233471</c:v>
                </c:pt>
                <c:pt idx="2">
                  <c:v>0.83953030137395379</c:v>
                </c:pt>
                <c:pt idx="3">
                  <c:v>0.8263293596303416</c:v>
                </c:pt>
                <c:pt idx="4">
                  <c:v>-0.87913312660479026</c:v>
                </c:pt>
                <c:pt idx="5">
                  <c:v>-1.0667939389253138</c:v>
                </c:pt>
                <c:pt idx="6">
                  <c:v>-1.1982754253444214</c:v>
                </c:pt>
                <c:pt idx="7">
                  <c:v>-1.224077387221403</c:v>
                </c:pt>
                <c:pt idx="8">
                  <c:v>-47.445267151758841</c:v>
                </c:pt>
                <c:pt idx="9">
                  <c:v>-24.148684571882608</c:v>
                </c:pt>
                <c:pt idx="10">
                  <c:v>-24.148684571882608</c:v>
                </c:pt>
                <c:pt idx="11">
                  <c:v>-50.950409146538185</c:v>
                </c:pt>
                <c:pt idx="12">
                  <c:v>-167.61116547437803</c:v>
                </c:pt>
                <c:pt idx="13">
                  <c:v>-174.11058288383651</c:v>
                </c:pt>
                <c:pt idx="14">
                  <c:v>-175.41867862599284</c:v>
                </c:pt>
                <c:pt idx="15">
                  <c:v>-380.23831552677115</c:v>
                </c:pt>
                <c:pt idx="16">
                  <c:v>-393.34860244927995</c:v>
                </c:pt>
                <c:pt idx="17">
                  <c:v>-396.01758703529401</c:v>
                </c:pt>
              </c:numCache>
            </c:numRef>
          </c:val>
        </c:ser>
        <c:ser>
          <c:idx val="4"/>
          <c:order val="4"/>
          <c:tx>
            <c:strRef>
              <c:f>AnMBR_20LCIA_Summary_yr!$C$24</c:f>
              <c:strCache>
                <c:ptCount val="1"/>
                <c:pt idx="0">
                  <c:v>Fossil Depletion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AnMBR_20LCIA_Summary_yr!$D$19:$U$19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AnMBR_20LCIA_Summary_yr!$D$24:$U$24</c:f>
              <c:numCache>
                <c:formatCode>0%</c:formatCode>
                <c:ptCount val="18"/>
                <c:pt idx="0">
                  <c:v>1</c:v>
                </c:pt>
                <c:pt idx="1">
                  <c:v>1.0040209285853001</c:v>
                </c:pt>
                <c:pt idx="2">
                  <c:v>1.0068205365952771</c:v>
                </c:pt>
                <c:pt idx="3">
                  <c:v>1.0073941531522532</c:v>
                </c:pt>
                <c:pt idx="4">
                  <c:v>2.1043084103861642</c:v>
                </c:pt>
                <c:pt idx="5">
                  <c:v>2.1122784251699804</c:v>
                </c:pt>
                <c:pt idx="6">
                  <c:v>2.1178911116374564</c:v>
                </c:pt>
                <c:pt idx="7">
                  <c:v>2.1190024235580167</c:v>
                </c:pt>
                <c:pt idx="8">
                  <c:v>22.074583622854412</c:v>
                </c:pt>
                <c:pt idx="9">
                  <c:v>22.107024950636426</c:v>
                </c:pt>
                <c:pt idx="10">
                  <c:v>22.107024950636426</c:v>
                </c:pt>
                <c:pt idx="11">
                  <c:v>22.222646291866432</c:v>
                </c:pt>
                <c:pt idx="12">
                  <c:v>111.04397090832352</c:v>
                </c:pt>
                <c:pt idx="13">
                  <c:v>111.31977832133529</c:v>
                </c:pt>
                <c:pt idx="14">
                  <c:v>111.37568067855135</c:v>
                </c:pt>
                <c:pt idx="15">
                  <c:v>222.38923082622114</c:v>
                </c:pt>
                <c:pt idx="16">
                  <c:v>222.94825439838178</c:v>
                </c:pt>
                <c:pt idx="17">
                  <c:v>223.06050812773128</c:v>
                </c:pt>
              </c:numCache>
            </c:numRef>
          </c:val>
        </c:ser>
        <c:ser>
          <c:idx val="5"/>
          <c:order val="5"/>
          <c:tx>
            <c:strRef>
              <c:f>AnMBR_20LCIA_Summary_yr!$C$25</c:f>
              <c:strCache>
                <c:ptCount val="1"/>
                <c:pt idx="0">
                  <c:v>Global Warming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AnMBR_20LCIA_Summary_yr!$D$19:$U$19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AnMBR_20LCIA_Summary_yr!$D$25:$U$25</c:f>
              <c:numCache>
                <c:formatCode>0%</c:formatCode>
                <c:ptCount val="18"/>
                <c:pt idx="0">
                  <c:v>1</c:v>
                </c:pt>
                <c:pt idx="1">
                  <c:v>1.0050809433918328</c:v>
                </c:pt>
                <c:pt idx="2">
                  <c:v>1.0089087141206259</c:v>
                </c:pt>
                <c:pt idx="3">
                  <c:v>1.0096310751057076</c:v>
                </c:pt>
                <c:pt idx="4">
                  <c:v>2.9761277976300358</c:v>
                </c:pt>
                <c:pt idx="5">
                  <c:v>2.9854783212283937</c:v>
                </c:pt>
                <c:pt idx="6">
                  <c:v>2.9927880354652845</c:v>
                </c:pt>
                <c:pt idx="7">
                  <c:v>2.9941811204820636</c:v>
                </c:pt>
                <c:pt idx="8">
                  <c:v>42.902496098461512</c:v>
                </c:pt>
                <c:pt idx="9">
                  <c:v>43.00757349003193</c:v>
                </c:pt>
                <c:pt idx="10">
                  <c:v>43.080670335824443</c:v>
                </c:pt>
                <c:pt idx="11">
                  <c:v>43.095020353551703</c:v>
                </c:pt>
                <c:pt idx="12">
                  <c:v>222.55294452773074</c:v>
                </c:pt>
                <c:pt idx="13">
                  <c:v>222.84939966261257</c:v>
                </c:pt>
                <c:pt idx="14">
                  <c:v>222.92042970881542</c:v>
                </c:pt>
                <c:pt idx="15">
                  <c:v>455.59476970801933</c:v>
                </c:pt>
                <c:pt idx="16">
                  <c:v>456.31299814507855</c:v>
                </c:pt>
                <c:pt idx="17">
                  <c:v>456.46077577985187</c:v>
                </c:pt>
              </c:numCache>
            </c:numRef>
          </c:val>
        </c:ser>
        <c:ser>
          <c:idx val="6"/>
          <c:order val="6"/>
          <c:tx>
            <c:strRef>
              <c:f>AnMBR_20LCIA_Summary_yr!$C$26</c:f>
              <c:strCache>
                <c:ptCount val="1"/>
                <c:pt idx="0">
                  <c:v>Human Health Criteria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AnMBR_20LCIA_Summary_yr!$D$19:$U$19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AnMBR_20LCIA_Summary_yr!$D$26:$U$26</c:f>
              <c:numCache>
                <c:formatCode>0%</c:formatCode>
                <c:ptCount val="18"/>
                <c:pt idx="0">
                  <c:v>1</c:v>
                </c:pt>
                <c:pt idx="1">
                  <c:v>1.0266610090001562</c:v>
                </c:pt>
                <c:pt idx="2">
                  <c:v>1.0450677803336534</c:v>
                </c:pt>
                <c:pt idx="3">
                  <c:v>1.0488554391763627</c:v>
                </c:pt>
                <c:pt idx="4">
                  <c:v>2.6298903454898719</c:v>
                </c:pt>
                <c:pt idx="5">
                  <c:v>2.6824575116689369</c:v>
                </c:pt>
                <c:pt idx="6">
                  <c:v>2.7195390490653684</c:v>
                </c:pt>
                <c:pt idx="7">
                  <c:v>2.7268285057060542</c:v>
                </c:pt>
                <c:pt idx="8">
                  <c:v>33.575317685418852</c:v>
                </c:pt>
                <c:pt idx="9">
                  <c:v>33.840185809679078</c:v>
                </c:pt>
                <c:pt idx="10">
                  <c:v>33.840185809679078</c:v>
                </c:pt>
                <c:pt idx="11">
                  <c:v>34.55675905040534</c:v>
                </c:pt>
                <c:pt idx="12">
                  <c:v>172.89411974897828</c:v>
                </c:pt>
                <c:pt idx="13">
                  <c:v>174.71335730397303</c:v>
                </c:pt>
                <c:pt idx="14">
                  <c:v>175.08095674118408</c:v>
                </c:pt>
                <c:pt idx="15">
                  <c:v>348.10728722335131</c:v>
                </c:pt>
                <c:pt idx="16">
                  <c:v>351.79087477946263</c:v>
                </c:pt>
                <c:pt idx="17">
                  <c:v>352.53634678517989</c:v>
                </c:pt>
              </c:numCache>
            </c:numRef>
          </c:val>
        </c:ser>
        <c:ser>
          <c:idx val="7"/>
          <c:order val="7"/>
          <c:tx>
            <c:strRef>
              <c:f>AnMBR_20LCIA_Summary_yr!$C$27</c:f>
              <c:strCache>
                <c:ptCount val="1"/>
                <c:pt idx="0">
                  <c:v>Human Health Cancer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AnMBR_20LCIA_Summary_yr!$D$19:$U$19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AnMBR_20LCIA_Summary_yr!$D$27:$U$27</c:f>
              <c:numCache>
                <c:formatCode>0%</c:formatCode>
                <c:ptCount val="18"/>
                <c:pt idx="0">
                  <c:v>1</c:v>
                </c:pt>
                <c:pt idx="1">
                  <c:v>1.2974929577464789</c:v>
                </c:pt>
                <c:pt idx="2">
                  <c:v>1.5064131455399061</c:v>
                </c:pt>
                <c:pt idx="3">
                  <c:v>1.54743661971831</c:v>
                </c:pt>
                <c:pt idx="4">
                  <c:v>2.7538779342723005</c:v>
                </c:pt>
                <c:pt idx="5">
                  <c:v>3.2870140845070424</c:v>
                </c:pt>
                <c:pt idx="6">
                  <c:v>3.7028544600938966</c:v>
                </c:pt>
                <c:pt idx="7">
                  <c:v>3.7856619718309861</c:v>
                </c:pt>
                <c:pt idx="8">
                  <c:v>34.95755868544601</c:v>
                </c:pt>
                <c:pt idx="9">
                  <c:v>40.222347417840382</c:v>
                </c:pt>
                <c:pt idx="10">
                  <c:v>40.222347417840382</c:v>
                </c:pt>
                <c:pt idx="11">
                  <c:v>45.926291079812209</c:v>
                </c:pt>
                <c:pt idx="12">
                  <c:v>208.74272300469482</c:v>
                </c:pt>
                <c:pt idx="13">
                  <c:v>226.41784037558685</c:v>
                </c:pt>
                <c:pt idx="14">
                  <c:v>230.57183098591551</c:v>
                </c:pt>
                <c:pt idx="15">
                  <c:v>414.44882629107985</c:v>
                </c:pt>
                <c:pt idx="16">
                  <c:v>456.31267605633803</c:v>
                </c:pt>
                <c:pt idx="17">
                  <c:v>464.32300469483567</c:v>
                </c:pt>
              </c:numCache>
            </c:numRef>
          </c:val>
        </c:ser>
        <c:ser>
          <c:idx val="8"/>
          <c:order val="8"/>
          <c:tx>
            <c:strRef>
              <c:f>AnMBR_20LCIA_Summary_yr!$C$28</c:f>
              <c:strCache>
                <c:ptCount val="1"/>
                <c:pt idx="0">
                  <c:v>Human Health NonCancer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AnMBR_20LCIA_Summary_yr!$D$19:$U$19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AnMBR_20LCIA_Summary_yr!$D$28:$U$28</c:f>
              <c:numCache>
                <c:formatCode>0%</c:formatCode>
                <c:ptCount val="18"/>
                <c:pt idx="0">
                  <c:v>1</c:v>
                </c:pt>
                <c:pt idx="1">
                  <c:v>1.0225347259354316</c:v>
                </c:pt>
                <c:pt idx="2">
                  <c:v>1.0381777350016042</c:v>
                </c:pt>
                <c:pt idx="3">
                  <c:v>1.041344360080324</c:v>
                </c:pt>
                <c:pt idx="4">
                  <c:v>2.3350562625506481</c:v>
                </c:pt>
                <c:pt idx="5">
                  <c:v>2.3794246604641218</c:v>
                </c:pt>
                <c:pt idx="6">
                  <c:v>2.4107997956249481</c:v>
                </c:pt>
                <c:pt idx="7">
                  <c:v>2.4167409308570682</c:v>
                </c:pt>
                <c:pt idx="8">
                  <c:v>27.153126819472664</c:v>
                </c:pt>
                <c:pt idx="9">
                  <c:v>27.274444800912558</c:v>
                </c:pt>
                <c:pt idx="10">
                  <c:v>27.274444800912558</c:v>
                </c:pt>
                <c:pt idx="11">
                  <c:v>27.994866859159448</c:v>
                </c:pt>
                <c:pt idx="12">
                  <c:v>138.08148861084376</c:v>
                </c:pt>
                <c:pt idx="13">
                  <c:v>139.61489561425398</c:v>
                </c:pt>
                <c:pt idx="14">
                  <c:v>139.92145819223137</c:v>
                </c:pt>
                <c:pt idx="15">
                  <c:v>277.6845019546335</c:v>
                </c:pt>
                <c:pt idx="16">
                  <c:v>280.75428652906999</c:v>
                </c:pt>
                <c:pt idx="17">
                  <c:v>281.40662317755675</c:v>
                </c:pt>
              </c:numCache>
            </c:numRef>
          </c:val>
        </c:ser>
        <c:ser>
          <c:idx val="9"/>
          <c:order val="9"/>
          <c:tx>
            <c:strRef>
              <c:f>AnMBR_20LCIA_Summary_yr!$C$29</c:f>
              <c:strCache>
                <c:ptCount val="1"/>
                <c:pt idx="0">
                  <c:v>Ozone Depletion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AnMBR_20LCIA_Summary_yr!$D$19:$U$19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AnMBR_20LCIA_Summary_yr!$D$29:$U$29</c:f>
              <c:numCache>
                <c:formatCode>0%</c:formatCode>
                <c:ptCount val="18"/>
                <c:pt idx="0">
                  <c:v>1</c:v>
                </c:pt>
                <c:pt idx="1">
                  <c:v>1.196017338702787</c:v>
                </c:pt>
                <c:pt idx="2">
                  <c:v>1.3317194593332231</c:v>
                </c:pt>
                <c:pt idx="3">
                  <c:v>1.359430625252761</c:v>
                </c:pt>
                <c:pt idx="4">
                  <c:v>6.6451546755828463</c:v>
                </c:pt>
                <c:pt idx="5">
                  <c:v>7.0337375613034787</c:v>
                </c:pt>
                <c:pt idx="6">
                  <c:v>7.3063493600514926</c:v>
                </c:pt>
                <c:pt idx="7">
                  <c:v>7.3593793610198173</c:v>
                </c:pt>
                <c:pt idx="8">
                  <c:v>121.71438987018757</c:v>
                </c:pt>
                <c:pt idx="9">
                  <c:v>113.00345748771082</c:v>
                </c:pt>
                <c:pt idx="10">
                  <c:v>113.00345748771082</c:v>
                </c:pt>
                <c:pt idx="11">
                  <c:v>128.98821492244861</c:v>
                </c:pt>
                <c:pt idx="12">
                  <c:v>599.63203672797488</c:v>
                </c:pt>
                <c:pt idx="13">
                  <c:v>613.10313794065883</c:v>
                </c:pt>
                <c:pt idx="14">
                  <c:v>615.79735818319557</c:v>
                </c:pt>
                <c:pt idx="15">
                  <c:v>1227.9036915943748</c:v>
                </c:pt>
                <c:pt idx="16">
                  <c:v>1254.8686781232734</c:v>
                </c:pt>
                <c:pt idx="17">
                  <c:v>1260.4223033589465</c:v>
                </c:pt>
              </c:numCache>
            </c:numRef>
          </c:val>
        </c:ser>
        <c:ser>
          <c:idx val="10"/>
          <c:order val="10"/>
          <c:tx>
            <c:strRef>
              <c:f>AnMBR_20LCIA_Summary_yr!$C$30</c:f>
              <c:strCache>
                <c:ptCount val="1"/>
                <c:pt idx="0">
                  <c:v>Smog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AnMBR_20LCIA_Summary_yr!$D$19:$U$19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AnMBR_20LCIA_Summary_yr!$D$30:$U$30</c:f>
              <c:numCache>
                <c:formatCode>0%</c:formatCode>
                <c:ptCount val="18"/>
                <c:pt idx="0">
                  <c:v>1</c:v>
                </c:pt>
                <c:pt idx="1">
                  <c:v>1.0153077439753608</c:v>
                </c:pt>
                <c:pt idx="2">
                  <c:v>1.0258940711980471</c:v>
                </c:pt>
                <c:pt idx="3">
                  <c:v>1.0280598286397666</c:v>
                </c:pt>
                <c:pt idx="4">
                  <c:v>2.310954931930997</c:v>
                </c:pt>
                <c:pt idx="5">
                  <c:v>2.3409511639717566</c:v>
                </c:pt>
                <c:pt idx="6">
                  <c:v>2.362248324896381</c:v>
                </c:pt>
                <c:pt idx="7">
                  <c:v>2.3663930800609427</c:v>
                </c:pt>
                <c:pt idx="8">
                  <c:v>26.598351927393061</c:v>
                </c:pt>
                <c:pt idx="9">
                  <c:v>26.898150423485852</c:v>
                </c:pt>
                <c:pt idx="10">
                  <c:v>26.898150423485852</c:v>
                </c:pt>
                <c:pt idx="11">
                  <c:v>27.163545813469632</c:v>
                </c:pt>
                <c:pt idx="12">
                  <c:v>136.09344538916466</c:v>
                </c:pt>
                <c:pt idx="13">
                  <c:v>137.1286512344162</c:v>
                </c:pt>
                <c:pt idx="14">
                  <c:v>137.33900165462558</c:v>
                </c:pt>
                <c:pt idx="15">
                  <c:v>273.16066250552905</c:v>
                </c:pt>
                <c:pt idx="16">
                  <c:v>275.26744319391884</c:v>
                </c:pt>
                <c:pt idx="17">
                  <c:v>275.69993938500352</c:v>
                </c:pt>
              </c:numCache>
            </c:numRef>
          </c:val>
        </c:ser>
        <c:ser>
          <c:idx val="11"/>
          <c:order val="11"/>
          <c:tx>
            <c:strRef>
              <c:f>AnMBR_20LCIA_Summary_yr!$C$31</c:f>
              <c:strCache>
                <c:ptCount val="1"/>
                <c:pt idx="0">
                  <c:v>Water Depletion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AnMBR_20LCIA_Summary_yr!$D$19:$U$19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AnMBR_20LCIA_Summary_yr!$D$31:$U$31</c:f>
              <c:numCache>
                <c:formatCode>0%</c:formatCode>
                <c:ptCount val="18"/>
                <c:pt idx="0">
                  <c:v>1</c:v>
                </c:pt>
                <c:pt idx="1">
                  <c:v>0.96524619207191686</c:v>
                </c:pt>
                <c:pt idx="2">
                  <c:v>0.94098593640109107</c:v>
                </c:pt>
                <c:pt idx="3">
                  <c:v>0.93606525860327705</c:v>
                </c:pt>
                <c:pt idx="4">
                  <c:v>0.45471491948534865</c:v>
                </c:pt>
                <c:pt idx="5">
                  <c:v>0.38525110788257538</c:v>
                </c:pt>
                <c:pt idx="6">
                  <c:v>0.3368084707691783</c:v>
                </c:pt>
                <c:pt idx="7">
                  <c:v>0.32721777284574327</c:v>
                </c:pt>
                <c:pt idx="8">
                  <c:v>-14.044495387168761</c:v>
                </c:pt>
                <c:pt idx="9">
                  <c:v>-4.7916012644827806</c:v>
                </c:pt>
                <c:pt idx="10">
                  <c:v>-4.7916012644827806</c:v>
                </c:pt>
                <c:pt idx="11">
                  <c:v>-15.327497633353531</c:v>
                </c:pt>
                <c:pt idx="12">
                  <c:v>-39.844105529313559</c:v>
                </c:pt>
                <c:pt idx="13">
                  <c:v>-42.258936676084581</c:v>
                </c:pt>
                <c:pt idx="14">
                  <c:v>-42.74224360518739</c:v>
                </c:pt>
                <c:pt idx="15">
                  <c:v>-93.818733132320475</c:v>
                </c:pt>
                <c:pt idx="16">
                  <c:v>-98.655696134761342</c:v>
                </c:pt>
                <c:pt idx="17">
                  <c:v>-99.631070843645588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6646256"/>
        <c:axId val="316646648"/>
      </c:barChart>
      <c:catAx>
        <c:axId val="31664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646648"/>
        <c:crosses val="autoZero"/>
        <c:auto val="1"/>
        <c:lblAlgn val="ctr"/>
        <c:lblOffset val="100"/>
        <c:noMultiLvlLbl val="0"/>
      </c:catAx>
      <c:valAx>
        <c:axId val="316646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  <a:r>
                  <a:rPr lang="en-US" baseline="0"/>
                  <a:t> of Maximum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4638307944210822E-3"/>
              <c:y val="0.428800034271240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646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4243743472362052E-2"/>
          <c:y val="8.2822936429392729E-2"/>
          <c:w val="0.96027519854612686"/>
          <c:h val="0.84540329140938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AeMBR_Baseline_CED_Detail_m3!$B$68</c:f>
              <c:strCache>
                <c:ptCount val="1"/>
                <c:pt idx="0">
                  <c:v>Wastewater collection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AeMBR_Baseline_CED_Detail_m3!$C$67:$T$67</c:f>
              <c:strCache>
                <c:ptCount val="18"/>
                <c:pt idx="0">
                  <c:v>0.05 MGD AeMBR [semi rural single family]</c:v>
                </c:pt>
                <c:pt idx="1">
                  <c:v>0.05 MGD AeMBR [single family]</c:v>
                </c:pt>
                <c:pt idx="2">
                  <c:v>0.05 MGD AeMBR [multi family]</c:v>
                </c:pt>
                <c:pt idx="3">
                  <c:v>0.05 MGD AeMBR [high density urban]</c:v>
                </c:pt>
                <c:pt idx="4">
                  <c:v>0.1 MGD AeMBR [semi rural single family]</c:v>
                </c:pt>
                <c:pt idx="5">
                  <c:v>0.1 MGD AeMBR [single family]</c:v>
                </c:pt>
                <c:pt idx="6">
                  <c:v>0.1 MGD AeMBR [multi family]</c:v>
                </c:pt>
                <c:pt idx="7">
                  <c:v>0.1 MGD AeMBR [high density urban]</c:v>
                </c:pt>
                <c:pt idx="8">
                  <c:v>1 MGD AeMBR [semi rural single family]</c:v>
                </c:pt>
                <c:pt idx="9">
                  <c:v>1 MGD AeMBR [single family]</c:v>
                </c:pt>
                <c:pt idx="10">
                  <c:v>1 MGD AeMBR [multi family]</c:v>
                </c:pt>
                <c:pt idx="11">
                  <c:v>1 MGD AeMBR [high density urban]</c:v>
                </c:pt>
                <c:pt idx="12">
                  <c:v>5 MGD AeMBR [single family]</c:v>
                </c:pt>
                <c:pt idx="13">
                  <c:v>5 MGD AeMBR [multi family]</c:v>
                </c:pt>
                <c:pt idx="14">
                  <c:v>5 MGD AeMBR [high density urban]</c:v>
                </c:pt>
                <c:pt idx="15">
                  <c:v>10 MGD AeMBR [single family]</c:v>
                </c:pt>
                <c:pt idx="16">
                  <c:v>10 MGD AeMBR [multi family]</c:v>
                </c:pt>
                <c:pt idx="17">
                  <c:v>10 MGD AeMBR [high density urban]</c:v>
                </c:pt>
              </c:strCache>
            </c:strRef>
          </c:cat>
          <c:val>
            <c:numRef>
              <c:f>AeMBR_Baseline_CED_Detail_m3!$C$68:$T$68</c:f>
              <c:numCache>
                <c:formatCode>0.000</c:formatCode>
                <c:ptCount val="18"/>
                <c:pt idx="0">
                  <c:v>4.0243399458224867E-2</c:v>
                </c:pt>
                <c:pt idx="1">
                  <c:v>2.1116954420823515E-2</c:v>
                </c:pt>
                <c:pt idx="2" formatCode="0.0000">
                  <c:v>5.3657964696107886E-3</c:v>
                </c:pt>
                <c:pt idx="3" formatCode="0.0000">
                  <c:v>2.5212223339796309E-3</c:v>
                </c:pt>
                <c:pt idx="4">
                  <c:v>3.8383080813954168E-2</c:v>
                </c:pt>
                <c:pt idx="5">
                  <c:v>1.9674586648227022E-2</c:v>
                </c:pt>
                <c:pt idx="6" formatCode="0.0000">
                  <c:v>5.3657166202921687E-3</c:v>
                </c:pt>
                <c:pt idx="7" formatCode="0.0000">
                  <c:v>2.6610661054206021E-3</c:v>
                </c:pt>
                <c:pt idx="8">
                  <c:v>4.0243030157357799E-2</c:v>
                </c:pt>
                <c:pt idx="9">
                  <c:v>1.9674587935665143E-2</c:v>
                </c:pt>
                <c:pt idx="10" formatCode="0.0000">
                  <c:v>5.3657953999328122E-3</c:v>
                </c:pt>
                <c:pt idx="11" formatCode="0.0000">
                  <c:v>2.5709944028634839E-3</c:v>
                </c:pt>
                <c:pt idx="12">
                  <c:v>1.7095068109292715E-2</c:v>
                </c:pt>
                <c:pt idx="13" formatCode="0.0000">
                  <c:v>5.3657932871794744E-3</c:v>
                </c:pt>
                <c:pt idx="14" formatCode="0.0000">
                  <c:v>2.6067164707176491E-3</c:v>
                </c:pt>
                <c:pt idx="15">
                  <c:v>1.9674585997275163E-2</c:v>
                </c:pt>
                <c:pt idx="16" formatCode="0.0000">
                  <c:v>5.7228432762248278E-3</c:v>
                </c:pt>
                <c:pt idx="17" formatCode="0.0000">
                  <c:v>2.7785901837809172E-3</c:v>
                </c:pt>
              </c:numCache>
            </c:numRef>
          </c:val>
        </c:ser>
        <c:ser>
          <c:idx val="1"/>
          <c:order val="1"/>
          <c:tx>
            <c:strRef>
              <c:f>AeMBR_Baseline_CED_Detail_m3!$B$69</c:f>
              <c:strCache>
                <c:ptCount val="1"/>
                <c:pt idx="0">
                  <c:v>Pre treatment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AeMBR_Baseline_CED_Detail_m3!$C$67:$T$67</c:f>
              <c:strCache>
                <c:ptCount val="18"/>
                <c:pt idx="0">
                  <c:v>0.05 MGD AeMBR [semi rural single family]</c:v>
                </c:pt>
                <c:pt idx="1">
                  <c:v>0.05 MGD AeMBR [single family]</c:v>
                </c:pt>
                <c:pt idx="2">
                  <c:v>0.05 MGD AeMBR [multi family]</c:v>
                </c:pt>
                <c:pt idx="3">
                  <c:v>0.05 MGD AeMBR [high density urban]</c:v>
                </c:pt>
                <c:pt idx="4">
                  <c:v>0.1 MGD AeMBR [semi rural single family]</c:v>
                </c:pt>
                <c:pt idx="5">
                  <c:v>0.1 MGD AeMBR [single family]</c:v>
                </c:pt>
                <c:pt idx="6">
                  <c:v>0.1 MGD AeMBR [multi family]</c:v>
                </c:pt>
                <c:pt idx="7">
                  <c:v>0.1 MGD AeMBR [high density urban]</c:v>
                </c:pt>
                <c:pt idx="8">
                  <c:v>1 MGD AeMBR [semi rural single family]</c:v>
                </c:pt>
                <c:pt idx="9">
                  <c:v>1 MGD AeMBR [single family]</c:v>
                </c:pt>
                <c:pt idx="10">
                  <c:v>1 MGD AeMBR [multi family]</c:v>
                </c:pt>
                <c:pt idx="11">
                  <c:v>1 MGD AeMBR [high density urban]</c:v>
                </c:pt>
                <c:pt idx="12">
                  <c:v>5 MGD AeMBR [single family]</c:v>
                </c:pt>
                <c:pt idx="13">
                  <c:v>5 MGD AeMBR [multi family]</c:v>
                </c:pt>
                <c:pt idx="14">
                  <c:v>5 MGD AeMBR [high density urban]</c:v>
                </c:pt>
                <c:pt idx="15">
                  <c:v>10 MGD AeMBR [single family]</c:v>
                </c:pt>
                <c:pt idx="16">
                  <c:v>10 MGD AeMBR [multi family]</c:v>
                </c:pt>
                <c:pt idx="17">
                  <c:v>10 MGD AeMBR [high density urban]</c:v>
                </c:pt>
              </c:strCache>
            </c:strRef>
          </c:cat>
          <c:val>
            <c:numRef>
              <c:f>AeMBR_Baseline_CED_Detail_m3!$C$69:$T$69</c:f>
              <c:numCache>
                <c:formatCode>0.00</c:formatCode>
                <c:ptCount val="18"/>
                <c:pt idx="0">
                  <c:v>0.64971702928815678</c:v>
                </c:pt>
                <c:pt idx="1">
                  <c:v>0.64971702928815678</c:v>
                </c:pt>
                <c:pt idx="2">
                  <c:v>0.64971702928815678</c:v>
                </c:pt>
                <c:pt idx="3">
                  <c:v>0.64971702928815678</c:v>
                </c:pt>
                <c:pt idx="4">
                  <c:v>0.45242581510486757</c:v>
                </c:pt>
                <c:pt idx="5">
                  <c:v>0.45242581510486757</c:v>
                </c:pt>
                <c:pt idx="6">
                  <c:v>0.45242581510486757</c:v>
                </c:pt>
                <c:pt idx="7">
                  <c:v>0.45242581510486757</c:v>
                </c:pt>
                <c:pt idx="8">
                  <c:v>0.14317724041513691</c:v>
                </c:pt>
                <c:pt idx="9">
                  <c:v>0.14317724041513691</c:v>
                </c:pt>
                <c:pt idx="10">
                  <c:v>0.14317724041513691</c:v>
                </c:pt>
                <c:pt idx="11">
                  <c:v>0.14317724041513691</c:v>
                </c:pt>
                <c:pt idx="12" formatCode="0.000">
                  <c:v>6.982285088378018E-2</c:v>
                </c:pt>
                <c:pt idx="13" formatCode="0.000">
                  <c:v>6.982285088378018E-2</c:v>
                </c:pt>
                <c:pt idx="14" formatCode="0.000">
                  <c:v>6.982285088378018E-2</c:v>
                </c:pt>
                <c:pt idx="15" formatCode="0.000">
                  <c:v>5.326314053248031E-2</c:v>
                </c:pt>
                <c:pt idx="16" formatCode="0.000">
                  <c:v>5.326314053248031E-2</c:v>
                </c:pt>
                <c:pt idx="17" formatCode="0.000">
                  <c:v>5.326314053248031E-2</c:v>
                </c:pt>
              </c:numCache>
            </c:numRef>
          </c:val>
        </c:ser>
        <c:ser>
          <c:idx val="2"/>
          <c:order val="2"/>
          <c:tx>
            <c:strRef>
              <c:f>AeMBR_Baseline_CED_Detail_m3!$B$70</c:f>
              <c:strCache>
                <c:ptCount val="1"/>
                <c:pt idx="0">
                  <c:v>MBR operation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AeMBR_Baseline_CED_Detail_m3!$C$67:$T$67</c:f>
              <c:strCache>
                <c:ptCount val="18"/>
                <c:pt idx="0">
                  <c:v>0.05 MGD AeMBR [semi rural single family]</c:v>
                </c:pt>
                <c:pt idx="1">
                  <c:v>0.05 MGD AeMBR [single family]</c:v>
                </c:pt>
                <c:pt idx="2">
                  <c:v>0.05 MGD AeMBR [multi family]</c:v>
                </c:pt>
                <c:pt idx="3">
                  <c:v>0.05 MGD AeMBR [high density urban]</c:v>
                </c:pt>
                <c:pt idx="4">
                  <c:v>0.1 MGD AeMBR [semi rural single family]</c:v>
                </c:pt>
                <c:pt idx="5">
                  <c:v>0.1 MGD AeMBR [single family]</c:v>
                </c:pt>
                <c:pt idx="6">
                  <c:v>0.1 MGD AeMBR [multi family]</c:v>
                </c:pt>
                <c:pt idx="7">
                  <c:v>0.1 MGD AeMBR [high density urban]</c:v>
                </c:pt>
                <c:pt idx="8">
                  <c:v>1 MGD AeMBR [semi rural single family]</c:v>
                </c:pt>
                <c:pt idx="9">
                  <c:v>1 MGD AeMBR [single family]</c:v>
                </c:pt>
                <c:pt idx="10">
                  <c:v>1 MGD AeMBR [multi family]</c:v>
                </c:pt>
                <c:pt idx="11">
                  <c:v>1 MGD AeMBR [high density urban]</c:v>
                </c:pt>
                <c:pt idx="12">
                  <c:v>5 MGD AeMBR [single family]</c:v>
                </c:pt>
                <c:pt idx="13">
                  <c:v>5 MGD AeMBR [multi family]</c:v>
                </c:pt>
                <c:pt idx="14">
                  <c:v>5 MGD AeMBR [high density urban]</c:v>
                </c:pt>
                <c:pt idx="15">
                  <c:v>10 MGD AeMBR [single family]</c:v>
                </c:pt>
                <c:pt idx="16">
                  <c:v>10 MGD AeMBR [multi family]</c:v>
                </c:pt>
                <c:pt idx="17">
                  <c:v>10 MGD AeMBR [high density urban]</c:v>
                </c:pt>
              </c:strCache>
            </c:strRef>
          </c:cat>
          <c:val>
            <c:numRef>
              <c:f>AeMBR_Baseline_CED_Detail_m3!$C$70:$T$70</c:f>
              <c:numCache>
                <c:formatCode>00.0</c:formatCode>
                <c:ptCount val="18"/>
                <c:pt idx="0">
                  <c:v>11.056666149795461</c:v>
                </c:pt>
                <c:pt idx="1">
                  <c:v>11.056666149795461</c:v>
                </c:pt>
                <c:pt idx="2">
                  <c:v>11.056666149795461</c:v>
                </c:pt>
                <c:pt idx="3">
                  <c:v>11.056666149795461</c:v>
                </c:pt>
                <c:pt idx="4" formatCode="0.00">
                  <c:v>7.7261221151015107</c:v>
                </c:pt>
                <c:pt idx="5" formatCode="0.00">
                  <c:v>7.7261221151015107</c:v>
                </c:pt>
                <c:pt idx="6" formatCode="0.00">
                  <c:v>7.7261221151015107</c:v>
                </c:pt>
                <c:pt idx="7" formatCode="0.00">
                  <c:v>7.7261221151015107</c:v>
                </c:pt>
                <c:pt idx="8" formatCode="0.00">
                  <c:v>4.3933158404341919</c:v>
                </c:pt>
                <c:pt idx="9" formatCode="0.00">
                  <c:v>4.3933158404341919</c:v>
                </c:pt>
                <c:pt idx="10" formatCode="0.00">
                  <c:v>4.3933158404341919</c:v>
                </c:pt>
                <c:pt idx="11" formatCode="0.00">
                  <c:v>4.3933158404341919</c:v>
                </c:pt>
                <c:pt idx="12" formatCode="0.00">
                  <c:v>4.2701210734917261</c:v>
                </c:pt>
                <c:pt idx="13" formatCode="0.00">
                  <c:v>4.2701210734917261</c:v>
                </c:pt>
                <c:pt idx="14" formatCode="0.00">
                  <c:v>4.2701210734917261</c:v>
                </c:pt>
                <c:pt idx="15" formatCode="0.00">
                  <c:v>4.1507669856367668</c:v>
                </c:pt>
                <c:pt idx="16" formatCode="0.00">
                  <c:v>4.1507669856367668</c:v>
                </c:pt>
                <c:pt idx="17" formatCode="0.00">
                  <c:v>4.1507669856367668</c:v>
                </c:pt>
              </c:numCache>
            </c:numRef>
          </c:val>
        </c:ser>
        <c:ser>
          <c:idx val="3"/>
          <c:order val="3"/>
          <c:tx>
            <c:strRef>
              <c:f>AeMBR_Baseline_CED_Detail_m3!$B$71</c:f>
              <c:strCache>
                <c:ptCount val="1"/>
                <c:pt idx="0">
                  <c:v>MBR infrastructure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AeMBR_Baseline_CED_Detail_m3!$C$67:$T$67</c:f>
              <c:strCache>
                <c:ptCount val="18"/>
                <c:pt idx="0">
                  <c:v>0.05 MGD AeMBR [semi rural single family]</c:v>
                </c:pt>
                <c:pt idx="1">
                  <c:v>0.05 MGD AeMBR [single family]</c:v>
                </c:pt>
                <c:pt idx="2">
                  <c:v>0.05 MGD AeMBR [multi family]</c:v>
                </c:pt>
                <c:pt idx="3">
                  <c:v>0.05 MGD AeMBR [high density urban]</c:v>
                </c:pt>
                <c:pt idx="4">
                  <c:v>0.1 MGD AeMBR [semi rural single family]</c:v>
                </c:pt>
                <c:pt idx="5">
                  <c:v>0.1 MGD AeMBR [single family]</c:v>
                </c:pt>
                <c:pt idx="6">
                  <c:v>0.1 MGD AeMBR [multi family]</c:v>
                </c:pt>
                <c:pt idx="7">
                  <c:v>0.1 MGD AeMBR [high density urban]</c:v>
                </c:pt>
                <c:pt idx="8">
                  <c:v>1 MGD AeMBR [semi rural single family]</c:v>
                </c:pt>
                <c:pt idx="9">
                  <c:v>1 MGD AeMBR [single family]</c:v>
                </c:pt>
                <c:pt idx="10">
                  <c:v>1 MGD AeMBR [multi family]</c:v>
                </c:pt>
                <c:pt idx="11">
                  <c:v>1 MGD AeMBR [high density urban]</c:v>
                </c:pt>
                <c:pt idx="12">
                  <c:v>5 MGD AeMBR [single family]</c:v>
                </c:pt>
                <c:pt idx="13">
                  <c:v>5 MGD AeMBR [multi family]</c:v>
                </c:pt>
                <c:pt idx="14">
                  <c:v>5 MGD AeMBR [high density urban]</c:v>
                </c:pt>
                <c:pt idx="15">
                  <c:v>10 MGD AeMBR [single family]</c:v>
                </c:pt>
                <c:pt idx="16">
                  <c:v>10 MGD AeMBR [multi family]</c:v>
                </c:pt>
                <c:pt idx="17">
                  <c:v>10 MGD AeMBR [high density urban]</c:v>
                </c:pt>
              </c:strCache>
            </c:strRef>
          </c:cat>
          <c:val>
            <c:numRef>
              <c:f>AeMBR_Baseline_CED_Detail_m3!$C$71:$T$71</c:f>
              <c:numCache>
                <c:formatCode>0.00</c:formatCode>
                <c:ptCount val="18"/>
                <c:pt idx="0">
                  <c:v>0.16058259101324368</c:v>
                </c:pt>
                <c:pt idx="1">
                  <c:v>0.16058259101324368</c:v>
                </c:pt>
                <c:pt idx="2">
                  <c:v>0.16058259101324368</c:v>
                </c:pt>
                <c:pt idx="3">
                  <c:v>0.16058259101324368</c:v>
                </c:pt>
                <c:pt idx="4">
                  <c:v>0.15044582401829357</c:v>
                </c:pt>
                <c:pt idx="5">
                  <c:v>0.15044582401829357</c:v>
                </c:pt>
                <c:pt idx="6">
                  <c:v>0.15044582401829357</c:v>
                </c:pt>
                <c:pt idx="7">
                  <c:v>0.15044582401829357</c:v>
                </c:pt>
                <c:pt idx="8">
                  <c:v>0.13937168632187238</c:v>
                </c:pt>
                <c:pt idx="9">
                  <c:v>0.13937168632187238</c:v>
                </c:pt>
                <c:pt idx="10">
                  <c:v>0.13937168632187238</c:v>
                </c:pt>
                <c:pt idx="11">
                  <c:v>0.13937168632187238</c:v>
                </c:pt>
                <c:pt idx="12">
                  <c:v>0.12431155338540768</c:v>
                </c:pt>
                <c:pt idx="13">
                  <c:v>0.12431155338540768</c:v>
                </c:pt>
                <c:pt idx="14">
                  <c:v>0.12431155338540768</c:v>
                </c:pt>
                <c:pt idx="15">
                  <c:v>0.12332427641588993</c:v>
                </c:pt>
                <c:pt idx="16">
                  <c:v>0.12332427641588993</c:v>
                </c:pt>
                <c:pt idx="17">
                  <c:v>0.12332427641588993</c:v>
                </c:pt>
              </c:numCache>
            </c:numRef>
          </c:val>
        </c:ser>
        <c:ser>
          <c:idx val="4"/>
          <c:order val="4"/>
          <c:tx>
            <c:strRef>
              <c:f>AeMBR_Baseline_CED_Detail_m3!$B$72</c:f>
              <c:strCache>
                <c:ptCount val="1"/>
                <c:pt idx="0">
                  <c:v>Post treatment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AeMBR_Baseline_CED_Detail_m3!$C$67:$T$67</c:f>
              <c:strCache>
                <c:ptCount val="18"/>
                <c:pt idx="0">
                  <c:v>0.05 MGD AeMBR [semi rural single family]</c:v>
                </c:pt>
                <c:pt idx="1">
                  <c:v>0.05 MGD AeMBR [single family]</c:v>
                </c:pt>
                <c:pt idx="2">
                  <c:v>0.05 MGD AeMBR [multi family]</c:v>
                </c:pt>
                <c:pt idx="3">
                  <c:v>0.05 MGD AeMBR [high density urban]</c:v>
                </c:pt>
                <c:pt idx="4">
                  <c:v>0.1 MGD AeMBR [semi rural single family]</c:v>
                </c:pt>
                <c:pt idx="5">
                  <c:v>0.1 MGD AeMBR [single family]</c:v>
                </c:pt>
                <c:pt idx="6">
                  <c:v>0.1 MGD AeMBR [multi family]</c:v>
                </c:pt>
                <c:pt idx="7">
                  <c:v>0.1 MGD AeMBR [high density urban]</c:v>
                </c:pt>
                <c:pt idx="8">
                  <c:v>1 MGD AeMBR [semi rural single family]</c:v>
                </c:pt>
                <c:pt idx="9">
                  <c:v>1 MGD AeMBR [single family]</c:v>
                </c:pt>
                <c:pt idx="10">
                  <c:v>1 MGD AeMBR [multi family]</c:v>
                </c:pt>
                <c:pt idx="11">
                  <c:v>1 MGD AeMBR [high density urban]</c:v>
                </c:pt>
                <c:pt idx="12">
                  <c:v>5 MGD AeMBR [single family]</c:v>
                </c:pt>
                <c:pt idx="13">
                  <c:v>5 MGD AeMBR [multi family]</c:v>
                </c:pt>
                <c:pt idx="14">
                  <c:v>5 MGD AeMBR [high density urban]</c:v>
                </c:pt>
                <c:pt idx="15">
                  <c:v>10 MGD AeMBR [single family]</c:v>
                </c:pt>
                <c:pt idx="16">
                  <c:v>10 MGD AeMBR [multi family]</c:v>
                </c:pt>
                <c:pt idx="17">
                  <c:v>10 MGD AeMBR [high density urban]</c:v>
                </c:pt>
              </c:strCache>
            </c:strRef>
          </c:cat>
          <c:val>
            <c:numRef>
              <c:f>AeMBR_Baseline_CED_Detail_m3!$C$72:$T$72</c:f>
              <c:numCache>
                <c:formatCode>0.00</c:formatCode>
                <c:ptCount val="18"/>
                <c:pt idx="0">
                  <c:v>7.7387529017922256</c:v>
                </c:pt>
                <c:pt idx="1">
                  <c:v>7.7387529017922256</c:v>
                </c:pt>
                <c:pt idx="2">
                  <c:v>7.7387529017922256</c:v>
                </c:pt>
                <c:pt idx="3">
                  <c:v>7.7387529017922256</c:v>
                </c:pt>
                <c:pt idx="4">
                  <c:v>4.6434759701290886</c:v>
                </c:pt>
                <c:pt idx="5">
                  <c:v>4.6434759701290886</c:v>
                </c:pt>
                <c:pt idx="6">
                  <c:v>4.6434759701290886</c:v>
                </c:pt>
                <c:pt idx="7">
                  <c:v>4.6434759701290886</c:v>
                </c:pt>
                <c:pt idx="8">
                  <c:v>1.7936067949404482</c:v>
                </c:pt>
                <c:pt idx="9">
                  <c:v>1.7936067949404482</c:v>
                </c:pt>
                <c:pt idx="10">
                  <c:v>1.7936067949404482</c:v>
                </c:pt>
                <c:pt idx="11">
                  <c:v>1.7936067949404482</c:v>
                </c:pt>
                <c:pt idx="12">
                  <c:v>0.65752924985929562</c:v>
                </c:pt>
                <c:pt idx="13">
                  <c:v>0.65752924985929562</c:v>
                </c:pt>
                <c:pt idx="14">
                  <c:v>0.65752924985929562</c:v>
                </c:pt>
                <c:pt idx="15">
                  <c:v>0.58002149133332936</c:v>
                </c:pt>
                <c:pt idx="16">
                  <c:v>0.58002149133332936</c:v>
                </c:pt>
                <c:pt idx="17">
                  <c:v>0.58002149133332936</c:v>
                </c:pt>
              </c:numCache>
            </c:numRef>
          </c:val>
        </c:ser>
        <c:ser>
          <c:idx val="5"/>
          <c:order val="5"/>
          <c:tx>
            <c:strRef>
              <c:f>AeMBR_Baseline_CED_Detail_m3!$B$73</c:f>
              <c:strCache>
                <c:ptCount val="1"/>
                <c:pt idx="0">
                  <c:v>Recycled water delivery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AeMBR_Baseline_CED_Detail_m3!$C$67:$T$67</c:f>
              <c:strCache>
                <c:ptCount val="18"/>
                <c:pt idx="0">
                  <c:v>0.05 MGD AeMBR [semi rural single family]</c:v>
                </c:pt>
                <c:pt idx="1">
                  <c:v>0.05 MGD AeMBR [single family]</c:v>
                </c:pt>
                <c:pt idx="2">
                  <c:v>0.05 MGD AeMBR [multi family]</c:v>
                </c:pt>
                <c:pt idx="3">
                  <c:v>0.05 MGD AeMBR [high density urban]</c:v>
                </c:pt>
                <c:pt idx="4">
                  <c:v>0.1 MGD AeMBR [semi rural single family]</c:v>
                </c:pt>
                <c:pt idx="5">
                  <c:v>0.1 MGD AeMBR [single family]</c:v>
                </c:pt>
                <c:pt idx="6">
                  <c:v>0.1 MGD AeMBR [multi family]</c:v>
                </c:pt>
                <c:pt idx="7">
                  <c:v>0.1 MGD AeMBR [high density urban]</c:v>
                </c:pt>
                <c:pt idx="8">
                  <c:v>1 MGD AeMBR [semi rural single family]</c:v>
                </c:pt>
                <c:pt idx="9">
                  <c:v>1 MGD AeMBR [single family]</c:v>
                </c:pt>
                <c:pt idx="10">
                  <c:v>1 MGD AeMBR [multi family]</c:v>
                </c:pt>
                <c:pt idx="11">
                  <c:v>1 MGD AeMBR [high density urban]</c:v>
                </c:pt>
                <c:pt idx="12">
                  <c:v>5 MGD AeMBR [single family]</c:v>
                </c:pt>
                <c:pt idx="13">
                  <c:v>5 MGD AeMBR [multi family]</c:v>
                </c:pt>
                <c:pt idx="14">
                  <c:v>5 MGD AeMBR [high density urban]</c:v>
                </c:pt>
                <c:pt idx="15">
                  <c:v>10 MGD AeMBR [single family]</c:v>
                </c:pt>
                <c:pt idx="16">
                  <c:v>10 MGD AeMBR [multi family]</c:v>
                </c:pt>
                <c:pt idx="17">
                  <c:v>10 MGD AeMBR [high density urban]</c:v>
                </c:pt>
              </c:strCache>
            </c:strRef>
          </c:cat>
          <c:val>
            <c:numRef>
              <c:f>AeMBR_Baseline_CED_Detail_m3!$C$73:$T$73</c:f>
              <c:numCache>
                <c:formatCode>00.0</c:formatCode>
                <c:ptCount val="18"/>
                <c:pt idx="0">
                  <c:v>-11.592083284541117</c:v>
                </c:pt>
                <c:pt idx="1">
                  <c:v>-11.861861860239804</c:v>
                </c:pt>
                <c:pt idx="2">
                  <c:v>-12.046571113711265</c:v>
                </c:pt>
                <c:pt idx="3">
                  <c:v>-12.084932791728811</c:v>
                </c:pt>
                <c:pt idx="4">
                  <c:v>-11.59312030648746</c:v>
                </c:pt>
                <c:pt idx="5">
                  <c:v>-11.860709066209202</c:v>
                </c:pt>
                <c:pt idx="6">
                  <c:v>-12.047788916193353</c:v>
                </c:pt>
                <c:pt idx="7">
                  <c:v>-12.084941414972711</c:v>
                </c:pt>
                <c:pt idx="8">
                  <c:v>-11.592825179379785</c:v>
                </c:pt>
                <c:pt idx="9">
                  <c:v>-11.860709011456919</c:v>
                </c:pt>
                <c:pt idx="10">
                  <c:v>-12.047819583258754</c:v>
                </c:pt>
                <c:pt idx="11">
                  <c:v>-12.084853710058791</c:v>
                </c:pt>
                <c:pt idx="12">
                  <c:v>-11.861053753846145</c:v>
                </c:pt>
                <c:pt idx="13">
                  <c:v>-12.047649176784667</c:v>
                </c:pt>
                <c:pt idx="14">
                  <c:v>-12.084972427464274</c:v>
                </c:pt>
                <c:pt idx="15">
                  <c:v>-11.861016911686647</c:v>
                </c:pt>
                <c:pt idx="16">
                  <c:v>-12.047643319960692</c:v>
                </c:pt>
                <c:pt idx="17">
                  <c:v>-12.084958129969914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0205208"/>
        <c:axId val="330205600"/>
      </c:barChart>
      <c:lineChart>
        <c:grouping val="standard"/>
        <c:varyColors val="0"/>
        <c:ser>
          <c:idx val="6"/>
          <c:order val="6"/>
          <c:tx>
            <c:strRef>
              <c:f>AeMBR_Baseline_CED_Detail_m3!$B$74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AeMBR_Baseline_CED_Detail_m3!$C$67:$T$67</c:f>
              <c:strCache>
                <c:ptCount val="18"/>
                <c:pt idx="0">
                  <c:v>0.05 MGD AeMBR [semi rural single family]</c:v>
                </c:pt>
                <c:pt idx="1">
                  <c:v>0.05 MGD AeMBR [single family]</c:v>
                </c:pt>
                <c:pt idx="2">
                  <c:v>0.05 MGD AeMBR [multi family]</c:v>
                </c:pt>
                <c:pt idx="3">
                  <c:v>0.05 MGD AeMBR [high density urban]</c:v>
                </c:pt>
                <c:pt idx="4">
                  <c:v>0.1 MGD AeMBR [semi rural single family]</c:v>
                </c:pt>
                <c:pt idx="5">
                  <c:v>0.1 MGD AeMBR [single family]</c:v>
                </c:pt>
                <c:pt idx="6">
                  <c:v>0.1 MGD AeMBR [multi family]</c:v>
                </c:pt>
                <c:pt idx="7">
                  <c:v>0.1 MGD AeMBR [high density urban]</c:v>
                </c:pt>
                <c:pt idx="8">
                  <c:v>1 MGD AeMBR [semi rural single family]</c:v>
                </c:pt>
                <c:pt idx="9">
                  <c:v>1 MGD AeMBR [single family]</c:v>
                </c:pt>
                <c:pt idx="10">
                  <c:v>1 MGD AeMBR [multi family]</c:v>
                </c:pt>
                <c:pt idx="11">
                  <c:v>1 MGD AeMBR [high density urban]</c:v>
                </c:pt>
                <c:pt idx="12">
                  <c:v>5 MGD AeMBR [single family]</c:v>
                </c:pt>
                <c:pt idx="13">
                  <c:v>5 MGD AeMBR [multi family]</c:v>
                </c:pt>
                <c:pt idx="14">
                  <c:v>5 MGD AeMBR [high density urban]</c:v>
                </c:pt>
                <c:pt idx="15">
                  <c:v>10 MGD AeMBR [single family]</c:v>
                </c:pt>
                <c:pt idx="16">
                  <c:v>10 MGD AeMBR [multi family]</c:v>
                </c:pt>
                <c:pt idx="17">
                  <c:v>10 MGD AeMBR [high density urban]</c:v>
                </c:pt>
              </c:strCache>
            </c:strRef>
          </c:cat>
          <c:val>
            <c:numRef>
              <c:f>AeMBR_Baseline_CED_Detail_m3!$C$74:$T$74</c:f>
              <c:numCache>
                <c:formatCode>0.00</c:formatCode>
                <c:ptCount val="18"/>
                <c:pt idx="0">
                  <c:v>8.0538787868061963</c:v>
                </c:pt>
                <c:pt idx="1">
                  <c:v>7.7649737660701081</c:v>
                </c:pt>
                <c:pt idx="2">
                  <c:v>7.564513354647433</c:v>
                </c:pt>
                <c:pt idx="3">
                  <c:v>7.5233071024942575</c:v>
                </c:pt>
                <c:pt idx="4">
                  <c:v>1.4177324986802535</c:v>
                </c:pt>
                <c:pt idx="5">
                  <c:v>1.1314352447927849</c:v>
                </c:pt>
                <c:pt idx="6">
                  <c:v>0.93004652478069971</c:v>
                </c:pt>
                <c:pt idx="7">
                  <c:v>0.89018937548646981</c:v>
                </c:pt>
                <c:pt idx="8">
                  <c:v>-5.0831105871107773</c:v>
                </c:pt>
                <c:pt idx="9">
                  <c:v>-5.371562861409604</c:v>
                </c:pt>
                <c:pt idx="10">
                  <c:v>-5.5729822257471708</c:v>
                </c:pt>
                <c:pt idx="11">
                  <c:v>-5.6128111535442775</c:v>
                </c:pt>
                <c:pt idx="12">
                  <c:v>-6.7221739581166426</c:v>
                </c:pt>
                <c:pt idx="13">
                  <c:v>-6.9204986558772781</c:v>
                </c:pt>
                <c:pt idx="14">
                  <c:v>-6.9605809833733474</c:v>
                </c:pt>
                <c:pt idx="15">
                  <c:v>-6.9339664317709069</c:v>
                </c:pt>
                <c:pt idx="16">
                  <c:v>-7.1345445827660008</c:v>
                </c:pt>
                <c:pt idx="17">
                  <c:v>-7.1748036458676676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205208"/>
        <c:axId val="330205600"/>
      </c:lineChart>
      <c:catAx>
        <c:axId val="330205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205600"/>
        <c:crosses val="autoZero"/>
        <c:auto val="1"/>
        <c:lblAlgn val="ctr"/>
        <c:lblOffset val="100"/>
        <c:noMultiLvlLbl val="0"/>
      </c:catAx>
      <c:valAx>
        <c:axId val="33020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MJ/m3</a:t>
                </a:r>
                <a:r>
                  <a:rPr lang="en-US" baseline="0"/>
                  <a:t> wastewater treated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3685593645268438E-3"/>
              <c:y val="0.319829837298057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205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807530510699634"/>
          <c:y val="0.9515327589393977"/>
          <c:w val="0.29264839856590097"/>
          <c:h val="3.5754587732990242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134059293397087E-2"/>
          <c:y val="3.6177904131402705E-2"/>
          <c:w val="0.91628725018696289"/>
          <c:h val="0.882120044173125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AnMBR_35_CED_Detail_m3!$D$64</c:f>
              <c:strCache>
                <c:ptCount val="1"/>
                <c:pt idx="0">
                  <c:v>Wastewater collection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AnMBR_35_CED_Detail_m3!$E$63:$V$63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AnMBR_35_CED_Detail_m3!$E$64:$V$64</c:f>
              <c:numCache>
                <c:formatCode>0.000</c:formatCode>
                <c:ptCount val="18"/>
                <c:pt idx="0">
                  <c:v>4.0243399458224867E-2</c:v>
                </c:pt>
                <c:pt idx="1">
                  <c:v>2.1116954420823515E-2</c:v>
                </c:pt>
                <c:pt idx="2" formatCode="0.0000">
                  <c:v>5.3657964696107886E-3</c:v>
                </c:pt>
                <c:pt idx="3" formatCode="0.0000">
                  <c:v>2.5212223339796309E-3</c:v>
                </c:pt>
                <c:pt idx="4">
                  <c:v>3.8383080813954168E-2</c:v>
                </c:pt>
                <c:pt idx="5">
                  <c:v>1.9674586648227022E-2</c:v>
                </c:pt>
                <c:pt idx="6" formatCode="0.0000">
                  <c:v>5.3657166202921687E-3</c:v>
                </c:pt>
                <c:pt idx="7" formatCode="0.0000">
                  <c:v>2.6610661054206021E-3</c:v>
                </c:pt>
                <c:pt idx="8">
                  <c:v>4.0243030157357799E-2</c:v>
                </c:pt>
                <c:pt idx="9">
                  <c:v>1.9674587935665143E-2</c:v>
                </c:pt>
                <c:pt idx="10" formatCode="0.0000">
                  <c:v>5.3657953999328122E-3</c:v>
                </c:pt>
                <c:pt idx="11" formatCode="0.0000">
                  <c:v>2.5709944028634839E-3</c:v>
                </c:pt>
                <c:pt idx="12">
                  <c:v>1.7095068109292715E-2</c:v>
                </c:pt>
                <c:pt idx="13" formatCode="0.0000">
                  <c:v>5.3657932871794744E-3</c:v>
                </c:pt>
                <c:pt idx="14" formatCode="0.0000">
                  <c:v>2.6067164707176491E-3</c:v>
                </c:pt>
                <c:pt idx="15">
                  <c:v>1.9674585997275163E-2</c:v>
                </c:pt>
                <c:pt idx="16" formatCode="0.0000">
                  <c:v>5.7228432762248278E-3</c:v>
                </c:pt>
                <c:pt idx="17" formatCode="0.0000">
                  <c:v>2.7785901837809172E-3</c:v>
                </c:pt>
              </c:numCache>
            </c:numRef>
          </c:val>
        </c:ser>
        <c:ser>
          <c:idx val="1"/>
          <c:order val="1"/>
          <c:tx>
            <c:strRef>
              <c:f>AnMBR_35_CED_Detail_m3!$D$65</c:f>
              <c:strCache>
                <c:ptCount val="1"/>
                <c:pt idx="0">
                  <c:v>Pre treatment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AnMBR_35_CED_Detail_m3!$E$63:$V$63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AnMBR_35_CED_Detail_m3!$E$65:$V$65</c:f>
              <c:numCache>
                <c:formatCode>0.00</c:formatCode>
                <c:ptCount val="18"/>
                <c:pt idx="0">
                  <c:v>0.64971702928815678</c:v>
                </c:pt>
                <c:pt idx="1">
                  <c:v>0.64971702928815678</c:v>
                </c:pt>
                <c:pt idx="2">
                  <c:v>0.64971702928815678</c:v>
                </c:pt>
                <c:pt idx="3">
                  <c:v>0.64971702928815678</c:v>
                </c:pt>
                <c:pt idx="4">
                  <c:v>0.45242581510486757</c:v>
                </c:pt>
                <c:pt idx="5">
                  <c:v>0.45242581510486757</c:v>
                </c:pt>
                <c:pt idx="6">
                  <c:v>0.45242581510486757</c:v>
                </c:pt>
                <c:pt idx="7">
                  <c:v>0.45242581510486757</c:v>
                </c:pt>
                <c:pt idx="8">
                  <c:v>0.14317724041513691</c:v>
                </c:pt>
                <c:pt idx="9">
                  <c:v>0.14317724041513691</c:v>
                </c:pt>
                <c:pt idx="10">
                  <c:v>0.14317724041513691</c:v>
                </c:pt>
                <c:pt idx="11">
                  <c:v>0.14317724041513691</c:v>
                </c:pt>
                <c:pt idx="12" formatCode="0.000">
                  <c:v>6.982285088378018E-2</c:v>
                </c:pt>
                <c:pt idx="13" formatCode="0.000">
                  <c:v>6.982285088378018E-2</c:v>
                </c:pt>
                <c:pt idx="14" formatCode="0.000">
                  <c:v>6.982285088378018E-2</c:v>
                </c:pt>
                <c:pt idx="15" formatCode="0.000">
                  <c:v>5.326314053248031E-2</c:v>
                </c:pt>
                <c:pt idx="16" formatCode="0.000">
                  <c:v>5.326314053248031E-2</c:v>
                </c:pt>
                <c:pt idx="17" formatCode="0.000">
                  <c:v>5.326314053248031E-2</c:v>
                </c:pt>
              </c:numCache>
            </c:numRef>
          </c:val>
        </c:ser>
        <c:ser>
          <c:idx val="2"/>
          <c:order val="2"/>
          <c:tx>
            <c:strRef>
              <c:f>AnMBR_35_CED_Detail_m3!$D$66</c:f>
              <c:strCache>
                <c:ptCount val="1"/>
                <c:pt idx="0">
                  <c:v>MBR operation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AnMBR_35_CED_Detail_m3!$E$63:$V$63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AnMBR_35_CED_Detail_m3!$E$66:$V$66</c:f>
              <c:numCache>
                <c:formatCode>00.0</c:formatCode>
                <c:ptCount val="18"/>
                <c:pt idx="0">
                  <c:v>13.984796723637663</c:v>
                </c:pt>
                <c:pt idx="1">
                  <c:v>13.984796723637663</c:v>
                </c:pt>
                <c:pt idx="2">
                  <c:v>13.984796723637663</c:v>
                </c:pt>
                <c:pt idx="3">
                  <c:v>13.984796723637663</c:v>
                </c:pt>
                <c:pt idx="4">
                  <c:v>13.185720054005369</c:v>
                </c:pt>
                <c:pt idx="5">
                  <c:v>13.185720054005369</c:v>
                </c:pt>
                <c:pt idx="6">
                  <c:v>13.185720054005369</c:v>
                </c:pt>
                <c:pt idx="7">
                  <c:v>13.185720054005369</c:v>
                </c:pt>
                <c:pt idx="8">
                  <c:v>11.186549271201935</c:v>
                </c:pt>
                <c:pt idx="9">
                  <c:v>11.186549271201935</c:v>
                </c:pt>
                <c:pt idx="10">
                  <c:v>11.186549271201935</c:v>
                </c:pt>
                <c:pt idx="11">
                  <c:v>11.186549271201935</c:v>
                </c:pt>
                <c:pt idx="12">
                  <c:v>10.750631979216903</c:v>
                </c:pt>
                <c:pt idx="13">
                  <c:v>10.750631979216903</c:v>
                </c:pt>
                <c:pt idx="14">
                  <c:v>10.750631979216903</c:v>
                </c:pt>
                <c:pt idx="15">
                  <c:v>10.585385102675493</c:v>
                </c:pt>
                <c:pt idx="16">
                  <c:v>10.585385102675493</c:v>
                </c:pt>
                <c:pt idx="17">
                  <c:v>10.585385102675493</c:v>
                </c:pt>
              </c:numCache>
            </c:numRef>
          </c:val>
        </c:ser>
        <c:ser>
          <c:idx val="3"/>
          <c:order val="3"/>
          <c:tx>
            <c:strRef>
              <c:f>AnMBR_35_CED_Detail_m3!$D$67</c:f>
              <c:strCache>
                <c:ptCount val="1"/>
                <c:pt idx="0">
                  <c:v>MBR infrastructure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AnMBR_35_CED_Detail_m3!$E$63:$V$63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AnMBR_35_CED_Detail_m3!$E$67:$V$67</c:f>
              <c:numCache>
                <c:formatCode>0.00</c:formatCode>
                <c:ptCount val="18"/>
                <c:pt idx="0">
                  <c:v>0.38707086628619691</c:v>
                </c:pt>
                <c:pt idx="1">
                  <c:v>0.38707086628619691</c:v>
                </c:pt>
                <c:pt idx="2">
                  <c:v>0.38707086628619691</c:v>
                </c:pt>
                <c:pt idx="3">
                  <c:v>0.38707086628619691</c:v>
                </c:pt>
                <c:pt idx="4">
                  <c:v>0.19887671472211005</c:v>
                </c:pt>
                <c:pt idx="5">
                  <c:v>0.19887671472211005</c:v>
                </c:pt>
                <c:pt idx="6">
                  <c:v>0.19887671472211005</c:v>
                </c:pt>
                <c:pt idx="7">
                  <c:v>0.19887671472211005</c:v>
                </c:pt>
                <c:pt idx="8">
                  <c:v>0.37503589664990367</c:v>
                </c:pt>
                <c:pt idx="9">
                  <c:v>0.37503589664990367</c:v>
                </c:pt>
                <c:pt idx="10">
                  <c:v>0.37503589664990367</c:v>
                </c:pt>
                <c:pt idx="11">
                  <c:v>0.37503589664990367</c:v>
                </c:pt>
                <c:pt idx="12">
                  <c:v>0.31258051569307832</c:v>
                </c:pt>
                <c:pt idx="13">
                  <c:v>0.31258051569307832</c:v>
                </c:pt>
                <c:pt idx="14">
                  <c:v>0.31258051569307832</c:v>
                </c:pt>
                <c:pt idx="15">
                  <c:v>0.28127668646530241</c:v>
                </c:pt>
                <c:pt idx="16">
                  <c:v>0.28127668646530241</c:v>
                </c:pt>
                <c:pt idx="17">
                  <c:v>0.28127668646530241</c:v>
                </c:pt>
              </c:numCache>
            </c:numRef>
          </c:val>
        </c:ser>
        <c:ser>
          <c:idx val="4"/>
          <c:order val="4"/>
          <c:tx>
            <c:strRef>
              <c:f>AnMBR_35_CED_Detail_m3!$D$68</c:f>
              <c:strCache>
                <c:ptCount val="1"/>
                <c:pt idx="0">
                  <c:v>Post treatment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AnMBR_35_CED_Detail_m3!$E$63:$V$63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AnMBR_35_CED_Detail_m3!$E$68:$V$68</c:f>
              <c:numCache>
                <c:formatCode>0.00</c:formatCode>
                <c:ptCount val="18"/>
                <c:pt idx="0">
                  <c:v>7.7387529017922256</c:v>
                </c:pt>
                <c:pt idx="1">
                  <c:v>7.7387529017922256</c:v>
                </c:pt>
                <c:pt idx="2">
                  <c:v>7.7387529017922256</c:v>
                </c:pt>
                <c:pt idx="3">
                  <c:v>7.7387529017922256</c:v>
                </c:pt>
                <c:pt idx="4">
                  <c:v>4.6434759701290886</c:v>
                </c:pt>
                <c:pt idx="5">
                  <c:v>4.6434759701290886</c:v>
                </c:pt>
                <c:pt idx="6">
                  <c:v>4.6434759701290886</c:v>
                </c:pt>
                <c:pt idx="7">
                  <c:v>4.6434759701290886</c:v>
                </c:pt>
                <c:pt idx="8">
                  <c:v>1.7936067949404482</c:v>
                </c:pt>
                <c:pt idx="9">
                  <c:v>1.7936067949404482</c:v>
                </c:pt>
                <c:pt idx="10">
                  <c:v>1.7936067949404482</c:v>
                </c:pt>
                <c:pt idx="11">
                  <c:v>1.7936067949404482</c:v>
                </c:pt>
                <c:pt idx="12">
                  <c:v>0.65752924985929562</c:v>
                </c:pt>
                <c:pt idx="13">
                  <c:v>0.65752924985929562</c:v>
                </c:pt>
                <c:pt idx="14">
                  <c:v>0.65752924985929562</c:v>
                </c:pt>
                <c:pt idx="15">
                  <c:v>0.58002149133332936</c:v>
                </c:pt>
                <c:pt idx="16">
                  <c:v>0.58002149133332936</c:v>
                </c:pt>
                <c:pt idx="17">
                  <c:v>0.58002149133332936</c:v>
                </c:pt>
              </c:numCache>
            </c:numRef>
          </c:val>
        </c:ser>
        <c:ser>
          <c:idx val="5"/>
          <c:order val="5"/>
          <c:tx>
            <c:strRef>
              <c:f>AnMBR_35_CED_Detail_m3!$D$69</c:f>
              <c:strCache>
                <c:ptCount val="1"/>
                <c:pt idx="0">
                  <c:v>Recycled water delivery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AnMBR_35_CED_Detail_m3!$E$63:$V$63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AnMBR_35_CED_Detail_m3!$E$69:$V$69</c:f>
              <c:numCache>
                <c:formatCode>00.0</c:formatCode>
                <c:ptCount val="18"/>
                <c:pt idx="0">
                  <c:v>-11.790956310507253</c:v>
                </c:pt>
                <c:pt idx="1">
                  <c:v>-12.060734886205941</c:v>
                </c:pt>
                <c:pt idx="2">
                  <c:v>-12.245444139677401</c:v>
                </c:pt>
                <c:pt idx="3">
                  <c:v>-12.283805817694947</c:v>
                </c:pt>
                <c:pt idx="4">
                  <c:v>-11.80272680537211</c:v>
                </c:pt>
                <c:pt idx="5">
                  <c:v>-12.070315565093852</c:v>
                </c:pt>
                <c:pt idx="6">
                  <c:v>-12.257395415078003</c:v>
                </c:pt>
                <c:pt idx="7">
                  <c:v>-12.294547913857361</c:v>
                </c:pt>
                <c:pt idx="8">
                  <c:v>-11.845394501017187</c:v>
                </c:pt>
                <c:pt idx="9">
                  <c:v>-12.113278333094321</c:v>
                </c:pt>
                <c:pt idx="10">
                  <c:v>-12.300388904896156</c:v>
                </c:pt>
                <c:pt idx="11">
                  <c:v>-12.337423031696193</c:v>
                </c:pt>
                <c:pt idx="12">
                  <c:v>-12.126049023170674</c:v>
                </c:pt>
                <c:pt idx="13">
                  <c:v>-12.312644446109196</c:v>
                </c:pt>
                <c:pt idx="14">
                  <c:v>-12.349967696788804</c:v>
                </c:pt>
                <c:pt idx="15">
                  <c:v>-12.122265591455921</c:v>
                </c:pt>
                <c:pt idx="16">
                  <c:v>-12.308891999729966</c:v>
                </c:pt>
                <c:pt idx="17">
                  <c:v>-12.346206809739188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0206384"/>
        <c:axId val="330206776"/>
      </c:barChart>
      <c:lineChart>
        <c:grouping val="standard"/>
        <c:varyColors val="0"/>
        <c:ser>
          <c:idx val="6"/>
          <c:order val="6"/>
          <c:tx>
            <c:strRef>
              <c:f>AnMBR_35_CED_Detail_m3!$D$70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AnMBR_35_CED_Detail_m3!$E$63:$V$63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AnMBR_35_CED_Detail_m3!$E$70:$V$70</c:f>
              <c:numCache>
                <c:formatCode>00.0</c:formatCode>
                <c:ptCount val="18"/>
                <c:pt idx="0">
                  <c:v>11.009624609955212</c:v>
                </c:pt>
                <c:pt idx="1">
                  <c:v>10.720719589219124</c:v>
                </c:pt>
                <c:pt idx="2">
                  <c:v>10.520259177796452</c:v>
                </c:pt>
                <c:pt idx="3">
                  <c:v>10.479052925643273</c:v>
                </c:pt>
                <c:pt idx="4" formatCode="0.00">
                  <c:v>6.7161548294032798</c:v>
                </c:pt>
                <c:pt idx="5" formatCode="0.00">
                  <c:v>6.4298575755158094</c:v>
                </c:pt>
                <c:pt idx="6" formatCode="0.00">
                  <c:v>6.228468855503726</c:v>
                </c:pt>
                <c:pt idx="7" formatCode="0.00">
                  <c:v>6.1886117062094961</c:v>
                </c:pt>
                <c:pt idx="8" formatCode="0.00">
                  <c:v>1.693217732347593</c:v>
                </c:pt>
                <c:pt idx="9" formatCode="0.00">
                  <c:v>1.4047654580487681</c:v>
                </c:pt>
                <c:pt idx="10" formatCode="0.00">
                  <c:v>1.2033460937112004</c:v>
                </c:pt>
                <c:pt idx="11" formatCode="0.00">
                  <c:v>1.1635171659140937</c:v>
                </c:pt>
                <c:pt idx="12" formatCode="0.00">
                  <c:v>-0.31838935940832336</c:v>
                </c:pt>
                <c:pt idx="13" formatCode="0.00">
                  <c:v>-0.51671405716895968</c:v>
                </c:pt>
                <c:pt idx="14" formatCode="0.00">
                  <c:v>-0.55679638466502901</c:v>
                </c:pt>
                <c:pt idx="15" formatCode="0.00">
                  <c:v>-0.60264458445204028</c:v>
                </c:pt>
                <c:pt idx="16" formatCode="0.00">
                  <c:v>-0.80322273544713418</c:v>
                </c:pt>
                <c:pt idx="17" formatCode="0.00">
                  <c:v>-0.84348179854880101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206384"/>
        <c:axId val="330206776"/>
      </c:lineChart>
      <c:catAx>
        <c:axId val="33020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206776"/>
        <c:crosses val="autoZero"/>
        <c:auto val="1"/>
        <c:lblAlgn val="ctr"/>
        <c:lblOffset val="100"/>
        <c:noMultiLvlLbl val="0"/>
      </c:catAx>
      <c:valAx>
        <c:axId val="330206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MJ/m3</a:t>
                </a:r>
                <a:r>
                  <a:rPr lang="en-US" baseline="0"/>
                  <a:t> wastewater treated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206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588099794153876E-2"/>
          <c:y val="4.9707592802184002E-2"/>
          <c:w val="0.9116033515607106"/>
          <c:h val="0.856745152911731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AnMBR_20_CED_Detail_m3!$D$62</c:f>
              <c:strCache>
                <c:ptCount val="1"/>
                <c:pt idx="0">
                  <c:v>Wastewater collection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AnMBR_20_CED_Detail_m3!$E$61:$V$61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AnMBR_20_CED_Detail_m3!$E$62:$V$62</c:f>
              <c:numCache>
                <c:formatCode>0.000</c:formatCode>
                <c:ptCount val="18"/>
                <c:pt idx="0">
                  <c:v>4.0243399458224867E-2</c:v>
                </c:pt>
                <c:pt idx="1">
                  <c:v>2.1116954420823515E-2</c:v>
                </c:pt>
                <c:pt idx="2" formatCode="0.0000">
                  <c:v>5.3657964696107886E-3</c:v>
                </c:pt>
                <c:pt idx="3" formatCode="0.0000">
                  <c:v>2.5212223339796309E-3</c:v>
                </c:pt>
                <c:pt idx="4">
                  <c:v>3.8383080813954168E-2</c:v>
                </c:pt>
                <c:pt idx="5">
                  <c:v>1.9674586648227022E-2</c:v>
                </c:pt>
                <c:pt idx="6" formatCode="0.0000">
                  <c:v>5.3657166202921687E-3</c:v>
                </c:pt>
                <c:pt idx="7" formatCode="0.0000">
                  <c:v>2.6610661054206021E-3</c:v>
                </c:pt>
                <c:pt idx="8">
                  <c:v>4.0243030157357799E-2</c:v>
                </c:pt>
                <c:pt idx="9">
                  <c:v>1.9674587935665143E-2</c:v>
                </c:pt>
                <c:pt idx="10" formatCode="0.0000">
                  <c:v>5.3657953999328122E-3</c:v>
                </c:pt>
                <c:pt idx="11" formatCode="0.0000">
                  <c:v>2.5709944028634839E-3</c:v>
                </c:pt>
                <c:pt idx="12">
                  <c:v>1.7095068109292715E-2</c:v>
                </c:pt>
                <c:pt idx="13" formatCode="0.0000">
                  <c:v>5.3657932871794744E-3</c:v>
                </c:pt>
                <c:pt idx="14" formatCode="0.0000">
                  <c:v>2.6067164707176491E-3</c:v>
                </c:pt>
                <c:pt idx="15">
                  <c:v>1.9674585997275163E-2</c:v>
                </c:pt>
                <c:pt idx="16" formatCode="0.0000">
                  <c:v>5.7228432762248278E-3</c:v>
                </c:pt>
                <c:pt idx="17" formatCode="0.0000">
                  <c:v>2.7785901837809172E-3</c:v>
                </c:pt>
              </c:numCache>
            </c:numRef>
          </c:val>
        </c:ser>
        <c:ser>
          <c:idx val="1"/>
          <c:order val="1"/>
          <c:tx>
            <c:strRef>
              <c:f>AnMBR_20_CED_Detail_m3!$D$63</c:f>
              <c:strCache>
                <c:ptCount val="1"/>
                <c:pt idx="0">
                  <c:v>Pre treatment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AnMBR_20_CED_Detail_m3!$E$61:$V$61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AnMBR_20_CED_Detail_m3!$E$63:$V$63</c:f>
              <c:numCache>
                <c:formatCode>0.00</c:formatCode>
                <c:ptCount val="18"/>
                <c:pt idx="0">
                  <c:v>0.64971702928815678</c:v>
                </c:pt>
                <c:pt idx="1">
                  <c:v>0.64971702928815678</c:v>
                </c:pt>
                <c:pt idx="2">
                  <c:v>0.64971702928815678</c:v>
                </c:pt>
                <c:pt idx="3">
                  <c:v>0.64971702928815678</c:v>
                </c:pt>
                <c:pt idx="4">
                  <c:v>0.45242581510486757</c:v>
                </c:pt>
                <c:pt idx="5">
                  <c:v>0.45242581510486757</c:v>
                </c:pt>
                <c:pt idx="6">
                  <c:v>0.45242581510486757</c:v>
                </c:pt>
                <c:pt idx="7">
                  <c:v>0.45242581510486757</c:v>
                </c:pt>
                <c:pt idx="8">
                  <c:v>0.14317724041513691</c:v>
                </c:pt>
                <c:pt idx="9">
                  <c:v>0.14317724041513691</c:v>
                </c:pt>
                <c:pt idx="10">
                  <c:v>0.14317724041513691</c:v>
                </c:pt>
                <c:pt idx="11">
                  <c:v>0.14317724041513691</c:v>
                </c:pt>
                <c:pt idx="12" formatCode="0.000">
                  <c:v>6.982285088378018E-2</c:v>
                </c:pt>
                <c:pt idx="13" formatCode="0.000">
                  <c:v>6.982285088378018E-2</c:v>
                </c:pt>
                <c:pt idx="14" formatCode="0.000">
                  <c:v>6.982285088378018E-2</c:v>
                </c:pt>
                <c:pt idx="15" formatCode="0.000">
                  <c:v>5.326314053248031E-2</c:v>
                </c:pt>
                <c:pt idx="16" formatCode="0.000">
                  <c:v>5.326314053248031E-2</c:v>
                </c:pt>
                <c:pt idx="17" formatCode="0.000">
                  <c:v>5.326314053248031E-2</c:v>
                </c:pt>
              </c:numCache>
            </c:numRef>
          </c:val>
        </c:ser>
        <c:ser>
          <c:idx val="2"/>
          <c:order val="2"/>
          <c:tx>
            <c:strRef>
              <c:f>AnMBR_20_CED_Detail_m3!$D$64</c:f>
              <c:strCache>
                <c:ptCount val="1"/>
                <c:pt idx="0">
                  <c:v>MBR operation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AnMBR_20_CED_Detail_m3!$E$61:$V$61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AnMBR_20_CED_Detail_m3!$E$64:$V$64</c:f>
              <c:numCache>
                <c:formatCode>0.00</c:formatCode>
                <c:ptCount val="18"/>
                <c:pt idx="0">
                  <c:v>-2.6091234303144311</c:v>
                </c:pt>
                <c:pt idx="1">
                  <c:v>-2.6091234303144311</c:v>
                </c:pt>
                <c:pt idx="2">
                  <c:v>-2.6091234303144311</c:v>
                </c:pt>
                <c:pt idx="3">
                  <c:v>-2.6091234303144311</c:v>
                </c:pt>
                <c:pt idx="4">
                  <c:v>-2.6090771335490208</c:v>
                </c:pt>
                <c:pt idx="5">
                  <c:v>-2.6090771335490208</c:v>
                </c:pt>
                <c:pt idx="6">
                  <c:v>-2.6090771335490208</c:v>
                </c:pt>
                <c:pt idx="7">
                  <c:v>-2.6090771335490208</c:v>
                </c:pt>
                <c:pt idx="8">
                  <c:v>-2.6831785784611504</c:v>
                </c:pt>
                <c:pt idx="9">
                  <c:v>-2.6831785784611504</c:v>
                </c:pt>
                <c:pt idx="10">
                  <c:v>-2.6831785784611504</c:v>
                </c:pt>
                <c:pt idx="11">
                  <c:v>-2.6831785784611504</c:v>
                </c:pt>
                <c:pt idx="12">
                  <c:v>-2.7183547146726714</c:v>
                </c:pt>
                <c:pt idx="13">
                  <c:v>-2.7183547146726714</c:v>
                </c:pt>
                <c:pt idx="14">
                  <c:v>-2.7183547146726714</c:v>
                </c:pt>
                <c:pt idx="15">
                  <c:v>-2.7359382267052528</c:v>
                </c:pt>
                <c:pt idx="16">
                  <c:v>-2.7359382267052528</c:v>
                </c:pt>
                <c:pt idx="17">
                  <c:v>-2.7359382267052528</c:v>
                </c:pt>
              </c:numCache>
            </c:numRef>
          </c:val>
        </c:ser>
        <c:ser>
          <c:idx val="3"/>
          <c:order val="3"/>
          <c:tx>
            <c:strRef>
              <c:f>AnMBR_20_CED_Detail_m3!$D$65</c:f>
              <c:strCache>
                <c:ptCount val="1"/>
                <c:pt idx="0">
                  <c:v>MBR infrastructure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AnMBR_20_CED_Detail_m3!$E$61:$V$61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AnMBR_20_CED_Detail_m3!$E$65:$V$65</c:f>
              <c:numCache>
                <c:formatCode>0.00</c:formatCode>
                <c:ptCount val="18"/>
                <c:pt idx="0">
                  <c:v>0.38707086628619691</c:v>
                </c:pt>
                <c:pt idx="1">
                  <c:v>0.38707086628619691</c:v>
                </c:pt>
                <c:pt idx="2">
                  <c:v>0.38707086628619691</c:v>
                </c:pt>
                <c:pt idx="3">
                  <c:v>0.38707086628619691</c:v>
                </c:pt>
                <c:pt idx="4">
                  <c:v>0.19887671472211005</c:v>
                </c:pt>
                <c:pt idx="5">
                  <c:v>0.19887671472211005</c:v>
                </c:pt>
                <c:pt idx="6">
                  <c:v>0.19887671472211005</c:v>
                </c:pt>
                <c:pt idx="7">
                  <c:v>0.19887671472211005</c:v>
                </c:pt>
                <c:pt idx="8">
                  <c:v>0.37503589664990367</c:v>
                </c:pt>
                <c:pt idx="9">
                  <c:v>0.37503589664990367</c:v>
                </c:pt>
                <c:pt idx="10">
                  <c:v>0.37503589664990367</c:v>
                </c:pt>
                <c:pt idx="11">
                  <c:v>0.37503589664990367</c:v>
                </c:pt>
                <c:pt idx="12">
                  <c:v>0.31258051569307832</c:v>
                </c:pt>
                <c:pt idx="13">
                  <c:v>0.31258051569307832</c:v>
                </c:pt>
                <c:pt idx="14">
                  <c:v>0.31258051569307832</c:v>
                </c:pt>
                <c:pt idx="15">
                  <c:v>0.28127668646530241</c:v>
                </c:pt>
                <c:pt idx="16">
                  <c:v>0.28127668646530241</c:v>
                </c:pt>
                <c:pt idx="17">
                  <c:v>0.28127668646530241</c:v>
                </c:pt>
              </c:numCache>
            </c:numRef>
          </c:val>
        </c:ser>
        <c:ser>
          <c:idx val="4"/>
          <c:order val="4"/>
          <c:tx>
            <c:strRef>
              <c:f>AnMBR_20_CED_Detail_m3!$D$66</c:f>
              <c:strCache>
                <c:ptCount val="1"/>
                <c:pt idx="0">
                  <c:v>Post treatment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AnMBR_20_CED_Detail_m3!$E$61:$V$61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AnMBR_20_CED_Detail_m3!$E$66:$V$66</c:f>
              <c:numCache>
                <c:formatCode>0.00</c:formatCode>
                <c:ptCount val="18"/>
                <c:pt idx="0">
                  <c:v>7.7387529017922256</c:v>
                </c:pt>
                <c:pt idx="1">
                  <c:v>7.7387529017922256</c:v>
                </c:pt>
                <c:pt idx="2">
                  <c:v>7.7387529017922256</c:v>
                </c:pt>
                <c:pt idx="3">
                  <c:v>7.7387529017922256</c:v>
                </c:pt>
                <c:pt idx="4">
                  <c:v>4.6434759701290886</c:v>
                </c:pt>
                <c:pt idx="5">
                  <c:v>4.6434759701290886</c:v>
                </c:pt>
                <c:pt idx="6">
                  <c:v>4.6434759701290886</c:v>
                </c:pt>
                <c:pt idx="7">
                  <c:v>4.6434759701290886</c:v>
                </c:pt>
                <c:pt idx="8">
                  <c:v>1.7936067949404482</c:v>
                </c:pt>
                <c:pt idx="9">
                  <c:v>1.7936067949404482</c:v>
                </c:pt>
                <c:pt idx="10">
                  <c:v>1.7936067949404482</c:v>
                </c:pt>
                <c:pt idx="11">
                  <c:v>1.7936067949404482</c:v>
                </c:pt>
                <c:pt idx="12">
                  <c:v>0.65752924985929562</c:v>
                </c:pt>
                <c:pt idx="13">
                  <c:v>0.65752924985929562</c:v>
                </c:pt>
                <c:pt idx="14">
                  <c:v>0.65752924985929562</c:v>
                </c:pt>
                <c:pt idx="15">
                  <c:v>0.58002149133332936</c:v>
                </c:pt>
                <c:pt idx="16">
                  <c:v>0.58002149133332936</c:v>
                </c:pt>
                <c:pt idx="17">
                  <c:v>0.58002149133332936</c:v>
                </c:pt>
              </c:numCache>
            </c:numRef>
          </c:val>
        </c:ser>
        <c:ser>
          <c:idx val="5"/>
          <c:order val="5"/>
          <c:tx>
            <c:strRef>
              <c:f>AnMBR_20_CED_Detail_m3!$D$67</c:f>
              <c:strCache>
                <c:ptCount val="1"/>
                <c:pt idx="0">
                  <c:v>Recycled water delivery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AnMBR_20_CED_Detail_m3!$E$61:$V$61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AnMBR_20_CED_Detail_m3!$E$67:$V$67</c:f>
              <c:numCache>
                <c:formatCode>00.0</c:formatCode>
                <c:ptCount val="18"/>
                <c:pt idx="0">
                  <c:v>-11.790956310507253</c:v>
                </c:pt>
                <c:pt idx="1">
                  <c:v>-12.060734886205941</c:v>
                </c:pt>
                <c:pt idx="2">
                  <c:v>-12.245444139677401</c:v>
                </c:pt>
                <c:pt idx="3">
                  <c:v>-12.283805817694947</c:v>
                </c:pt>
                <c:pt idx="4">
                  <c:v>-11.80272680537211</c:v>
                </c:pt>
                <c:pt idx="5">
                  <c:v>-12.070315565093852</c:v>
                </c:pt>
                <c:pt idx="6">
                  <c:v>-12.257395415078003</c:v>
                </c:pt>
                <c:pt idx="7">
                  <c:v>-12.294547913857361</c:v>
                </c:pt>
                <c:pt idx="8">
                  <c:v>-11.845394501017187</c:v>
                </c:pt>
                <c:pt idx="9">
                  <c:v>-12.113278333094321</c:v>
                </c:pt>
                <c:pt idx="10">
                  <c:v>-12.300388904896156</c:v>
                </c:pt>
                <c:pt idx="11">
                  <c:v>-12.337423031696193</c:v>
                </c:pt>
                <c:pt idx="12">
                  <c:v>-12.126049023170674</c:v>
                </c:pt>
                <c:pt idx="13">
                  <c:v>-12.312644446109196</c:v>
                </c:pt>
                <c:pt idx="14">
                  <c:v>-12.349967696788804</c:v>
                </c:pt>
                <c:pt idx="15">
                  <c:v>-12.122265591455921</c:v>
                </c:pt>
                <c:pt idx="16">
                  <c:v>-12.308891999729966</c:v>
                </c:pt>
                <c:pt idx="17">
                  <c:v>-12.346206809739188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1504784"/>
        <c:axId val="331505176"/>
      </c:barChart>
      <c:lineChart>
        <c:grouping val="standard"/>
        <c:varyColors val="0"/>
        <c:ser>
          <c:idx val="6"/>
          <c:order val="6"/>
          <c:tx>
            <c:strRef>
              <c:f>AnMBR_20_CED_Detail_m3!$D$68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AnMBR_20_CED_Detail_m3!$E$61:$V$61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AnMBR_20_CED_Detail_m3!$E$68:$V$68</c:f>
              <c:numCache>
                <c:formatCode>0.00</c:formatCode>
                <c:ptCount val="18"/>
                <c:pt idx="0">
                  <c:v>-5.5842955439968804</c:v>
                </c:pt>
                <c:pt idx="1">
                  <c:v>-5.8732005647329686</c:v>
                </c:pt>
                <c:pt idx="2">
                  <c:v>-6.0736609761556419</c:v>
                </c:pt>
                <c:pt idx="3">
                  <c:v>-6.1148672283088192</c:v>
                </c:pt>
                <c:pt idx="4">
                  <c:v>-9.0786423581511109</c:v>
                </c:pt>
                <c:pt idx="5">
                  <c:v>-9.3649396120385795</c:v>
                </c:pt>
                <c:pt idx="6">
                  <c:v>-9.5663283320506665</c:v>
                </c:pt>
                <c:pt idx="7">
                  <c:v>-9.6061854813448946</c:v>
                </c:pt>
                <c:pt idx="8" formatCode="00.0">
                  <c:v>-12.176510117315491</c:v>
                </c:pt>
                <c:pt idx="9" formatCode="00.0">
                  <c:v>-12.464962391614318</c:v>
                </c:pt>
                <c:pt idx="10" formatCode="00.0">
                  <c:v>-12.666381755951885</c:v>
                </c:pt>
                <c:pt idx="11" formatCode="00.0">
                  <c:v>-12.706210683748992</c:v>
                </c:pt>
                <c:pt idx="12" formatCode="00.0">
                  <c:v>-13.7873760532979</c:v>
                </c:pt>
                <c:pt idx="13" formatCode="00.0">
                  <c:v>-13.985700751058534</c:v>
                </c:pt>
                <c:pt idx="14" formatCode="00.0">
                  <c:v>-14.025783078554603</c:v>
                </c:pt>
                <c:pt idx="15" formatCode="00.0">
                  <c:v>-13.923967913832787</c:v>
                </c:pt>
                <c:pt idx="16" formatCode="00.0">
                  <c:v>-14.124546064827882</c:v>
                </c:pt>
                <c:pt idx="17" formatCode="00.0">
                  <c:v>-14.164805127929547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504784"/>
        <c:axId val="331505176"/>
      </c:lineChart>
      <c:catAx>
        <c:axId val="331504784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505176"/>
        <c:crosses val="autoZero"/>
        <c:auto val="1"/>
        <c:lblAlgn val="ctr"/>
        <c:lblOffset val="100"/>
        <c:noMultiLvlLbl val="0"/>
      </c:catAx>
      <c:valAx>
        <c:axId val="331505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MJ/m3</a:t>
                </a:r>
                <a:r>
                  <a:rPr lang="en-US" baseline="0"/>
                  <a:t> Wastewater Treated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504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681759450167309E-2"/>
          <c:y val="7.9033644220010593E-2"/>
          <c:w val="0.9475305582502721"/>
          <c:h val="0.846549237628329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AeMBR_Baseline_GWP_m3!$B$6</c:f>
              <c:strCache>
                <c:ptCount val="1"/>
                <c:pt idx="0">
                  <c:v>Wastewater collection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AeMBR_Baseline_GWP_m3!$C$5:$T$5</c:f>
              <c:strCache>
                <c:ptCount val="18"/>
                <c:pt idx="0">
                  <c:v>0.05 MGD AeMBR [semi rural single family]</c:v>
                </c:pt>
                <c:pt idx="1">
                  <c:v>0.05 MGD AeMBR [single family]</c:v>
                </c:pt>
                <c:pt idx="2">
                  <c:v>0.05 MGD AeMBR [multi family]</c:v>
                </c:pt>
                <c:pt idx="3">
                  <c:v>0.05 MGD AeMBR [high density urban]</c:v>
                </c:pt>
                <c:pt idx="4">
                  <c:v>0.1 MGD AeMBR [semi rural single family]</c:v>
                </c:pt>
                <c:pt idx="5">
                  <c:v>0.1 MGD AeMBR [single family]</c:v>
                </c:pt>
                <c:pt idx="6">
                  <c:v>0.1 MGD AeMBR [multi family]</c:v>
                </c:pt>
                <c:pt idx="7">
                  <c:v>0.1 MGD AeMBR [high density urban]</c:v>
                </c:pt>
                <c:pt idx="8">
                  <c:v>1 MGD AeMBR [semi rural single family]</c:v>
                </c:pt>
                <c:pt idx="9">
                  <c:v>1 MGD AeMBR [single family]</c:v>
                </c:pt>
                <c:pt idx="10">
                  <c:v>1 MGD AeMBR [multi family]</c:v>
                </c:pt>
                <c:pt idx="11">
                  <c:v>1 MGD AeMBR [high density urban]</c:v>
                </c:pt>
                <c:pt idx="12">
                  <c:v>5 MGD AeMBR [single family]</c:v>
                </c:pt>
                <c:pt idx="13">
                  <c:v>5 MGD AeMBR [multi family]</c:v>
                </c:pt>
                <c:pt idx="14">
                  <c:v>5 MGD AeMBR [high density urban]</c:v>
                </c:pt>
                <c:pt idx="15">
                  <c:v>10 MGD AeMBR [single family]</c:v>
                </c:pt>
                <c:pt idx="16">
                  <c:v>10 MGD AeMBR [multi family]</c:v>
                </c:pt>
                <c:pt idx="17">
                  <c:v>10 MGD AeMBR [high density urban]</c:v>
                </c:pt>
              </c:strCache>
            </c:strRef>
          </c:cat>
          <c:val>
            <c:numRef>
              <c:f>AeMBR_Baseline_GWP_m3!$C$6:$T$6</c:f>
              <c:numCache>
                <c:formatCode>0.0000</c:formatCode>
                <c:ptCount val="18"/>
                <c:pt idx="0">
                  <c:v>3.960862838113575E-3</c:v>
                </c:pt>
                <c:pt idx="1">
                  <c:v>2.0030497540171831E-3</c:v>
                </c:pt>
                <c:pt idx="2" formatCode="0.0E+00">
                  <c:v>5.2811507401300374E-4</c:v>
                </c:pt>
                <c:pt idx="3" formatCode="0.0E+00">
                  <c:v>2.4977153050746449E-4</c:v>
                </c:pt>
                <c:pt idx="4">
                  <c:v>3.737915732385297E-3</c:v>
                </c:pt>
                <c:pt idx="5">
                  <c:v>1.9364217936718264E-3</c:v>
                </c:pt>
                <c:pt idx="6" formatCode="0.0E+00">
                  <c:v>5.2811500176141416E-4</c:v>
                </c:pt>
                <c:pt idx="7" formatCode="0.0E+00">
                  <c:v>2.5971995549031306E-4</c:v>
                </c:pt>
                <c:pt idx="8">
                  <c:v>3.9608612474708793E-3</c:v>
                </c:pt>
                <c:pt idx="9">
                  <c:v>1.9364154288091962E-3</c:v>
                </c:pt>
                <c:pt idx="10" formatCode="0.0E+00">
                  <c:v>5.2811435080955436E-4</c:v>
                </c:pt>
                <c:pt idx="11" formatCode="0.0E+00">
                  <c:v>2.5164352343667076E-4</c:v>
                </c:pt>
                <c:pt idx="12">
                  <c:v>1.6704292658179735E-3</c:v>
                </c:pt>
                <c:pt idx="13" formatCode="0.0E+00">
                  <c:v>5.2811435073315952E-4</c:v>
                </c:pt>
                <c:pt idx="14" formatCode="0.0E+00">
                  <c:v>2.5441802488268864E-4</c:v>
                </c:pt>
                <c:pt idx="15">
                  <c:v>1.9362201432512292E-3</c:v>
                </c:pt>
                <c:pt idx="16" formatCode="0.0E+00">
                  <c:v>5.524642900485143E-4</c:v>
                </c:pt>
                <c:pt idx="17" formatCode="0.0E+00">
                  <c:v>2.6775241212942066E-4</c:v>
                </c:pt>
              </c:numCache>
            </c:numRef>
          </c:val>
        </c:ser>
        <c:ser>
          <c:idx val="1"/>
          <c:order val="1"/>
          <c:tx>
            <c:strRef>
              <c:f>AeMBR_Baseline_GWP_m3!$B$7</c:f>
              <c:strCache>
                <c:ptCount val="1"/>
                <c:pt idx="0">
                  <c:v>Pre treatment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AeMBR_Baseline_GWP_m3!$C$5:$T$5</c:f>
              <c:strCache>
                <c:ptCount val="18"/>
                <c:pt idx="0">
                  <c:v>0.05 MGD AeMBR [semi rural single family]</c:v>
                </c:pt>
                <c:pt idx="1">
                  <c:v>0.05 MGD AeMBR [single family]</c:v>
                </c:pt>
                <c:pt idx="2">
                  <c:v>0.05 MGD AeMBR [multi family]</c:v>
                </c:pt>
                <c:pt idx="3">
                  <c:v>0.05 MGD AeMBR [high density urban]</c:v>
                </c:pt>
                <c:pt idx="4">
                  <c:v>0.1 MGD AeMBR [semi rural single family]</c:v>
                </c:pt>
                <c:pt idx="5">
                  <c:v>0.1 MGD AeMBR [single family]</c:v>
                </c:pt>
                <c:pt idx="6">
                  <c:v>0.1 MGD AeMBR [multi family]</c:v>
                </c:pt>
                <c:pt idx="7">
                  <c:v>0.1 MGD AeMBR [high density urban]</c:v>
                </c:pt>
                <c:pt idx="8">
                  <c:v>1 MGD AeMBR [semi rural single family]</c:v>
                </c:pt>
                <c:pt idx="9">
                  <c:v>1 MGD AeMBR [single family]</c:v>
                </c:pt>
                <c:pt idx="10">
                  <c:v>1 MGD AeMBR [multi family]</c:v>
                </c:pt>
                <c:pt idx="11">
                  <c:v>1 MGD AeMBR [high density urban]</c:v>
                </c:pt>
                <c:pt idx="12">
                  <c:v>5 MGD AeMBR [single family]</c:v>
                </c:pt>
                <c:pt idx="13">
                  <c:v>5 MGD AeMBR [multi family]</c:v>
                </c:pt>
                <c:pt idx="14">
                  <c:v>5 MGD AeMBR [high density urban]</c:v>
                </c:pt>
                <c:pt idx="15">
                  <c:v>10 MGD AeMBR [single family]</c:v>
                </c:pt>
                <c:pt idx="16">
                  <c:v>10 MGD AeMBR [multi family]</c:v>
                </c:pt>
                <c:pt idx="17">
                  <c:v>10 MGD AeMBR [high density urban]</c:v>
                </c:pt>
              </c:strCache>
            </c:strRef>
          </c:cat>
          <c:val>
            <c:numRef>
              <c:f>AeMBR_Baseline_GWP_m3!$C$7:$T$7</c:f>
              <c:numCache>
                <c:formatCode>0.000</c:formatCode>
                <c:ptCount val="18"/>
                <c:pt idx="0">
                  <c:v>4.0551803958615656E-2</c:v>
                </c:pt>
                <c:pt idx="1">
                  <c:v>4.0551803958615656E-2</c:v>
                </c:pt>
                <c:pt idx="2">
                  <c:v>4.0551803958615656E-2</c:v>
                </c:pt>
                <c:pt idx="3">
                  <c:v>4.0551803958615656E-2</c:v>
                </c:pt>
                <c:pt idx="4">
                  <c:v>2.8234018834029151E-2</c:v>
                </c:pt>
                <c:pt idx="5">
                  <c:v>2.8234018834029151E-2</c:v>
                </c:pt>
                <c:pt idx="6">
                  <c:v>2.8234018834029151E-2</c:v>
                </c:pt>
                <c:pt idx="7">
                  <c:v>2.8234018834029151E-2</c:v>
                </c:pt>
                <c:pt idx="8" formatCode="0.0000">
                  <c:v>8.9368095924560829E-3</c:v>
                </c:pt>
                <c:pt idx="9" formatCode="0.0000">
                  <c:v>8.9368095924560829E-3</c:v>
                </c:pt>
                <c:pt idx="10" formatCode="0.0000">
                  <c:v>8.9368095924560829E-3</c:v>
                </c:pt>
                <c:pt idx="11" formatCode="0.0000">
                  <c:v>8.9368095924560829E-3</c:v>
                </c:pt>
                <c:pt idx="12" formatCode="0.0000">
                  <c:v>4.3575759017723346E-3</c:v>
                </c:pt>
                <c:pt idx="13" formatCode="0.0000">
                  <c:v>4.3575759017723346E-3</c:v>
                </c:pt>
                <c:pt idx="14" formatCode="0.0000">
                  <c:v>4.3575759017723346E-3</c:v>
                </c:pt>
                <c:pt idx="15" formatCode="0.0000">
                  <c:v>3.3239771805527361E-3</c:v>
                </c:pt>
                <c:pt idx="16" formatCode="0.0000">
                  <c:v>3.3239771805527361E-3</c:v>
                </c:pt>
                <c:pt idx="17" formatCode="0.0000">
                  <c:v>3.3239771805527361E-3</c:v>
                </c:pt>
              </c:numCache>
            </c:numRef>
          </c:val>
        </c:ser>
        <c:ser>
          <c:idx val="2"/>
          <c:order val="2"/>
          <c:tx>
            <c:strRef>
              <c:f>AeMBR_Baseline_GWP_m3!$B$8</c:f>
              <c:strCache>
                <c:ptCount val="1"/>
                <c:pt idx="0">
                  <c:v>MBR operation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AeMBR_Baseline_GWP_m3!$C$5:$T$5</c:f>
              <c:strCache>
                <c:ptCount val="18"/>
                <c:pt idx="0">
                  <c:v>0.05 MGD AeMBR [semi rural single family]</c:v>
                </c:pt>
                <c:pt idx="1">
                  <c:v>0.05 MGD AeMBR [single family]</c:v>
                </c:pt>
                <c:pt idx="2">
                  <c:v>0.05 MGD AeMBR [multi family]</c:v>
                </c:pt>
                <c:pt idx="3">
                  <c:v>0.05 MGD AeMBR [high density urban]</c:v>
                </c:pt>
                <c:pt idx="4">
                  <c:v>0.1 MGD AeMBR [semi rural single family]</c:v>
                </c:pt>
                <c:pt idx="5">
                  <c:v>0.1 MGD AeMBR [single family]</c:v>
                </c:pt>
                <c:pt idx="6">
                  <c:v>0.1 MGD AeMBR [multi family]</c:v>
                </c:pt>
                <c:pt idx="7">
                  <c:v>0.1 MGD AeMBR [high density urban]</c:v>
                </c:pt>
                <c:pt idx="8">
                  <c:v>1 MGD AeMBR [semi rural single family]</c:v>
                </c:pt>
                <c:pt idx="9">
                  <c:v>1 MGD AeMBR [single family]</c:v>
                </c:pt>
                <c:pt idx="10">
                  <c:v>1 MGD AeMBR [multi family]</c:v>
                </c:pt>
                <c:pt idx="11">
                  <c:v>1 MGD AeMBR [high density urban]</c:v>
                </c:pt>
                <c:pt idx="12">
                  <c:v>5 MGD AeMBR [single family]</c:v>
                </c:pt>
                <c:pt idx="13">
                  <c:v>5 MGD AeMBR [multi family]</c:v>
                </c:pt>
                <c:pt idx="14">
                  <c:v>5 MGD AeMBR [high density urban]</c:v>
                </c:pt>
                <c:pt idx="15">
                  <c:v>10 MGD AeMBR [single family]</c:v>
                </c:pt>
                <c:pt idx="16">
                  <c:v>10 MGD AeMBR [multi family]</c:v>
                </c:pt>
                <c:pt idx="17">
                  <c:v>10 MGD AeMBR [high density urban]</c:v>
                </c:pt>
              </c:strCache>
            </c:strRef>
          </c:cat>
          <c:val>
            <c:numRef>
              <c:f>AeMBR_Baseline_GWP_m3!$C$8:$T$8</c:f>
              <c:numCache>
                <c:formatCode>0.00</c:formatCode>
                <c:ptCount val="18"/>
                <c:pt idx="0">
                  <c:v>0.69250081510311368</c:v>
                </c:pt>
                <c:pt idx="1">
                  <c:v>0.69250081510311368</c:v>
                </c:pt>
                <c:pt idx="2">
                  <c:v>0.69250081510311368</c:v>
                </c:pt>
                <c:pt idx="3">
                  <c:v>0.69250081510311368</c:v>
                </c:pt>
                <c:pt idx="4">
                  <c:v>0.48480941669043559</c:v>
                </c:pt>
                <c:pt idx="5">
                  <c:v>0.48480941669043559</c:v>
                </c:pt>
                <c:pt idx="6">
                  <c:v>0.48480941669043559</c:v>
                </c:pt>
                <c:pt idx="7">
                  <c:v>0.48480941669043559</c:v>
                </c:pt>
                <c:pt idx="8">
                  <c:v>0.27374623219932087</c:v>
                </c:pt>
                <c:pt idx="9">
                  <c:v>0.27374623219932087</c:v>
                </c:pt>
                <c:pt idx="10">
                  <c:v>0.27374623219932087</c:v>
                </c:pt>
                <c:pt idx="11">
                  <c:v>0.27374623219932087</c:v>
                </c:pt>
                <c:pt idx="12">
                  <c:v>0.26629558182846508</c:v>
                </c:pt>
                <c:pt idx="13">
                  <c:v>0.26629558182846508</c:v>
                </c:pt>
                <c:pt idx="14">
                  <c:v>0.26629558182846508</c:v>
                </c:pt>
                <c:pt idx="15">
                  <c:v>0.25862317393438256</c:v>
                </c:pt>
                <c:pt idx="16">
                  <c:v>0.25862317393438256</c:v>
                </c:pt>
                <c:pt idx="17">
                  <c:v>0.25862317393438256</c:v>
                </c:pt>
              </c:numCache>
            </c:numRef>
          </c:val>
        </c:ser>
        <c:ser>
          <c:idx val="3"/>
          <c:order val="3"/>
          <c:tx>
            <c:strRef>
              <c:f>AeMBR_Baseline_GWP_m3!$B$9</c:f>
              <c:strCache>
                <c:ptCount val="1"/>
                <c:pt idx="0">
                  <c:v>MBR infrastructure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AeMBR_Baseline_GWP_m3!$C$5:$T$5</c:f>
              <c:strCache>
                <c:ptCount val="18"/>
                <c:pt idx="0">
                  <c:v>0.05 MGD AeMBR [semi rural single family]</c:v>
                </c:pt>
                <c:pt idx="1">
                  <c:v>0.05 MGD AeMBR [single family]</c:v>
                </c:pt>
                <c:pt idx="2">
                  <c:v>0.05 MGD AeMBR [multi family]</c:v>
                </c:pt>
                <c:pt idx="3">
                  <c:v>0.05 MGD AeMBR [high density urban]</c:v>
                </c:pt>
                <c:pt idx="4">
                  <c:v>0.1 MGD AeMBR [semi rural single family]</c:v>
                </c:pt>
                <c:pt idx="5">
                  <c:v>0.1 MGD AeMBR [single family]</c:v>
                </c:pt>
                <c:pt idx="6">
                  <c:v>0.1 MGD AeMBR [multi family]</c:v>
                </c:pt>
                <c:pt idx="7">
                  <c:v>0.1 MGD AeMBR [high density urban]</c:v>
                </c:pt>
                <c:pt idx="8">
                  <c:v>1 MGD AeMBR [semi rural single family]</c:v>
                </c:pt>
                <c:pt idx="9">
                  <c:v>1 MGD AeMBR [single family]</c:v>
                </c:pt>
                <c:pt idx="10">
                  <c:v>1 MGD AeMBR [multi family]</c:v>
                </c:pt>
                <c:pt idx="11">
                  <c:v>1 MGD AeMBR [high density urban]</c:v>
                </c:pt>
                <c:pt idx="12">
                  <c:v>5 MGD AeMBR [single family]</c:v>
                </c:pt>
                <c:pt idx="13">
                  <c:v>5 MGD AeMBR [multi family]</c:v>
                </c:pt>
                <c:pt idx="14">
                  <c:v>5 MGD AeMBR [high density urban]</c:v>
                </c:pt>
                <c:pt idx="15">
                  <c:v>10 MGD AeMBR [single family]</c:v>
                </c:pt>
                <c:pt idx="16">
                  <c:v>10 MGD AeMBR [multi family]</c:v>
                </c:pt>
                <c:pt idx="17">
                  <c:v>10 MGD AeMBR [high density urban]</c:v>
                </c:pt>
              </c:strCache>
            </c:strRef>
          </c:cat>
          <c:val>
            <c:numRef>
              <c:f>AeMBR_Baseline_GWP_m3!$C$9:$T$9</c:f>
              <c:numCache>
                <c:formatCode>0.000</c:formatCode>
                <c:ptCount val="18"/>
                <c:pt idx="0">
                  <c:v>1.5257009689899849E-2</c:v>
                </c:pt>
                <c:pt idx="1">
                  <c:v>1.5257009689899849E-2</c:v>
                </c:pt>
                <c:pt idx="2">
                  <c:v>1.5257009689899849E-2</c:v>
                </c:pt>
                <c:pt idx="3">
                  <c:v>1.5257009689899849E-2</c:v>
                </c:pt>
                <c:pt idx="4">
                  <c:v>1.3433404220616642E-2</c:v>
                </c:pt>
                <c:pt idx="5">
                  <c:v>1.3433404220616642E-2</c:v>
                </c:pt>
                <c:pt idx="6">
                  <c:v>1.3433404220616642E-2</c:v>
                </c:pt>
                <c:pt idx="7">
                  <c:v>1.3433404220616642E-2</c:v>
                </c:pt>
                <c:pt idx="8">
                  <c:v>1.1413211287439575E-2</c:v>
                </c:pt>
                <c:pt idx="9">
                  <c:v>1.1413211287439575E-2</c:v>
                </c:pt>
                <c:pt idx="10">
                  <c:v>1.1413211287439575E-2</c:v>
                </c:pt>
                <c:pt idx="11">
                  <c:v>1.1413211287439575E-2</c:v>
                </c:pt>
                <c:pt idx="12">
                  <c:v>1.0188090954458651E-2</c:v>
                </c:pt>
                <c:pt idx="13">
                  <c:v>1.0188090954458651E-2</c:v>
                </c:pt>
                <c:pt idx="14">
                  <c:v>1.0188090954458651E-2</c:v>
                </c:pt>
                <c:pt idx="15">
                  <c:v>1.0030444881063895E-2</c:v>
                </c:pt>
                <c:pt idx="16">
                  <c:v>1.0030444881063895E-2</c:v>
                </c:pt>
                <c:pt idx="17">
                  <c:v>1.0030444881063895E-2</c:v>
                </c:pt>
              </c:numCache>
            </c:numRef>
          </c:val>
        </c:ser>
        <c:ser>
          <c:idx val="4"/>
          <c:order val="4"/>
          <c:tx>
            <c:strRef>
              <c:f>AeMBR_Baseline_GWP_m3!$B$10</c:f>
              <c:strCache>
                <c:ptCount val="1"/>
                <c:pt idx="0">
                  <c:v>Post treatment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AeMBR_Baseline_GWP_m3!$C$5:$T$5</c:f>
              <c:strCache>
                <c:ptCount val="18"/>
                <c:pt idx="0">
                  <c:v>0.05 MGD AeMBR [semi rural single family]</c:v>
                </c:pt>
                <c:pt idx="1">
                  <c:v>0.05 MGD AeMBR [single family]</c:v>
                </c:pt>
                <c:pt idx="2">
                  <c:v>0.05 MGD AeMBR [multi family]</c:v>
                </c:pt>
                <c:pt idx="3">
                  <c:v>0.05 MGD AeMBR [high density urban]</c:v>
                </c:pt>
                <c:pt idx="4">
                  <c:v>0.1 MGD AeMBR [semi rural single family]</c:v>
                </c:pt>
                <c:pt idx="5">
                  <c:v>0.1 MGD AeMBR [single family]</c:v>
                </c:pt>
                <c:pt idx="6">
                  <c:v>0.1 MGD AeMBR [multi family]</c:v>
                </c:pt>
                <c:pt idx="7">
                  <c:v>0.1 MGD AeMBR [high density urban]</c:v>
                </c:pt>
                <c:pt idx="8">
                  <c:v>1 MGD AeMBR [semi rural single family]</c:v>
                </c:pt>
                <c:pt idx="9">
                  <c:v>1 MGD AeMBR [single family]</c:v>
                </c:pt>
                <c:pt idx="10">
                  <c:v>1 MGD AeMBR [multi family]</c:v>
                </c:pt>
                <c:pt idx="11">
                  <c:v>1 MGD AeMBR [high density urban]</c:v>
                </c:pt>
                <c:pt idx="12">
                  <c:v>5 MGD AeMBR [single family]</c:v>
                </c:pt>
                <c:pt idx="13">
                  <c:v>5 MGD AeMBR [multi family]</c:v>
                </c:pt>
                <c:pt idx="14">
                  <c:v>5 MGD AeMBR [high density urban]</c:v>
                </c:pt>
                <c:pt idx="15">
                  <c:v>10 MGD AeMBR [single family]</c:v>
                </c:pt>
                <c:pt idx="16">
                  <c:v>10 MGD AeMBR [multi family]</c:v>
                </c:pt>
                <c:pt idx="17">
                  <c:v>10 MGD AeMBR [high density urban]</c:v>
                </c:pt>
              </c:strCache>
            </c:strRef>
          </c:cat>
          <c:val>
            <c:numRef>
              <c:f>AeMBR_Baseline_GWP_m3!$C$10:$T$10</c:f>
              <c:numCache>
                <c:formatCode>0.00</c:formatCode>
                <c:ptCount val="18"/>
                <c:pt idx="0">
                  <c:v>0.47976598626657413</c:v>
                </c:pt>
                <c:pt idx="1">
                  <c:v>0.47976598626657413</c:v>
                </c:pt>
                <c:pt idx="2">
                  <c:v>0.47976598626657413</c:v>
                </c:pt>
                <c:pt idx="3">
                  <c:v>0.47976598626657413</c:v>
                </c:pt>
                <c:pt idx="4">
                  <c:v>0.28544962336030261</c:v>
                </c:pt>
                <c:pt idx="5">
                  <c:v>0.28544962336030261</c:v>
                </c:pt>
                <c:pt idx="6">
                  <c:v>0.28544962336030261</c:v>
                </c:pt>
                <c:pt idx="7">
                  <c:v>0.28544962336030261</c:v>
                </c:pt>
                <c:pt idx="8" formatCode="0.000">
                  <c:v>6.5452486232116816E-2</c:v>
                </c:pt>
                <c:pt idx="9" formatCode="0.000">
                  <c:v>6.5452486232116816E-2</c:v>
                </c:pt>
                <c:pt idx="10" formatCode="0.000">
                  <c:v>6.5452486232116816E-2</c:v>
                </c:pt>
                <c:pt idx="11" formatCode="0.000">
                  <c:v>6.5452486232116816E-2</c:v>
                </c:pt>
                <c:pt idx="12" formatCode="0.000">
                  <c:v>3.5580450032576788E-2</c:v>
                </c:pt>
                <c:pt idx="13" formatCode="0.000">
                  <c:v>3.5580450032576788E-2</c:v>
                </c:pt>
                <c:pt idx="14" formatCode="0.000">
                  <c:v>3.5580450032576788E-2</c:v>
                </c:pt>
                <c:pt idx="15" formatCode="0.000">
                  <c:v>3.0731871273323656E-2</c:v>
                </c:pt>
                <c:pt idx="16" formatCode="0.000">
                  <c:v>3.0731871273323656E-2</c:v>
                </c:pt>
                <c:pt idx="17" formatCode="0.000">
                  <c:v>3.0731871273323656E-2</c:v>
                </c:pt>
              </c:numCache>
            </c:numRef>
          </c:val>
        </c:ser>
        <c:ser>
          <c:idx val="5"/>
          <c:order val="5"/>
          <c:tx>
            <c:strRef>
              <c:f>AeMBR_Baseline_GWP_m3!$B$11</c:f>
              <c:strCache>
                <c:ptCount val="1"/>
                <c:pt idx="0">
                  <c:v>Recycled water delivery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AeMBR_Baseline_GWP_m3!$C$5:$T$5</c:f>
              <c:strCache>
                <c:ptCount val="18"/>
                <c:pt idx="0">
                  <c:v>0.05 MGD AeMBR [semi rural single family]</c:v>
                </c:pt>
                <c:pt idx="1">
                  <c:v>0.05 MGD AeMBR [single family]</c:v>
                </c:pt>
                <c:pt idx="2">
                  <c:v>0.05 MGD AeMBR [multi family]</c:v>
                </c:pt>
                <c:pt idx="3">
                  <c:v>0.05 MGD AeMBR [high density urban]</c:v>
                </c:pt>
                <c:pt idx="4">
                  <c:v>0.1 MGD AeMBR [semi rural single family]</c:v>
                </c:pt>
                <c:pt idx="5">
                  <c:v>0.1 MGD AeMBR [single family]</c:v>
                </c:pt>
                <c:pt idx="6">
                  <c:v>0.1 MGD AeMBR [multi family]</c:v>
                </c:pt>
                <c:pt idx="7">
                  <c:v>0.1 MGD AeMBR [high density urban]</c:v>
                </c:pt>
                <c:pt idx="8">
                  <c:v>1 MGD AeMBR [semi rural single family]</c:v>
                </c:pt>
                <c:pt idx="9">
                  <c:v>1 MGD AeMBR [single family]</c:v>
                </c:pt>
                <c:pt idx="10">
                  <c:v>1 MGD AeMBR [multi family]</c:v>
                </c:pt>
                <c:pt idx="11">
                  <c:v>1 MGD AeMBR [high density urban]</c:v>
                </c:pt>
                <c:pt idx="12">
                  <c:v>5 MGD AeMBR [single family]</c:v>
                </c:pt>
                <c:pt idx="13">
                  <c:v>5 MGD AeMBR [multi family]</c:v>
                </c:pt>
                <c:pt idx="14">
                  <c:v>5 MGD AeMBR [high density urban]</c:v>
                </c:pt>
                <c:pt idx="15">
                  <c:v>10 MGD AeMBR [single family]</c:v>
                </c:pt>
                <c:pt idx="16">
                  <c:v>10 MGD AeMBR [multi family]</c:v>
                </c:pt>
                <c:pt idx="17">
                  <c:v>10 MGD AeMBR [high density urban]</c:v>
                </c:pt>
              </c:strCache>
            </c:strRef>
          </c:cat>
          <c:val>
            <c:numRef>
              <c:f>AeMBR_Baseline_GWP_m3!$C$11:$T$11</c:f>
              <c:numCache>
                <c:formatCode>0.00</c:formatCode>
                <c:ptCount val="18"/>
                <c:pt idx="0">
                  <c:v>-0.72044328532478119</c:v>
                </c:pt>
                <c:pt idx="1">
                  <c:v>-0.73686111996288295</c:v>
                </c:pt>
                <c:pt idx="2">
                  <c:v>-0.74809999838453989</c:v>
                </c:pt>
                <c:pt idx="3">
                  <c:v>-0.75043269507866084</c:v>
                </c:pt>
                <c:pt idx="4">
                  <c:v>-0.72050968251870628</c:v>
                </c:pt>
                <c:pt idx="5">
                  <c:v>-0.73678946140821011</c:v>
                </c:pt>
                <c:pt idx="6">
                  <c:v>-0.74817247981251633</c:v>
                </c:pt>
                <c:pt idx="7">
                  <c:v>-0.77262300789392169</c:v>
                </c:pt>
                <c:pt idx="8">
                  <c:v>-0.72049160052259831</c:v>
                </c:pt>
                <c:pt idx="9">
                  <c:v>-0.73679217283969056</c:v>
                </c:pt>
                <c:pt idx="10">
                  <c:v>-0.74818664828604275</c:v>
                </c:pt>
                <c:pt idx="11">
                  <c:v>-0.75050892193932051</c:v>
                </c:pt>
                <c:pt idx="12">
                  <c:v>-0.73679159700235308</c:v>
                </c:pt>
                <c:pt idx="13">
                  <c:v>-0.7481403249969103</c:v>
                </c:pt>
                <c:pt idx="14">
                  <c:v>-0.75041257372270664</c:v>
                </c:pt>
                <c:pt idx="15">
                  <c:v>-0.73679816159680156</c:v>
                </c:pt>
                <c:pt idx="16">
                  <c:v>-0.74815136380211744</c:v>
                </c:pt>
                <c:pt idx="17">
                  <c:v>-0.75042416945372248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1505960"/>
        <c:axId val="330434512"/>
      </c:barChart>
      <c:lineChart>
        <c:grouping val="standard"/>
        <c:varyColors val="0"/>
        <c:ser>
          <c:idx val="6"/>
          <c:order val="6"/>
          <c:tx>
            <c:strRef>
              <c:f>AeMBR_Baseline_GWP_m3!$B$12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AeMBR_Baseline_GWP_m3!$C$5:$T$5</c:f>
              <c:strCache>
                <c:ptCount val="18"/>
                <c:pt idx="0">
                  <c:v>0.05 MGD AeMBR [semi rural single family]</c:v>
                </c:pt>
                <c:pt idx="1">
                  <c:v>0.05 MGD AeMBR [single family]</c:v>
                </c:pt>
                <c:pt idx="2">
                  <c:v>0.05 MGD AeMBR [multi family]</c:v>
                </c:pt>
                <c:pt idx="3">
                  <c:v>0.05 MGD AeMBR [high density urban]</c:v>
                </c:pt>
                <c:pt idx="4">
                  <c:v>0.1 MGD AeMBR [semi rural single family]</c:v>
                </c:pt>
                <c:pt idx="5">
                  <c:v>0.1 MGD AeMBR [single family]</c:v>
                </c:pt>
                <c:pt idx="6">
                  <c:v>0.1 MGD AeMBR [multi family]</c:v>
                </c:pt>
                <c:pt idx="7">
                  <c:v>0.1 MGD AeMBR [high density urban]</c:v>
                </c:pt>
                <c:pt idx="8">
                  <c:v>1 MGD AeMBR [semi rural single family]</c:v>
                </c:pt>
                <c:pt idx="9">
                  <c:v>1 MGD AeMBR [single family]</c:v>
                </c:pt>
                <c:pt idx="10">
                  <c:v>1 MGD AeMBR [multi family]</c:v>
                </c:pt>
                <c:pt idx="11">
                  <c:v>1 MGD AeMBR [high density urban]</c:v>
                </c:pt>
                <c:pt idx="12">
                  <c:v>5 MGD AeMBR [single family]</c:v>
                </c:pt>
                <c:pt idx="13">
                  <c:v>5 MGD AeMBR [multi family]</c:v>
                </c:pt>
                <c:pt idx="14">
                  <c:v>5 MGD AeMBR [high density urban]</c:v>
                </c:pt>
                <c:pt idx="15">
                  <c:v>10 MGD AeMBR [single family]</c:v>
                </c:pt>
                <c:pt idx="16">
                  <c:v>10 MGD AeMBR [multi family]</c:v>
                </c:pt>
                <c:pt idx="17">
                  <c:v>10 MGD AeMBR [high density urban]</c:v>
                </c:pt>
              </c:strCache>
            </c:strRef>
          </c:cat>
          <c:val>
            <c:numRef>
              <c:f>AeMBR_Baseline_GWP_m3!$C$12:$T$12</c:f>
              <c:numCache>
                <c:formatCode>0.00</c:formatCode>
                <c:ptCount val="18"/>
                <c:pt idx="0">
                  <c:v>0.51159319253153568</c:v>
                </c:pt>
                <c:pt idx="1">
                  <c:v>0.49321754480933744</c:v>
                </c:pt>
                <c:pt idx="2">
                  <c:v>0.48050373170767646</c:v>
                </c:pt>
                <c:pt idx="3">
                  <c:v>0.47789269147004987</c:v>
                </c:pt>
                <c:pt idx="4" formatCode="0.000">
                  <c:v>9.5154696319063037E-2</c:v>
                </c:pt>
                <c:pt idx="5" formatCode="0.000">
                  <c:v>7.7073423490845783E-2</c:v>
                </c:pt>
                <c:pt idx="6" formatCode="0.000">
                  <c:v>6.4282098294629164E-2</c:v>
                </c:pt>
                <c:pt idx="7" formatCode="0.000">
                  <c:v>3.9563175166952624E-2</c:v>
                </c:pt>
                <c:pt idx="8">
                  <c:v>-0.35698199996379415</c:v>
                </c:pt>
                <c:pt idx="9">
                  <c:v>-0.37530701809954808</c:v>
                </c:pt>
                <c:pt idx="10">
                  <c:v>-0.38810979462389988</c:v>
                </c:pt>
                <c:pt idx="11">
                  <c:v>-0.39070853910455056</c:v>
                </c:pt>
                <c:pt idx="12">
                  <c:v>-0.41869946901926225</c:v>
                </c:pt>
                <c:pt idx="13">
                  <c:v>-0.43119051192890423</c:v>
                </c:pt>
                <c:pt idx="14">
                  <c:v>-0.43373645698055108</c:v>
                </c:pt>
                <c:pt idx="15">
                  <c:v>-0.43215247418422748</c:v>
                </c:pt>
                <c:pt idx="16">
                  <c:v>-0.44488943224274607</c:v>
                </c:pt>
                <c:pt idx="17">
                  <c:v>-0.44744694977227017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505960"/>
        <c:axId val="330434512"/>
      </c:lineChart>
      <c:catAx>
        <c:axId val="331505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434512"/>
        <c:crosses val="autoZero"/>
        <c:auto val="1"/>
        <c:lblAlgn val="ctr"/>
        <c:lblOffset val="100"/>
        <c:noMultiLvlLbl val="0"/>
      </c:catAx>
      <c:valAx>
        <c:axId val="330434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kg</a:t>
                </a:r>
                <a:r>
                  <a:rPr lang="en-US" baseline="0"/>
                  <a:t> CO2 eq/m3 wastewater treated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3510678052694488E-2"/>
              <c:y val="0.367283041831066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505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681759450167309E-2"/>
          <c:y val="7.9033644220010593E-2"/>
          <c:w val="0.9475305582502721"/>
          <c:h val="0.846549237628329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AnMBR_35_GWP_m3!$B$6</c:f>
              <c:strCache>
                <c:ptCount val="1"/>
                <c:pt idx="0">
                  <c:v>Wastewater collection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AnMBR_35_GWP_m3!$C$5:$T$5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AnMBR_35_GWP_m3!$C$6:$T$6</c:f>
              <c:numCache>
                <c:formatCode>0.0000</c:formatCode>
                <c:ptCount val="18"/>
                <c:pt idx="0">
                  <c:v>3.960862838113575E-3</c:v>
                </c:pt>
                <c:pt idx="1">
                  <c:v>2.0030497540171831E-3</c:v>
                </c:pt>
                <c:pt idx="2" formatCode="0.0E+00">
                  <c:v>5.2811507401300374E-4</c:v>
                </c:pt>
                <c:pt idx="3" formatCode="0.0E+00">
                  <c:v>2.4977153050746449E-4</c:v>
                </c:pt>
                <c:pt idx="4">
                  <c:v>3.737915732385297E-3</c:v>
                </c:pt>
                <c:pt idx="5">
                  <c:v>1.9364217936718264E-3</c:v>
                </c:pt>
                <c:pt idx="6" formatCode="0.0E+00">
                  <c:v>5.2811500176141416E-4</c:v>
                </c:pt>
                <c:pt idx="7" formatCode="0.0E+00">
                  <c:v>2.5971995549031306E-4</c:v>
                </c:pt>
                <c:pt idx="8">
                  <c:v>3.9608612474708793E-3</c:v>
                </c:pt>
                <c:pt idx="9">
                  <c:v>1.9364154288091962E-3</c:v>
                </c:pt>
                <c:pt idx="10" formatCode="0.0E+00">
                  <c:v>5.2811435080955436E-4</c:v>
                </c:pt>
                <c:pt idx="11" formatCode="0.0E+00">
                  <c:v>2.5164352343667076E-4</c:v>
                </c:pt>
                <c:pt idx="12">
                  <c:v>1.6704292658179735E-3</c:v>
                </c:pt>
                <c:pt idx="13" formatCode="0.0E+00">
                  <c:v>5.2811435073315952E-4</c:v>
                </c:pt>
                <c:pt idx="14" formatCode="0.0E+00">
                  <c:v>2.5441802488268864E-4</c:v>
                </c:pt>
                <c:pt idx="15">
                  <c:v>1.9362201432512292E-3</c:v>
                </c:pt>
                <c:pt idx="16" formatCode="0.0E+00">
                  <c:v>5.524642900485143E-4</c:v>
                </c:pt>
                <c:pt idx="17" formatCode="0.0E+00">
                  <c:v>2.6775241212942066E-4</c:v>
                </c:pt>
              </c:numCache>
            </c:numRef>
          </c:val>
        </c:ser>
        <c:ser>
          <c:idx val="1"/>
          <c:order val="1"/>
          <c:tx>
            <c:strRef>
              <c:f>AnMBR_35_GWP_m3!$B$7</c:f>
              <c:strCache>
                <c:ptCount val="1"/>
                <c:pt idx="0">
                  <c:v>Pre treatment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AnMBR_35_GWP_m3!$C$5:$T$5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AnMBR_35_GWP_m3!$C$7:$T$7</c:f>
              <c:numCache>
                <c:formatCode>0.000</c:formatCode>
                <c:ptCount val="18"/>
                <c:pt idx="0">
                  <c:v>4.0551803958615656E-2</c:v>
                </c:pt>
                <c:pt idx="1">
                  <c:v>4.0551803958615656E-2</c:v>
                </c:pt>
                <c:pt idx="2">
                  <c:v>4.0551803958615656E-2</c:v>
                </c:pt>
                <c:pt idx="3">
                  <c:v>4.0551803958615656E-2</c:v>
                </c:pt>
                <c:pt idx="4">
                  <c:v>2.8234018834029151E-2</c:v>
                </c:pt>
                <c:pt idx="5">
                  <c:v>2.8234018834029151E-2</c:v>
                </c:pt>
                <c:pt idx="6">
                  <c:v>2.8234018834029151E-2</c:v>
                </c:pt>
                <c:pt idx="7">
                  <c:v>2.8234018834029151E-2</c:v>
                </c:pt>
                <c:pt idx="8" formatCode="0.0000">
                  <c:v>8.9368095924560829E-3</c:v>
                </c:pt>
                <c:pt idx="9" formatCode="0.0000">
                  <c:v>8.9368095924560829E-3</c:v>
                </c:pt>
                <c:pt idx="10" formatCode="0.0000">
                  <c:v>8.9368095924560829E-3</c:v>
                </c:pt>
                <c:pt idx="11" formatCode="0.0000">
                  <c:v>8.9368095924560829E-3</c:v>
                </c:pt>
                <c:pt idx="12" formatCode="0.0000">
                  <c:v>4.3575759017723346E-3</c:v>
                </c:pt>
                <c:pt idx="13" formatCode="0.0000">
                  <c:v>4.3575759017723346E-3</c:v>
                </c:pt>
                <c:pt idx="14" formatCode="0.0000">
                  <c:v>4.3575759017723346E-3</c:v>
                </c:pt>
                <c:pt idx="15" formatCode="0.0000">
                  <c:v>3.3239771805527361E-3</c:v>
                </c:pt>
                <c:pt idx="16" formatCode="0.0000">
                  <c:v>3.3239771805527361E-3</c:v>
                </c:pt>
                <c:pt idx="17" formatCode="0.0000">
                  <c:v>3.3239771805527361E-3</c:v>
                </c:pt>
              </c:numCache>
            </c:numRef>
          </c:val>
        </c:ser>
        <c:ser>
          <c:idx val="2"/>
          <c:order val="2"/>
          <c:tx>
            <c:strRef>
              <c:f>AnMBR_35_GWP_m3!$B$8</c:f>
              <c:strCache>
                <c:ptCount val="1"/>
                <c:pt idx="0">
                  <c:v>MBR operation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AnMBR_35_GWP_m3!$C$5:$T$5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AnMBR_35_GWP_m3!$C$8:$T$8</c:f>
              <c:numCache>
                <c:formatCode>0.00</c:formatCode>
                <c:ptCount val="18"/>
                <c:pt idx="0">
                  <c:v>0.83419625488832816</c:v>
                </c:pt>
                <c:pt idx="1">
                  <c:v>0.83419625488832816</c:v>
                </c:pt>
                <c:pt idx="2">
                  <c:v>0.83419625488832816</c:v>
                </c:pt>
                <c:pt idx="3">
                  <c:v>0.83419625488832816</c:v>
                </c:pt>
                <c:pt idx="4">
                  <c:v>0.7859737412283323</c:v>
                </c:pt>
                <c:pt idx="5">
                  <c:v>0.7859737412283323</c:v>
                </c:pt>
                <c:pt idx="6">
                  <c:v>0.7859737412283323</c:v>
                </c:pt>
                <c:pt idx="7">
                  <c:v>0.7859737412283323</c:v>
                </c:pt>
                <c:pt idx="8">
                  <c:v>0.66603419749991821</c:v>
                </c:pt>
                <c:pt idx="9">
                  <c:v>0.66603419749991821</c:v>
                </c:pt>
                <c:pt idx="10">
                  <c:v>0.66603419749991821</c:v>
                </c:pt>
                <c:pt idx="11">
                  <c:v>0.66603419749991821</c:v>
                </c:pt>
                <c:pt idx="12">
                  <c:v>0.64007875050113383</c:v>
                </c:pt>
                <c:pt idx="13">
                  <c:v>0.64007875050113383</c:v>
                </c:pt>
                <c:pt idx="14">
                  <c:v>0.64007875050113383</c:v>
                </c:pt>
                <c:pt idx="15">
                  <c:v>0.63027589294847564</c:v>
                </c:pt>
                <c:pt idx="16">
                  <c:v>0.63027589294847564</c:v>
                </c:pt>
                <c:pt idx="17">
                  <c:v>0.63027589294847564</c:v>
                </c:pt>
              </c:numCache>
            </c:numRef>
          </c:val>
        </c:ser>
        <c:ser>
          <c:idx val="3"/>
          <c:order val="3"/>
          <c:tx>
            <c:strRef>
              <c:f>AnMBR_35_GWP_m3!$B$9</c:f>
              <c:strCache>
                <c:ptCount val="1"/>
                <c:pt idx="0">
                  <c:v>MBR infrastructure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AnMBR_35_GWP_m3!$C$5:$T$5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AnMBR_35_GWP_m3!$C$9:$T$9</c:f>
              <c:numCache>
                <c:formatCode>0.000</c:formatCode>
                <c:ptCount val="18"/>
                <c:pt idx="0">
                  <c:v>4.7635210540186594E-2</c:v>
                </c:pt>
                <c:pt idx="1">
                  <c:v>4.7635210540186594E-2</c:v>
                </c:pt>
                <c:pt idx="2">
                  <c:v>4.7635210540186594E-2</c:v>
                </c:pt>
                <c:pt idx="3">
                  <c:v>4.7635210540186594E-2</c:v>
                </c:pt>
                <c:pt idx="4">
                  <c:v>2.5133974590205534E-2</c:v>
                </c:pt>
                <c:pt idx="5">
                  <c:v>2.5133974590205534E-2</c:v>
                </c:pt>
                <c:pt idx="6">
                  <c:v>2.5133974590205534E-2</c:v>
                </c:pt>
                <c:pt idx="7">
                  <c:v>2.5133974590205534E-2</c:v>
                </c:pt>
                <c:pt idx="8">
                  <c:v>3.0936414813298049E-2</c:v>
                </c:pt>
                <c:pt idx="9">
                  <c:v>3.0936414813298049E-2</c:v>
                </c:pt>
                <c:pt idx="10">
                  <c:v>3.0936414813298049E-2</c:v>
                </c:pt>
                <c:pt idx="11">
                  <c:v>3.0936414813298049E-2</c:v>
                </c:pt>
                <c:pt idx="12">
                  <c:v>2.5791291308994924E-2</c:v>
                </c:pt>
                <c:pt idx="13">
                  <c:v>2.5791291308994924E-2</c:v>
                </c:pt>
                <c:pt idx="14">
                  <c:v>2.5791291308994924E-2</c:v>
                </c:pt>
                <c:pt idx="15">
                  <c:v>2.3201210278050482E-2</c:v>
                </c:pt>
                <c:pt idx="16">
                  <c:v>2.3201210278050482E-2</c:v>
                </c:pt>
                <c:pt idx="17">
                  <c:v>2.3201210278050482E-2</c:v>
                </c:pt>
              </c:numCache>
            </c:numRef>
          </c:val>
        </c:ser>
        <c:ser>
          <c:idx val="4"/>
          <c:order val="4"/>
          <c:tx>
            <c:strRef>
              <c:f>AnMBR_35_GWP_m3!$B$10</c:f>
              <c:strCache>
                <c:ptCount val="1"/>
                <c:pt idx="0">
                  <c:v>Post treatment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AnMBR_35_GWP_m3!$C$5:$T$5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AnMBR_35_GWP_m3!$C$10:$T$10</c:f>
              <c:numCache>
                <c:formatCode>0.00</c:formatCode>
                <c:ptCount val="18"/>
                <c:pt idx="0">
                  <c:v>0.47976598626657413</c:v>
                </c:pt>
                <c:pt idx="1">
                  <c:v>0.47976598626657413</c:v>
                </c:pt>
                <c:pt idx="2">
                  <c:v>0.47976598626657413</c:v>
                </c:pt>
                <c:pt idx="3">
                  <c:v>0.47976598626657413</c:v>
                </c:pt>
                <c:pt idx="4">
                  <c:v>0.28544962336030261</c:v>
                </c:pt>
                <c:pt idx="5">
                  <c:v>0.28544962336030261</c:v>
                </c:pt>
                <c:pt idx="6">
                  <c:v>0.28544962336030261</c:v>
                </c:pt>
                <c:pt idx="7">
                  <c:v>0.28544962336030261</c:v>
                </c:pt>
                <c:pt idx="8" formatCode="0.000">
                  <c:v>6.5452486232116816E-2</c:v>
                </c:pt>
                <c:pt idx="9" formatCode="0.000">
                  <c:v>6.5452486232116816E-2</c:v>
                </c:pt>
                <c:pt idx="10" formatCode="0.000">
                  <c:v>6.5452486232116816E-2</c:v>
                </c:pt>
                <c:pt idx="11" formatCode="0.000">
                  <c:v>6.5452486232116816E-2</c:v>
                </c:pt>
                <c:pt idx="12" formatCode="0.000">
                  <c:v>3.5580450032576788E-2</c:v>
                </c:pt>
                <c:pt idx="13" formatCode="0.000">
                  <c:v>3.5580450032576788E-2</c:v>
                </c:pt>
                <c:pt idx="14" formatCode="0.000">
                  <c:v>3.5580450032576788E-2</c:v>
                </c:pt>
                <c:pt idx="15" formatCode="0.000">
                  <c:v>3.0731871273323656E-2</c:v>
                </c:pt>
                <c:pt idx="16" formatCode="0.000">
                  <c:v>3.0731871273323656E-2</c:v>
                </c:pt>
                <c:pt idx="17" formatCode="0.000">
                  <c:v>3.0731871273323656E-2</c:v>
                </c:pt>
              </c:numCache>
            </c:numRef>
          </c:val>
        </c:ser>
        <c:ser>
          <c:idx val="5"/>
          <c:order val="5"/>
          <c:tx>
            <c:strRef>
              <c:f>AnMBR_35_GWP_m3!$B$11</c:f>
              <c:strCache>
                <c:ptCount val="1"/>
                <c:pt idx="0">
                  <c:v>Recycled water delivery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AnMBR_35_GWP_m3!$C$5:$T$5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AnMBR_35_GWP_m3!$C$11:$T$11</c:f>
              <c:numCache>
                <c:formatCode>0.00</c:formatCode>
                <c:ptCount val="18"/>
                <c:pt idx="0">
                  <c:v>-0.76277815651057068</c:v>
                </c:pt>
                <c:pt idx="1">
                  <c:v>-0.76277815651057068</c:v>
                </c:pt>
                <c:pt idx="2">
                  <c:v>-0.76277815651057068</c:v>
                </c:pt>
                <c:pt idx="3">
                  <c:v>-0.76277815651057068</c:v>
                </c:pt>
                <c:pt idx="4">
                  <c:v>-0.7498097490122092</c:v>
                </c:pt>
                <c:pt idx="5">
                  <c:v>-0.7498097490122092</c:v>
                </c:pt>
                <c:pt idx="6">
                  <c:v>-0.7498097490122092</c:v>
                </c:pt>
                <c:pt idx="7">
                  <c:v>-0.7498097490122092</c:v>
                </c:pt>
                <c:pt idx="8">
                  <c:v>-0.76595624825686393</c:v>
                </c:pt>
                <c:pt idx="9">
                  <c:v>-0.76595624825686393</c:v>
                </c:pt>
                <c:pt idx="10">
                  <c:v>-0.76595624825686393</c:v>
                </c:pt>
                <c:pt idx="11">
                  <c:v>-0.76595624825686393</c:v>
                </c:pt>
                <c:pt idx="12">
                  <c:v>-0.7532641334397292</c:v>
                </c:pt>
                <c:pt idx="13">
                  <c:v>-0.7532641334397292</c:v>
                </c:pt>
                <c:pt idx="14">
                  <c:v>-0.7532641334397292</c:v>
                </c:pt>
                <c:pt idx="15">
                  <c:v>-0.76437221476820871</c:v>
                </c:pt>
                <c:pt idx="16">
                  <c:v>-0.76437221476820871</c:v>
                </c:pt>
                <c:pt idx="17">
                  <c:v>-0.76437221476820871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0435296"/>
        <c:axId val="330435688"/>
      </c:barChart>
      <c:lineChart>
        <c:grouping val="standard"/>
        <c:varyColors val="0"/>
        <c:ser>
          <c:idx val="6"/>
          <c:order val="6"/>
          <c:tx>
            <c:strRef>
              <c:f>AnMBR_35_GWP_m3!$B$12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AnMBR_35_GWP_m3!$C$5:$T$5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AnMBR_35_GWP_m3!$C$12:$T$12</c:f>
              <c:numCache>
                <c:formatCode>0.00</c:formatCode>
                <c:ptCount val="18"/>
                <c:pt idx="0">
                  <c:v>0.64333196198124742</c:v>
                </c:pt>
                <c:pt idx="1">
                  <c:v>0.64137414889715094</c:v>
                </c:pt>
                <c:pt idx="2">
                  <c:v>0.63989921421714691</c:v>
                </c:pt>
                <c:pt idx="3">
                  <c:v>0.63962087067364126</c:v>
                </c:pt>
                <c:pt idx="4">
                  <c:v>0.3787195247330456</c:v>
                </c:pt>
                <c:pt idx="5">
                  <c:v>0.37691803079433217</c:v>
                </c:pt>
                <c:pt idx="6">
                  <c:v>0.37550972400242177</c:v>
                </c:pt>
                <c:pt idx="7">
                  <c:v>0.37524132895615059</c:v>
                </c:pt>
                <c:pt idx="8" formatCode="0.0000">
                  <c:v>9.3645211283961416E-3</c:v>
                </c:pt>
                <c:pt idx="9" formatCode="0.0000">
                  <c:v>7.3400753097344618E-3</c:v>
                </c:pt>
                <c:pt idx="10" formatCode="0.0000">
                  <c:v>5.9317742317347433E-3</c:v>
                </c:pt>
                <c:pt idx="11" formatCode="0.0000">
                  <c:v>5.6553034043619332E-3</c:v>
                </c:pt>
                <c:pt idx="12" formatCode="0.000">
                  <c:v>-4.5785636429433341E-2</c:v>
                </c:pt>
                <c:pt idx="13" formatCode="0.000">
                  <c:v>-4.6927951344518104E-2</c:v>
                </c:pt>
                <c:pt idx="14" formatCode="0.000">
                  <c:v>-4.7201647670368607E-2</c:v>
                </c:pt>
                <c:pt idx="15" formatCode="0.000">
                  <c:v>-7.4903042944554965E-2</c:v>
                </c:pt>
                <c:pt idx="16" formatCode="0.000">
                  <c:v>-7.6286798797757682E-2</c:v>
                </c:pt>
                <c:pt idx="17" formatCode="0.000">
                  <c:v>-7.6571510675676802E-2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435296"/>
        <c:axId val="330435688"/>
      </c:lineChart>
      <c:catAx>
        <c:axId val="33043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435688"/>
        <c:crosses val="autoZero"/>
        <c:auto val="1"/>
        <c:lblAlgn val="ctr"/>
        <c:lblOffset val="100"/>
        <c:noMultiLvlLbl val="0"/>
      </c:catAx>
      <c:valAx>
        <c:axId val="330435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kg</a:t>
                </a:r>
                <a:r>
                  <a:rPr lang="en-US" baseline="0"/>
                  <a:t> CO</a:t>
                </a:r>
                <a:r>
                  <a:rPr lang="en-US" baseline="-25000"/>
                  <a:t>2</a:t>
                </a:r>
                <a:r>
                  <a:rPr lang="en-US" baseline="0"/>
                  <a:t> eq/m3 wastewater treated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6945867023217205E-3"/>
              <c:y val="0.367283041831066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435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681759450167309E-2"/>
          <c:y val="7.9033644220010593E-2"/>
          <c:w val="0.9475305582502721"/>
          <c:h val="0.846549237628329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AnMBR_20_GWP_m3!$B$6</c:f>
              <c:strCache>
                <c:ptCount val="1"/>
                <c:pt idx="0">
                  <c:v>Wastewater collection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AnMBR_20_GWP_m3!$C$5:$T$5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AnMBR_20_GWP_m3!$C$6:$T$6</c:f>
              <c:numCache>
                <c:formatCode>0.0000</c:formatCode>
                <c:ptCount val="18"/>
                <c:pt idx="0">
                  <c:v>3.960862838113575E-3</c:v>
                </c:pt>
                <c:pt idx="1">
                  <c:v>2.0030497540171831E-3</c:v>
                </c:pt>
                <c:pt idx="2" formatCode="0.0E+00">
                  <c:v>5.2811507401300374E-4</c:v>
                </c:pt>
                <c:pt idx="3" formatCode="0.0E+00">
                  <c:v>2.4977153050746449E-4</c:v>
                </c:pt>
                <c:pt idx="4">
                  <c:v>3.737915732385297E-3</c:v>
                </c:pt>
                <c:pt idx="5">
                  <c:v>1.9364217936718264E-3</c:v>
                </c:pt>
                <c:pt idx="6" formatCode="0.0E+00">
                  <c:v>5.2811500176141416E-4</c:v>
                </c:pt>
                <c:pt idx="7" formatCode="0.0E+00">
                  <c:v>2.5971995549031306E-4</c:v>
                </c:pt>
                <c:pt idx="8">
                  <c:v>3.9608612474708793E-3</c:v>
                </c:pt>
                <c:pt idx="9">
                  <c:v>1.9364154288091962E-3</c:v>
                </c:pt>
                <c:pt idx="10" formatCode="0.0E+00">
                  <c:v>5.2811435080955436E-4</c:v>
                </c:pt>
                <c:pt idx="11" formatCode="0.0E+00">
                  <c:v>2.5164352343667076E-4</c:v>
                </c:pt>
                <c:pt idx="12">
                  <c:v>1.6704292658179735E-3</c:v>
                </c:pt>
                <c:pt idx="13" formatCode="0.0E+00">
                  <c:v>5.2811435073315952E-4</c:v>
                </c:pt>
                <c:pt idx="14" formatCode="0.0E+00">
                  <c:v>2.5441802488268864E-4</c:v>
                </c:pt>
                <c:pt idx="15">
                  <c:v>1.9362201432512292E-3</c:v>
                </c:pt>
                <c:pt idx="16" formatCode="0.0E+00">
                  <c:v>5.524642900485143E-4</c:v>
                </c:pt>
                <c:pt idx="17" formatCode="0.0E+00">
                  <c:v>2.6775241212942066E-4</c:v>
                </c:pt>
              </c:numCache>
            </c:numRef>
          </c:val>
        </c:ser>
        <c:ser>
          <c:idx val="1"/>
          <c:order val="1"/>
          <c:tx>
            <c:strRef>
              <c:f>AnMBR_20_GWP_m3!$B$7</c:f>
              <c:strCache>
                <c:ptCount val="1"/>
                <c:pt idx="0">
                  <c:v>Pre treatment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AnMBR_20_GWP_m3!$C$5:$T$5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AnMBR_20_GWP_m3!$C$7:$T$7</c:f>
              <c:numCache>
                <c:formatCode>0.000</c:formatCode>
                <c:ptCount val="18"/>
                <c:pt idx="0">
                  <c:v>4.0551803958615656E-2</c:v>
                </c:pt>
                <c:pt idx="1">
                  <c:v>4.0551803958615656E-2</c:v>
                </c:pt>
                <c:pt idx="2">
                  <c:v>4.0551803958615656E-2</c:v>
                </c:pt>
                <c:pt idx="3">
                  <c:v>4.0551803958615656E-2</c:v>
                </c:pt>
                <c:pt idx="4">
                  <c:v>2.8234018834029151E-2</c:v>
                </c:pt>
                <c:pt idx="5">
                  <c:v>2.8234018834029151E-2</c:v>
                </c:pt>
                <c:pt idx="6">
                  <c:v>2.8234018834029151E-2</c:v>
                </c:pt>
                <c:pt idx="7">
                  <c:v>2.8234018834029151E-2</c:v>
                </c:pt>
                <c:pt idx="8" formatCode="0.0000">
                  <c:v>8.9368095924560829E-3</c:v>
                </c:pt>
                <c:pt idx="9" formatCode="0.0000">
                  <c:v>8.9368095924560829E-3</c:v>
                </c:pt>
                <c:pt idx="10" formatCode="0.0000">
                  <c:v>8.9368095924560829E-3</c:v>
                </c:pt>
                <c:pt idx="11" formatCode="0.0000">
                  <c:v>8.9368095924560829E-3</c:v>
                </c:pt>
                <c:pt idx="12" formatCode="0.0000">
                  <c:v>4.3575759017723346E-3</c:v>
                </c:pt>
                <c:pt idx="13" formatCode="0.0000">
                  <c:v>4.3575759017723346E-3</c:v>
                </c:pt>
                <c:pt idx="14" formatCode="0.0000">
                  <c:v>4.3575759017723346E-3</c:v>
                </c:pt>
                <c:pt idx="15" formatCode="0.0000">
                  <c:v>3.3239771805527361E-3</c:v>
                </c:pt>
                <c:pt idx="16" formatCode="0.0000">
                  <c:v>3.3239771805527361E-3</c:v>
                </c:pt>
                <c:pt idx="17" formatCode="0.0000">
                  <c:v>3.3239771805527361E-3</c:v>
                </c:pt>
              </c:numCache>
            </c:numRef>
          </c:val>
        </c:ser>
        <c:ser>
          <c:idx val="2"/>
          <c:order val="2"/>
          <c:tx>
            <c:strRef>
              <c:f>AnMBR_20_GWP_m3!$B$8</c:f>
              <c:strCache>
                <c:ptCount val="1"/>
                <c:pt idx="0">
                  <c:v>MBR operation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AnMBR_20_GWP_m3!$C$5:$T$5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AnMBR_20_GWP_m3!$C$8:$T$8</c:f>
              <c:numCache>
                <c:formatCode>0.00</c:formatCode>
                <c:ptCount val="18"/>
                <c:pt idx="0">
                  <c:v>-0.1944604259715908</c:v>
                </c:pt>
                <c:pt idx="1">
                  <c:v>-0.1944604259715908</c:v>
                </c:pt>
                <c:pt idx="2">
                  <c:v>-0.1944604259715908</c:v>
                </c:pt>
                <c:pt idx="3">
                  <c:v>-0.1944604259715908</c:v>
                </c:pt>
                <c:pt idx="4">
                  <c:v>-0.16613358707205381</c:v>
                </c:pt>
                <c:pt idx="5">
                  <c:v>-0.16613358707205381</c:v>
                </c:pt>
                <c:pt idx="6">
                  <c:v>-0.16613358707205381</c:v>
                </c:pt>
                <c:pt idx="7">
                  <c:v>-0.16613358707205381</c:v>
                </c:pt>
                <c:pt idx="8">
                  <c:v>-0.16989993616469518</c:v>
                </c:pt>
                <c:pt idx="9">
                  <c:v>-0.16989993616469518</c:v>
                </c:pt>
                <c:pt idx="10">
                  <c:v>-0.16989993616469518</c:v>
                </c:pt>
                <c:pt idx="11">
                  <c:v>-0.16989993616469518</c:v>
                </c:pt>
                <c:pt idx="12">
                  <c:v>-0.17168712092711697</c:v>
                </c:pt>
                <c:pt idx="13">
                  <c:v>-0.17168712092711697</c:v>
                </c:pt>
                <c:pt idx="14">
                  <c:v>-0.17168712092711697</c:v>
                </c:pt>
                <c:pt idx="15">
                  <c:v>-0.17258069703562073</c:v>
                </c:pt>
                <c:pt idx="16">
                  <c:v>-0.17258069703562073</c:v>
                </c:pt>
                <c:pt idx="17">
                  <c:v>-0.17258069703562073</c:v>
                </c:pt>
              </c:numCache>
            </c:numRef>
          </c:val>
        </c:ser>
        <c:ser>
          <c:idx val="3"/>
          <c:order val="3"/>
          <c:tx>
            <c:strRef>
              <c:f>AnMBR_20_GWP_m3!$B$9</c:f>
              <c:strCache>
                <c:ptCount val="1"/>
                <c:pt idx="0">
                  <c:v>MBR infrastructure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AnMBR_20_GWP_m3!$C$5:$T$5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AnMBR_20_GWP_m3!$C$9:$T$9</c:f>
              <c:numCache>
                <c:formatCode>0.000</c:formatCode>
                <c:ptCount val="18"/>
                <c:pt idx="0">
                  <c:v>4.7635210540186594E-2</c:v>
                </c:pt>
                <c:pt idx="1">
                  <c:v>4.7635210540186594E-2</c:v>
                </c:pt>
                <c:pt idx="2">
                  <c:v>4.7635210540186594E-2</c:v>
                </c:pt>
                <c:pt idx="3">
                  <c:v>4.7635210540186594E-2</c:v>
                </c:pt>
                <c:pt idx="4">
                  <c:v>2.5133974590205534E-2</c:v>
                </c:pt>
                <c:pt idx="5">
                  <c:v>2.5133974590205534E-2</c:v>
                </c:pt>
                <c:pt idx="6">
                  <c:v>2.5133974590205534E-2</c:v>
                </c:pt>
                <c:pt idx="7">
                  <c:v>2.5133974590205534E-2</c:v>
                </c:pt>
                <c:pt idx="8">
                  <c:v>3.0936414813298049E-2</c:v>
                </c:pt>
                <c:pt idx="9">
                  <c:v>3.0936414813298049E-2</c:v>
                </c:pt>
                <c:pt idx="10">
                  <c:v>3.0936414813298049E-2</c:v>
                </c:pt>
                <c:pt idx="11">
                  <c:v>3.0936414813298049E-2</c:v>
                </c:pt>
                <c:pt idx="12">
                  <c:v>2.5791291308994924E-2</c:v>
                </c:pt>
                <c:pt idx="13">
                  <c:v>2.5791291308994924E-2</c:v>
                </c:pt>
                <c:pt idx="14">
                  <c:v>2.5791291308994924E-2</c:v>
                </c:pt>
                <c:pt idx="15">
                  <c:v>2.3201210278050482E-2</c:v>
                </c:pt>
                <c:pt idx="16">
                  <c:v>2.3201210278050482E-2</c:v>
                </c:pt>
                <c:pt idx="17">
                  <c:v>2.3201210278050482E-2</c:v>
                </c:pt>
              </c:numCache>
            </c:numRef>
          </c:val>
        </c:ser>
        <c:ser>
          <c:idx val="4"/>
          <c:order val="4"/>
          <c:tx>
            <c:strRef>
              <c:f>AnMBR_20_GWP_m3!$B$10</c:f>
              <c:strCache>
                <c:ptCount val="1"/>
                <c:pt idx="0">
                  <c:v>Post treatment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AnMBR_20_GWP_m3!$C$5:$T$5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AnMBR_20_GWP_m3!$C$10:$T$10</c:f>
              <c:numCache>
                <c:formatCode>0.00</c:formatCode>
                <c:ptCount val="18"/>
                <c:pt idx="0">
                  <c:v>0.47976598626657413</c:v>
                </c:pt>
                <c:pt idx="1">
                  <c:v>0.47976598626657413</c:v>
                </c:pt>
                <c:pt idx="2">
                  <c:v>0.47976598626657413</c:v>
                </c:pt>
                <c:pt idx="3">
                  <c:v>0.47976598626657413</c:v>
                </c:pt>
                <c:pt idx="4">
                  <c:v>0.28544962336030261</c:v>
                </c:pt>
                <c:pt idx="5">
                  <c:v>0.28544962336030261</c:v>
                </c:pt>
                <c:pt idx="6">
                  <c:v>0.28544962336030261</c:v>
                </c:pt>
                <c:pt idx="7">
                  <c:v>0.28544962336030261</c:v>
                </c:pt>
                <c:pt idx="8" formatCode="0.000">
                  <c:v>6.5452486232116816E-2</c:v>
                </c:pt>
                <c:pt idx="9" formatCode="0.000">
                  <c:v>6.5452486232116816E-2</c:v>
                </c:pt>
                <c:pt idx="10" formatCode="0.000">
                  <c:v>6.5452486232116816E-2</c:v>
                </c:pt>
                <c:pt idx="11" formatCode="0.000">
                  <c:v>6.5452486232116816E-2</c:v>
                </c:pt>
                <c:pt idx="12" formatCode="0.000">
                  <c:v>3.5580450032576788E-2</c:v>
                </c:pt>
                <c:pt idx="13" formatCode="0.000">
                  <c:v>3.5580450032576788E-2</c:v>
                </c:pt>
                <c:pt idx="14" formatCode="0.000">
                  <c:v>3.5580450032576788E-2</c:v>
                </c:pt>
                <c:pt idx="15" formatCode="0.000">
                  <c:v>3.0731871273323656E-2</c:v>
                </c:pt>
                <c:pt idx="16" formatCode="0.000">
                  <c:v>3.0731871273323656E-2</c:v>
                </c:pt>
                <c:pt idx="17" formatCode="0.000">
                  <c:v>3.0731871273323656E-2</c:v>
                </c:pt>
              </c:numCache>
            </c:numRef>
          </c:val>
        </c:ser>
        <c:ser>
          <c:idx val="5"/>
          <c:order val="5"/>
          <c:tx>
            <c:strRef>
              <c:f>AnMBR_20_GWP_m3!$B$11</c:f>
              <c:strCache>
                <c:ptCount val="1"/>
                <c:pt idx="0">
                  <c:v>Recycled water delivery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AnMBR_20_GWP_m3!$C$5:$T$5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AnMBR_20_GWP_m3!$C$11:$T$11</c:f>
              <c:numCache>
                <c:formatCode>0.00</c:formatCode>
                <c:ptCount val="18"/>
                <c:pt idx="0">
                  <c:v>-0.76277815651057068</c:v>
                </c:pt>
                <c:pt idx="1">
                  <c:v>-0.76277815651057068</c:v>
                </c:pt>
                <c:pt idx="2">
                  <c:v>-0.76277815651057068</c:v>
                </c:pt>
                <c:pt idx="3">
                  <c:v>-0.76277815651057068</c:v>
                </c:pt>
                <c:pt idx="4">
                  <c:v>-0.7498097490122092</c:v>
                </c:pt>
                <c:pt idx="5">
                  <c:v>-0.7498097490122092</c:v>
                </c:pt>
                <c:pt idx="6">
                  <c:v>-0.7498097490122092</c:v>
                </c:pt>
                <c:pt idx="7">
                  <c:v>-0.7498097490122092</c:v>
                </c:pt>
                <c:pt idx="8">
                  <c:v>-0.76595624825686393</c:v>
                </c:pt>
                <c:pt idx="9">
                  <c:v>-0.76595624825686393</c:v>
                </c:pt>
                <c:pt idx="10">
                  <c:v>-0.76595624825686393</c:v>
                </c:pt>
                <c:pt idx="11">
                  <c:v>-0.76595624825686393</c:v>
                </c:pt>
                <c:pt idx="12">
                  <c:v>-0.7532641334397292</c:v>
                </c:pt>
                <c:pt idx="13">
                  <c:v>-0.7532641334397292</c:v>
                </c:pt>
                <c:pt idx="14">
                  <c:v>-0.7532641334397292</c:v>
                </c:pt>
                <c:pt idx="15">
                  <c:v>-0.76437221476820871</c:v>
                </c:pt>
                <c:pt idx="16">
                  <c:v>-0.76437221476820871</c:v>
                </c:pt>
                <c:pt idx="17">
                  <c:v>-0.76437221476820871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1423056"/>
        <c:axId val="321423448"/>
      </c:barChart>
      <c:lineChart>
        <c:grouping val="standard"/>
        <c:varyColors val="0"/>
        <c:ser>
          <c:idx val="6"/>
          <c:order val="6"/>
          <c:tx>
            <c:strRef>
              <c:f>AnMBR_20_GWP_m3!$B$12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AnMBR_20_GWP_m3!$C$5:$T$5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AnMBR_20_GWP_m3!$C$12:$T$12</c:f>
              <c:numCache>
                <c:formatCode>0.00</c:formatCode>
                <c:ptCount val="18"/>
                <c:pt idx="0">
                  <c:v>-0.38532471887867153</c:v>
                </c:pt>
                <c:pt idx="1">
                  <c:v>-0.38728253196276791</c:v>
                </c:pt>
                <c:pt idx="2">
                  <c:v>-0.38875746664277211</c:v>
                </c:pt>
                <c:pt idx="3">
                  <c:v>-0.38903581018627764</c:v>
                </c:pt>
                <c:pt idx="4">
                  <c:v>-0.57338780356734043</c:v>
                </c:pt>
                <c:pt idx="5">
                  <c:v>-0.57518929750605396</c:v>
                </c:pt>
                <c:pt idx="6">
                  <c:v>-0.57659760429796436</c:v>
                </c:pt>
                <c:pt idx="7">
                  <c:v>-0.57686599934423544</c:v>
                </c:pt>
                <c:pt idx="8">
                  <c:v>-0.8265696125362173</c:v>
                </c:pt>
                <c:pt idx="9">
                  <c:v>-0.82859405835487898</c:v>
                </c:pt>
                <c:pt idx="10">
                  <c:v>-0.83000235943287859</c:v>
                </c:pt>
                <c:pt idx="11">
                  <c:v>-0.83027883026025151</c:v>
                </c:pt>
                <c:pt idx="12">
                  <c:v>-0.85755150785768408</c:v>
                </c:pt>
                <c:pt idx="13">
                  <c:v>-0.85869382277276896</c:v>
                </c:pt>
                <c:pt idx="14">
                  <c:v>-0.85896751909861946</c:v>
                </c:pt>
                <c:pt idx="15">
                  <c:v>-0.87775963292865133</c:v>
                </c:pt>
                <c:pt idx="16">
                  <c:v>-0.87914338878185405</c:v>
                </c:pt>
                <c:pt idx="17">
                  <c:v>-0.87942810065977317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423056"/>
        <c:axId val="321423448"/>
      </c:lineChart>
      <c:catAx>
        <c:axId val="32142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423448"/>
        <c:crosses val="autoZero"/>
        <c:auto val="1"/>
        <c:lblAlgn val="ctr"/>
        <c:lblOffset val="100"/>
        <c:noMultiLvlLbl val="0"/>
      </c:catAx>
      <c:valAx>
        <c:axId val="321423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kg</a:t>
                </a:r>
                <a:r>
                  <a:rPr lang="en-US" baseline="0"/>
                  <a:t> CO</a:t>
                </a:r>
                <a:r>
                  <a:rPr lang="en-US" baseline="-25000"/>
                  <a:t>2</a:t>
                </a:r>
                <a:r>
                  <a:rPr lang="en-US" baseline="0"/>
                  <a:t> eq/m3 wastewater treated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6945867023217205E-3"/>
              <c:y val="0.367283041831066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423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CED_GWP_Compare_m3!$B$6</c:f>
              <c:strCache>
                <c:ptCount val="1"/>
                <c:pt idx="0">
                  <c:v>Wastewater collection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CED_GWP_Compare_m3!$C$4:$Q$5</c:f>
              <c:multiLvlStrCache>
                <c:ptCount val="15"/>
                <c:lvl>
                  <c:pt idx="0">
                    <c:v>AeMBR</c:v>
                  </c:pt>
                  <c:pt idx="1">
                    <c:v>AnMBR @ 35 C</c:v>
                  </c:pt>
                  <c:pt idx="2">
                    <c:v>AnMBR @ 20 C</c:v>
                  </c:pt>
                  <c:pt idx="3">
                    <c:v>AeMBR</c:v>
                  </c:pt>
                  <c:pt idx="4">
                    <c:v>AnMBR @ 35 C</c:v>
                  </c:pt>
                  <c:pt idx="5">
                    <c:v>AnMBR @ 20 C</c:v>
                  </c:pt>
                  <c:pt idx="6">
                    <c:v>AeMBR</c:v>
                  </c:pt>
                  <c:pt idx="7">
                    <c:v>AnMBR @ 35 C</c:v>
                  </c:pt>
                  <c:pt idx="8">
                    <c:v>AnMBR @ 20 C</c:v>
                  </c:pt>
                  <c:pt idx="9">
                    <c:v>AeMBR</c:v>
                  </c:pt>
                  <c:pt idx="10">
                    <c:v>AnMBR @ 35 C</c:v>
                  </c:pt>
                  <c:pt idx="11">
                    <c:v>AnMBR @ 20 C</c:v>
                  </c:pt>
                  <c:pt idx="12">
                    <c:v>AeMBR</c:v>
                  </c:pt>
                  <c:pt idx="13">
                    <c:v>AnMBR @ 35 C</c:v>
                  </c:pt>
                  <c:pt idx="14">
                    <c:v>AnMBR @ 20 C</c:v>
                  </c:pt>
                </c:lvl>
                <c:lvl>
                  <c:pt idx="0">
                    <c:v>0.05 MGD</c:v>
                  </c:pt>
                  <c:pt idx="3">
                    <c:v>0.1 MGD</c:v>
                  </c:pt>
                  <c:pt idx="6">
                    <c:v>1 MGD</c:v>
                  </c:pt>
                  <c:pt idx="9">
                    <c:v>5 MGD</c:v>
                  </c:pt>
                  <c:pt idx="12">
                    <c:v>10 MGD</c:v>
                  </c:pt>
                </c:lvl>
              </c:multiLvlStrCache>
            </c:multiLvlStrRef>
          </c:cat>
          <c:val>
            <c:numRef>
              <c:f>CED_GWP_Compare_m3!$C$6:$Q$6</c:f>
              <c:numCache>
                <c:formatCode>0.0000</c:formatCode>
                <c:ptCount val="15"/>
                <c:pt idx="0">
                  <c:v>2.5212223339796309E-3</c:v>
                </c:pt>
                <c:pt idx="1">
                  <c:v>2.5212223339796309E-3</c:v>
                </c:pt>
                <c:pt idx="2">
                  <c:v>2.5212223339796309E-3</c:v>
                </c:pt>
                <c:pt idx="3">
                  <c:v>2.6610661054206021E-3</c:v>
                </c:pt>
                <c:pt idx="4">
                  <c:v>2.6610661054206021E-3</c:v>
                </c:pt>
                <c:pt idx="5">
                  <c:v>2.6610661054206021E-3</c:v>
                </c:pt>
                <c:pt idx="6">
                  <c:v>2.5709944028634839E-3</c:v>
                </c:pt>
                <c:pt idx="7">
                  <c:v>2.5709944028634839E-3</c:v>
                </c:pt>
                <c:pt idx="8">
                  <c:v>2.5709944028634839E-3</c:v>
                </c:pt>
                <c:pt idx="9">
                  <c:v>2.6067164707176491E-3</c:v>
                </c:pt>
                <c:pt idx="10">
                  <c:v>2.6067164707176491E-3</c:v>
                </c:pt>
                <c:pt idx="11">
                  <c:v>2.6067164707176491E-3</c:v>
                </c:pt>
                <c:pt idx="12">
                  <c:v>2.7785901837809168E-3</c:v>
                </c:pt>
                <c:pt idx="13">
                  <c:v>2.7785901837809168E-3</c:v>
                </c:pt>
                <c:pt idx="14">
                  <c:v>2.7785901837809168E-3</c:v>
                </c:pt>
              </c:numCache>
            </c:numRef>
          </c:val>
        </c:ser>
        <c:ser>
          <c:idx val="1"/>
          <c:order val="1"/>
          <c:tx>
            <c:strRef>
              <c:f>CED_GWP_Compare_m3!$B$7</c:f>
              <c:strCache>
                <c:ptCount val="1"/>
                <c:pt idx="0">
                  <c:v>Pre treatment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CED_GWP_Compare_m3!$C$4:$Q$5</c:f>
              <c:multiLvlStrCache>
                <c:ptCount val="15"/>
                <c:lvl>
                  <c:pt idx="0">
                    <c:v>AeMBR</c:v>
                  </c:pt>
                  <c:pt idx="1">
                    <c:v>AnMBR @ 35 C</c:v>
                  </c:pt>
                  <c:pt idx="2">
                    <c:v>AnMBR @ 20 C</c:v>
                  </c:pt>
                  <c:pt idx="3">
                    <c:v>AeMBR</c:v>
                  </c:pt>
                  <c:pt idx="4">
                    <c:v>AnMBR @ 35 C</c:v>
                  </c:pt>
                  <c:pt idx="5">
                    <c:v>AnMBR @ 20 C</c:v>
                  </c:pt>
                  <c:pt idx="6">
                    <c:v>AeMBR</c:v>
                  </c:pt>
                  <c:pt idx="7">
                    <c:v>AnMBR @ 35 C</c:v>
                  </c:pt>
                  <c:pt idx="8">
                    <c:v>AnMBR @ 20 C</c:v>
                  </c:pt>
                  <c:pt idx="9">
                    <c:v>AeMBR</c:v>
                  </c:pt>
                  <c:pt idx="10">
                    <c:v>AnMBR @ 35 C</c:v>
                  </c:pt>
                  <c:pt idx="11">
                    <c:v>AnMBR @ 20 C</c:v>
                  </c:pt>
                  <c:pt idx="12">
                    <c:v>AeMBR</c:v>
                  </c:pt>
                  <c:pt idx="13">
                    <c:v>AnMBR @ 35 C</c:v>
                  </c:pt>
                  <c:pt idx="14">
                    <c:v>AnMBR @ 20 C</c:v>
                  </c:pt>
                </c:lvl>
                <c:lvl>
                  <c:pt idx="0">
                    <c:v>0.05 MGD</c:v>
                  </c:pt>
                  <c:pt idx="3">
                    <c:v>0.1 MGD</c:v>
                  </c:pt>
                  <c:pt idx="6">
                    <c:v>1 MGD</c:v>
                  </c:pt>
                  <c:pt idx="9">
                    <c:v>5 MGD</c:v>
                  </c:pt>
                  <c:pt idx="12">
                    <c:v>10 MGD</c:v>
                  </c:pt>
                </c:lvl>
              </c:multiLvlStrCache>
            </c:multiLvlStrRef>
          </c:cat>
          <c:val>
            <c:numRef>
              <c:f>CED_GWP_Compare_m3!$C$7:$Q$7</c:f>
              <c:numCache>
                <c:formatCode>0.00</c:formatCode>
                <c:ptCount val="15"/>
                <c:pt idx="0">
                  <c:v>0.64971702928815678</c:v>
                </c:pt>
                <c:pt idx="1">
                  <c:v>0.64971702928815678</c:v>
                </c:pt>
                <c:pt idx="2">
                  <c:v>0.64971702928815678</c:v>
                </c:pt>
                <c:pt idx="3">
                  <c:v>0.45242581510486757</c:v>
                </c:pt>
                <c:pt idx="4">
                  <c:v>0.45242581510486757</c:v>
                </c:pt>
                <c:pt idx="5">
                  <c:v>0.45242581510486757</c:v>
                </c:pt>
                <c:pt idx="6">
                  <c:v>0.14317724041513691</c:v>
                </c:pt>
                <c:pt idx="7">
                  <c:v>0.14317724041513691</c:v>
                </c:pt>
                <c:pt idx="8">
                  <c:v>0.14317724041513691</c:v>
                </c:pt>
                <c:pt idx="9" formatCode="0.000">
                  <c:v>6.9822850883780194E-2</c:v>
                </c:pt>
                <c:pt idx="10" formatCode="0.000">
                  <c:v>6.9822850883780194E-2</c:v>
                </c:pt>
                <c:pt idx="11" formatCode="0.000">
                  <c:v>6.9822850883780194E-2</c:v>
                </c:pt>
                <c:pt idx="12" formatCode="0.000">
                  <c:v>5.3263140532480317E-2</c:v>
                </c:pt>
                <c:pt idx="13" formatCode="0.000">
                  <c:v>5.3263140532480317E-2</c:v>
                </c:pt>
                <c:pt idx="14" formatCode="0.000">
                  <c:v>5.3263140532480317E-2</c:v>
                </c:pt>
              </c:numCache>
            </c:numRef>
          </c:val>
        </c:ser>
        <c:ser>
          <c:idx val="2"/>
          <c:order val="2"/>
          <c:tx>
            <c:strRef>
              <c:f>CED_GWP_Compare_m3!$B$8</c:f>
              <c:strCache>
                <c:ptCount val="1"/>
                <c:pt idx="0">
                  <c:v>MBR operation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CED_GWP_Compare_m3!$C$4:$Q$5</c:f>
              <c:multiLvlStrCache>
                <c:ptCount val="15"/>
                <c:lvl>
                  <c:pt idx="0">
                    <c:v>AeMBR</c:v>
                  </c:pt>
                  <c:pt idx="1">
                    <c:v>AnMBR @ 35 C</c:v>
                  </c:pt>
                  <c:pt idx="2">
                    <c:v>AnMBR @ 20 C</c:v>
                  </c:pt>
                  <c:pt idx="3">
                    <c:v>AeMBR</c:v>
                  </c:pt>
                  <c:pt idx="4">
                    <c:v>AnMBR @ 35 C</c:v>
                  </c:pt>
                  <c:pt idx="5">
                    <c:v>AnMBR @ 20 C</c:v>
                  </c:pt>
                  <c:pt idx="6">
                    <c:v>AeMBR</c:v>
                  </c:pt>
                  <c:pt idx="7">
                    <c:v>AnMBR @ 35 C</c:v>
                  </c:pt>
                  <c:pt idx="8">
                    <c:v>AnMBR @ 20 C</c:v>
                  </c:pt>
                  <c:pt idx="9">
                    <c:v>AeMBR</c:v>
                  </c:pt>
                  <c:pt idx="10">
                    <c:v>AnMBR @ 35 C</c:v>
                  </c:pt>
                  <c:pt idx="11">
                    <c:v>AnMBR @ 20 C</c:v>
                  </c:pt>
                  <c:pt idx="12">
                    <c:v>AeMBR</c:v>
                  </c:pt>
                  <c:pt idx="13">
                    <c:v>AnMBR @ 35 C</c:v>
                  </c:pt>
                  <c:pt idx="14">
                    <c:v>AnMBR @ 20 C</c:v>
                  </c:pt>
                </c:lvl>
                <c:lvl>
                  <c:pt idx="0">
                    <c:v>0.05 MGD</c:v>
                  </c:pt>
                  <c:pt idx="3">
                    <c:v>0.1 MGD</c:v>
                  </c:pt>
                  <c:pt idx="6">
                    <c:v>1 MGD</c:v>
                  </c:pt>
                  <c:pt idx="9">
                    <c:v>5 MGD</c:v>
                  </c:pt>
                  <c:pt idx="12">
                    <c:v>10 MGD</c:v>
                  </c:pt>
                </c:lvl>
              </c:multiLvlStrCache>
            </c:multiLvlStrRef>
          </c:cat>
          <c:val>
            <c:numRef>
              <c:f>CED_GWP_Compare_m3!$C$8:$Q$8</c:f>
              <c:numCache>
                <c:formatCode>00.0</c:formatCode>
                <c:ptCount val="15"/>
                <c:pt idx="0">
                  <c:v>11.056666149795461</c:v>
                </c:pt>
                <c:pt idx="1">
                  <c:v>13.984796723637659</c:v>
                </c:pt>
                <c:pt idx="2" formatCode="0.00">
                  <c:v>-2.6091234303144311</c:v>
                </c:pt>
                <c:pt idx="3" formatCode="0.00">
                  <c:v>7.7261221151015125</c:v>
                </c:pt>
                <c:pt idx="4">
                  <c:v>13.185720054005357</c:v>
                </c:pt>
                <c:pt idx="5" formatCode="0.00">
                  <c:v>-2.6090771335490208</c:v>
                </c:pt>
                <c:pt idx="6" formatCode="0.00">
                  <c:v>4.3933158404341928</c:v>
                </c:pt>
                <c:pt idx="7">
                  <c:v>11.186549271201928</c:v>
                </c:pt>
                <c:pt idx="8" formatCode="0.00">
                  <c:v>-2.6831785784611504</c:v>
                </c:pt>
                <c:pt idx="9" formatCode="0.00">
                  <c:v>4.2701210734917252</c:v>
                </c:pt>
                <c:pt idx="10">
                  <c:v>10.750631979216891</c:v>
                </c:pt>
                <c:pt idx="11" formatCode="0.00">
                  <c:v>-2.7183547146726719</c:v>
                </c:pt>
                <c:pt idx="12" formatCode="0.00">
                  <c:v>4.1507669856367677</c:v>
                </c:pt>
                <c:pt idx="13">
                  <c:v>10.585385102675493</c:v>
                </c:pt>
                <c:pt idx="14" formatCode="0.00">
                  <c:v>-2.7359382267052528</c:v>
                </c:pt>
              </c:numCache>
            </c:numRef>
          </c:val>
        </c:ser>
        <c:ser>
          <c:idx val="3"/>
          <c:order val="3"/>
          <c:tx>
            <c:strRef>
              <c:f>CED_GWP_Compare_m3!$B$9</c:f>
              <c:strCache>
                <c:ptCount val="1"/>
                <c:pt idx="0">
                  <c:v>MBR infrastructure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CED_GWP_Compare_m3!$C$4:$Q$5</c:f>
              <c:multiLvlStrCache>
                <c:ptCount val="15"/>
                <c:lvl>
                  <c:pt idx="0">
                    <c:v>AeMBR</c:v>
                  </c:pt>
                  <c:pt idx="1">
                    <c:v>AnMBR @ 35 C</c:v>
                  </c:pt>
                  <c:pt idx="2">
                    <c:v>AnMBR @ 20 C</c:v>
                  </c:pt>
                  <c:pt idx="3">
                    <c:v>AeMBR</c:v>
                  </c:pt>
                  <c:pt idx="4">
                    <c:v>AnMBR @ 35 C</c:v>
                  </c:pt>
                  <c:pt idx="5">
                    <c:v>AnMBR @ 20 C</c:v>
                  </c:pt>
                  <c:pt idx="6">
                    <c:v>AeMBR</c:v>
                  </c:pt>
                  <c:pt idx="7">
                    <c:v>AnMBR @ 35 C</c:v>
                  </c:pt>
                  <c:pt idx="8">
                    <c:v>AnMBR @ 20 C</c:v>
                  </c:pt>
                  <c:pt idx="9">
                    <c:v>AeMBR</c:v>
                  </c:pt>
                  <c:pt idx="10">
                    <c:v>AnMBR @ 35 C</c:v>
                  </c:pt>
                  <c:pt idx="11">
                    <c:v>AnMBR @ 20 C</c:v>
                  </c:pt>
                  <c:pt idx="12">
                    <c:v>AeMBR</c:v>
                  </c:pt>
                  <c:pt idx="13">
                    <c:v>AnMBR @ 35 C</c:v>
                  </c:pt>
                  <c:pt idx="14">
                    <c:v>AnMBR @ 20 C</c:v>
                  </c:pt>
                </c:lvl>
                <c:lvl>
                  <c:pt idx="0">
                    <c:v>0.05 MGD</c:v>
                  </c:pt>
                  <c:pt idx="3">
                    <c:v>0.1 MGD</c:v>
                  </c:pt>
                  <c:pt idx="6">
                    <c:v>1 MGD</c:v>
                  </c:pt>
                  <c:pt idx="9">
                    <c:v>5 MGD</c:v>
                  </c:pt>
                  <c:pt idx="12">
                    <c:v>10 MGD</c:v>
                  </c:pt>
                </c:lvl>
              </c:multiLvlStrCache>
            </c:multiLvlStrRef>
          </c:cat>
          <c:val>
            <c:numRef>
              <c:f>CED_GWP_Compare_m3!$C$9:$Q$9</c:f>
              <c:numCache>
                <c:formatCode>0.00</c:formatCode>
                <c:ptCount val="15"/>
                <c:pt idx="0">
                  <c:v>0.16058259101324368</c:v>
                </c:pt>
                <c:pt idx="1">
                  <c:v>0.38707086628619691</c:v>
                </c:pt>
                <c:pt idx="2">
                  <c:v>0.38707086628619691</c:v>
                </c:pt>
                <c:pt idx="3">
                  <c:v>0.15044582401829357</c:v>
                </c:pt>
                <c:pt idx="4">
                  <c:v>0.19887671472211005</c:v>
                </c:pt>
                <c:pt idx="5">
                  <c:v>0.19887671472211005</c:v>
                </c:pt>
                <c:pt idx="6">
                  <c:v>0.13937168632187238</c:v>
                </c:pt>
                <c:pt idx="7">
                  <c:v>0.37503589664990367</c:v>
                </c:pt>
                <c:pt idx="8">
                  <c:v>0.37503589664990367</c:v>
                </c:pt>
                <c:pt idx="9">
                  <c:v>0.12431155338540768</c:v>
                </c:pt>
                <c:pt idx="10">
                  <c:v>0.31258051569307832</c:v>
                </c:pt>
                <c:pt idx="11">
                  <c:v>0.31258051569307832</c:v>
                </c:pt>
                <c:pt idx="12">
                  <c:v>0.12332427641588993</c:v>
                </c:pt>
                <c:pt idx="13">
                  <c:v>0.28127668646530241</c:v>
                </c:pt>
                <c:pt idx="14">
                  <c:v>0.28127668646530241</c:v>
                </c:pt>
              </c:numCache>
            </c:numRef>
          </c:val>
        </c:ser>
        <c:ser>
          <c:idx val="4"/>
          <c:order val="4"/>
          <c:tx>
            <c:strRef>
              <c:f>CED_GWP_Compare_m3!$B$10</c:f>
              <c:strCache>
                <c:ptCount val="1"/>
                <c:pt idx="0">
                  <c:v>Post treatment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CED_GWP_Compare_m3!$C$4:$Q$5</c:f>
              <c:multiLvlStrCache>
                <c:ptCount val="15"/>
                <c:lvl>
                  <c:pt idx="0">
                    <c:v>AeMBR</c:v>
                  </c:pt>
                  <c:pt idx="1">
                    <c:v>AnMBR @ 35 C</c:v>
                  </c:pt>
                  <c:pt idx="2">
                    <c:v>AnMBR @ 20 C</c:v>
                  </c:pt>
                  <c:pt idx="3">
                    <c:v>AeMBR</c:v>
                  </c:pt>
                  <c:pt idx="4">
                    <c:v>AnMBR @ 35 C</c:v>
                  </c:pt>
                  <c:pt idx="5">
                    <c:v>AnMBR @ 20 C</c:v>
                  </c:pt>
                  <c:pt idx="6">
                    <c:v>AeMBR</c:v>
                  </c:pt>
                  <c:pt idx="7">
                    <c:v>AnMBR @ 35 C</c:v>
                  </c:pt>
                  <c:pt idx="8">
                    <c:v>AnMBR @ 20 C</c:v>
                  </c:pt>
                  <c:pt idx="9">
                    <c:v>AeMBR</c:v>
                  </c:pt>
                  <c:pt idx="10">
                    <c:v>AnMBR @ 35 C</c:v>
                  </c:pt>
                  <c:pt idx="11">
                    <c:v>AnMBR @ 20 C</c:v>
                  </c:pt>
                  <c:pt idx="12">
                    <c:v>AeMBR</c:v>
                  </c:pt>
                  <c:pt idx="13">
                    <c:v>AnMBR @ 35 C</c:v>
                  </c:pt>
                  <c:pt idx="14">
                    <c:v>AnMBR @ 20 C</c:v>
                  </c:pt>
                </c:lvl>
                <c:lvl>
                  <c:pt idx="0">
                    <c:v>0.05 MGD</c:v>
                  </c:pt>
                  <c:pt idx="3">
                    <c:v>0.1 MGD</c:v>
                  </c:pt>
                  <c:pt idx="6">
                    <c:v>1 MGD</c:v>
                  </c:pt>
                  <c:pt idx="9">
                    <c:v>5 MGD</c:v>
                  </c:pt>
                  <c:pt idx="12">
                    <c:v>10 MGD</c:v>
                  </c:pt>
                </c:lvl>
              </c:multiLvlStrCache>
            </c:multiLvlStrRef>
          </c:cat>
          <c:val>
            <c:numRef>
              <c:f>CED_GWP_Compare_m3!$C$10:$Q$10</c:f>
              <c:numCache>
                <c:formatCode>0.00</c:formatCode>
                <c:ptCount val="15"/>
                <c:pt idx="0">
                  <c:v>7.7387529017922274</c:v>
                </c:pt>
                <c:pt idx="1">
                  <c:v>7.7387529017922274</c:v>
                </c:pt>
                <c:pt idx="2">
                  <c:v>7.7387529017922274</c:v>
                </c:pt>
                <c:pt idx="3">
                  <c:v>4.6434759701290886</c:v>
                </c:pt>
                <c:pt idx="4">
                  <c:v>4.6434759701290886</c:v>
                </c:pt>
                <c:pt idx="5">
                  <c:v>4.6434759701290886</c:v>
                </c:pt>
                <c:pt idx="6">
                  <c:v>1.7936067949404482</c:v>
                </c:pt>
                <c:pt idx="7">
                  <c:v>1.7936067949404482</c:v>
                </c:pt>
                <c:pt idx="8">
                  <c:v>1.7936067949404482</c:v>
                </c:pt>
                <c:pt idx="9">
                  <c:v>0.65752924985929562</c:v>
                </c:pt>
                <c:pt idx="10">
                  <c:v>0.65752924985929562</c:v>
                </c:pt>
                <c:pt idx="11">
                  <c:v>0.65752924985929562</c:v>
                </c:pt>
                <c:pt idx="12">
                  <c:v>0.58002149133332936</c:v>
                </c:pt>
                <c:pt idx="13">
                  <c:v>0.58002149133332936</c:v>
                </c:pt>
                <c:pt idx="14">
                  <c:v>0.58002149133332936</c:v>
                </c:pt>
              </c:numCache>
            </c:numRef>
          </c:val>
        </c:ser>
        <c:ser>
          <c:idx val="5"/>
          <c:order val="5"/>
          <c:tx>
            <c:strRef>
              <c:f>CED_GWP_Compare_m3!$B$11</c:f>
              <c:strCache>
                <c:ptCount val="1"/>
                <c:pt idx="0">
                  <c:v>Recycled water delivery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CED_GWP_Compare_m3!$C$4:$Q$5</c:f>
              <c:multiLvlStrCache>
                <c:ptCount val="15"/>
                <c:lvl>
                  <c:pt idx="0">
                    <c:v>AeMBR</c:v>
                  </c:pt>
                  <c:pt idx="1">
                    <c:v>AnMBR @ 35 C</c:v>
                  </c:pt>
                  <c:pt idx="2">
                    <c:v>AnMBR @ 20 C</c:v>
                  </c:pt>
                  <c:pt idx="3">
                    <c:v>AeMBR</c:v>
                  </c:pt>
                  <c:pt idx="4">
                    <c:v>AnMBR @ 35 C</c:v>
                  </c:pt>
                  <c:pt idx="5">
                    <c:v>AnMBR @ 20 C</c:v>
                  </c:pt>
                  <c:pt idx="6">
                    <c:v>AeMBR</c:v>
                  </c:pt>
                  <c:pt idx="7">
                    <c:v>AnMBR @ 35 C</c:v>
                  </c:pt>
                  <c:pt idx="8">
                    <c:v>AnMBR @ 20 C</c:v>
                  </c:pt>
                  <c:pt idx="9">
                    <c:v>AeMBR</c:v>
                  </c:pt>
                  <c:pt idx="10">
                    <c:v>AnMBR @ 35 C</c:v>
                  </c:pt>
                  <c:pt idx="11">
                    <c:v>AnMBR @ 20 C</c:v>
                  </c:pt>
                  <c:pt idx="12">
                    <c:v>AeMBR</c:v>
                  </c:pt>
                  <c:pt idx="13">
                    <c:v>AnMBR @ 35 C</c:v>
                  </c:pt>
                  <c:pt idx="14">
                    <c:v>AnMBR @ 20 C</c:v>
                  </c:pt>
                </c:lvl>
                <c:lvl>
                  <c:pt idx="0">
                    <c:v>0.05 MGD</c:v>
                  </c:pt>
                  <c:pt idx="3">
                    <c:v>0.1 MGD</c:v>
                  </c:pt>
                  <c:pt idx="6">
                    <c:v>1 MGD</c:v>
                  </c:pt>
                  <c:pt idx="9">
                    <c:v>5 MGD</c:v>
                  </c:pt>
                  <c:pt idx="12">
                    <c:v>10 MGD</c:v>
                  </c:pt>
                </c:lvl>
              </c:multiLvlStrCache>
            </c:multiLvlStrRef>
          </c:cat>
          <c:val>
            <c:numRef>
              <c:f>CED_GWP_Compare_m3!$C$11:$Q$11</c:f>
              <c:numCache>
                <c:formatCode>00.0</c:formatCode>
                <c:ptCount val="15"/>
                <c:pt idx="0">
                  <c:v>-12.084932791728811</c:v>
                </c:pt>
                <c:pt idx="1">
                  <c:v>-12.283805817694947</c:v>
                </c:pt>
                <c:pt idx="2">
                  <c:v>-12.283805817694947</c:v>
                </c:pt>
                <c:pt idx="3">
                  <c:v>-12.084941414972711</c:v>
                </c:pt>
                <c:pt idx="4">
                  <c:v>-12.294547913857361</c:v>
                </c:pt>
                <c:pt idx="5">
                  <c:v>-12.294547913857361</c:v>
                </c:pt>
                <c:pt idx="6">
                  <c:v>-12.084853710058789</c:v>
                </c:pt>
                <c:pt idx="7">
                  <c:v>-12.337423031696192</c:v>
                </c:pt>
                <c:pt idx="8">
                  <c:v>-12.337423031696192</c:v>
                </c:pt>
                <c:pt idx="9">
                  <c:v>-12.084972427464272</c:v>
                </c:pt>
                <c:pt idx="10">
                  <c:v>-12.349967696788804</c:v>
                </c:pt>
                <c:pt idx="11">
                  <c:v>-12.349967696788804</c:v>
                </c:pt>
                <c:pt idx="12">
                  <c:v>-12.084958129969916</c:v>
                </c:pt>
                <c:pt idx="13">
                  <c:v>-12.346206809739188</c:v>
                </c:pt>
                <c:pt idx="14">
                  <c:v>-12.346206809739188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1424232"/>
        <c:axId val="321424624"/>
      </c:barChart>
      <c:lineChart>
        <c:grouping val="standard"/>
        <c:varyColors val="0"/>
        <c:ser>
          <c:idx val="6"/>
          <c:order val="6"/>
          <c:tx>
            <c:strRef>
              <c:f>CED_GWP_Compare_m3!$B$12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CED_GWP_Compare_m3!$C$4:$Q$5</c:f>
              <c:multiLvlStrCache>
                <c:ptCount val="15"/>
                <c:lvl>
                  <c:pt idx="0">
                    <c:v>AeMBR</c:v>
                  </c:pt>
                  <c:pt idx="1">
                    <c:v>AnMBR @ 35 C</c:v>
                  </c:pt>
                  <c:pt idx="2">
                    <c:v>AnMBR @ 20 C</c:v>
                  </c:pt>
                  <c:pt idx="3">
                    <c:v>AeMBR</c:v>
                  </c:pt>
                  <c:pt idx="4">
                    <c:v>AnMBR @ 35 C</c:v>
                  </c:pt>
                  <c:pt idx="5">
                    <c:v>AnMBR @ 20 C</c:v>
                  </c:pt>
                  <c:pt idx="6">
                    <c:v>AeMBR</c:v>
                  </c:pt>
                  <c:pt idx="7">
                    <c:v>AnMBR @ 35 C</c:v>
                  </c:pt>
                  <c:pt idx="8">
                    <c:v>AnMBR @ 20 C</c:v>
                  </c:pt>
                  <c:pt idx="9">
                    <c:v>AeMBR</c:v>
                  </c:pt>
                  <c:pt idx="10">
                    <c:v>AnMBR @ 35 C</c:v>
                  </c:pt>
                  <c:pt idx="11">
                    <c:v>AnMBR @ 20 C</c:v>
                  </c:pt>
                  <c:pt idx="12">
                    <c:v>AeMBR</c:v>
                  </c:pt>
                  <c:pt idx="13">
                    <c:v>AnMBR @ 35 C</c:v>
                  </c:pt>
                  <c:pt idx="14">
                    <c:v>AnMBR @ 20 C</c:v>
                  </c:pt>
                </c:lvl>
                <c:lvl>
                  <c:pt idx="0">
                    <c:v>0.05 MGD</c:v>
                  </c:pt>
                  <c:pt idx="3">
                    <c:v>0.1 MGD</c:v>
                  </c:pt>
                  <c:pt idx="6">
                    <c:v>1 MGD</c:v>
                  </c:pt>
                  <c:pt idx="9">
                    <c:v>5 MGD</c:v>
                  </c:pt>
                  <c:pt idx="12">
                    <c:v>10 MGD</c:v>
                  </c:pt>
                </c:lvl>
              </c:multiLvlStrCache>
            </c:multiLvlStrRef>
          </c:cat>
          <c:val>
            <c:numRef>
              <c:f>CED_GWP_Compare_m3!$C$12:$Q$12</c:f>
              <c:numCache>
                <c:formatCode>00.0</c:formatCode>
                <c:ptCount val="15"/>
                <c:pt idx="0" formatCode="0.00">
                  <c:v>7.5233071024942575</c:v>
                </c:pt>
                <c:pt idx="1">
                  <c:v>10.479052925643273</c:v>
                </c:pt>
                <c:pt idx="2" formatCode="0.00">
                  <c:v>-6.1148672283088175</c:v>
                </c:pt>
                <c:pt idx="3" formatCode="0.00">
                  <c:v>0.89018937548647159</c:v>
                </c:pt>
                <c:pt idx="4" formatCode="0.00">
                  <c:v>6.1886117062094819</c:v>
                </c:pt>
                <c:pt idx="5" formatCode="0.00">
                  <c:v>-9.6061854813448946</c:v>
                </c:pt>
                <c:pt idx="6" formatCode="0.00">
                  <c:v>-5.6128111535442748</c:v>
                </c:pt>
                <c:pt idx="7" formatCode="0.00">
                  <c:v>1.1635171659140884</c:v>
                </c:pt>
                <c:pt idx="8">
                  <c:v>-12.70621068374899</c:v>
                </c:pt>
                <c:pt idx="9" formatCode="0.00">
                  <c:v>-6.9605809833733465</c:v>
                </c:pt>
                <c:pt idx="10" formatCode="0.00">
                  <c:v>-0.55679638466504144</c:v>
                </c:pt>
                <c:pt idx="11">
                  <c:v>-14.025783078554603</c:v>
                </c:pt>
                <c:pt idx="12" formatCode="0.00">
                  <c:v>-7.1748036458676685</c:v>
                </c:pt>
                <c:pt idx="13" formatCode="0.00">
                  <c:v>-0.84348179854880101</c:v>
                </c:pt>
                <c:pt idx="14">
                  <c:v>-14.164805127929547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424232"/>
        <c:axId val="321424624"/>
      </c:lineChart>
      <c:catAx>
        <c:axId val="321424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424624"/>
        <c:crosses val="autoZero"/>
        <c:auto val="1"/>
        <c:lblAlgn val="ctr"/>
        <c:lblOffset val="100"/>
        <c:noMultiLvlLbl val="0"/>
      </c:catAx>
      <c:valAx>
        <c:axId val="321424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MJ/m3</a:t>
                </a:r>
                <a:r>
                  <a:rPr lang="en-US" baseline="0"/>
                  <a:t> wastewater treated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424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444556445106481E-2"/>
          <c:y val="0.13433558275597715"/>
          <c:w val="0.92375460611297244"/>
          <c:h val="0.759580471621741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CED_GWP_Compare_m3!$B$39</c:f>
              <c:strCache>
                <c:ptCount val="1"/>
                <c:pt idx="0">
                  <c:v>Wastewater collection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CED_GWP_Compare_m3!$C$37:$Q$38</c:f>
              <c:multiLvlStrCache>
                <c:ptCount val="15"/>
                <c:lvl>
                  <c:pt idx="0">
                    <c:v>AeMBR</c:v>
                  </c:pt>
                  <c:pt idx="1">
                    <c:v>AnMBR @ 35 C</c:v>
                  </c:pt>
                  <c:pt idx="2">
                    <c:v>AnMBR @ 20 C</c:v>
                  </c:pt>
                  <c:pt idx="3">
                    <c:v>AeMBR</c:v>
                  </c:pt>
                  <c:pt idx="4">
                    <c:v>AnMBR @ 35 C</c:v>
                  </c:pt>
                  <c:pt idx="5">
                    <c:v>AnMBR @ 20 C</c:v>
                  </c:pt>
                  <c:pt idx="6">
                    <c:v>AeMBR</c:v>
                  </c:pt>
                  <c:pt idx="7">
                    <c:v>AnMBR @ 35 C</c:v>
                  </c:pt>
                  <c:pt idx="8">
                    <c:v>AnMBR @ 20 C</c:v>
                  </c:pt>
                  <c:pt idx="9">
                    <c:v>AeMBR</c:v>
                  </c:pt>
                  <c:pt idx="10">
                    <c:v>AnMBR @ 35 C</c:v>
                  </c:pt>
                  <c:pt idx="11">
                    <c:v>AnMBR @ 20 C</c:v>
                  </c:pt>
                  <c:pt idx="12">
                    <c:v>AeMBR</c:v>
                  </c:pt>
                  <c:pt idx="13">
                    <c:v>AnMBR @ 35 C</c:v>
                  </c:pt>
                  <c:pt idx="14">
                    <c:v>AnMBR @ 20 C</c:v>
                  </c:pt>
                </c:lvl>
                <c:lvl>
                  <c:pt idx="0">
                    <c:v>0.05 MGD</c:v>
                  </c:pt>
                  <c:pt idx="3">
                    <c:v>0.1 MGD</c:v>
                  </c:pt>
                  <c:pt idx="6">
                    <c:v>1 MGD</c:v>
                  </c:pt>
                  <c:pt idx="9">
                    <c:v>5 MGD</c:v>
                  </c:pt>
                  <c:pt idx="12">
                    <c:v>10 MGD</c:v>
                  </c:pt>
                </c:lvl>
              </c:multiLvlStrCache>
            </c:multiLvlStrRef>
          </c:cat>
          <c:val>
            <c:numRef>
              <c:f>CED_GWP_Compare_m3!$C$39:$Q$39</c:f>
              <c:numCache>
                <c:formatCode>0.0E+00</c:formatCode>
                <c:ptCount val="15"/>
                <c:pt idx="0">
                  <c:v>2.4977153050746449E-4</c:v>
                </c:pt>
                <c:pt idx="1">
                  <c:v>2.4977153050746449E-4</c:v>
                </c:pt>
                <c:pt idx="2">
                  <c:v>2.4977153050746449E-4</c:v>
                </c:pt>
                <c:pt idx="3">
                  <c:v>2.5971995549031306E-4</c:v>
                </c:pt>
                <c:pt idx="4">
                  <c:v>2.5971995549031306E-4</c:v>
                </c:pt>
                <c:pt idx="5">
                  <c:v>2.5971995549031306E-4</c:v>
                </c:pt>
                <c:pt idx="6">
                  <c:v>2.5164352343667076E-4</c:v>
                </c:pt>
                <c:pt idx="7">
                  <c:v>2.5164352343667076E-4</c:v>
                </c:pt>
                <c:pt idx="8">
                  <c:v>2.5164352343667076E-4</c:v>
                </c:pt>
                <c:pt idx="9">
                  <c:v>2.5441802488268864E-4</c:v>
                </c:pt>
                <c:pt idx="10">
                  <c:v>2.5441802488268864E-4</c:v>
                </c:pt>
                <c:pt idx="11">
                  <c:v>2.5441802488268864E-4</c:v>
                </c:pt>
                <c:pt idx="12">
                  <c:v>2.6775241212942066E-4</c:v>
                </c:pt>
                <c:pt idx="13">
                  <c:v>2.6775241212942066E-4</c:v>
                </c:pt>
                <c:pt idx="14">
                  <c:v>2.6775241212942066E-4</c:v>
                </c:pt>
              </c:numCache>
            </c:numRef>
          </c:val>
        </c:ser>
        <c:ser>
          <c:idx val="1"/>
          <c:order val="1"/>
          <c:tx>
            <c:strRef>
              <c:f>CED_GWP_Compare_m3!$B$40</c:f>
              <c:strCache>
                <c:ptCount val="1"/>
                <c:pt idx="0">
                  <c:v>Pre treatment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CED_GWP_Compare_m3!$C$37:$Q$38</c:f>
              <c:multiLvlStrCache>
                <c:ptCount val="15"/>
                <c:lvl>
                  <c:pt idx="0">
                    <c:v>AeMBR</c:v>
                  </c:pt>
                  <c:pt idx="1">
                    <c:v>AnMBR @ 35 C</c:v>
                  </c:pt>
                  <c:pt idx="2">
                    <c:v>AnMBR @ 20 C</c:v>
                  </c:pt>
                  <c:pt idx="3">
                    <c:v>AeMBR</c:v>
                  </c:pt>
                  <c:pt idx="4">
                    <c:v>AnMBR @ 35 C</c:v>
                  </c:pt>
                  <c:pt idx="5">
                    <c:v>AnMBR @ 20 C</c:v>
                  </c:pt>
                  <c:pt idx="6">
                    <c:v>AeMBR</c:v>
                  </c:pt>
                  <c:pt idx="7">
                    <c:v>AnMBR @ 35 C</c:v>
                  </c:pt>
                  <c:pt idx="8">
                    <c:v>AnMBR @ 20 C</c:v>
                  </c:pt>
                  <c:pt idx="9">
                    <c:v>AeMBR</c:v>
                  </c:pt>
                  <c:pt idx="10">
                    <c:v>AnMBR @ 35 C</c:v>
                  </c:pt>
                  <c:pt idx="11">
                    <c:v>AnMBR @ 20 C</c:v>
                  </c:pt>
                  <c:pt idx="12">
                    <c:v>AeMBR</c:v>
                  </c:pt>
                  <c:pt idx="13">
                    <c:v>AnMBR @ 35 C</c:v>
                  </c:pt>
                  <c:pt idx="14">
                    <c:v>AnMBR @ 20 C</c:v>
                  </c:pt>
                </c:lvl>
                <c:lvl>
                  <c:pt idx="0">
                    <c:v>0.05 MGD</c:v>
                  </c:pt>
                  <c:pt idx="3">
                    <c:v>0.1 MGD</c:v>
                  </c:pt>
                  <c:pt idx="6">
                    <c:v>1 MGD</c:v>
                  </c:pt>
                  <c:pt idx="9">
                    <c:v>5 MGD</c:v>
                  </c:pt>
                  <c:pt idx="12">
                    <c:v>10 MGD</c:v>
                  </c:pt>
                </c:lvl>
              </c:multiLvlStrCache>
            </c:multiLvlStrRef>
          </c:cat>
          <c:val>
            <c:numRef>
              <c:f>CED_GWP_Compare_m3!$C$40:$Q$40</c:f>
              <c:numCache>
                <c:formatCode>0.000</c:formatCode>
                <c:ptCount val="15"/>
                <c:pt idx="0">
                  <c:v>4.0551803958615656E-2</c:v>
                </c:pt>
                <c:pt idx="1">
                  <c:v>4.0551803958615656E-2</c:v>
                </c:pt>
                <c:pt idx="2">
                  <c:v>4.0551803958615656E-2</c:v>
                </c:pt>
                <c:pt idx="3">
                  <c:v>2.8234018834029151E-2</c:v>
                </c:pt>
                <c:pt idx="4">
                  <c:v>2.8234018834029151E-2</c:v>
                </c:pt>
                <c:pt idx="5">
                  <c:v>2.8234018834029151E-2</c:v>
                </c:pt>
                <c:pt idx="6" formatCode="0.0000">
                  <c:v>8.9368095924560829E-3</c:v>
                </c:pt>
                <c:pt idx="7" formatCode="0.0000">
                  <c:v>8.9368095924560829E-3</c:v>
                </c:pt>
                <c:pt idx="8" formatCode="0.0000">
                  <c:v>8.9368095924560829E-3</c:v>
                </c:pt>
                <c:pt idx="9" formatCode="0.0000">
                  <c:v>4.3575759017723346E-3</c:v>
                </c:pt>
                <c:pt idx="10" formatCode="0.0000">
                  <c:v>4.3575759017723346E-3</c:v>
                </c:pt>
                <c:pt idx="11" formatCode="0.0000">
                  <c:v>4.3575759017723346E-3</c:v>
                </c:pt>
                <c:pt idx="12" formatCode="0.0000">
                  <c:v>3.3239771805527361E-3</c:v>
                </c:pt>
                <c:pt idx="13" formatCode="0.0000">
                  <c:v>3.3239771805527361E-3</c:v>
                </c:pt>
                <c:pt idx="14" formatCode="0.0000">
                  <c:v>3.3239771805527361E-3</c:v>
                </c:pt>
              </c:numCache>
            </c:numRef>
          </c:val>
        </c:ser>
        <c:ser>
          <c:idx val="2"/>
          <c:order val="2"/>
          <c:tx>
            <c:strRef>
              <c:f>CED_GWP_Compare_m3!$B$41</c:f>
              <c:strCache>
                <c:ptCount val="1"/>
                <c:pt idx="0">
                  <c:v>MBR operation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CED_GWP_Compare_m3!$C$37:$Q$38</c:f>
              <c:multiLvlStrCache>
                <c:ptCount val="15"/>
                <c:lvl>
                  <c:pt idx="0">
                    <c:v>AeMBR</c:v>
                  </c:pt>
                  <c:pt idx="1">
                    <c:v>AnMBR @ 35 C</c:v>
                  </c:pt>
                  <c:pt idx="2">
                    <c:v>AnMBR @ 20 C</c:v>
                  </c:pt>
                  <c:pt idx="3">
                    <c:v>AeMBR</c:v>
                  </c:pt>
                  <c:pt idx="4">
                    <c:v>AnMBR @ 35 C</c:v>
                  </c:pt>
                  <c:pt idx="5">
                    <c:v>AnMBR @ 20 C</c:v>
                  </c:pt>
                  <c:pt idx="6">
                    <c:v>AeMBR</c:v>
                  </c:pt>
                  <c:pt idx="7">
                    <c:v>AnMBR @ 35 C</c:v>
                  </c:pt>
                  <c:pt idx="8">
                    <c:v>AnMBR @ 20 C</c:v>
                  </c:pt>
                  <c:pt idx="9">
                    <c:v>AeMBR</c:v>
                  </c:pt>
                  <c:pt idx="10">
                    <c:v>AnMBR @ 35 C</c:v>
                  </c:pt>
                  <c:pt idx="11">
                    <c:v>AnMBR @ 20 C</c:v>
                  </c:pt>
                  <c:pt idx="12">
                    <c:v>AeMBR</c:v>
                  </c:pt>
                  <c:pt idx="13">
                    <c:v>AnMBR @ 35 C</c:v>
                  </c:pt>
                  <c:pt idx="14">
                    <c:v>AnMBR @ 20 C</c:v>
                  </c:pt>
                </c:lvl>
                <c:lvl>
                  <c:pt idx="0">
                    <c:v>0.05 MGD</c:v>
                  </c:pt>
                  <c:pt idx="3">
                    <c:v>0.1 MGD</c:v>
                  </c:pt>
                  <c:pt idx="6">
                    <c:v>1 MGD</c:v>
                  </c:pt>
                  <c:pt idx="9">
                    <c:v>5 MGD</c:v>
                  </c:pt>
                  <c:pt idx="12">
                    <c:v>10 MGD</c:v>
                  </c:pt>
                </c:lvl>
              </c:multiLvlStrCache>
            </c:multiLvlStrRef>
          </c:cat>
          <c:val>
            <c:numRef>
              <c:f>CED_GWP_Compare_m3!$C$41:$Q$41</c:f>
              <c:numCache>
                <c:formatCode>0.00</c:formatCode>
                <c:ptCount val="15"/>
                <c:pt idx="0">
                  <c:v>0.69250081510311368</c:v>
                </c:pt>
                <c:pt idx="1">
                  <c:v>0.83419625488832816</c:v>
                </c:pt>
                <c:pt idx="2">
                  <c:v>-0.1944604259715908</c:v>
                </c:pt>
                <c:pt idx="3">
                  <c:v>0.48480941669043559</c:v>
                </c:pt>
                <c:pt idx="4">
                  <c:v>0.7859737412283323</c:v>
                </c:pt>
                <c:pt idx="5">
                  <c:v>-0.16613358707205381</c:v>
                </c:pt>
                <c:pt idx="6">
                  <c:v>0.27374623219932087</c:v>
                </c:pt>
                <c:pt idx="7">
                  <c:v>0.66603419749991821</c:v>
                </c:pt>
                <c:pt idx="8">
                  <c:v>-0.16989993616469518</c:v>
                </c:pt>
                <c:pt idx="9">
                  <c:v>0.26629558182846508</c:v>
                </c:pt>
                <c:pt idx="10">
                  <c:v>0.64007875050113383</c:v>
                </c:pt>
                <c:pt idx="11">
                  <c:v>-0.17168712092711697</c:v>
                </c:pt>
                <c:pt idx="12">
                  <c:v>0.25862317393438256</c:v>
                </c:pt>
                <c:pt idx="13">
                  <c:v>0.63027589294847564</c:v>
                </c:pt>
                <c:pt idx="14">
                  <c:v>-0.17258069703562073</c:v>
                </c:pt>
              </c:numCache>
            </c:numRef>
          </c:val>
        </c:ser>
        <c:ser>
          <c:idx val="3"/>
          <c:order val="3"/>
          <c:tx>
            <c:strRef>
              <c:f>CED_GWP_Compare_m3!$B$42</c:f>
              <c:strCache>
                <c:ptCount val="1"/>
                <c:pt idx="0">
                  <c:v>MBR infrastructure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CED_GWP_Compare_m3!$C$37:$Q$38</c:f>
              <c:multiLvlStrCache>
                <c:ptCount val="15"/>
                <c:lvl>
                  <c:pt idx="0">
                    <c:v>AeMBR</c:v>
                  </c:pt>
                  <c:pt idx="1">
                    <c:v>AnMBR @ 35 C</c:v>
                  </c:pt>
                  <c:pt idx="2">
                    <c:v>AnMBR @ 20 C</c:v>
                  </c:pt>
                  <c:pt idx="3">
                    <c:v>AeMBR</c:v>
                  </c:pt>
                  <c:pt idx="4">
                    <c:v>AnMBR @ 35 C</c:v>
                  </c:pt>
                  <c:pt idx="5">
                    <c:v>AnMBR @ 20 C</c:v>
                  </c:pt>
                  <c:pt idx="6">
                    <c:v>AeMBR</c:v>
                  </c:pt>
                  <c:pt idx="7">
                    <c:v>AnMBR @ 35 C</c:v>
                  </c:pt>
                  <c:pt idx="8">
                    <c:v>AnMBR @ 20 C</c:v>
                  </c:pt>
                  <c:pt idx="9">
                    <c:v>AeMBR</c:v>
                  </c:pt>
                  <c:pt idx="10">
                    <c:v>AnMBR @ 35 C</c:v>
                  </c:pt>
                  <c:pt idx="11">
                    <c:v>AnMBR @ 20 C</c:v>
                  </c:pt>
                  <c:pt idx="12">
                    <c:v>AeMBR</c:v>
                  </c:pt>
                  <c:pt idx="13">
                    <c:v>AnMBR @ 35 C</c:v>
                  </c:pt>
                  <c:pt idx="14">
                    <c:v>AnMBR @ 20 C</c:v>
                  </c:pt>
                </c:lvl>
                <c:lvl>
                  <c:pt idx="0">
                    <c:v>0.05 MGD</c:v>
                  </c:pt>
                  <c:pt idx="3">
                    <c:v>0.1 MGD</c:v>
                  </c:pt>
                  <c:pt idx="6">
                    <c:v>1 MGD</c:v>
                  </c:pt>
                  <c:pt idx="9">
                    <c:v>5 MGD</c:v>
                  </c:pt>
                  <c:pt idx="12">
                    <c:v>10 MGD</c:v>
                  </c:pt>
                </c:lvl>
              </c:multiLvlStrCache>
            </c:multiLvlStrRef>
          </c:cat>
          <c:val>
            <c:numRef>
              <c:f>CED_GWP_Compare_m3!$C$42:$Q$42</c:f>
              <c:numCache>
                <c:formatCode>0.000</c:formatCode>
                <c:ptCount val="15"/>
                <c:pt idx="0">
                  <c:v>1.5257009689899849E-2</c:v>
                </c:pt>
                <c:pt idx="1">
                  <c:v>4.7635210540186594E-2</c:v>
                </c:pt>
                <c:pt idx="2">
                  <c:v>4.7635210540186594E-2</c:v>
                </c:pt>
                <c:pt idx="3">
                  <c:v>1.3433404220616642E-2</c:v>
                </c:pt>
                <c:pt idx="4">
                  <c:v>2.5133974590205534E-2</c:v>
                </c:pt>
                <c:pt idx="5">
                  <c:v>2.5133974590205534E-2</c:v>
                </c:pt>
                <c:pt idx="6">
                  <c:v>1.1413211287439575E-2</c:v>
                </c:pt>
                <c:pt idx="7">
                  <c:v>3.0936414813298049E-2</c:v>
                </c:pt>
                <c:pt idx="8">
                  <c:v>3.0936414813298049E-2</c:v>
                </c:pt>
                <c:pt idx="9">
                  <c:v>1.0188090954458651E-2</c:v>
                </c:pt>
                <c:pt idx="10">
                  <c:v>2.5791291308994924E-2</c:v>
                </c:pt>
                <c:pt idx="11">
                  <c:v>2.5791291308994924E-2</c:v>
                </c:pt>
                <c:pt idx="12">
                  <c:v>1.0030444881063895E-2</c:v>
                </c:pt>
                <c:pt idx="13">
                  <c:v>2.3201210278050482E-2</c:v>
                </c:pt>
                <c:pt idx="14">
                  <c:v>2.3201210278050482E-2</c:v>
                </c:pt>
              </c:numCache>
            </c:numRef>
          </c:val>
        </c:ser>
        <c:ser>
          <c:idx val="4"/>
          <c:order val="4"/>
          <c:tx>
            <c:strRef>
              <c:f>CED_GWP_Compare_m3!$B$43</c:f>
              <c:strCache>
                <c:ptCount val="1"/>
                <c:pt idx="0">
                  <c:v>Post treatment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CED_GWP_Compare_m3!$C$37:$Q$38</c:f>
              <c:multiLvlStrCache>
                <c:ptCount val="15"/>
                <c:lvl>
                  <c:pt idx="0">
                    <c:v>AeMBR</c:v>
                  </c:pt>
                  <c:pt idx="1">
                    <c:v>AnMBR @ 35 C</c:v>
                  </c:pt>
                  <c:pt idx="2">
                    <c:v>AnMBR @ 20 C</c:v>
                  </c:pt>
                  <c:pt idx="3">
                    <c:v>AeMBR</c:v>
                  </c:pt>
                  <c:pt idx="4">
                    <c:v>AnMBR @ 35 C</c:v>
                  </c:pt>
                  <c:pt idx="5">
                    <c:v>AnMBR @ 20 C</c:v>
                  </c:pt>
                  <c:pt idx="6">
                    <c:v>AeMBR</c:v>
                  </c:pt>
                  <c:pt idx="7">
                    <c:v>AnMBR @ 35 C</c:v>
                  </c:pt>
                  <c:pt idx="8">
                    <c:v>AnMBR @ 20 C</c:v>
                  </c:pt>
                  <c:pt idx="9">
                    <c:v>AeMBR</c:v>
                  </c:pt>
                  <c:pt idx="10">
                    <c:v>AnMBR @ 35 C</c:v>
                  </c:pt>
                  <c:pt idx="11">
                    <c:v>AnMBR @ 20 C</c:v>
                  </c:pt>
                  <c:pt idx="12">
                    <c:v>AeMBR</c:v>
                  </c:pt>
                  <c:pt idx="13">
                    <c:v>AnMBR @ 35 C</c:v>
                  </c:pt>
                  <c:pt idx="14">
                    <c:v>AnMBR @ 20 C</c:v>
                  </c:pt>
                </c:lvl>
                <c:lvl>
                  <c:pt idx="0">
                    <c:v>0.05 MGD</c:v>
                  </c:pt>
                  <c:pt idx="3">
                    <c:v>0.1 MGD</c:v>
                  </c:pt>
                  <c:pt idx="6">
                    <c:v>1 MGD</c:v>
                  </c:pt>
                  <c:pt idx="9">
                    <c:v>5 MGD</c:v>
                  </c:pt>
                  <c:pt idx="12">
                    <c:v>10 MGD</c:v>
                  </c:pt>
                </c:lvl>
              </c:multiLvlStrCache>
            </c:multiLvlStrRef>
          </c:cat>
          <c:val>
            <c:numRef>
              <c:f>CED_GWP_Compare_m3!$C$43:$Q$43</c:f>
              <c:numCache>
                <c:formatCode>0.00</c:formatCode>
                <c:ptCount val="15"/>
                <c:pt idx="0">
                  <c:v>0.47976598626657413</c:v>
                </c:pt>
                <c:pt idx="1">
                  <c:v>0.47976598626657413</c:v>
                </c:pt>
                <c:pt idx="2">
                  <c:v>0.47976598626657413</c:v>
                </c:pt>
                <c:pt idx="3">
                  <c:v>0.28544962336030261</c:v>
                </c:pt>
                <c:pt idx="4">
                  <c:v>0.28544962336030261</c:v>
                </c:pt>
                <c:pt idx="5">
                  <c:v>0.28544962336030261</c:v>
                </c:pt>
                <c:pt idx="6" formatCode="0.000">
                  <c:v>6.5452486232116816E-2</c:v>
                </c:pt>
                <c:pt idx="7" formatCode="0.000">
                  <c:v>6.5452486232116816E-2</c:v>
                </c:pt>
                <c:pt idx="8" formatCode="0.000">
                  <c:v>6.5452486232116816E-2</c:v>
                </c:pt>
                <c:pt idx="9" formatCode="0.000">
                  <c:v>3.5580450032576788E-2</c:v>
                </c:pt>
                <c:pt idx="10" formatCode="0.000">
                  <c:v>3.5580450032576788E-2</c:v>
                </c:pt>
                <c:pt idx="11" formatCode="0.000">
                  <c:v>3.5580450032576788E-2</c:v>
                </c:pt>
                <c:pt idx="12" formatCode="0.000">
                  <c:v>3.0731871273323656E-2</c:v>
                </c:pt>
                <c:pt idx="13" formatCode="0.000">
                  <c:v>3.0731871273323656E-2</c:v>
                </c:pt>
                <c:pt idx="14" formatCode="0.000">
                  <c:v>3.0731871273323656E-2</c:v>
                </c:pt>
              </c:numCache>
            </c:numRef>
          </c:val>
        </c:ser>
        <c:ser>
          <c:idx val="5"/>
          <c:order val="5"/>
          <c:tx>
            <c:strRef>
              <c:f>CED_GWP_Compare_m3!$B$44</c:f>
              <c:strCache>
                <c:ptCount val="1"/>
                <c:pt idx="0">
                  <c:v>Recycled water delivery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CED_GWP_Compare_m3!$C$37:$Q$38</c:f>
              <c:multiLvlStrCache>
                <c:ptCount val="15"/>
                <c:lvl>
                  <c:pt idx="0">
                    <c:v>AeMBR</c:v>
                  </c:pt>
                  <c:pt idx="1">
                    <c:v>AnMBR @ 35 C</c:v>
                  </c:pt>
                  <c:pt idx="2">
                    <c:v>AnMBR @ 20 C</c:v>
                  </c:pt>
                  <c:pt idx="3">
                    <c:v>AeMBR</c:v>
                  </c:pt>
                  <c:pt idx="4">
                    <c:v>AnMBR @ 35 C</c:v>
                  </c:pt>
                  <c:pt idx="5">
                    <c:v>AnMBR @ 20 C</c:v>
                  </c:pt>
                  <c:pt idx="6">
                    <c:v>AeMBR</c:v>
                  </c:pt>
                  <c:pt idx="7">
                    <c:v>AnMBR @ 35 C</c:v>
                  </c:pt>
                  <c:pt idx="8">
                    <c:v>AnMBR @ 20 C</c:v>
                  </c:pt>
                  <c:pt idx="9">
                    <c:v>AeMBR</c:v>
                  </c:pt>
                  <c:pt idx="10">
                    <c:v>AnMBR @ 35 C</c:v>
                  </c:pt>
                  <c:pt idx="11">
                    <c:v>AnMBR @ 20 C</c:v>
                  </c:pt>
                  <c:pt idx="12">
                    <c:v>AeMBR</c:v>
                  </c:pt>
                  <c:pt idx="13">
                    <c:v>AnMBR @ 35 C</c:v>
                  </c:pt>
                  <c:pt idx="14">
                    <c:v>AnMBR @ 20 C</c:v>
                  </c:pt>
                </c:lvl>
                <c:lvl>
                  <c:pt idx="0">
                    <c:v>0.05 MGD</c:v>
                  </c:pt>
                  <c:pt idx="3">
                    <c:v>0.1 MGD</c:v>
                  </c:pt>
                  <c:pt idx="6">
                    <c:v>1 MGD</c:v>
                  </c:pt>
                  <c:pt idx="9">
                    <c:v>5 MGD</c:v>
                  </c:pt>
                  <c:pt idx="12">
                    <c:v>10 MGD</c:v>
                  </c:pt>
                </c:lvl>
              </c:multiLvlStrCache>
            </c:multiLvlStrRef>
          </c:cat>
          <c:val>
            <c:numRef>
              <c:f>CED_GWP_Compare_m3!$C$44:$Q$44</c:f>
              <c:numCache>
                <c:formatCode>0.00</c:formatCode>
                <c:ptCount val="15"/>
                <c:pt idx="0">
                  <c:v>-0.75043269507866084</c:v>
                </c:pt>
                <c:pt idx="1">
                  <c:v>-0.76277815651057068</c:v>
                </c:pt>
                <c:pt idx="2">
                  <c:v>-0.76277815651057068</c:v>
                </c:pt>
                <c:pt idx="3">
                  <c:v>-0.77262300789392169</c:v>
                </c:pt>
                <c:pt idx="4">
                  <c:v>-0.7498097490122092</c:v>
                </c:pt>
                <c:pt idx="5">
                  <c:v>-0.7498097490122092</c:v>
                </c:pt>
                <c:pt idx="6">
                  <c:v>-0.75050892193932051</c:v>
                </c:pt>
                <c:pt idx="7">
                  <c:v>-0.76595624825686393</c:v>
                </c:pt>
                <c:pt idx="8">
                  <c:v>-0.76595624825686393</c:v>
                </c:pt>
                <c:pt idx="9">
                  <c:v>-0.75041257372270664</c:v>
                </c:pt>
                <c:pt idx="10">
                  <c:v>-0.7532641334397292</c:v>
                </c:pt>
                <c:pt idx="11">
                  <c:v>-0.7532641334397292</c:v>
                </c:pt>
                <c:pt idx="12">
                  <c:v>-0.75042416945372248</c:v>
                </c:pt>
                <c:pt idx="13">
                  <c:v>-0.76437221476820871</c:v>
                </c:pt>
                <c:pt idx="14">
                  <c:v>-0.76437221476820871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4037856"/>
        <c:axId val="394038248"/>
      </c:barChart>
      <c:lineChart>
        <c:grouping val="standard"/>
        <c:varyColors val="0"/>
        <c:ser>
          <c:idx val="6"/>
          <c:order val="6"/>
          <c:tx>
            <c:strRef>
              <c:f>CED_GWP_Compare_m3!$B$45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CED_GWP_Compare_m3!$C$37:$Q$38</c:f>
              <c:multiLvlStrCache>
                <c:ptCount val="15"/>
                <c:lvl>
                  <c:pt idx="0">
                    <c:v>AeMBR</c:v>
                  </c:pt>
                  <c:pt idx="1">
                    <c:v>AnMBR @ 35 C</c:v>
                  </c:pt>
                  <c:pt idx="2">
                    <c:v>AnMBR @ 20 C</c:v>
                  </c:pt>
                  <c:pt idx="3">
                    <c:v>AeMBR</c:v>
                  </c:pt>
                  <c:pt idx="4">
                    <c:v>AnMBR @ 35 C</c:v>
                  </c:pt>
                  <c:pt idx="5">
                    <c:v>AnMBR @ 20 C</c:v>
                  </c:pt>
                  <c:pt idx="6">
                    <c:v>AeMBR</c:v>
                  </c:pt>
                  <c:pt idx="7">
                    <c:v>AnMBR @ 35 C</c:v>
                  </c:pt>
                  <c:pt idx="8">
                    <c:v>AnMBR @ 20 C</c:v>
                  </c:pt>
                  <c:pt idx="9">
                    <c:v>AeMBR</c:v>
                  </c:pt>
                  <c:pt idx="10">
                    <c:v>AnMBR @ 35 C</c:v>
                  </c:pt>
                  <c:pt idx="11">
                    <c:v>AnMBR @ 20 C</c:v>
                  </c:pt>
                  <c:pt idx="12">
                    <c:v>AeMBR</c:v>
                  </c:pt>
                  <c:pt idx="13">
                    <c:v>AnMBR @ 35 C</c:v>
                  </c:pt>
                  <c:pt idx="14">
                    <c:v>AnMBR @ 20 C</c:v>
                  </c:pt>
                </c:lvl>
                <c:lvl>
                  <c:pt idx="0">
                    <c:v>0.05 MGD</c:v>
                  </c:pt>
                  <c:pt idx="3">
                    <c:v>0.1 MGD</c:v>
                  </c:pt>
                  <c:pt idx="6">
                    <c:v>1 MGD</c:v>
                  </c:pt>
                  <c:pt idx="9">
                    <c:v>5 MGD</c:v>
                  </c:pt>
                  <c:pt idx="12">
                    <c:v>10 MGD</c:v>
                  </c:pt>
                </c:lvl>
              </c:multiLvlStrCache>
            </c:multiLvlStrRef>
          </c:cat>
          <c:val>
            <c:numRef>
              <c:f>CED_GWP_Compare_m3!$C$45:$Q$45</c:f>
              <c:numCache>
                <c:formatCode>0.00</c:formatCode>
                <c:ptCount val="15"/>
                <c:pt idx="0">
                  <c:v>0.47789269147004987</c:v>
                </c:pt>
                <c:pt idx="1">
                  <c:v>0.63962087067364126</c:v>
                </c:pt>
                <c:pt idx="2">
                  <c:v>-0.38903581018627764</c:v>
                </c:pt>
                <c:pt idx="3" formatCode="0.000">
                  <c:v>3.9563175166952624E-2</c:v>
                </c:pt>
                <c:pt idx="4">
                  <c:v>0.37524132895615059</c:v>
                </c:pt>
                <c:pt idx="5">
                  <c:v>-0.57686599934423544</c:v>
                </c:pt>
                <c:pt idx="6">
                  <c:v>-0.39070853910455056</c:v>
                </c:pt>
                <c:pt idx="7" formatCode="0.0000">
                  <c:v>5.6553034043619332E-3</c:v>
                </c:pt>
                <c:pt idx="8">
                  <c:v>-0.83027883026025151</c:v>
                </c:pt>
                <c:pt idx="9">
                  <c:v>-0.43373645698055108</c:v>
                </c:pt>
                <c:pt idx="10" formatCode="0.000">
                  <c:v>-4.7201647670368607E-2</c:v>
                </c:pt>
                <c:pt idx="11">
                  <c:v>-0.85896751909861946</c:v>
                </c:pt>
                <c:pt idx="12">
                  <c:v>-0.44744694977227017</c:v>
                </c:pt>
                <c:pt idx="13" formatCode="0.000">
                  <c:v>-7.6571510675676802E-2</c:v>
                </c:pt>
                <c:pt idx="14">
                  <c:v>-0.87942810065977317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037856"/>
        <c:axId val="394038248"/>
      </c:lineChart>
      <c:catAx>
        <c:axId val="39403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038248"/>
        <c:crosses val="autoZero"/>
        <c:auto val="1"/>
        <c:lblAlgn val="ctr"/>
        <c:lblOffset val="100"/>
        <c:noMultiLvlLbl val="0"/>
      </c:catAx>
      <c:valAx>
        <c:axId val="394038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kg</a:t>
                </a:r>
                <a:r>
                  <a:rPr lang="en-US" baseline="0"/>
                  <a:t> CO2 eq/m3 wastewater treated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784361932509056E-2"/>
              <c:y val="0.284633049523217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037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134059293397087E-2"/>
          <c:y val="3.6177904131402705E-2"/>
          <c:w val="0.91628725018696289"/>
          <c:h val="0.882120044173125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AnMBR_35_CED_Detail_yr!$D$64</c:f>
              <c:strCache>
                <c:ptCount val="1"/>
                <c:pt idx="0">
                  <c:v>Wastewater collection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AnMBR_35_CED_Detail_yr!$E$63:$V$63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AnMBR_35_CED_Detail_yr!$E$64:$V$64</c:f>
              <c:numCache>
                <c:formatCode>#,##0</c:formatCode>
                <c:ptCount val="18"/>
                <c:pt idx="0">
                  <c:v>2782.0075300000003</c:v>
                </c:pt>
                <c:pt idx="1">
                  <c:v>1459.8052599999999</c:v>
                </c:pt>
                <c:pt idx="2" formatCode="00">
                  <c:v>370.93502000000001</c:v>
                </c:pt>
                <c:pt idx="3" formatCode="00">
                  <c:v>174.29093</c:v>
                </c:pt>
                <c:pt idx="4">
                  <c:v>5306.8091299999996</c:v>
                </c:pt>
                <c:pt idx="5">
                  <c:v>2720.1900900000001</c:v>
                </c:pt>
                <c:pt idx="6" formatCode="00">
                  <c:v>741.85900000000004</c:v>
                </c:pt>
                <c:pt idx="7" formatCode="00">
                  <c:v>367.91653000000002</c:v>
                </c:pt>
                <c:pt idx="8">
                  <c:v>55639.64</c:v>
                </c:pt>
                <c:pt idx="9">
                  <c:v>27201.902679999999</c:v>
                </c:pt>
                <c:pt idx="10">
                  <c:v>7418.6989199999998</c:v>
                </c:pt>
                <c:pt idx="11">
                  <c:v>3554.6329999999998</c:v>
                </c:pt>
                <c:pt idx="12">
                  <c:v>118177.41256</c:v>
                </c:pt>
                <c:pt idx="13">
                  <c:v>37093.480000000003</c:v>
                </c:pt>
                <c:pt idx="14">
                  <c:v>18020.11</c:v>
                </c:pt>
                <c:pt idx="15">
                  <c:v>272019</c:v>
                </c:pt>
                <c:pt idx="16">
                  <c:v>79123.5</c:v>
                </c:pt>
                <c:pt idx="17">
                  <c:v>38416.53</c:v>
                </c:pt>
              </c:numCache>
            </c:numRef>
          </c:val>
        </c:ser>
        <c:ser>
          <c:idx val="1"/>
          <c:order val="1"/>
          <c:tx>
            <c:strRef>
              <c:f>AnMBR_35_CED_Detail_yr!$D$65</c:f>
              <c:strCache>
                <c:ptCount val="1"/>
                <c:pt idx="0">
                  <c:v>Pre treatment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AnMBR_35_CED_Detail_yr!$E$63:$V$63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AnMBR_35_CED_Detail_yr!$E$65:$V$65</c:f>
              <c:numCache>
                <c:formatCode>#,##0</c:formatCode>
                <c:ptCount val="18"/>
                <c:pt idx="0">
                  <c:v>44914.636740000002</c:v>
                </c:pt>
                <c:pt idx="1">
                  <c:v>44914.636740000002</c:v>
                </c:pt>
                <c:pt idx="2">
                  <c:v>44914.636740000002</c:v>
                </c:pt>
                <c:pt idx="3">
                  <c:v>44914.636740000002</c:v>
                </c:pt>
                <c:pt idx="4">
                  <c:v>62551.973299999998</c:v>
                </c:pt>
                <c:pt idx="5">
                  <c:v>62551.973299999998</c:v>
                </c:pt>
                <c:pt idx="6">
                  <c:v>62551.973299999998</c:v>
                </c:pt>
                <c:pt idx="7">
                  <c:v>62551.973299999998</c:v>
                </c:pt>
                <c:pt idx="8">
                  <c:v>197955.52377</c:v>
                </c:pt>
                <c:pt idx="9">
                  <c:v>197955.52377</c:v>
                </c:pt>
                <c:pt idx="10">
                  <c:v>197955.52377</c:v>
                </c:pt>
                <c:pt idx="11">
                  <c:v>197955.52377</c:v>
                </c:pt>
                <c:pt idx="12">
                  <c:v>482682.12810000003</c:v>
                </c:pt>
                <c:pt idx="13">
                  <c:v>482682.12810000003</c:v>
                </c:pt>
                <c:pt idx="14">
                  <c:v>482682.12810000003</c:v>
                </c:pt>
                <c:pt idx="15">
                  <c:v>736411.23765000002</c:v>
                </c:pt>
                <c:pt idx="16">
                  <c:v>736411.23765000002</c:v>
                </c:pt>
                <c:pt idx="17">
                  <c:v>736411.23765000002</c:v>
                </c:pt>
              </c:numCache>
            </c:numRef>
          </c:val>
        </c:ser>
        <c:ser>
          <c:idx val="2"/>
          <c:order val="2"/>
          <c:tx>
            <c:strRef>
              <c:f>AnMBR_35_CED_Detail_yr!$D$66</c:f>
              <c:strCache>
                <c:ptCount val="1"/>
                <c:pt idx="0">
                  <c:v>MBR operation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AnMBR_35_CED_Detail_yr!$E$63:$V$63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AnMBR_35_CED_Detail_yr!$E$66:$V$66</c:f>
              <c:numCache>
                <c:formatCode>#,##0</c:formatCode>
                <c:ptCount val="18"/>
                <c:pt idx="0">
                  <c:v>966762.50799999968</c:v>
                </c:pt>
                <c:pt idx="1">
                  <c:v>966762.50799999968</c:v>
                </c:pt>
                <c:pt idx="2">
                  <c:v>966762.50799999968</c:v>
                </c:pt>
                <c:pt idx="3">
                  <c:v>966762.50799999968</c:v>
                </c:pt>
                <c:pt idx="4">
                  <c:v>1823045.4169999985</c:v>
                </c:pt>
                <c:pt idx="5">
                  <c:v>1823045.4169999985</c:v>
                </c:pt>
                <c:pt idx="6">
                  <c:v>1823045.4169999985</c:v>
                </c:pt>
                <c:pt idx="7">
                  <c:v>1823045.4169999985</c:v>
                </c:pt>
                <c:pt idx="8">
                  <c:v>15466419.199999999</c:v>
                </c:pt>
                <c:pt idx="9">
                  <c:v>15466419.199999999</c:v>
                </c:pt>
                <c:pt idx="10">
                  <c:v>15466419.199999999</c:v>
                </c:pt>
                <c:pt idx="11">
                  <c:v>15466419.199999999</c:v>
                </c:pt>
                <c:pt idx="12">
                  <c:v>74318620</c:v>
                </c:pt>
                <c:pt idx="13">
                  <c:v>74318620</c:v>
                </c:pt>
                <c:pt idx="14">
                  <c:v>74318620</c:v>
                </c:pt>
                <c:pt idx="15">
                  <c:v>146352552</c:v>
                </c:pt>
                <c:pt idx="16">
                  <c:v>146352552</c:v>
                </c:pt>
                <c:pt idx="17">
                  <c:v>146352552</c:v>
                </c:pt>
              </c:numCache>
            </c:numRef>
          </c:val>
        </c:ser>
        <c:ser>
          <c:idx val="3"/>
          <c:order val="3"/>
          <c:tx>
            <c:strRef>
              <c:f>AnMBR_35_CED_Detail_yr!$D$67</c:f>
              <c:strCache>
                <c:ptCount val="1"/>
                <c:pt idx="0">
                  <c:v>MBR infrastructure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AnMBR_35_CED_Detail_yr!$E$63:$V$63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AnMBR_35_CED_Detail_yr!$E$67:$V$67</c:f>
              <c:numCache>
                <c:formatCode>#,##0</c:formatCode>
                <c:ptCount val="18"/>
                <c:pt idx="0">
                  <c:v>26758.02937</c:v>
                </c:pt>
                <c:pt idx="1">
                  <c:v>26758.02937</c:v>
                </c:pt>
                <c:pt idx="2">
                  <c:v>26758.02937</c:v>
                </c:pt>
                <c:pt idx="3">
                  <c:v>26758.02937</c:v>
                </c:pt>
                <c:pt idx="4">
                  <c:v>27496.510000000002</c:v>
                </c:pt>
                <c:pt idx="5">
                  <c:v>27496.510000000002</c:v>
                </c:pt>
                <c:pt idx="6">
                  <c:v>27496.510000000002</c:v>
                </c:pt>
                <c:pt idx="7">
                  <c:v>27496.510000000002</c:v>
                </c:pt>
                <c:pt idx="8">
                  <c:v>518521.15</c:v>
                </c:pt>
                <c:pt idx="9">
                  <c:v>518521.15</c:v>
                </c:pt>
                <c:pt idx="10">
                  <c:v>518521.15</c:v>
                </c:pt>
                <c:pt idx="11">
                  <c:v>518521.15</c:v>
                </c:pt>
                <c:pt idx="12">
                  <c:v>2160854.6</c:v>
                </c:pt>
                <c:pt idx="13">
                  <c:v>2160854.6</c:v>
                </c:pt>
                <c:pt idx="14">
                  <c:v>2160854.6</c:v>
                </c:pt>
                <c:pt idx="15">
                  <c:v>3888905.3617799999</c:v>
                </c:pt>
                <c:pt idx="16">
                  <c:v>3888905.3617799999</c:v>
                </c:pt>
                <c:pt idx="17">
                  <c:v>3888905.3617799999</c:v>
                </c:pt>
              </c:numCache>
            </c:numRef>
          </c:val>
        </c:ser>
        <c:ser>
          <c:idx val="4"/>
          <c:order val="4"/>
          <c:tx>
            <c:strRef>
              <c:f>AnMBR_35_CED_Detail_yr!$D$68</c:f>
              <c:strCache>
                <c:ptCount val="1"/>
                <c:pt idx="0">
                  <c:v>Post treatment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AnMBR_35_CED_Detail_yr!$E$63:$V$63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AnMBR_35_CED_Detail_yr!$E$68:$V$68</c:f>
              <c:numCache>
                <c:formatCode>#,##0</c:formatCode>
                <c:ptCount val="18"/>
                <c:pt idx="0">
                  <c:v>534976.39701000007</c:v>
                </c:pt>
                <c:pt idx="1">
                  <c:v>534976.39701000007</c:v>
                </c:pt>
                <c:pt idx="2">
                  <c:v>534976.39701000007</c:v>
                </c:pt>
                <c:pt idx="3">
                  <c:v>534976.39701000007</c:v>
                </c:pt>
                <c:pt idx="4">
                  <c:v>642002.67801999999</c:v>
                </c:pt>
                <c:pt idx="5">
                  <c:v>642002.67801999999</c:v>
                </c:pt>
                <c:pt idx="6">
                  <c:v>642002.67801999999</c:v>
                </c:pt>
                <c:pt idx="7">
                  <c:v>642002.67801999999</c:v>
                </c:pt>
                <c:pt idx="8">
                  <c:v>2479824.1082199998</c:v>
                </c:pt>
                <c:pt idx="9">
                  <c:v>2479824.1082199998</c:v>
                </c:pt>
                <c:pt idx="10">
                  <c:v>2479824.1082199998</c:v>
                </c:pt>
                <c:pt idx="11">
                  <c:v>2479824.1082199998</c:v>
                </c:pt>
                <c:pt idx="12">
                  <c:v>4545469.1922899997</c:v>
                </c:pt>
                <c:pt idx="13">
                  <c:v>4545469.1922899997</c:v>
                </c:pt>
                <c:pt idx="14">
                  <c:v>4545469.1922899997</c:v>
                </c:pt>
                <c:pt idx="15">
                  <c:v>8019323.3073800001</c:v>
                </c:pt>
                <c:pt idx="16">
                  <c:v>8019323.3073800001</c:v>
                </c:pt>
                <c:pt idx="17">
                  <c:v>8019323.3073800001</c:v>
                </c:pt>
              </c:numCache>
            </c:numRef>
          </c:val>
        </c:ser>
        <c:ser>
          <c:idx val="5"/>
          <c:order val="5"/>
          <c:tx>
            <c:strRef>
              <c:f>AnMBR_35_CED_Detail_yr!$D$69</c:f>
              <c:strCache>
                <c:ptCount val="1"/>
                <c:pt idx="0">
                  <c:v>Recycled water delivery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AnMBR_35_CED_Detail_yr!$E$63:$V$63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AnMBR_35_CED_Detail_yr!$E$69:$V$69</c:f>
              <c:numCache>
                <c:formatCode>#,##0</c:formatCode>
                <c:ptCount val="18"/>
                <c:pt idx="0">
                  <c:v>-815103.33826999995</c:v>
                </c:pt>
                <c:pt idx="1">
                  <c:v>-833753.00601999997</c:v>
                </c:pt>
                <c:pt idx="2">
                  <c:v>-846521.87100000004</c:v>
                </c:pt>
                <c:pt idx="3">
                  <c:v>-849173.79599999997</c:v>
                </c:pt>
                <c:pt idx="4">
                  <c:v>-1631834.054</c:v>
                </c:pt>
                <c:pt idx="5">
                  <c:v>-1668830.62757</c:v>
                </c:pt>
                <c:pt idx="6">
                  <c:v>-1694696.1140000001</c:v>
                </c:pt>
                <c:pt idx="7">
                  <c:v>-1699832.784</c:v>
                </c:pt>
                <c:pt idx="8">
                  <c:v>-16377332.5</c:v>
                </c:pt>
                <c:pt idx="9">
                  <c:v>-16747706.199999999</c:v>
                </c:pt>
                <c:pt idx="10">
                  <c:v>-17006403.539999999</c:v>
                </c:pt>
                <c:pt idx="11">
                  <c:v>-17057606.579999998</c:v>
                </c:pt>
                <c:pt idx="12">
                  <c:v>-83826814.200000003</c:v>
                </c:pt>
                <c:pt idx="13">
                  <c:v>-85116739.700000003</c:v>
                </c:pt>
                <c:pt idx="14">
                  <c:v>-85374753.599999994</c:v>
                </c:pt>
                <c:pt idx="15">
                  <c:v>-167601319</c:v>
                </c:pt>
                <c:pt idx="16">
                  <c:v>-170181598.40000001</c:v>
                </c:pt>
                <c:pt idx="17">
                  <c:v>-170697509.5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overlap val="100"/>
        <c:axId val="316806472"/>
        <c:axId val="316806864"/>
      </c:barChart>
      <c:lineChart>
        <c:grouping val="standard"/>
        <c:varyColors val="0"/>
        <c:ser>
          <c:idx val="6"/>
          <c:order val="6"/>
          <c:tx>
            <c:strRef>
              <c:f>AnMBR_35_CED_Detail_yr!$D$70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AnMBR_35_CED_Detail_yr!$E$63:$V$63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AnMBR_35_CED_Detail_yr!$E$70:$V$70</c:f>
              <c:numCache>
                <c:formatCode>#,##0</c:formatCode>
                <c:ptCount val="18"/>
                <c:pt idx="0">
                  <c:v>761090.24037999986</c:v>
                </c:pt>
                <c:pt idx="1">
                  <c:v>741118.37035999983</c:v>
                </c:pt>
                <c:pt idx="2">
                  <c:v>727260.63513999968</c:v>
                </c:pt>
                <c:pt idx="3">
                  <c:v>724412.06604999967</c:v>
                </c:pt>
                <c:pt idx="4">
                  <c:v>928569.3334499984</c:v>
                </c:pt>
                <c:pt idx="5">
                  <c:v>888986.14083999814</c:v>
                </c:pt>
                <c:pt idx="6">
                  <c:v>861142.32331999857</c:v>
                </c:pt>
                <c:pt idx="7">
                  <c:v>855631.71084999852</c:v>
                </c:pt>
                <c:pt idx="8">
                  <c:v>2341027.121989999</c:v>
                </c:pt>
                <c:pt idx="9">
                  <c:v>1942215.6846699975</c:v>
                </c:pt>
                <c:pt idx="10">
                  <c:v>1663735.1409099996</c:v>
                </c:pt>
                <c:pt idx="11">
                  <c:v>1608668.0349900015</c:v>
                </c:pt>
                <c:pt idx="12">
                  <c:v>-2201010.8670500219</c:v>
                </c:pt>
                <c:pt idx="13">
                  <c:v>-3572020.2996100187</c:v>
                </c:pt>
                <c:pt idx="14">
                  <c:v>-3849107.5696099997</c:v>
                </c:pt>
                <c:pt idx="15">
                  <c:v>-8332108.0931900144</c:v>
                </c:pt>
                <c:pt idx="16">
                  <c:v>-11105282.99319002</c:v>
                </c:pt>
                <c:pt idx="17">
                  <c:v>-11661901.063190013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806472"/>
        <c:axId val="316806864"/>
      </c:lineChart>
      <c:catAx>
        <c:axId val="316806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806864"/>
        <c:crosses val="autoZero"/>
        <c:auto val="1"/>
        <c:lblAlgn val="ctr"/>
        <c:lblOffset val="100"/>
        <c:noMultiLvlLbl val="0"/>
      </c:catAx>
      <c:valAx>
        <c:axId val="31680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MJ/Year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806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588099794153876E-2"/>
          <c:y val="4.9707592802184002E-2"/>
          <c:w val="0.9116033515607106"/>
          <c:h val="0.856745152911731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AnMBR_20_CED_Detail_yr!$D$62</c:f>
              <c:strCache>
                <c:ptCount val="1"/>
                <c:pt idx="0">
                  <c:v>Wastewater collection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AnMBR_20_CED_Detail_yr!$E$61:$V$61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AnMBR_20_CED_Detail_yr!$E$62:$V$62</c:f>
              <c:numCache>
                <c:formatCode>#,##0</c:formatCode>
                <c:ptCount val="18"/>
                <c:pt idx="0">
                  <c:v>2782.0075300000003</c:v>
                </c:pt>
                <c:pt idx="1">
                  <c:v>1459.8052599999999</c:v>
                </c:pt>
                <c:pt idx="2">
                  <c:v>370.93502000000001</c:v>
                </c:pt>
                <c:pt idx="3">
                  <c:v>174.29093</c:v>
                </c:pt>
                <c:pt idx="4">
                  <c:v>5306.8091299999996</c:v>
                </c:pt>
                <c:pt idx="5">
                  <c:v>2720.1900900000001</c:v>
                </c:pt>
                <c:pt idx="6">
                  <c:v>741.85900000000004</c:v>
                </c:pt>
                <c:pt idx="7">
                  <c:v>367.91653000000002</c:v>
                </c:pt>
                <c:pt idx="8">
                  <c:v>55639.64</c:v>
                </c:pt>
                <c:pt idx="9">
                  <c:v>27201.902679999999</c:v>
                </c:pt>
                <c:pt idx="10">
                  <c:v>7418.6989199999998</c:v>
                </c:pt>
                <c:pt idx="11">
                  <c:v>3554.6329999999998</c:v>
                </c:pt>
                <c:pt idx="12">
                  <c:v>118177.41256</c:v>
                </c:pt>
                <c:pt idx="13">
                  <c:v>37093.480000000003</c:v>
                </c:pt>
                <c:pt idx="14">
                  <c:v>18020.11</c:v>
                </c:pt>
                <c:pt idx="15">
                  <c:v>272019</c:v>
                </c:pt>
                <c:pt idx="16">
                  <c:v>79123.5</c:v>
                </c:pt>
                <c:pt idx="17">
                  <c:v>38416.53</c:v>
                </c:pt>
              </c:numCache>
            </c:numRef>
          </c:val>
        </c:ser>
        <c:ser>
          <c:idx val="1"/>
          <c:order val="1"/>
          <c:tx>
            <c:strRef>
              <c:f>AnMBR_20_CED_Detail_yr!$D$63</c:f>
              <c:strCache>
                <c:ptCount val="1"/>
                <c:pt idx="0">
                  <c:v>Pre treatment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AnMBR_20_CED_Detail_yr!$E$61:$V$61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AnMBR_20_CED_Detail_yr!$E$63:$V$63</c:f>
              <c:numCache>
                <c:formatCode>#,##0</c:formatCode>
                <c:ptCount val="18"/>
                <c:pt idx="0">
                  <c:v>44914.636740000002</c:v>
                </c:pt>
                <c:pt idx="1">
                  <c:v>44914.636740000002</c:v>
                </c:pt>
                <c:pt idx="2">
                  <c:v>44914.636740000002</c:v>
                </c:pt>
                <c:pt idx="3">
                  <c:v>44914.636740000002</c:v>
                </c:pt>
                <c:pt idx="4">
                  <c:v>62551.973299999998</c:v>
                </c:pt>
                <c:pt idx="5">
                  <c:v>62551.973299999998</c:v>
                </c:pt>
                <c:pt idx="6">
                  <c:v>62551.973299999998</c:v>
                </c:pt>
                <c:pt idx="7">
                  <c:v>62551.973299999998</c:v>
                </c:pt>
                <c:pt idx="8">
                  <c:v>197955.52377</c:v>
                </c:pt>
                <c:pt idx="9">
                  <c:v>197955.52377</c:v>
                </c:pt>
                <c:pt idx="10">
                  <c:v>197955.52377</c:v>
                </c:pt>
                <c:pt idx="11">
                  <c:v>197955.52377</c:v>
                </c:pt>
                <c:pt idx="12">
                  <c:v>482682.12810000003</c:v>
                </c:pt>
                <c:pt idx="13">
                  <c:v>482682.12810000003</c:v>
                </c:pt>
                <c:pt idx="14">
                  <c:v>482682.12810000003</c:v>
                </c:pt>
                <c:pt idx="15">
                  <c:v>736411.23765000002</c:v>
                </c:pt>
                <c:pt idx="16">
                  <c:v>736411.23765000002</c:v>
                </c:pt>
                <c:pt idx="17">
                  <c:v>736411.23765000002</c:v>
                </c:pt>
              </c:numCache>
            </c:numRef>
          </c:val>
        </c:ser>
        <c:ser>
          <c:idx val="2"/>
          <c:order val="2"/>
          <c:tx>
            <c:strRef>
              <c:f>AnMBR_20_CED_Detail_yr!$D$64</c:f>
              <c:strCache>
                <c:ptCount val="1"/>
                <c:pt idx="0">
                  <c:v>MBR operation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AnMBR_20_CED_Detail_yr!$E$61:$V$61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AnMBR_20_CED_Detail_yr!$E$64:$V$64</c:f>
              <c:numCache>
                <c:formatCode>#,##0</c:formatCode>
                <c:ptCount val="18"/>
                <c:pt idx="0">
                  <c:v>-180367.492</c:v>
                </c:pt>
                <c:pt idx="1">
                  <c:v>-180367.492</c:v>
                </c:pt>
                <c:pt idx="2">
                  <c:v>-180367.492</c:v>
                </c:pt>
                <c:pt idx="3">
                  <c:v>-180367.492</c:v>
                </c:pt>
                <c:pt idx="4">
                  <c:v>-360728.58299999998</c:v>
                </c:pt>
                <c:pt idx="5">
                  <c:v>-360728.58299999998</c:v>
                </c:pt>
                <c:pt idx="6">
                  <c:v>-360728.58299999998</c:v>
                </c:pt>
                <c:pt idx="7">
                  <c:v>-360728.58299999998</c:v>
                </c:pt>
                <c:pt idx="8">
                  <c:v>-3709737.8</c:v>
                </c:pt>
                <c:pt idx="9">
                  <c:v>-3709737.8</c:v>
                </c:pt>
                <c:pt idx="10">
                  <c:v>-3709737.8</c:v>
                </c:pt>
                <c:pt idx="11">
                  <c:v>-3709737.8</c:v>
                </c:pt>
                <c:pt idx="12">
                  <c:v>-18791860</c:v>
                </c:pt>
                <c:pt idx="13">
                  <c:v>-18791860</c:v>
                </c:pt>
                <c:pt idx="14">
                  <c:v>-18791860</c:v>
                </c:pt>
                <c:pt idx="15">
                  <c:v>-37826828</c:v>
                </c:pt>
                <c:pt idx="16">
                  <c:v>-37826828</c:v>
                </c:pt>
                <c:pt idx="17">
                  <c:v>-37826828</c:v>
                </c:pt>
              </c:numCache>
            </c:numRef>
          </c:val>
        </c:ser>
        <c:ser>
          <c:idx val="3"/>
          <c:order val="3"/>
          <c:tx>
            <c:strRef>
              <c:f>AnMBR_20_CED_Detail_yr!$D$65</c:f>
              <c:strCache>
                <c:ptCount val="1"/>
                <c:pt idx="0">
                  <c:v>MBR infrastructure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AnMBR_20_CED_Detail_yr!$E$61:$V$61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AnMBR_20_CED_Detail_yr!$E$65:$V$65</c:f>
              <c:numCache>
                <c:formatCode>#,##0</c:formatCode>
                <c:ptCount val="18"/>
                <c:pt idx="0">
                  <c:v>26758.02937</c:v>
                </c:pt>
                <c:pt idx="1">
                  <c:v>26758.02937</c:v>
                </c:pt>
                <c:pt idx="2">
                  <c:v>26758.02937</c:v>
                </c:pt>
                <c:pt idx="3">
                  <c:v>26758.02937</c:v>
                </c:pt>
                <c:pt idx="4">
                  <c:v>27496.510000000002</c:v>
                </c:pt>
                <c:pt idx="5">
                  <c:v>27496.510000000002</c:v>
                </c:pt>
                <c:pt idx="6">
                  <c:v>27496.510000000002</c:v>
                </c:pt>
                <c:pt idx="7">
                  <c:v>27496.510000000002</c:v>
                </c:pt>
                <c:pt idx="8">
                  <c:v>518521.15</c:v>
                </c:pt>
                <c:pt idx="9">
                  <c:v>518521.15</c:v>
                </c:pt>
                <c:pt idx="10">
                  <c:v>518521.15</c:v>
                </c:pt>
                <c:pt idx="11">
                  <c:v>518521.15</c:v>
                </c:pt>
                <c:pt idx="12">
                  <c:v>2160854.6</c:v>
                </c:pt>
                <c:pt idx="13">
                  <c:v>2160854.6</c:v>
                </c:pt>
                <c:pt idx="14">
                  <c:v>2160854.6</c:v>
                </c:pt>
                <c:pt idx="15">
                  <c:v>3888905.3617799999</c:v>
                </c:pt>
                <c:pt idx="16">
                  <c:v>3888905.3617799999</c:v>
                </c:pt>
                <c:pt idx="17">
                  <c:v>3888905.3617799999</c:v>
                </c:pt>
              </c:numCache>
            </c:numRef>
          </c:val>
        </c:ser>
        <c:ser>
          <c:idx val="4"/>
          <c:order val="4"/>
          <c:tx>
            <c:strRef>
              <c:f>AnMBR_20_CED_Detail_yr!$D$66</c:f>
              <c:strCache>
                <c:ptCount val="1"/>
                <c:pt idx="0">
                  <c:v>Post treatment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AnMBR_20_CED_Detail_yr!$E$61:$V$61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AnMBR_20_CED_Detail_yr!$E$66:$V$66</c:f>
              <c:numCache>
                <c:formatCode>#,##0</c:formatCode>
                <c:ptCount val="18"/>
                <c:pt idx="0">
                  <c:v>534976.39701000007</c:v>
                </c:pt>
                <c:pt idx="1">
                  <c:v>534976.39701000007</c:v>
                </c:pt>
                <c:pt idx="2">
                  <c:v>534976.39701000007</c:v>
                </c:pt>
                <c:pt idx="3">
                  <c:v>534976.39701000007</c:v>
                </c:pt>
                <c:pt idx="4">
                  <c:v>642002.67801999999</c:v>
                </c:pt>
                <c:pt idx="5">
                  <c:v>642002.67801999999</c:v>
                </c:pt>
                <c:pt idx="6">
                  <c:v>642002.67801999999</c:v>
                </c:pt>
                <c:pt idx="7">
                  <c:v>642002.67801999999</c:v>
                </c:pt>
                <c:pt idx="8">
                  <c:v>2479824.1082199998</c:v>
                </c:pt>
                <c:pt idx="9">
                  <c:v>2479824.1082199998</c:v>
                </c:pt>
                <c:pt idx="10">
                  <c:v>2479824.1082199998</c:v>
                </c:pt>
                <c:pt idx="11">
                  <c:v>2479824.1082199998</c:v>
                </c:pt>
                <c:pt idx="12">
                  <c:v>4545469.1922899997</c:v>
                </c:pt>
                <c:pt idx="13">
                  <c:v>4545469.1922899997</c:v>
                </c:pt>
                <c:pt idx="14">
                  <c:v>4545469.1922899997</c:v>
                </c:pt>
                <c:pt idx="15">
                  <c:v>8019323.3073800001</c:v>
                </c:pt>
                <c:pt idx="16">
                  <c:v>8019323.3073800001</c:v>
                </c:pt>
                <c:pt idx="17">
                  <c:v>8019323.3073800001</c:v>
                </c:pt>
              </c:numCache>
            </c:numRef>
          </c:val>
        </c:ser>
        <c:ser>
          <c:idx val="5"/>
          <c:order val="5"/>
          <c:tx>
            <c:strRef>
              <c:f>AnMBR_20_CED_Detail_yr!$D$67</c:f>
              <c:strCache>
                <c:ptCount val="1"/>
                <c:pt idx="0">
                  <c:v>Recycled water delivery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AnMBR_20_CED_Detail_yr!$E$61:$V$61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AnMBR_20_CED_Detail_yr!$E$67:$V$67</c:f>
              <c:numCache>
                <c:formatCode>#,##0</c:formatCode>
                <c:ptCount val="18"/>
                <c:pt idx="0">
                  <c:v>-815103.33826999995</c:v>
                </c:pt>
                <c:pt idx="1">
                  <c:v>-833753.00601999997</c:v>
                </c:pt>
                <c:pt idx="2">
                  <c:v>-846521.87100000004</c:v>
                </c:pt>
                <c:pt idx="3">
                  <c:v>-849173.79599999997</c:v>
                </c:pt>
                <c:pt idx="4">
                  <c:v>-1631834.054</c:v>
                </c:pt>
                <c:pt idx="5">
                  <c:v>-1668830.62757</c:v>
                </c:pt>
                <c:pt idx="6">
                  <c:v>-1694696.1140000001</c:v>
                </c:pt>
                <c:pt idx="7">
                  <c:v>-1699832.784</c:v>
                </c:pt>
                <c:pt idx="8">
                  <c:v>-16377332.5</c:v>
                </c:pt>
                <c:pt idx="9">
                  <c:v>-16747706.199999999</c:v>
                </c:pt>
                <c:pt idx="10">
                  <c:v>-17006403.539999999</c:v>
                </c:pt>
                <c:pt idx="11">
                  <c:v>-17057606.579999998</c:v>
                </c:pt>
                <c:pt idx="12">
                  <c:v>-83826814.200000003</c:v>
                </c:pt>
                <c:pt idx="13">
                  <c:v>-85116739.700000003</c:v>
                </c:pt>
                <c:pt idx="14">
                  <c:v>-85374753.599999994</c:v>
                </c:pt>
                <c:pt idx="15">
                  <c:v>-167601319</c:v>
                </c:pt>
                <c:pt idx="16">
                  <c:v>-170181598.40000001</c:v>
                </c:pt>
                <c:pt idx="17">
                  <c:v>-170697509.5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overlap val="100"/>
        <c:axId val="316807648"/>
        <c:axId val="316808040"/>
      </c:barChart>
      <c:lineChart>
        <c:grouping val="standard"/>
        <c:varyColors val="0"/>
        <c:ser>
          <c:idx val="6"/>
          <c:order val="6"/>
          <c:tx>
            <c:strRef>
              <c:f>AnMBR_20_CED_Detail_yr!$D$68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AnMBR_20_CED_Detail_yr!$E$61:$V$61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AnMBR_20_CED_Detail_yr!$E$68:$V$68</c:f>
              <c:numCache>
                <c:formatCode>#,##0</c:formatCode>
                <c:ptCount val="18"/>
                <c:pt idx="0">
                  <c:v>-386039.75961999985</c:v>
                </c:pt>
                <c:pt idx="1">
                  <c:v>-406011.62963999988</c:v>
                </c:pt>
                <c:pt idx="2">
                  <c:v>-419869.36485999997</c:v>
                </c:pt>
                <c:pt idx="3">
                  <c:v>-422717.93394999986</c:v>
                </c:pt>
                <c:pt idx="4">
                  <c:v>-1255204.66655</c:v>
                </c:pt>
                <c:pt idx="5">
                  <c:v>-1294787.85916</c:v>
                </c:pt>
                <c:pt idx="6">
                  <c:v>-1322631.67668</c:v>
                </c:pt>
                <c:pt idx="7">
                  <c:v>-1328142.2891500001</c:v>
                </c:pt>
                <c:pt idx="8">
                  <c:v>-16835129.878010001</c:v>
                </c:pt>
                <c:pt idx="9">
                  <c:v>-17233941.315329999</c:v>
                </c:pt>
                <c:pt idx="10">
                  <c:v>-17512421.85909</c:v>
                </c:pt>
                <c:pt idx="11">
                  <c:v>-17567488.965009999</c:v>
                </c:pt>
                <c:pt idx="12">
                  <c:v>-95311490.867050007</c:v>
                </c:pt>
                <c:pt idx="13">
                  <c:v>-96682500.299610004</c:v>
                </c:pt>
                <c:pt idx="14">
                  <c:v>-96959587.56961</c:v>
                </c:pt>
                <c:pt idx="15">
                  <c:v>-192511488.09319001</c:v>
                </c:pt>
                <c:pt idx="16">
                  <c:v>-195284662.99318999</c:v>
                </c:pt>
                <c:pt idx="17">
                  <c:v>-195841281.06318998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807648"/>
        <c:axId val="316808040"/>
      </c:lineChart>
      <c:catAx>
        <c:axId val="316807648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808040"/>
        <c:crosses val="autoZero"/>
        <c:auto val="1"/>
        <c:lblAlgn val="ctr"/>
        <c:lblOffset val="100"/>
        <c:noMultiLvlLbl val="0"/>
      </c:catAx>
      <c:valAx>
        <c:axId val="31680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MJ/Year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807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681759450167309E-2"/>
          <c:y val="7.9033644220010593E-2"/>
          <c:w val="0.9475305582502721"/>
          <c:h val="0.846549237628329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AeMBR_Baseline_GWP_yr!$B$6</c:f>
              <c:strCache>
                <c:ptCount val="1"/>
                <c:pt idx="0">
                  <c:v>Wastewater collection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AeMBR_Baseline_GWP_yr!$C$5:$T$5</c:f>
              <c:strCache>
                <c:ptCount val="18"/>
                <c:pt idx="0">
                  <c:v>0.05 MGD AeMBR [semi rural single family]</c:v>
                </c:pt>
                <c:pt idx="1">
                  <c:v>0.05 MGD AeMBR [single family]</c:v>
                </c:pt>
                <c:pt idx="2">
                  <c:v>0.05 MGD AeMBR [multi family]</c:v>
                </c:pt>
                <c:pt idx="3">
                  <c:v>0.05 MGD AeMBR [high density urban]</c:v>
                </c:pt>
                <c:pt idx="4">
                  <c:v>0.1 MGD AeMBR [semi rural single family]</c:v>
                </c:pt>
                <c:pt idx="5">
                  <c:v>0.1 MGD AeMBR [single family]</c:v>
                </c:pt>
                <c:pt idx="6">
                  <c:v>0.1 MGD AeMBR [multi family]</c:v>
                </c:pt>
                <c:pt idx="7">
                  <c:v>0.1 MGD AeMBR [high density urban]</c:v>
                </c:pt>
                <c:pt idx="8">
                  <c:v>1 MGD AeMBR [semi rural single family]</c:v>
                </c:pt>
                <c:pt idx="9">
                  <c:v>1 MGD AeMBR [single family]</c:v>
                </c:pt>
                <c:pt idx="10">
                  <c:v>1 MGD AeMBR [multi family]</c:v>
                </c:pt>
                <c:pt idx="11">
                  <c:v>1 MGD AeMBR [high density urban]</c:v>
                </c:pt>
                <c:pt idx="12">
                  <c:v>5 MGD AeMBR [single family]</c:v>
                </c:pt>
                <c:pt idx="13">
                  <c:v>5 MGD AeMBR [multi family]</c:v>
                </c:pt>
                <c:pt idx="14">
                  <c:v>5 MGD AeMBR [high density urban]</c:v>
                </c:pt>
                <c:pt idx="15">
                  <c:v>10 MGD AeMBR [single family]</c:v>
                </c:pt>
                <c:pt idx="16">
                  <c:v>10 MGD AeMBR [multi family]</c:v>
                </c:pt>
                <c:pt idx="17">
                  <c:v>10 MGD AeMBR [high density urban]</c:v>
                </c:pt>
              </c:strCache>
            </c:strRef>
          </c:cat>
          <c:val>
            <c:numRef>
              <c:f>AeMBR_Baseline_GWP_yr!$C$6:$T$6</c:f>
              <c:numCache>
                <c:formatCode>00</c:formatCode>
                <c:ptCount val="18"/>
                <c:pt idx="0">
                  <c:v>273.81261000000001</c:v>
                </c:pt>
                <c:pt idx="1">
                  <c:v>138.4699</c:v>
                </c:pt>
                <c:pt idx="2" formatCode="00.0">
                  <c:v>36.50835</c:v>
                </c:pt>
                <c:pt idx="3" formatCode="General">
                  <c:v>17.266590000000001</c:v>
                </c:pt>
                <c:pt idx="4">
                  <c:v>516.80075999999997</c:v>
                </c:pt>
                <c:pt idx="5">
                  <c:v>267.72788000000003</c:v>
                </c:pt>
                <c:pt idx="6" formatCode="00.0">
                  <c:v>73.016689999999997</c:v>
                </c:pt>
                <c:pt idx="7" formatCode="00.0">
                  <c:v>35.908639999999998</c:v>
                </c:pt>
                <c:pt idx="8" formatCode="#,##0">
                  <c:v>5476.25</c:v>
                </c:pt>
                <c:pt idx="9" formatCode="#,##0">
                  <c:v>2677.27</c:v>
                </c:pt>
                <c:pt idx="10">
                  <c:v>730.16600000000005</c:v>
                </c:pt>
                <c:pt idx="11" formatCode="General">
                  <c:v>347.92</c:v>
                </c:pt>
                <c:pt idx="12" formatCode="#,##0">
                  <c:v>11547.6</c:v>
                </c:pt>
                <c:pt idx="13" formatCode="#,##0">
                  <c:v>3650.83</c:v>
                </c:pt>
                <c:pt idx="14" formatCode="#,##0">
                  <c:v>1758.78</c:v>
                </c:pt>
                <c:pt idx="15" formatCode="#,##0">
                  <c:v>26770</c:v>
                </c:pt>
                <c:pt idx="16" formatCode="#,##0">
                  <c:v>7638.32</c:v>
                </c:pt>
                <c:pt idx="17" formatCode="#,##0">
                  <c:v>3701.92</c:v>
                </c:pt>
              </c:numCache>
            </c:numRef>
          </c:val>
        </c:ser>
        <c:ser>
          <c:idx val="1"/>
          <c:order val="1"/>
          <c:tx>
            <c:strRef>
              <c:f>AeMBR_Baseline_GWP_yr!$B$7</c:f>
              <c:strCache>
                <c:ptCount val="1"/>
                <c:pt idx="0">
                  <c:v>Pre treatment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AeMBR_Baseline_GWP_yr!$C$5:$T$5</c:f>
              <c:strCache>
                <c:ptCount val="18"/>
                <c:pt idx="0">
                  <c:v>0.05 MGD AeMBR [semi rural single family]</c:v>
                </c:pt>
                <c:pt idx="1">
                  <c:v>0.05 MGD AeMBR [single family]</c:v>
                </c:pt>
                <c:pt idx="2">
                  <c:v>0.05 MGD AeMBR [multi family]</c:v>
                </c:pt>
                <c:pt idx="3">
                  <c:v>0.05 MGD AeMBR [high density urban]</c:v>
                </c:pt>
                <c:pt idx="4">
                  <c:v>0.1 MGD AeMBR [semi rural single family]</c:v>
                </c:pt>
                <c:pt idx="5">
                  <c:v>0.1 MGD AeMBR [single family]</c:v>
                </c:pt>
                <c:pt idx="6">
                  <c:v>0.1 MGD AeMBR [multi family]</c:v>
                </c:pt>
                <c:pt idx="7">
                  <c:v>0.1 MGD AeMBR [high density urban]</c:v>
                </c:pt>
                <c:pt idx="8">
                  <c:v>1 MGD AeMBR [semi rural single family]</c:v>
                </c:pt>
                <c:pt idx="9">
                  <c:v>1 MGD AeMBR [single family]</c:v>
                </c:pt>
                <c:pt idx="10">
                  <c:v>1 MGD AeMBR [multi family]</c:v>
                </c:pt>
                <c:pt idx="11">
                  <c:v>1 MGD AeMBR [high density urban]</c:v>
                </c:pt>
                <c:pt idx="12">
                  <c:v>5 MGD AeMBR [single family]</c:v>
                </c:pt>
                <c:pt idx="13">
                  <c:v>5 MGD AeMBR [multi family]</c:v>
                </c:pt>
                <c:pt idx="14">
                  <c:v>5 MGD AeMBR [high density urban]</c:v>
                </c:pt>
                <c:pt idx="15">
                  <c:v>10 MGD AeMBR [single family]</c:v>
                </c:pt>
                <c:pt idx="16">
                  <c:v>10 MGD AeMBR [multi family]</c:v>
                </c:pt>
                <c:pt idx="17">
                  <c:v>10 MGD AeMBR [high density urban]</c:v>
                </c:pt>
              </c:strCache>
            </c:strRef>
          </c:cat>
          <c:val>
            <c:numRef>
              <c:f>AeMBR_Baseline_GWP_yr!$C$7:$T$7</c:f>
              <c:numCache>
                <c:formatCode>#,##0</c:formatCode>
                <c:ptCount val="18"/>
                <c:pt idx="0">
                  <c:v>2803.3273899999913</c:v>
                </c:pt>
                <c:pt idx="1">
                  <c:v>2803.3273899999913</c:v>
                </c:pt>
                <c:pt idx="2">
                  <c:v>2803.3273899999913</c:v>
                </c:pt>
                <c:pt idx="3">
                  <c:v>2803.3273899999913</c:v>
                </c:pt>
                <c:pt idx="4">
                  <c:v>3903.6092399999907</c:v>
                </c:pt>
                <c:pt idx="5">
                  <c:v>3903.6092399999907</c:v>
                </c:pt>
                <c:pt idx="6">
                  <c:v>3903.6092399999907</c:v>
                </c:pt>
                <c:pt idx="7">
                  <c:v>3903.6092399999907</c:v>
                </c:pt>
                <c:pt idx="8">
                  <c:v>12355.949999999953</c:v>
                </c:pt>
                <c:pt idx="9">
                  <c:v>12355.949999999953</c:v>
                </c:pt>
                <c:pt idx="10">
                  <c:v>12355.949999999953</c:v>
                </c:pt>
                <c:pt idx="11">
                  <c:v>12355.949999999953</c:v>
                </c:pt>
                <c:pt idx="12">
                  <c:v>30123.72</c:v>
                </c:pt>
                <c:pt idx="13">
                  <c:v>30123.72</c:v>
                </c:pt>
                <c:pt idx="14">
                  <c:v>30123.72</c:v>
                </c:pt>
                <c:pt idx="15">
                  <c:v>45957</c:v>
                </c:pt>
                <c:pt idx="16">
                  <c:v>45957</c:v>
                </c:pt>
                <c:pt idx="17">
                  <c:v>45957</c:v>
                </c:pt>
              </c:numCache>
            </c:numRef>
          </c:val>
        </c:ser>
        <c:ser>
          <c:idx val="2"/>
          <c:order val="2"/>
          <c:tx>
            <c:strRef>
              <c:f>AeMBR_Baseline_GWP_yr!$B$8</c:f>
              <c:strCache>
                <c:ptCount val="1"/>
                <c:pt idx="0">
                  <c:v>MBR operation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AeMBR_Baseline_GWP_yr!$C$5:$T$5</c:f>
              <c:strCache>
                <c:ptCount val="18"/>
                <c:pt idx="0">
                  <c:v>0.05 MGD AeMBR [semi rural single family]</c:v>
                </c:pt>
                <c:pt idx="1">
                  <c:v>0.05 MGD AeMBR [single family]</c:v>
                </c:pt>
                <c:pt idx="2">
                  <c:v>0.05 MGD AeMBR [multi family]</c:v>
                </c:pt>
                <c:pt idx="3">
                  <c:v>0.05 MGD AeMBR [high density urban]</c:v>
                </c:pt>
                <c:pt idx="4">
                  <c:v>0.1 MGD AeMBR [semi rural single family]</c:v>
                </c:pt>
                <c:pt idx="5">
                  <c:v>0.1 MGD AeMBR [single family]</c:v>
                </c:pt>
                <c:pt idx="6">
                  <c:v>0.1 MGD AeMBR [multi family]</c:v>
                </c:pt>
                <c:pt idx="7">
                  <c:v>0.1 MGD AeMBR [high density urban]</c:v>
                </c:pt>
                <c:pt idx="8">
                  <c:v>1 MGD AeMBR [semi rural single family]</c:v>
                </c:pt>
                <c:pt idx="9">
                  <c:v>1 MGD AeMBR [single family]</c:v>
                </c:pt>
                <c:pt idx="10">
                  <c:v>1 MGD AeMBR [multi family]</c:v>
                </c:pt>
                <c:pt idx="11">
                  <c:v>1 MGD AeMBR [high density urban]</c:v>
                </c:pt>
                <c:pt idx="12">
                  <c:v>5 MGD AeMBR [single family]</c:v>
                </c:pt>
                <c:pt idx="13">
                  <c:v>5 MGD AeMBR [multi family]</c:v>
                </c:pt>
                <c:pt idx="14">
                  <c:v>5 MGD AeMBR [high density urban]</c:v>
                </c:pt>
                <c:pt idx="15">
                  <c:v>10 MGD AeMBR [single family]</c:v>
                </c:pt>
                <c:pt idx="16">
                  <c:v>10 MGD AeMBR [multi family]</c:v>
                </c:pt>
                <c:pt idx="17">
                  <c:v>10 MGD AeMBR [high density urban]</c:v>
                </c:pt>
              </c:strCache>
            </c:strRef>
          </c:cat>
          <c:val>
            <c:numRef>
              <c:f>AeMBR_Baseline_GWP_yr!$C$8:$T$8</c:f>
              <c:numCache>
                <c:formatCode>#,##0</c:formatCode>
                <c:ptCount val="18"/>
                <c:pt idx="0">
                  <c:v>47872.26</c:v>
                </c:pt>
                <c:pt idx="1">
                  <c:v>47872.26</c:v>
                </c:pt>
                <c:pt idx="2">
                  <c:v>47872.26</c:v>
                </c:pt>
                <c:pt idx="3">
                  <c:v>47872.26</c:v>
                </c:pt>
                <c:pt idx="4">
                  <c:v>67029.3</c:v>
                </c:pt>
                <c:pt idx="5">
                  <c:v>67029.3</c:v>
                </c:pt>
                <c:pt idx="6">
                  <c:v>67029.3</c:v>
                </c:pt>
                <c:pt idx="7">
                  <c:v>67029.3</c:v>
                </c:pt>
                <c:pt idx="8">
                  <c:v>378479</c:v>
                </c:pt>
                <c:pt idx="9">
                  <c:v>378479</c:v>
                </c:pt>
                <c:pt idx="10">
                  <c:v>378479</c:v>
                </c:pt>
                <c:pt idx="11">
                  <c:v>378479</c:v>
                </c:pt>
                <c:pt idx="12">
                  <c:v>1840889</c:v>
                </c:pt>
                <c:pt idx="13">
                  <c:v>1840889</c:v>
                </c:pt>
                <c:pt idx="14">
                  <c:v>1840889</c:v>
                </c:pt>
                <c:pt idx="15">
                  <c:v>3575700</c:v>
                </c:pt>
                <c:pt idx="16">
                  <c:v>3575700</c:v>
                </c:pt>
                <c:pt idx="17">
                  <c:v>3575700</c:v>
                </c:pt>
              </c:numCache>
            </c:numRef>
          </c:val>
        </c:ser>
        <c:ser>
          <c:idx val="3"/>
          <c:order val="3"/>
          <c:tx>
            <c:strRef>
              <c:f>AeMBR_Baseline_GWP_yr!$B$9</c:f>
              <c:strCache>
                <c:ptCount val="1"/>
                <c:pt idx="0">
                  <c:v>MBR infrastructure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AeMBR_Baseline_GWP_yr!$C$5:$T$5</c:f>
              <c:strCache>
                <c:ptCount val="18"/>
                <c:pt idx="0">
                  <c:v>0.05 MGD AeMBR [semi rural single family]</c:v>
                </c:pt>
                <c:pt idx="1">
                  <c:v>0.05 MGD AeMBR [single family]</c:v>
                </c:pt>
                <c:pt idx="2">
                  <c:v>0.05 MGD AeMBR [multi family]</c:v>
                </c:pt>
                <c:pt idx="3">
                  <c:v>0.05 MGD AeMBR [high density urban]</c:v>
                </c:pt>
                <c:pt idx="4">
                  <c:v>0.1 MGD AeMBR [semi rural single family]</c:v>
                </c:pt>
                <c:pt idx="5">
                  <c:v>0.1 MGD AeMBR [single family]</c:v>
                </c:pt>
                <c:pt idx="6">
                  <c:v>0.1 MGD AeMBR [multi family]</c:v>
                </c:pt>
                <c:pt idx="7">
                  <c:v>0.1 MGD AeMBR [high density urban]</c:v>
                </c:pt>
                <c:pt idx="8">
                  <c:v>1 MGD AeMBR [semi rural single family]</c:v>
                </c:pt>
                <c:pt idx="9">
                  <c:v>1 MGD AeMBR [single family]</c:v>
                </c:pt>
                <c:pt idx="10">
                  <c:v>1 MGD AeMBR [multi family]</c:v>
                </c:pt>
                <c:pt idx="11">
                  <c:v>1 MGD AeMBR [high density urban]</c:v>
                </c:pt>
                <c:pt idx="12">
                  <c:v>5 MGD AeMBR [single family]</c:v>
                </c:pt>
                <c:pt idx="13">
                  <c:v>5 MGD AeMBR [multi family]</c:v>
                </c:pt>
                <c:pt idx="14">
                  <c:v>5 MGD AeMBR [high density urban]</c:v>
                </c:pt>
                <c:pt idx="15">
                  <c:v>10 MGD AeMBR [single family]</c:v>
                </c:pt>
                <c:pt idx="16">
                  <c:v>10 MGD AeMBR [multi family]</c:v>
                </c:pt>
                <c:pt idx="17">
                  <c:v>10 MGD AeMBR [high density urban]</c:v>
                </c:pt>
              </c:strCache>
            </c:strRef>
          </c:cat>
          <c:val>
            <c:numRef>
              <c:f>AeMBR_Baseline_GWP_yr!$C$9:$T$9</c:f>
              <c:numCache>
                <c:formatCode>#,##0</c:formatCode>
                <c:ptCount val="18"/>
                <c:pt idx="0">
                  <c:v>1054.71</c:v>
                </c:pt>
                <c:pt idx="1">
                  <c:v>1054.71</c:v>
                </c:pt>
                <c:pt idx="2">
                  <c:v>1054.71</c:v>
                </c:pt>
                <c:pt idx="3">
                  <c:v>1054.71</c:v>
                </c:pt>
                <c:pt idx="4">
                  <c:v>1857.29</c:v>
                </c:pt>
                <c:pt idx="5">
                  <c:v>1857.29</c:v>
                </c:pt>
                <c:pt idx="6">
                  <c:v>1857.29</c:v>
                </c:pt>
                <c:pt idx="7">
                  <c:v>1857.29</c:v>
                </c:pt>
                <c:pt idx="8">
                  <c:v>15779.8</c:v>
                </c:pt>
                <c:pt idx="9">
                  <c:v>15779.8</c:v>
                </c:pt>
                <c:pt idx="10">
                  <c:v>15779.8</c:v>
                </c:pt>
                <c:pt idx="11">
                  <c:v>15779.8</c:v>
                </c:pt>
                <c:pt idx="12">
                  <c:v>70429.8</c:v>
                </c:pt>
                <c:pt idx="13">
                  <c:v>70429.8</c:v>
                </c:pt>
                <c:pt idx="14">
                  <c:v>70429.8</c:v>
                </c:pt>
                <c:pt idx="15">
                  <c:v>138680</c:v>
                </c:pt>
                <c:pt idx="16">
                  <c:v>138680</c:v>
                </c:pt>
                <c:pt idx="17">
                  <c:v>138680</c:v>
                </c:pt>
              </c:numCache>
            </c:numRef>
          </c:val>
        </c:ser>
        <c:ser>
          <c:idx val="4"/>
          <c:order val="4"/>
          <c:tx>
            <c:strRef>
              <c:f>AeMBR_Baseline_GWP_yr!$B$10</c:f>
              <c:strCache>
                <c:ptCount val="1"/>
                <c:pt idx="0">
                  <c:v>Post treatment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AeMBR_Baseline_GWP_yr!$C$5:$T$5</c:f>
              <c:strCache>
                <c:ptCount val="18"/>
                <c:pt idx="0">
                  <c:v>0.05 MGD AeMBR [semi rural single family]</c:v>
                </c:pt>
                <c:pt idx="1">
                  <c:v>0.05 MGD AeMBR [single family]</c:v>
                </c:pt>
                <c:pt idx="2">
                  <c:v>0.05 MGD AeMBR [multi family]</c:v>
                </c:pt>
                <c:pt idx="3">
                  <c:v>0.05 MGD AeMBR [high density urban]</c:v>
                </c:pt>
                <c:pt idx="4">
                  <c:v>0.1 MGD AeMBR [semi rural single family]</c:v>
                </c:pt>
                <c:pt idx="5">
                  <c:v>0.1 MGD AeMBR [single family]</c:v>
                </c:pt>
                <c:pt idx="6">
                  <c:v>0.1 MGD AeMBR [multi family]</c:v>
                </c:pt>
                <c:pt idx="7">
                  <c:v>0.1 MGD AeMBR [high density urban]</c:v>
                </c:pt>
                <c:pt idx="8">
                  <c:v>1 MGD AeMBR [semi rural single family]</c:v>
                </c:pt>
                <c:pt idx="9">
                  <c:v>1 MGD AeMBR [single family]</c:v>
                </c:pt>
                <c:pt idx="10">
                  <c:v>1 MGD AeMBR [multi family]</c:v>
                </c:pt>
                <c:pt idx="11">
                  <c:v>1 MGD AeMBR [high density urban]</c:v>
                </c:pt>
                <c:pt idx="12">
                  <c:v>5 MGD AeMBR [single family]</c:v>
                </c:pt>
                <c:pt idx="13">
                  <c:v>5 MGD AeMBR [multi family]</c:v>
                </c:pt>
                <c:pt idx="14">
                  <c:v>5 MGD AeMBR [high density urban]</c:v>
                </c:pt>
                <c:pt idx="15">
                  <c:v>10 MGD AeMBR [single family]</c:v>
                </c:pt>
                <c:pt idx="16">
                  <c:v>10 MGD AeMBR [multi family]</c:v>
                </c:pt>
                <c:pt idx="17">
                  <c:v>10 MGD AeMBR [high density urban]</c:v>
                </c:pt>
              </c:strCache>
            </c:strRef>
          </c:cat>
          <c:val>
            <c:numRef>
              <c:f>AeMBR_Baseline_GWP_yr!$C$10:$T$10</c:f>
              <c:numCache>
                <c:formatCode>#,##0</c:formatCode>
                <c:ptCount val="18"/>
                <c:pt idx="0">
                  <c:v>33166</c:v>
                </c:pt>
                <c:pt idx="1">
                  <c:v>33166</c:v>
                </c:pt>
                <c:pt idx="2">
                  <c:v>33166</c:v>
                </c:pt>
                <c:pt idx="3">
                  <c:v>33166</c:v>
                </c:pt>
                <c:pt idx="4">
                  <c:v>39466</c:v>
                </c:pt>
                <c:pt idx="5">
                  <c:v>39466</c:v>
                </c:pt>
                <c:pt idx="6">
                  <c:v>39466</c:v>
                </c:pt>
                <c:pt idx="7">
                  <c:v>39466</c:v>
                </c:pt>
                <c:pt idx="8">
                  <c:v>90494</c:v>
                </c:pt>
                <c:pt idx="9">
                  <c:v>90494</c:v>
                </c:pt>
                <c:pt idx="10">
                  <c:v>90494</c:v>
                </c:pt>
                <c:pt idx="11">
                  <c:v>90494</c:v>
                </c:pt>
                <c:pt idx="12">
                  <c:v>245966</c:v>
                </c:pt>
                <c:pt idx="13">
                  <c:v>245966</c:v>
                </c:pt>
                <c:pt idx="14">
                  <c:v>245966</c:v>
                </c:pt>
                <c:pt idx="15">
                  <c:v>424896</c:v>
                </c:pt>
                <c:pt idx="16">
                  <c:v>424896</c:v>
                </c:pt>
                <c:pt idx="17">
                  <c:v>424896</c:v>
                </c:pt>
              </c:numCache>
            </c:numRef>
          </c:val>
        </c:ser>
        <c:ser>
          <c:idx val="5"/>
          <c:order val="5"/>
          <c:tx>
            <c:strRef>
              <c:f>AeMBR_Baseline_GWP_yr!$B$11</c:f>
              <c:strCache>
                <c:ptCount val="1"/>
                <c:pt idx="0">
                  <c:v>Recycled water delivery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AeMBR_Baseline_GWP_yr!$C$5:$T$5</c:f>
              <c:strCache>
                <c:ptCount val="18"/>
                <c:pt idx="0">
                  <c:v>0.05 MGD AeMBR [semi rural single family]</c:v>
                </c:pt>
                <c:pt idx="1">
                  <c:v>0.05 MGD AeMBR [single family]</c:v>
                </c:pt>
                <c:pt idx="2">
                  <c:v>0.05 MGD AeMBR [multi family]</c:v>
                </c:pt>
                <c:pt idx="3">
                  <c:v>0.05 MGD AeMBR [high density urban]</c:v>
                </c:pt>
                <c:pt idx="4">
                  <c:v>0.1 MGD AeMBR [semi rural single family]</c:v>
                </c:pt>
                <c:pt idx="5">
                  <c:v>0.1 MGD AeMBR [single family]</c:v>
                </c:pt>
                <c:pt idx="6">
                  <c:v>0.1 MGD AeMBR [multi family]</c:v>
                </c:pt>
                <c:pt idx="7">
                  <c:v>0.1 MGD AeMBR [high density urban]</c:v>
                </c:pt>
                <c:pt idx="8">
                  <c:v>1 MGD AeMBR [semi rural single family]</c:v>
                </c:pt>
                <c:pt idx="9">
                  <c:v>1 MGD AeMBR [single family]</c:v>
                </c:pt>
                <c:pt idx="10">
                  <c:v>1 MGD AeMBR [multi family]</c:v>
                </c:pt>
                <c:pt idx="11">
                  <c:v>1 MGD AeMBR [high density urban]</c:v>
                </c:pt>
                <c:pt idx="12">
                  <c:v>5 MGD AeMBR [single family]</c:v>
                </c:pt>
                <c:pt idx="13">
                  <c:v>5 MGD AeMBR [multi family]</c:v>
                </c:pt>
                <c:pt idx="14">
                  <c:v>5 MGD AeMBR [high density urban]</c:v>
                </c:pt>
                <c:pt idx="15">
                  <c:v>10 MGD AeMBR [single family]</c:v>
                </c:pt>
                <c:pt idx="16">
                  <c:v>10 MGD AeMBR [multi family]</c:v>
                </c:pt>
                <c:pt idx="17">
                  <c:v>10 MGD AeMBR [high density urban]</c:v>
                </c:pt>
              </c:strCache>
            </c:strRef>
          </c:cat>
          <c:val>
            <c:numRef>
              <c:f>AeMBR_Baseline_GWP_yr!$C$11:$T$11</c:f>
              <c:numCache>
                <c:formatCode>#,##0</c:formatCode>
                <c:ptCount val="18"/>
                <c:pt idx="0">
                  <c:v>-49803.909999999996</c:v>
                </c:pt>
                <c:pt idx="1">
                  <c:v>-50938.867289999987</c:v>
                </c:pt>
                <c:pt idx="2">
                  <c:v>-51715.805739999989</c:v>
                </c:pt>
                <c:pt idx="3">
                  <c:v>-51877.063979999992</c:v>
                </c:pt>
                <c:pt idx="4">
                  <c:v>-99617</c:v>
                </c:pt>
                <c:pt idx="5">
                  <c:v>-101867.82712</c:v>
                </c:pt>
                <c:pt idx="6">
                  <c:v>-103441.63268</c:v>
                </c:pt>
                <c:pt idx="7">
                  <c:v>-106822.14</c:v>
                </c:pt>
                <c:pt idx="8">
                  <c:v>-996145</c:v>
                </c:pt>
                <c:pt idx="9">
                  <c:v>-1018682.02</c:v>
                </c:pt>
                <c:pt idx="10">
                  <c:v>-1034435.916</c:v>
                </c:pt>
                <c:pt idx="11">
                  <c:v>-1037646.67</c:v>
                </c:pt>
                <c:pt idx="12">
                  <c:v>-5093406.1199999992</c:v>
                </c:pt>
                <c:pt idx="13">
                  <c:v>-5171859.3499999996</c:v>
                </c:pt>
                <c:pt idx="14">
                  <c:v>-5187567.3</c:v>
                </c:pt>
                <c:pt idx="15">
                  <c:v>-10186903</c:v>
                </c:pt>
                <c:pt idx="16">
                  <c:v>-10343871.32</c:v>
                </c:pt>
                <c:pt idx="17">
                  <c:v>-10375294.92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8156264"/>
        <c:axId val="328156656"/>
      </c:barChart>
      <c:lineChart>
        <c:grouping val="standard"/>
        <c:varyColors val="0"/>
        <c:ser>
          <c:idx val="6"/>
          <c:order val="6"/>
          <c:tx>
            <c:strRef>
              <c:f>AeMBR_Baseline_GWP_yr!$B$12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AeMBR_Baseline_GWP_yr!$C$5:$T$5</c:f>
              <c:strCache>
                <c:ptCount val="18"/>
                <c:pt idx="0">
                  <c:v>0.05 MGD AeMBR [semi rural single family]</c:v>
                </c:pt>
                <c:pt idx="1">
                  <c:v>0.05 MGD AeMBR [single family]</c:v>
                </c:pt>
                <c:pt idx="2">
                  <c:v>0.05 MGD AeMBR [multi family]</c:v>
                </c:pt>
                <c:pt idx="3">
                  <c:v>0.05 MGD AeMBR [high density urban]</c:v>
                </c:pt>
                <c:pt idx="4">
                  <c:v>0.1 MGD AeMBR [semi rural single family]</c:v>
                </c:pt>
                <c:pt idx="5">
                  <c:v>0.1 MGD AeMBR [single family]</c:v>
                </c:pt>
                <c:pt idx="6">
                  <c:v>0.1 MGD AeMBR [multi family]</c:v>
                </c:pt>
                <c:pt idx="7">
                  <c:v>0.1 MGD AeMBR [high density urban]</c:v>
                </c:pt>
                <c:pt idx="8">
                  <c:v>1 MGD AeMBR [semi rural single family]</c:v>
                </c:pt>
                <c:pt idx="9">
                  <c:v>1 MGD AeMBR [single family]</c:v>
                </c:pt>
                <c:pt idx="10">
                  <c:v>1 MGD AeMBR [multi family]</c:v>
                </c:pt>
                <c:pt idx="11">
                  <c:v>1 MGD AeMBR [high density urban]</c:v>
                </c:pt>
                <c:pt idx="12">
                  <c:v>5 MGD AeMBR [single family]</c:v>
                </c:pt>
                <c:pt idx="13">
                  <c:v>5 MGD AeMBR [multi family]</c:v>
                </c:pt>
                <c:pt idx="14">
                  <c:v>5 MGD AeMBR [high density urban]</c:v>
                </c:pt>
                <c:pt idx="15">
                  <c:v>10 MGD AeMBR [single family]</c:v>
                </c:pt>
                <c:pt idx="16">
                  <c:v>10 MGD AeMBR [multi family]</c:v>
                </c:pt>
                <c:pt idx="17">
                  <c:v>10 MGD AeMBR [high density urban]</c:v>
                </c:pt>
              </c:strCache>
            </c:strRef>
          </c:cat>
          <c:val>
            <c:numRef>
              <c:f>AeMBR_Baseline_GWP_yr!$C$12:$T$12</c:f>
              <c:numCache>
                <c:formatCode>#,##0</c:formatCode>
                <c:ptCount val="18"/>
                <c:pt idx="0">
                  <c:v>35366.19999999999</c:v>
                </c:pt>
                <c:pt idx="1">
                  <c:v>34095.9</c:v>
                </c:pt>
                <c:pt idx="2">
                  <c:v>33216.999999999993</c:v>
                </c:pt>
                <c:pt idx="3">
                  <c:v>33036.5</c:v>
                </c:pt>
                <c:pt idx="4">
                  <c:v>13155.999999999985</c:v>
                </c:pt>
                <c:pt idx="5">
                  <c:v>10656.099999999991</c:v>
                </c:pt>
                <c:pt idx="6">
                  <c:v>8887.583249999996</c:v>
                </c:pt>
                <c:pt idx="7">
                  <c:v>5469.967879999982</c:v>
                </c:pt>
                <c:pt idx="8">
                  <c:v>-493560.00000000006</c:v>
                </c:pt>
                <c:pt idx="9">
                  <c:v>-518896.00000000006</c:v>
                </c:pt>
                <c:pt idx="10">
                  <c:v>-536597</c:v>
                </c:pt>
                <c:pt idx="11">
                  <c:v>-540190.00000000012</c:v>
                </c:pt>
                <c:pt idx="12">
                  <c:v>-2894449.9999999991</c:v>
                </c:pt>
                <c:pt idx="13">
                  <c:v>-2980799.9999999995</c:v>
                </c:pt>
                <c:pt idx="14">
                  <c:v>-2998400</c:v>
                </c:pt>
                <c:pt idx="15">
                  <c:v>-5974900</c:v>
                </c:pt>
                <c:pt idx="16">
                  <c:v>-6151000</c:v>
                </c:pt>
                <c:pt idx="17">
                  <c:v>-6186360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156264"/>
        <c:axId val="328156656"/>
      </c:lineChart>
      <c:catAx>
        <c:axId val="328156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156656"/>
        <c:crosses val="autoZero"/>
        <c:auto val="1"/>
        <c:lblAlgn val="ctr"/>
        <c:lblOffset val="100"/>
        <c:noMultiLvlLbl val="0"/>
      </c:catAx>
      <c:valAx>
        <c:axId val="328156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kg</a:t>
                </a:r>
                <a:r>
                  <a:rPr lang="en-US" baseline="0"/>
                  <a:t> CO</a:t>
                </a:r>
                <a:r>
                  <a:rPr lang="en-US" baseline="-25000"/>
                  <a:t>2</a:t>
                </a:r>
                <a:r>
                  <a:rPr lang="en-US" baseline="0"/>
                  <a:t> eq/year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6945867023217205E-3"/>
              <c:y val="0.367283041831066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156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681759450167309E-2"/>
          <c:y val="7.9033644220010593E-2"/>
          <c:w val="0.9475305582502721"/>
          <c:h val="0.846549237628329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AnMBR_35_GWP_yr!$B$6</c:f>
              <c:strCache>
                <c:ptCount val="1"/>
                <c:pt idx="0">
                  <c:v>Wastewater collection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AnMBR_35_GWP_yr!$C$5:$T$5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AnMBR_35_GWP_yr!$C$6:$T$6</c:f>
              <c:numCache>
                <c:formatCode>00</c:formatCode>
                <c:ptCount val="18"/>
                <c:pt idx="0">
                  <c:v>273.81261000000001</c:v>
                </c:pt>
                <c:pt idx="1">
                  <c:v>138.4699</c:v>
                </c:pt>
                <c:pt idx="2">
                  <c:v>36.50835</c:v>
                </c:pt>
                <c:pt idx="3">
                  <c:v>17.266590000000001</c:v>
                </c:pt>
                <c:pt idx="4">
                  <c:v>516.80075999999997</c:v>
                </c:pt>
                <c:pt idx="5">
                  <c:v>267.72788000000003</c:v>
                </c:pt>
                <c:pt idx="6">
                  <c:v>73.016689999999997</c:v>
                </c:pt>
                <c:pt idx="7">
                  <c:v>35.908639999999998</c:v>
                </c:pt>
                <c:pt idx="8">
                  <c:v>5476.25</c:v>
                </c:pt>
                <c:pt idx="9">
                  <c:v>2677.27</c:v>
                </c:pt>
                <c:pt idx="10">
                  <c:v>730.16600000000005</c:v>
                </c:pt>
                <c:pt idx="11">
                  <c:v>347.92</c:v>
                </c:pt>
                <c:pt idx="12">
                  <c:v>11547.6</c:v>
                </c:pt>
                <c:pt idx="13">
                  <c:v>3650.83</c:v>
                </c:pt>
                <c:pt idx="14">
                  <c:v>1758.78</c:v>
                </c:pt>
                <c:pt idx="15">
                  <c:v>26770</c:v>
                </c:pt>
                <c:pt idx="16">
                  <c:v>7638.32</c:v>
                </c:pt>
                <c:pt idx="17">
                  <c:v>3701.92</c:v>
                </c:pt>
              </c:numCache>
            </c:numRef>
          </c:val>
        </c:ser>
        <c:ser>
          <c:idx val="1"/>
          <c:order val="1"/>
          <c:tx>
            <c:strRef>
              <c:f>AnMBR_35_GWP_yr!$B$7</c:f>
              <c:strCache>
                <c:ptCount val="1"/>
                <c:pt idx="0">
                  <c:v>Pre treatment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AnMBR_35_GWP_yr!$C$5:$T$5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AnMBR_35_GWP_yr!$C$7:$T$7</c:f>
              <c:numCache>
                <c:formatCode>00</c:formatCode>
                <c:ptCount val="18"/>
                <c:pt idx="0">
                  <c:v>2803.3273899999913</c:v>
                </c:pt>
                <c:pt idx="1">
                  <c:v>2803.3273899999913</c:v>
                </c:pt>
                <c:pt idx="2">
                  <c:v>2803.3273899999913</c:v>
                </c:pt>
                <c:pt idx="3">
                  <c:v>2803.3273899999913</c:v>
                </c:pt>
                <c:pt idx="4">
                  <c:v>3903.6092399999907</c:v>
                </c:pt>
                <c:pt idx="5">
                  <c:v>3903.6092399999907</c:v>
                </c:pt>
                <c:pt idx="6">
                  <c:v>3903.6092399999907</c:v>
                </c:pt>
                <c:pt idx="7">
                  <c:v>3903.6092399999907</c:v>
                </c:pt>
                <c:pt idx="8">
                  <c:v>12355.949999999953</c:v>
                </c:pt>
                <c:pt idx="9">
                  <c:v>12355.949999999953</c:v>
                </c:pt>
                <c:pt idx="10">
                  <c:v>12355.949999999953</c:v>
                </c:pt>
                <c:pt idx="11">
                  <c:v>12355.949999999953</c:v>
                </c:pt>
                <c:pt idx="12">
                  <c:v>30123.72</c:v>
                </c:pt>
                <c:pt idx="13">
                  <c:v>30123.72</c:v>
                </c:pt>
                <c:pt idx="14">
                  <c:v>30123.72</c:v>
                </c:pt>
                <c:pt idx="15">
                  <c:v>45957</c:v>
                </c:pt>
                <c:pt idx="16">
                  <c:v>45957</c:v>
                </c:pt>
                <c:pt idx="17">
                  <c:v>45957</c:v>
                </c:pt>
              </c:numCache>
            </c:numRef>
          </c:val>
        </c:ser>
        <c:ser>
          <c:idx val="2"/>
          <c:order val="2"/>
          <c:tx>
            <c:strRef>
              <c:f>AnMBR_35_GWP_yr!$B$8</c:f>
              <c:strCache>
                <c:ptCount val="1"/>
                <c:pt idx="0">
                  <c:v>MBR operation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AnMBR_35_GWP_yr!$C$5:$T$5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AnMBR_35_GWP_yr!$C$8:$T$8</c:f>
              <c:numCache>
                <c:formatCode>#,##0</c:formatCode>
                <c:ptCount val="18"/>
                <c:pt idx="0">
                  <c:v>57667.6</c:v>
                </c:pt>
                <c:pt idx="1">
                  <c:v>57667.6</c:v>
                </c:pt>
                <c:pt idx="2">
                  <c:v>57667.6</c:v>
                </c:pt>
                <c:pt idx="3">
                  <c:v>57667.6</c:v>
                </c:pt>
                <c:pt idx="4">
                  <c:v>108668</c:v>
                </c:pt>
                <c:pt idx="5">
                  <c:v>108668</c:v>
                </c:pt>
                <c:pt idx="6">
                  <c:v>108668</c:v>
                </c:pt>
                <c:pt idx="7">
                  <c:v>108668</c:v>
                </c:pt>
                <c:pt idx="8">
                  <c:v>920852.7</c:v>
                </c:pt>
                <c:pt idx="9">
                  <c:v>920852.7</c:v>
                </c:pt>
                <c:pt idx="10">
                  <c:v>920852.7</c:v>
                </c:pt>
                <c:pt idx="11">
                  <c:v>920852.7</c:v>
                </c:pt>
                <c:pt idx="12">
                  <c:v>4424834.7</c:v>
                </c:pt>
                <c:pt idx="13">
                  <c:v>4424834.7</c:v>
                </c:pt>
                <c:pt idx="14">
                  <c:v>4424834.7</c:v>
                </c:pt>
                <c:pt idx="15">
                  <c:v>8714136</c:v>
                </c:pt>
                <c:pt idx="16">
                  <c:v>8714136</c:v>
                </c:pt>
                <c:pt idx="17">
                  <c:v>8714136</c:v>
                </c:pt>
              </c:numCache>
            </c:numRef>
          </c:val>
        </c:ser>
        <c:ser>
          <c:idx val="3"/>
          <c:order val="3"/>
          <c:tx>
            <c:strRef>
              <c:f>AnMBR_35_GWP_yr!$B$9</c:f>
              <c:strCache>
                <c:ptCount val="1"/>
                <c:pt idx="0">
                  <c:v>MBR infrastructure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AnMBR_35_GWP_yr!$C$5:$T$5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AnMBR_35_GWP_yr!$C$9:$T$9</c:f>
              <c:numCache>
                <c:formatCode>#,##0</c:formatCode>
                <c:ptCount val="18"/>
                <c:pt idx="0">
                  <c:v>3293</c:v>
                </c:pt>
                <c:pt idx="1">
                  <c:v>3293</c:v>
                </c:pt>
                <c:pt idx="2">
                  <c:v>3293</c:v>
                </c:pt>
                <c:pt idx="3">
                  <c:v>3293</c:v>
                </c:pt>
                <c:pt idx="4">
                  <c:v>3475</c:v>
                </c:pt>
                <c:pt idx="5">
                  <c:v>3475</c:v>
                </c:pt>
                <c:pt idx="6">
                  <c:v>3475</c:v>
                </c:pt>
                <c:pt idx="7">
                  <c:v>3475</c:v>
                </c:pt>
                <c:pt idx="8">
                  <c:v>42772.4</c:v>
                </c:pt>
                <c:pt idx="9">
                  <c:v>42772.4</c:v>
                </c:pt>
                <c:pt idx="10">
                  <c:v>42772.4</c:v>
                </c:pt>
                <c:pt idx="11">
                  <c:v>42772.4</c:v>
                </c:pt>
                <c:pt idx="12">
                  <c:v>178294</c:v>
                </c:pt>
                <c:pt idx="13">
                  <c:v>178294</c:v>
                </c:pt>
                <c:pt idx="14">
                  <c:v>178294</c:v>
                </c:pt>
                <c:pt idx="15">
                  <c:v>320777.78000000003</c:v>
                </c:pt>
                <c:pt idx="16">
                  <c:v>320777.78000000003</c:v>
                </c:pt>
                <c:pt idx="17">
                  <c:v>320777.78000000003</c:v>
                </c:pt>
              </c:numCache>
            </c:numRef>
          </c:val>
        </c:ser>
        <c:ser>
          <c:idx val="4"/>
          <c:order val="4"/>
          <c:tx>
            <c:strRef>
              <c:f>AnMBR_35_GWP_yr!$B$10</c:f>
              <c:strCache>
                <c:ptCount val="1"/>
                <c:pt idx="0">
                  <c:v>Post treatment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AnMBR_35_GWP_yr!$C$5:$T$5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AnMBR_35_GWP_yr!$C$10:$T$10</c:f>
              <c:numCache>
                <c:formatCode>#,##0</c:formatCode>
                <c:ptCount val="18"/>
                <c:pt idx="0">
                  <c:v>33166</c:v>
                </c:pt>
                <c:pt idx="1">
                  <c:v>33166</c:v>
                </c:pt>
                <c:pt idx="2">
                  <c:v>33166</c:v>
                </c:pt>
                <c:pt idx="3">
                  <c:v>33166</c:v>
                </c:pt>
                <c:pt idx="4">
                  <c:v>39466</c:v>
                </c:pt>
                <c:pt idx="5">
                  <c:v>39466</c:v>
                </c:pt>
                <c:pt idx="6">
                  <c:v>39466</c:v>
                </c:pt>
                <c:pt idx="7">
                  <c:v>39466</c:v>
                </c:pt>
                <c:pt idx="8">
                  <c:v>90494</c:v>
                </c:pt>
                <c:pt idx="9">
                  <c:v>90494</c:v>
                </c:pt>
                <c:pt idx="10">
                  <c:v>90494</c:v>
                </c:pt>
                <c:pt idx="11">
                  <c:v>90494</c:v>
                </c:pt>
                <c:pt idx="12">
                  <c:v>245966</c:v>
                </c:pt>
                <c:pt idx="13">
                  <c:v>245966</c:v>
                </c:pt>
                <c:pt idx="14">
                  <c:v>245966</c:v>
                </c:pt>
                <c:pt idx="15">
                  <c:v>424896</c:v>
                </c:pt>
                <c:pt idx="16">
                  <c:v>424896</c:v>
                </c:pt>
                <c:pt idx="17">
                  <c:v>424896</c:v>
                </c:pt>
              </c:numCache>
            </c:numRef>
          </c:val>
        </c:ser>
        <c:ser>
          <c:idx val="5"/>
          <c:order val="5"/>
          <c:tx>
            <c:strRef>
              <c:f>AnMBR_35_GWP_yr!$B$11</c:f>
              <c:strCache>
                <c:ptCount val="1"/>
                <c:pt idx="0">
                  <c:v>Recycled water delivery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AnMBR_35_GWP_yr!$C$5:$T$5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AnMBR_35_GWP_yr!$C$11:$T$11</c:f>
              <c:numCache>
                <c:formatCode>#,##0</c:formatCode>
                <c:ptCount val="18"/>
                <c:pt idx="0">
                  <c:v>-52730.5</c:v>
                </c:pt>
                <c:pt idx="1">
                  <c:v>-52730.5</c:v>
                </c:pt>
                <c:pt idx="2">
                  <c:v>-52730.5</c:v>
                </c:pt>
                <c:pt idx="3">
                  <c:v>-52730.5</c:v>
                </c:pt>
                <c:pt idx="4">
                  <c:v>-103668</c:v>
                </c:pt>
                <c:pt idx="5">
                  <c:v>-103668</c:v>
                </c:pt>
                <c:pt idx="6">
                  <c:v>-103668</c:v>
                </c:pt>
                <c:pt idx="7">
                  <c:v>-103668</c:v>
                </c:pt>
                <c:pt idx="8">
                  <c:v>-1059004</c:v>
                </c:pt>
                <c:pt idx="9">
                  <c:v>-1059004</c:v>
                </c:pt>
                <c:pt idx="10">
                  <c:v>-1059004</c:v>
                </c:pt>
                <c:pt idx="11">
                  <c:v>-1059004</c:v>
                </c:pt>
                <c:pt idx="12">
                  <c:v>-5207280</c:v>
                </c:pt>
                <c:pt idx="13">
                  <c:v>-5207280</c:v>
                </c:pt>
                <c:pt idx="14">
                  <c:v>-5207280</c:v>
                </c:pt>
                <c:pt idx="15">
                  <c:v>-10568139.300000001</c:v>
                </c:pt>
                <c:pt idx="16">
                  <c:v>-10568139.300000001</c:v>
                </c:pt>
                <c:pt idx="17">
                  <c:v>-10568139.300000001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8157440"/>
        <c:axId val="330112432"/>
      </c:barChart>
      <c:lineChart>
        <c:grouping val="standard"/>
        <c:varyColors val="0"/>
        <c:ser>
          <c:idx val="6"/>
          <c:order val="6"/>
          <c:tx>
            <c:strRef>
              <c:f>AnMBR_35_GWP_yr!$B$12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AnMBR_35_GWP_yr!$C$5:$T$5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AnMBR_35_GWP_yr!$C$12:$T$12</c:f>
              <c:numCache>
                <c:formatCode>#,##0</c:formatCode>
                <c:ptCount val="18"/>
                <c:pt idx="0">
                  <c:v>44473.239999999991</c:v>
                </c:pt>
                <c:pt idx="1">
                  <c:v>44337.897289999994</c:v>
                </c:pt>
                <c:pt idx="2">
                  <c:v>44235.935739999986</c:v>
                </c:pt>
                <c:pt idx="3">
                  <c:v>44216.693979999982</c:v>
                </c:pt>
                <c:pt idx="4">
                  <c:v>52361.409999999974</c:v>
                </c:pt>
                <c:pt idx="5">
                  <c:v>52112.337119999982</c:v>
                </c:pt>
                <c:pt idx="6">
                  <c:v>51917.62592999998</c:v>
                </c:pt>
                <c:pt idx="7">
                  <c:v>51880.517879999999</c:v>
                </c:pt>
                <c:pt idx="8">
                  <c:v>12947.299999999814</c:v>
                </c:pt>
                <c:pt idx="9">
                  <c:v>10148.319999999832</c:v>
                </c:pt>
                <c:pt idx="10">
                  <c:v>8201.2160000000149</c:v>
                </c:pt>
                <c:pt idx="11">
                  <c:v>7818.9699999999721</c:v>
                </c:pt>
                <c:pt idx="12">
                  <c:v>-316513.97999999952</c:v>
                </c:pt>
                <c:pt idx="13">
                  <c:v>-324410.75</c:v>
                </c:pt>
                <c:pt idx="14">
                  <c:v>-326302.79999999981</c:v>
                </c:pt>
                <c:pt idx="15">
                  <c:v>-1035602.5200000014</c:v>
                </c:pt>
                <c:pt idx="16">
                  <c:v>-1054734.2000000011</c:v>
                </c:pt>
                <c:pt idx="17">
                  <c:v>-1058670.6000000015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157440"/>
        <c:axId val="330112432"/>
      </c:lineChart>
      <c:catAx>
        <c:axId val="32815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112432"/>
        <c:crosses val="autoZero"/>
        <c:auto val="1"/>
        <c:lblAlgn val="ctr"/>
        <c:lblOffset val="100"/>
        <c:noMultiLvlLbl val="0"/>
      </c:catAx>
      <c:valAx>
        <c:axId val="330112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kg</a:t>
                </a:r>
                <a:r>
                  <a:rPr lang="en-US" baseline="0"/>
                  <a:t> CO</a:t>
                </a:r>
                <a:r>
                  <a:rPr lang="en-US" baseline="-25000"/>
                  <a:t>2</a:t>
                </a:r>
                <a:r>
                  <a:rPr lang="en-US" baseline="0"/>
                  <a:t> eq/year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6945867023217205E-3"/>
              <c:y val="0.367283041831066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157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681759450167309E-2"/>
          <c:y val="7.9033644220010593E-2"/>
          <c:w val="0.9475305582502721"/>
          <c:h val="0.846549237628329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AnMBR_20_GWP_yr!$B$6</c:f>
              <c:strCache>
                <c:ptCount val="1"/>
                <c:pt idx="0">
                  <c:v>Wastewater collection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AnMBR_20_GWP_yr!$C$5:$T$5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AnMBR_20_GWP_yr!$C$6:$T$6</c:f>
              <c:numCache>
                <c:formatCode>00</c:formatCode>
                <c:ptCount val="18"/>
                <c:pt idx="0">
                  <c:v>273.81261000000001</c:v>
                </c:pt>
                <c:pt idx="1">
                  <c:v>138.4699</c:v>
                </c:pt>
                <c:pt idx="2">
                  <c:v>36.50835</c:v>
                </c:pt>
                <c:pt idx="3">
                  <c:v>17.266590000000001</c:v>
                </c:pt>
                <c:pt idx="4">
                  <c:v>516.80075999999997</c:v>
                </c:pt>
                <c:pt idx="5">
                  <c:v>267.72788000000003</c:v>
                </c:pt>
                <c:pt idx="6">
                  <c:v>73.016689999999997</c:v>
                </c:pt>
                <c:pt idx="7">
                  <c:v>35.908639999999998</c:v>
                </c:pt>
                <c:pt idx="8">
                  <c:v>5476.25</c:v>
                </c:pt>
                <c:pt idx="9">
                  <c:v>2677.27</c:v>
                </c:pt>
                <c:pt idx="10">
                  <c:v>730.16600000000005</c:v>
                </c:pt>
                <c:pt idx="11">
                  <c:v>347.92</c:v>
                </c:pt>
                <c:pt idx="12">
                  <c:v>11547.6</c:v>
                </c:pt>
                <c:pt idx="13">
                  <c:v>3650.83</c:v>
                </c:pt>
                <c:pt idx="14">
                  <c:v>1758.78</c:v>
                </c:pt>
                <c:pt idx="15">
                  <c:v>26770</c:v>
                </c:pt>
                <c:pt idx="16">
                  <c:v>7638.32</c:v>
                </c:pt>
                <c:pt idx="17">
                  <c:v>3701.92</c:v>
                </c:pt>
              </c:numCache>
            </c:numRef>
          </c:val>
        </c:ser>
        <c:ser>
          <c:idx val="1"/>
          <c:order val="1"/>
          <c:tx>
            <c:strRef>
              <c:f>AnMBR_20_GWP_yr!$B$7</c:f>
              <c:strCache>
                <c:ptCount val="1"/>
                <c:pt idx="0">
                  <c:v>Pre treatment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AnMBR_20_GWP_yr!$C$5:$T$5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AnMBR_20_GWP_yr!$C$7:$T$7</c:f>
              <c:numCache>
                <c:formatCode>00</c:formatCode>
                <c:ptCount val="18"/>
                <c:pt idx="0">
                  <c:v>2803.3273899999913</c:v>
                </c:pt>
                <c:pt idx="1">
                  <c:v>2803.3273899999913</c:v>
                </c:pt>
                <c:pt idx="2">
                  <c:v>2803.3273899999913</c:v>
                </c:pt>
                <c:pt idx="3">
                  <c:v>2803.3273899999913</c:v>
                </c:pt>
                <c:pt idx="4">
                  <c:v>3903.6092399999907</c:v>
                </c:pt>
                <c:pt idx="5">
                  <c:v>3903.6092399999907</c:v>
                </c:pt>
                <c:pt idx="6">
                  <c:v>3903.6092399999907</c:v>
                </c:pt>
                <c:pt idx="7">
                  <c:v>3903.6092399999907</c:v>
                </c:pt>
                <c:pt idx="8">
                  <c:v>12355.949999999953</c:v>
                </c:pt>
                <c:pt idx="9">
                  <c:v>12355.949999999953</c:v>
                </c:pt>
                <c:pt idx="10">
                  <c:v>12355.949999999953</c:v>
                </c:pt>
                <c:pt idx="11">
                  <c:v>12355.949999999953</c:v>
                </c:pt>
                <c:pt idx="12">
                  <c:v>30123.72</c:v>
                </c:pt>
                <c:pt idx="13">
                  <c:v>30123.72</c:v>
                </c:pt>
                <c:pt idx="14">
                  <c:v>30123.72</c:v>
                </c:pt>
                <c:pt idx="15">
                  <c:v>45957</c:v>
                </c:pt>
                <c:pt idx="16">
                  <c:v>45957</c:v>
                </c:pt>
                <c:pt idx="17">
                  <c:v>45957</c:v>
                </c:pt>
              </c:numCache>
            </c:numRef>
          </c:val>
        </c:ser>
        <c:ser>
          <c:idx val="2"/>
          <c:order val="2"/>
          <c:tx>
            <c:strRef>
              <c:f>AnMBR_20_GWP_yr!$B$8</c:f>
              <c:strCache>
                <c:ptCount val="1"/>
                <c:pt idx="0">
                  <c:v>MBR operation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AnMBR_20_GWP_yr!$C$5:$T$5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AnMBR_20_GWP_yr!$C$8:$T$8</c:f>
              <c:numCache>
                <c:formatCode>#,##0</c:formatCode>
                <c:ptCount val="18"/>
                <c:pt idx="0">
                  <c:v>-13442.959010000002</c:v>
                </c:pt>
                <c:pt idx="1">
                  <c:v>-13442.959010000002</c:v>
                </c:pt>
                <c:pt idx="2">
                  <c:v>-13442.959010000002</c:v>
                </c:pt>
                <c:pt idx="3">
                  <c:v>-13442.959010000002</c:v>
                </c:pt>
                <c:pt idx="4">
                  <c:v>-22969.475559999999</c:v>
                </c:pt>
                <c:pt idx="5">
                  <c:v>-22969.475559999999</c:v>
                </c:pt>
                <c:pt idx="6">
                  <c:v>-22969.475559999999</c:v>
                </c:pt>
                <c:pt idx="7">
                  <c:v>-22969.475559999999</c:v>
                </c:pt>
                <c:pt idx="8">
                  <c:v>-234902.07490000001</c:v>
                </c:pt>
                <c:pt idx="9">
                  <c:v>-234902.07490000001</c:v>
                </c:pt>
                <c:pt idx="10">
                  <c:v>-234902.07490000001</c:v>
                </c:pt>
                <c:pt idx="11">
                  <c:v>-234902.07490000001</c:v>
                </c:pt>
                <c:pt idx="12">
                  <c:v>-1186865.1000000001</c:v>
                </c:pt>
                <c:pt idx="13">
                  <c:v>-1186865.1000000001</c:v>
                </c:pt>
                <c:pt idx="14">
                  <c:v>-1186865.1000000001</c:v>
                </c:pt>
                <c:pt idx="15">
                  <c:v>-2386084.7000000002</c:v>
                </c:pt>
                <c:pt idx="16">
                  <c:v>-2386084.7000000002</c:v>
                </c:pt>
                <c:pt idx="17">
                  <c:v>-2386084.7000000002</c:v>
                </c:pt>
              </c:numCache>
            </c:numRef>
          </c:val>
        </c:ser>
        <c:ser>
          <c:idx val="3"/>
          <c:order val="3"/>
          <c:tx>
            <c:strRef>
              <c:f>AnMBR_20_GWP_yr!$B$9</c:f>
              <c:strCache>
                <c:ptCount val="1"/>
                <c:pt idx="0">
                  <c:v>MBR infrastructure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AnMBR_20_GWP_yr!$C$5:$T$5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AnMBR_20_GWP_yr!$C$9:$T$9</c:f>
              <c:numCache>
                <c:formatCode>#,##0</c:formatCode>
                <c:ptCount val="18"/>
                <c:pt idx="0">
                  <c:v>3293</c:v>
                </c:pt>
                <c:pt idx="1">
                  <c:v>3293</c:v>
                </c:pt>
                <c:pt idx="2">
                  <c:v>3293</c:v>
                </c:pt>
                <c:pt idx="3">
                  <c:v>3293</c:v>
                </c:pt>
                <c:pt idx="4">
                  <c:v>3475</c:v>
                </c:pt>
                <c:pt idx="5">
                  <c:v>3475</c:v>
                </c:pt>
                <c:pt idx="6">
                  <c:v>3475</c:v>
                </c:pt>
                <c:pt idx="7">
                  <c:v>3475</c:v>
                </c:pt>
                <c:pt idx="8">
                  <c:v>42772.4</c:v>
                </c:pt>
                <c:pt idx="9">
                  <c:v>42772.4</c:v>
                </c:pt>
                <c:pt idx="10">
                  <c:v>42772.4</c:v>
                </c:pt>
                <c:pt idx="11">
                  <c:v>42772.4</c:v>
                </c:pt>
                <c:pt idx="12">
                  <c:v>178294</c:v>
                </c:pt>
                <c:pt idx="13">
                  <c:v>178294</c:v>
                </c:pt>
                <c:pt idx="14">
                  <c:v>178294</c:v>
                </c:pt>
                <c:pt idx="15">
                  <c:v>320777.78000000003</c:v>
                </c:pt>
                <c:pt idx="16">
                  <c:v>320777.78000000003</c:v>
                </c:pt>
                <c:pt idx="17">
                  <c:v>320777.78000000003</c:v>
                </c:pt>
              </c:numCache>
            </c:numRef>
          </c:val>
        </c:ser>
        <c:ser>
          <c:idx val="4"/>
          <c:order val="4"/>
          <c:tx>
            <c:strRef>
              <c:f>AnMBR_20_GWP_yr!$B$10</c:f>
              <c:strCache>
                <c:ptCount val="1"/>
                <c:pt idx="0">
                  <c:v>Post treatment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AnMBR_20_GWP_yr!$C$5:$T$5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AnMBR_20_GWP_yr!$C$10:$T$10</c:f>
              <c:numCache>
                <c:formatCode>#,##0</c:formatCode>
                <c:ptCount val="18"/>
                <c:pt idx="0">
                  <c:v>33166</c:v>
                </c:pt>
                <c:pt idx="1">
                  <c:v>33166</c:v>
                </c:pt>
                <c:pt idx="2">
                  <c:v>33166</c:v>
                </c:pt>
                <c:pt idx="3">
                  <c:v>33166</c:v>
                </c:pt>
                <c:pt idx="4">
                  <c:v>39466</c:v>
                </c:pt>
                <c:pt idx="5">
                  <c:v>39466</c:v>
                </c:pt>
                <c:pt idx="6">
                  <c:v>39466</c:v>
                </c:pt>
                <c:pt idx="7">
                  <c:v>39466</c:v>
                </c:pt>
                <c:pt idx="8">
                  <c:v>90494</c:v>
                </c:pt>
                <c:pt idx="9">
                  <c:v>90494</c:v>
                </c:pt>
                <c:pt idx="10">
                  <c:v>90494</c:v>
                </c:pt>
                <c:pt idx="11">
                  <c:v>90494</c:v>
                </c:pt>
                <c:pt idx="12">
                  <c:v>245966</c:v>
                </c:pt>
                <c:pt idx="13">
                  <c:v>245966</c:v>
                </c:pt>
                <c:pt idx="14">
                  <c:v>245966</c:v>
                </c:pt>
                <c:pt idx="15">
                  <c:v>424896</c:v>
                </c:pt>
                <c:pt idx="16">
                  <c:v>424896</c:v>
                </c:pt>
                <c:pt idx="17">
                  <c:v>424896</c:v>
                </c:pt>
              </c:numCache>
            </c:numRef>
          </c:val>
        </c:ser>
        <c:ser>
          <c:idx val="5"/>
          <c:order val="5"/>
          <c:tx>
            <c:strRef>
              <c:f>AnMBR_20_GWP_yr!$B$11</c:f>
              <c:strCache>
                <c:ptCount val="1"/>
                <c:pt idx="0">
                  <c:v>Recycled water delivery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AnMBR_20_GWP_yr!$C$5:$T$5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AnMBR_20_GWP_yr!$C$11:$T$11</c:f>
              <c:numCache>
                <c:formatCode>#,##0</c:formatCode>
                <c:ptCount val="18"/>
                <c:pt idx="0">
                  <c:v>-52730.5</c:v>
                </c:pt>
                <c:pt idx="1">
                  <c:v>-52730.5</c:v>
                </c:pt>
                <c:pt idx="2">
                  <c:v>-52730.5</c:v>
                </c:pt>
                <c:pt idx="3">
                  <c:v>-52730.5</c:v>
                </c:pt>
                <c:pt idx="4">
                  <c:v>-103668</c:v>
                </c:pt>
                <c:pt idx="5">
                  <c:v>-103668</c:v>
                </c:pt>
                <c:pt idx="6">
                  <c:v>-103668</c:v>
                </c:pt>
                <c:pt idx="7">
                  <c:v>-103668</c:v>
                </c:pt>
                <c:pt idx="8">
                  <c:v>-1059004</c:v>
                </c:pt>
                <c:pt idx="9">
                  <c:v>-1059004</c:v>
                </c:pt>
                <c:pt idx="10">
                  <c:v>-1059004</c:v>
                </c:pt>
                <c:pt idx="11">
                  <c:v>-1059004</c:v>
                </c:pt>
                <c:pt idx="12">
                  <c:v>-5207280</c:v>
                </c:pt>
                <c:pt idx="13">
                  <c:v>-5207280</c:v>
                </c:pt>
                <c:pt idx="14">
                  <c:v>-5207280</c:v>
                </c:pt>
                <c:pt idx="15">
                  <c:v>-10568139.300000001</c:v>
                </c:pt>
                <c:pt idx="16">
                  <c:v>-10568139.300000001</c:v>
                </c:pt>
                <c:pt idx="17">
                  <c:v>-10568139.300000001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0113216"/>
        <c:axId val="330113608"/>
      </c:barChart>
      <c:lineChart>
        <c:grouping val="standard"/>
        <c:varyColors val="0"/>
        <c:ser>
          <c:idx val="6"/>
          <c:order val="6"/>
          <c:tx>
            <c:strRef>
              <c:f>AnMBR_20_GWP_yr!$B$12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AnMBR_20_GWP_yr!$C$5:$T$5</c:f>
              <c:strCache>
                <c:ptCount val="18"/>
                <c:pt idx="0">
                  <c:v>0.05 MGD AnMBR [semi rural single family]</c:v>
                </c:pt>
                <c:pt idx="1">
                  <c:v>0.05 MGD AnMBR [single family]</c:v>
                </c:pt>
                <c:pt idx="2">
                  <c:v>0.05 MGD AnMBR [multi family]</c:v>
                </c:pt>
                <c:pt idx="3">
                  <c:v>0.05 MGD AnMBR [high density urban]</c:v>
                </c:pt>
                <c:pt idx="4">
                  <c:v>0.1 MGD AnMBR [semi rural single family]</c:v>
                </c:pt>
                <c:pt idx="5">
                  <c:v>0.1 MGD AnMBR [single family]</c:v>
                </c:pt>
                <c:pt idx="6">
                  <c:v>0.1 MGD AnMBR [multi family]</c:v>
                </c:pt>
                <c:pt idx="7">
                  <c:v>0.1 MGD AnMBR [high density urban]</c:v>
                </c:pt>
                <c:pt idx="8">
                  <c:v>1 MGD AnMBR [semi rural single family]</c:v>
                </c:pt>
                <c:pt idx="9">
                  <c:v>1 MGD AnMBR [single family]</c:v>
                </c:pt>
                <c:pt idx="10">
                  <c:v>1 MGD AnMBR [multi family]</c:v>
                </c:pt>
                <c:pt idx="11">
                  <c:v>1 MGD AnMBR [high density urban]</c:v>
                </c:pt>
                <c:pt idx="12">
                  <c:v>5 MGD AnMBR [single family]</c:v>
                </c:pt>
                <c:pt idx="13">
                  <c:v>5 MGD AnMBR [multi family]</c:v>
                </c:pt>
                <c:pt idx="14">
                  <c:v>5 MGD AnMBR [high density urban]</c:v>
                </c:pt>
                <c:pt idx="15">
                  <c:v>10 MGD AnMBR [single family]</c:v>
                </c:pt>
                <c:pt idx="16">
                  <c:v>10 MGD AnMBR [multi family]</c:v>
                </c:pt>
                <c:pt idx="17">
                  <c:v>10 MGD AnMBR [high density urban]</c:v>
                </c:pt>
              </c:strCache>
            </c:strRef>
          </c:cat>
          <c:val>
            <c:numRef>
              <c:f>AnMBR_20_GWP_yr!$C$12:$T$12</c:f>
              <c:numCache>
                <c:formatCode>#,##0</c:formatCode>
                <c:ptCount val="18"/>
                <c:pt idx="0">
                  <c:v>-26637.31901000001</c:v>
                </c:pt>
                <c:pt idx="1">
                  <c:v>-26772.661720000011</c:v>
                </c:pt>
                <c:pt idx="2">
                  <c:v>-26874.623270000011</c:v>
                </c:pt>
                <c:pt idx="3">
                  <c:v>-26893.865030000012</c:v>
                </c:pt>
                <c:pt idx="4">
                  <c:v>-79276.065560000017</c:v>
                </c:pt>
                <c:pt idx="5">
                  <c:v>-79525.13844000001</c:v>
                </c:pt>
                <c:pt idx="6">
                  <c:v>-79719.849630000012</c:v>
                </c:pt>
                <c:pt idx="7">
                  <c:v>-79756.957680000007</c:v>
                </c:pt>
                <c:pt idx="8">
                  <c:v>-1142807.4749</c:v>
                </c:pt>
                <c:pt idx="9">
                  <c:v>-1145606.4549</c:v>
                </c:pt>
                <c:pt idx="10">
                  <c:v>-1147553.5589000001</c:v>
                </c:pt>
                <c:pt idx="11">
                  <c:v>-1147935.8049000001</c:v>
                </c:pt>
                <c:pt idx="12">
                  <c:v>-5928213.7800000003</c:v>
                </c:pt>
                <c:pt idx="13">
                  <c:v>-5936110.5499999998</c:v>
                </c:pt>
                <c:pt idx="14">
                  <c:v>-5938002.5999999996</c:v>
                </c:pt>
                <c:pt idx="15">
                  <c:v>-12135823.220000001</c:v>
                </c:pt>
                <c:pt idx="16">
                  <c:v>-12154954.9</c:v>
                </c:pt>
                <c:pt idx="17">
                  <c:v>-12158891.300000001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113216"/>
        <c:axId val="330113608"/>
      </c:lineChart>
      <c:catAx>
        <c:axId val="33011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113608"/>
        <c:crosses val="autoZero"/>
        <c:auto val="1"/>
        <c:lblAlgn val="ctr"/>
        <c:lblOffset val="100"/>
        <c:noMultiLvlLbl val="0"/>
      </c:catAx>
      <c:valAx>
        <c:axId val="33011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kg</a:t>
                </a:r>
                <a:r>
                  <a:rPr lang="en-US" baseline="0"/>
                  <a:t> CO</a:t>
                </a:r>
                <a:r>
                  <a:rPr lang="en-US" baseline="-25000"/>
                  <a:t>2</a:t>
                </a:r>
                <a:r>
                  <a:rPr lang="en-US" baseline="0"/>
                  <a:t> eq/year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6945867023217205E-3"/>
              <c:y val="0.367283041831066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113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75471575608596E-2"/>
          <c:y val="0.13477181723634271"/>
          <c:w val="0.91805595872361367"/>
          <c:h val="0.742138098460279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CED_GWP_Compare_yr!$B$7</c:f>
              <c:strCache>
                <c:ptCount val="1"/>
                <c:pt idx="0">
                  <c:v>Wastewater collection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CED_GWP_Compare_yr!$C$5:$Q$6</c:f>
              <c:multiLvlStrCache>
                <c:ptCount val="15"/>
                <c:lvl>
                  <c:pt idx="0">
                    <c:v>AeMBR</c:v>
                  </c:pt>
                  <c:pt idx="1">
                    <c:v>AnMBR @ 35 C</c:v>
                  </c:pt>
                  <c:pt idx="2">
                    <c:v>AnMBR @ 20 C</c:v>
                  </c:pt>
                  <c:pt idx="3">
                    <c:v>AeMBR</c:v>
                  </c:pt>
                  <c:pt idx="4">
                    <c:v>AnMBR @ 35 C</c:v>
                  </c:pt>
                  <c:pt idx="5">
                    <c:v>AnMBR @ 20 C</c:v>
                  </c:pt>
                  <c:pt idx="6">
                    <c:v>AeMBR</c:v>
                  </c:pt>
                  <c:pt idx="7">
                    <c:v>AnMBR @ 35 C</c:v>
                  </c:pt>
                  <c:pt idx="8">
                    <c:v>AnMBR @ 20 C</c:v>
                  </c:pt>
                  <c:pt idx="9">
                    <c:v>AeMBR</c:v>
                  </c:pt>
                  <c:pt idx="10">
                    <c:v>AnMBR @ 35 C</c:v>
                  </c:pt>
                  <c:pt idx="11">
                    <c:v>AnMBR @ 20 C</c:v>
                  </c:pt>
                  <c:pt idx="12">
                    <c:v>AeMBR</c:v>
                  </c:pt>
                  <c:pt idx="13">
                    <c:v>AnMBR @ 35 C</c:v>
                  </c:pt>
                  <c:pt idx="14">
                    <c:v>AnMBR @ 20 C</c:v>
                  </c:pt>
                </c:lvl>
                <c:lvl>
                  <c:pt idx="0">
                    <c:v>0.05 MGD</c:v>
                  </c:pt>
                  <c:pt idx="3">
                    <c:v>0.1 MGD</c:v>
                  </c:pt>
                  <c:pt idx="6">
                    <c:v>1 MGD</c:v>
                  </c:pt>
                  <c:pt idx="9">
                    <c:v>5 MGD</c:v>
                  </c:pt>
                  <c:pt idx="12">
                    <c:v>10 MGD</c:v>
                  </c:pt>
                </c:lvl>
              </c:multiLvlStrCache>
            </c:multiLvlStrRef>
          </c:cat>
          <c:val>
            <c:numRef>
              <c:f>CED_GWP_Compare_yr!$C$7:$Q$7</c:f>
              <c:numCache>
                <c:formatCode>00</c:formatCode>
                <c:ptCount val="15"/>
                <c:pt idx="0">
                  <c:v>174.29093</c:v>
                </c:pt>
                <c:pt idx="1">
                  <c:v>174.29093</c:v>
                </c:pt>
                <c:pt idx="2">
                  <c:v>174.29093</c:v>
                </c:pt>
                <c:pt idx="3">
                  <c:v>367.91653000000002</c:v>
                </c:pt>
                <c:pt idx="4">
                  <c:v>367.91653000000002</c:v>
                </c:pt>
                <c:pt idx="5">
                  <c:v>367.91653000000002</c:v>
                </c:pt>
                <c:pt idx="6" formatCode="#,##0">
                  <c:v>3554.6329999999998</c:v>
                </c:pt>
                <c:pt idx="7" formatCode="#,##0">
                  <c:v>3554.6329999999998</c:v>
                </c:pt>
                <c:pt idx="8" formatCode="#,##0">
                  <c:v>3554.6329999999998</c:v>
                </c:pt>
                <c:pt idx="9" formatCode="#,##0">
                  <c:v>18020.11</c:v>
                </c:pt>
                <c:pt idx="10" formatCode="#,##0">
                  <c:v>18020.11</c:v>
                </c:pt>
                <c:pt idx="11" formatCode="#,##0">
                  <c:v>18020.11</c:v>
                </c:pt>
                <c:pt idx="12" formatCode="#,##0">
                  <c:v>38416.53</c:v>
                </c:pt>
                <c:pt idx="13" formatCode="#,##0">
                  <c:v>38416.53</c:v>
                </c:pt>
                <c:pt idx="14" formatCode="#,##0">
                  <c:v>38416.53</c:v>
                </c:pt>
              </c:numCache>
            </c:numRef>
          </c:val>
        </c:ser>
        <c:ser>
          <c:idx val="1"/>
          <c:order val="1"/>
          <c:tx>
            <c:strRef>
              <c:f>CED_GWP_Compare_yr!$B$8</c:f>
              <c:strCache>
                <c:ptCount val="1"/>
                <c:pt idx="0">
                  <c:v>Pre treatment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CED_GWP_Compare_yr!$C$5:$Q$6</c:f>
              <c:multiLvlStrCache>
                <c:ptCount val="15"/>
                <c:lvl>
                  <c:pt idx="0">
                    <c:v>AeMBR</c:v>
                  </c:pt>
                  <c:pt idx="1">
                    <c:v>AnMBR @ 35 C</c:v>
                  </c:pt>
                  <c:pt idx="2">
                    <c:v>AnMBR @ 20 C</c:v>
                  </c:pt>
                  <c:pt idx="3">
                    <c:v>AeMBR</c:v>
                  </c:pt>
                  <c:pt idx="4">
                    <c:v>AnMBR @ 35 C</c:v>
                  </c:pt>
                  <c:pt idx="5">
                    <c:v>AnMBR @ 20 C</c:v>
                  </c:pt>
                  <c:pt idx="6">
                    <c:v>AeMBR</c:v>
                  </c:pt>
                  <c:pt idx="7">
                    <c:v>AnMBR @ 35 C</c:v>
                  </c:pt>
                  <c:pt idx="8">
                    <c:v>AnMBR @ 20 C</c:v>
                  </c:pt>
                  <c:pt idx="9">
                    <c:v>AeMBR</c:v>
                  </c:pt>
                  <c:pt idx="10">
                    <c:v>AnMBR @ 35 C</c:v>
                  </c:pt>
                  <c:pt idx="11">
                    <c:v>AnMBR @ 20 C</c:v>
                  </c:pt>
                  <c:pt idx="12">
                    <c:v>AeMBR</c:v>
                  </c:pt>
                  <c:pt idx="13">
                    <c:v>AnMBR @ 35 C</c:v>
                  </c:pt>
                  <c:pt idx="14">
                    <c:v>AnMBR @ 20 C</c:v>
                  </c:pt>
                </c:lvl>
                <c:lvl>
                  <c:pt idx="0">
                    <c:v>0.05 MGD</c:v>
                  </c:pt>
                  <c:pt idx="3">
                    <c:v>0.1 MGD</c:v>
                  </c:pt>
                  <c:pt idx="6">
                    <c:v>1 MGD</c:v>
                  </c:pt>
                  <c:pt idx="9">
                    <c:v>5 MGD</c:v>
                  </c:pt>
                  <c:pt idx="12">
                    <c:v>10 MGD</c:v>
                  </c:pt>
                </c:lvl>
              </c:multiLvlStrCache>
            </c:multiLvlStrRef>
          </c:cat>
          <c:val>
            <c:numRef>
              <c:f>CED_GWP_Compare_yr!$C$8:$Q$8</c:f>
              <c:numCache>
                <c:formatCode>#,##0</c:formatCode>
                <c:ptCount val="15"/>
                <c:pt idx="0">
                  <c:v>44914.636740000002</c:v>
                </c:pt>
                <c:pt idx="1">
                  <c:v>44914.636740000002</c:v>
                </c:pt>
                <c:pt idx="2">
                  <c:v>44914.636740000002</c:v>
                </c:pt>
                <c:pt idx="3">
                  <c:v>62551.973299999998</c:v>
                </c:pt>
                <c:pt idx="4">
                  <c:v>62551.973299999998</c:v>
                </c:pt>
                <c:pt idx="5">
                  <c:v>62551.973299999998</c:v>
                </c:pt>
                <c:pt idx="6">
                  <c:v>197955.52377</c:v>
                </c:pt>
                <c:pt idx="7">
                  <c:v>197955.52377</c:v>
                </c:pt>
                <c:pt idx="8">
                  <c:v>197955.52377</c:v>
                </c:pt>
                <c:pt idx="9">
                  <c:v>482682.12810000003</c:v>
                </c:pt>
                <c:pt idx="10">
                  <c:v>482682.12810000003</c:v>
                </c:pt>
                <c:pt idx="11">
                  <c:v>482682.12810000003</c:v>
                </c:pt>
                <c:pt idx="12">
                  <c:v>736411.23765000002</c:v>
                </c:pt>
                <c:pt idx="13">
                  <c:v>736411.23765000002</c:v>
                </c:pt>
                <c:pt idx="14">
                  <c:v>736411.23765000002</c:v>
                </c:pt>
              </c:numCache>
            </c:numRef>
          </c:val>
        </c:ser>
        <c:ser>
          <c:idx val="2"/>
          <c:order val="2"/>
          <c:tx>
            <c:strRef>
              <c:f>CED_GWP_Compare_yr!$B$9</c:f>
              <c:strCache>
                <c:ptCount val="1"/>
                <c:pt idx="0">
                  <c:v>MBR operation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CED_GWP_Compare_yr!$C$5:$Q$6</c:f>
              <c:multiLvlStrCache>
                <c:ptCount val="15"/>
                <c:lvl>
                  <c:pt idx="0">
                    <c:v>AeMBR</c:v>
                  </c:pt>
                  <c:pt idx="1">
                    <c:v>AnMBR @ 35 C</c:v>
                  </c:pt>
                  <c:pt idx="2">
                    <c:v>AnMBR @ 20 C</c:v>
                  </c:pt>
                  <c:pt idx="3">
                    <c:v>AeMBR</c:v>
                  </c:pt>
                  <c:pt idx="4">
                    <c:v>AnMBR @ 35 C</c:v>
                  </c:pt>
                  <c:pt idx="5">
                    <c:v>AnMBR @ 20 C</c:v>
                  </c:pt>
                  <c:pt idx="6">
                    <c:v>AeMBR</c:v>
                  </c:pt>
                  <c:pt idx="7">
                    <c:v>AnMBR @ 35 C</c:v>
                  </c:pt>
                  <c:pt idx="8">
                    <c:v>AnMBR @ 20 C</c:v>
                  </c:pt>
                  <c:pt idx="9">
                    <c:v>AeMBR</c:v>
                  </c:pt>
                  <c:pt idx="10">
                    <c:v>AnMBR @ 35 C</c:v>
                  </c:pt>
                  <c:pt idx="11">
                    <c:v>AnMBR @ 20 C</c:v>
                  </c:pt>
                  <c:pt idx="12">
                    <c:v>AeMBR</c:v>
                  </c:pt>
                  <c:pt idx="13">
                    <c:v>AnMBR @ 35 C</c:v>
                  </c:pt>
                  <c:pt idx="14">
                    <c:v>AnMBR @ 20 C</c:v>
                  </c:pt>
                </c:lvl>
                <c:lvl>
                  <c:pt idx="0">
                    <c:v>0.05 MGD</c:v>
                  </c:pt>
                  <c:pt idx="3">
                    <c:v>0.1 MGD</c:v>
                  </c:pt>
                  <c:pt idx="6">
                    <c:v>1 MGD</c:v>
                  </c:pt>
                  <c:pt idx="9">
                    <c:v>5 MGD</c:v>
                  </c:pt>
                  <c:pt idx="12">
                    <c:v>10 MGD</c:v>
                  </c:pt>
                </c:lvl>
              </c:multiLvlStrCache>
            </c:multiLvlStrRef>
          </c:cat>
          <c:val>
            <c:numRef>
              <c:f>CED_GWP_Compare_yr!$C$9:$Q$9</c:f>
              <c:numCache>
                <c:formatCode>#,##0</c:formatCode>
                <c:ptCount val="15"/>
                <c:pt idx="0">
                  <c:v>764342.20019999996</c:v>
                </c:pt>
                <c:pt idx="1">
                  <c:v>966762.50799999968</c:v>
                </c:pt>
                <c:pt idx="2">
                  <c:v>-180367.492</c:v>
                </c:pt>
                <c:pt idx="3">
                  <c:v>1068206.4730200002</c:v>
                </c:pt>
                <c:pt idx="4">
                  <c:v>1823045.4169999985</c:v>
                </c:pt>
                <c:pt idx="5">
                  <c:v>-360728.58299999998</c:v>
                </c:pt>
                <c:pt idx="6">
                  <c:v>6074157.7066200003</c:v>
                </c:pt>
                <c:pt idx="7">
                  <c:v>15466419.199999999</c:v>
                </c:pt>
                <c:pt idx="8">
                  <c:v>-3709737.8</c:v>
                </c:pt>
                <c:pt idx="9">
                  <c:v>29519148.83035</c:v>
                </c:pt>
                <c:pt idx="10">
                  <c:v>74318620</c:v>
                </c:pt>
                <c:pt idx="11">
                  <c:v>-18791860</c:v>
                </c:pt>
                <c:pt idx="12">
                  <c:v>57388119.110730007</c:v>
                </c:pt>
                <c:pt idx="13">
                  <c:v>146352552</c:v>
                </c:pt>
                <c:pt idx="14">
                  <c:v>-37826828</c:v>
                </c:pt>
              </c:numCache>
            </c:numRef>
          </c:val>
        </c:ser>
        <c:ser>
          <c:idx val="3"/>
          <c:order val="3"/>
          <c:tx>
            <c:strRef>
              <c:f>CED_GWP_Compare_yr!$B$10</c:f>
              <c:strCache>
                <c:ptCount val="1"/>
                <c:pt idx="0">
                  <c:v>MBR infrastructure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CED_GWP_Compare_yr!$C$5:$Q$6</c:f>
              <c:multiLvlStrCache>
                <c:ptCount val="15"/>
                <c:lvl>
                  <c:pt idx="0">
                    <c:v>AeMBR</c:v>
                  </c:pt>
                  <c:pt idx="1">
                    <c:v>AnMBR @ 35 C</c:v>
                  </c:pt>
                  <c:pt idx="2">
                    <c:v>AnMBR @ 20 C</c:v>
                  </c:pt>
                  <c:pt idx="3">
                    <c:v>AeMBR</c:v>
                  </c:pt>
                  <c:pt idx="4">
                    <c:v>AnMBR @ 35 C</c:v>
                  </c:pt>
                  <c:pt idx="5">
                    <c:v>AnMBR @ 20 C</c:v>
                  </c:pt>
                  <c:pt idx="6">
                    <c:v>AeMBR</c:v>
                  </c:pt>
                  <c:pt idx="7">
                    <c:v>AnMBR @ 35 C</c:v>
                  </c:pt>
                  <c:pt idx="8">
                    <c:v>AnMBR @ 20 C</c:v>
                  </c:pt>
                  <c:pt idx="9">
                    <c:v>AeMBR</c:v>
                  </c:pt>
                  <c:pt idx="10">
                    <c:v>AnMBR @ 35 C</c:v>
                  </c:pt>
                  <c:pt idx="11">
                    <c:v>AnMBR @ 20 C</c:v>
                  </c:pt>
                  <c:pt idx="12">
                    <c:v>AeMBR</c:v>
                  </c:pt>
                  <c:pt idx="13">
                    <c:v>AnMBR @ 35 C</c:v>
                  </c:pt>
                  <c:pt idx="14">
                    <c:v>AnMBR @ 20 C</c:v>
                  </c:pt>
                </c:lvl>
                <c:lvl>
                  <c:pt idx="0">
                    <c:v>0.05 MGD</c:v>
                  </c:pt>
                  <c:pt idx="3">
                    <c:v>0.1 MGD</c:v>
                  </c:pt>
                  <c:pt idx="6">
                    <c:v>1 MGD</c:v>
                  </c:pt>
                  <c:pt idx="9">
                    <c:v>5 MGD</c:v>
                  </c:pt>
                  <c:pt idx="12">
                    <c:v>10 MGD</c:v>
                  </c:pt>
                </c:lvl>
              </c:multiLvlStrCache>
            </c:multiLvlStrRef>
          </c:cat>
          <c:val>
            <c:numRef>
              <c:f>CED_GWP_Compare_yr!$C$10:$Q$10</c:f>
              <c:numCache>
                <c:formatCode>#,##0</c:formatCode>
                <c:ptCount val="15"/>
                <c:pt idx="0">
                  <c:v>11101</c:v>
                </c:pt>
                <c:pt idx="1">
                  <c:v>26758.02937</c:v>
                </c:pt>
                <c:pt idx="2">
                  <c:v>26758.02937</c:v>
                </c:pt>
                <c:pt idx="3">
                  <c:v>20800.5</c:v>
                </c:pt>
                <c:pt idx="4">
                  <c:v>27496.510000000002</c:v>
                </c:pt>
                <c:pt idx="5">
                  <c:v>27496.510000000002</c:v>
                </c:pt>
                <c:pt idx="6">
                  <c:v>192694</c:v>
                </c:pt>
                <c:pt idx="7">
                  <c:v>518521.15</c:v>
                </c:pt>
                <c:pt idx="8">
                  <c:v>518521.15</c:v>
                </c:pt>
                <c:pt idx="9">
                  <c:v>859360</c:v>
                </c:pt>
                <c:pt idx="10">
                  <c:v>2160854.6</c:v>
                </c:pt>
                <c:pt idx="11">
                  <c:v>2160854.6</c:v>
                </c:pt>
                <c:pt idx="12">
                  <c:v>1705070</c:v>
                </c:pt>
                <c:pt idx="13">
                  <c:v>3888905.3617799999</c:v>
                </c:pt>
                <c:pt idx="14">
                  <c:v>3888905.3617799999</c:v>
                </c:pt>
              </c:numCache>
            </c:numRef>
          </c:val>
        </c:ser>
        <c:ser>
          <c:idx val="4"/>
          <c:order val="4"/>
          <c:tx>
            <c:strRef>
              <c:f>CED_GWP_Compare_yr!$B$11</c:f>
              <c:strCache>
                <c:ptCount val="1"/>
                <c:pt idx="0">
                  <c:v>Post treatment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CED_GWP_Compare_yr!$C$5:$Q$6</c:f>
              <c:multiLvlStrCache>
                <c:ptCount val="15"/>
                <c:lvl>
                  <c:pt idx="0">
                    <c:v>AeMBR</c:v>
                  </c:pt>
                  <c:pt idx="1">
                    <c:v>AnMBR @ 35 C</c:v>
                  </c:pt>
                  <c:pt idx="2">
                    <c:v>AnMBR @ 20 C</c:v>
                  </c:pt>
                  <c:pt idx="3">
                    <c:v>AeMBR</c:v>
                  </c:pt>
                  <c:pt idx="4">
                    <c:v>AnMBR @ 35 C</c:v>
                  </c:pt>
                  <c:pt idx="5">
                    <c:v>AnMBR @ 20 C</c:v>
                  </c:pt>
                  <c:pt idx="6">
                    <c:v>AeMBR</c:v>
                  </c:pt>
                  <c:pt idx="7">
                    <c:v>AnMBR @ 35 C</c:v>
                  </c:pt>
                  <c:pt idx="8">
                    <c:v>AnMBR @ 20 C</c:v>
                  </c:pt>
                  <c:pt idx="9">
                    <c:v>AeMBR</c:v>
                  </c:pt>
                  <c:pt idx="10">
                    <c:v>AnMBR @ 35 C</c:v>
                  </c:pt>
                  <c:pt idx="11">
                    <c:v>AnMBR @ 20 C</c:v>
                  </c:pt>
                  <c:pt idx="12">
                    <c:v>AeMBR</c:v>
                  </c:pt>
                  <c:pt idx="13">
                    <c:v>AnMBR @ 35 C</c:v>
                  </c:pt>
                  <c:pt idx="14">
                    <c:v>AnMBR @ 20 C</c:v>
                  </c:pt>
                </c:lvl>
                <c:lvl>
                  <c:pt idx="0">
                    <c:v>0.05 MGD</c:v>
                  </c:pt>
                  <c:pt idx="3">
                    <c:v>0.1 MGD</c:v>
                  </c:pt>
                  <c:pt idx="6">
                    <c:v>1 MGD</c:v>
                  </c:pt>
                  <c:pt idx="9">
                    <c:v>5 MGD</c:v>
                  </c:pt>
                  <c:pt idx="12">
                    <c:v>10 MGD</c:v>
                  </c:pt>
                </c:lvl>
              </c:multiLvlStrCache>
            </c:multiLvlStrRef>
          </c:cat>
          <c:val>
            <c:numRef>
              <c:f>CED_GWP_Compare_yr!$C$11:$Q$11</c:f>
              <c:numCache>
                <c:formatCode>#,##0</c:formatCode>
                <c:ptCount val="15"/>
                <c:pt idx="0">
                  <c:v>534976.39701000007</c:v>
                </c:pt>
                <c:pt idx="1">
                  <c:v>534976.39701000007</c:v>
                </c:pt>
                <c:pt idx="2">
                  <c:v>534976.39701000007</c:v>
                </c:pt>
                <c:pt idx="3">
                  <c:v>642002.67801999999</c:v>
                </c:pt>
                <c:pt idx="4">
                  <c:v>642002.67801999999</c:v>
                </c:pt>
                <c:pt idx="5">
                  <c:v>642002.67801999999</c:v>
                </c:pt>
                <c:pt idx="6">
                  <c:v>2479824.1082199998</c:v>
                </c:pt>
                <c:pt idx="7">
                  <c:v>2479824.1082199998</c:v>
                </c:pt>
                <c:pt idx="8">
                  <c:v>2479824.1082199998</c:v>
                </c:pt>
                <c:pt idx="9">
                  <c:v>4545469.1922899997</c:v>
                </c:pt>
                <c:pt idx="10">
                  <c:v>4545469.1922899997</c:v>
                </c:pt>
                <c:pt idx="11">
                  <c:v>4545469.1922899997</c:v>
                </c:pt>
                <c:pt idx="12">
                  <c:v>8019323.3073800001</c:v>
                </c:pt>
                <c:pt idx="13">
                  <c:v>8019323.3073800001</c:v>
                </c:pt>
                <c:pt idx="14">
                  <c:v>8019323.3073800001</c:v>
                </c:pt>
              </c:numCache>
            </c:numRef>
          </c:val>
        </c:ser>
        <c:ser>
          <c:idx val="5"/>
          <c:order val="5"/>
          <c:tx>
            <c:strRef>
              <c:f>CED_GWP_Compare_yr!$B$12</c:f>
              <c:strCache>
                <c:ptCount val="1"/>
                <c:pt idx="0">
                  <c:v>Recycled water delivery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CED_GWP_Compare_yr!$C$5:$Q$6</c:f>
              <c:multiLvlStrCache>
                <c:ptCount val="15"/>
                <c:lvl>
                  <c:pt idx="0">
                    <c:v>AeMBR</c:v>
                  </c:pt>
                  <c:pt idx="1">
                    <c:v>AnMBR @ 35 C</c:v>
                  </c:pt>
                  <c:pt idx="2">
                    <c:v>AnMBR @ 20 C</c:v>
                  </c:pt>
                  <c:pt idx="3">
                    <c:v>AeMBR</c:v>
                  </c:pt>
                  <c:pt idx="4">
                    <c:v>AnMBR @ 35 C</c:v>
                  </c:pt>
                  <c:pt idx="5">
                    <c:v>AnMBR @ 20 C</c:v>
                  </c:pt>
                  <c:pt idx="6">
                    <c:v>AeMBR</c:v>
                  </c:pt>
                  <c:pt idx="7">
                    <c:v>AnMBR @ 35 C</c:v>
                  </c:pt>
                  <c:pt idx="8">
                    <c:v>AnMBR @ 20 C</c:v>
                  </c:pt>
                  <c:pt idx="9">
                    <c:v>AeMBR</c:v>
                  </c:pt>
                  <c:pt idx="10">
                    <c:v>AnMBR @ 35 C</c:v>
                  </c:pt>
                  <c:pt idx="11">
                    <c:v>AnMBR @ 20 C</c:v>
                  </c:pt>
                  <c:pt idx="12">
                    <c:v>AeMBR</c:v>
                  </c:pt>
                  <c:pt idx="13">
                    <c:v>AnMBR @ 35 C</c:v>
                  </c:pt>
                  <c:pt idx="14">
                    <c:v>AnMBR @ 20 C</c:v>
                  </c:pt>
                </c:lvl>
                <c:lvl>
                  <c:pt idx="0">
                    <c:v>0.05 MGD</c:v>
                  </c:pt>
                  <c:pt idx="3">
                    <c:v>0.1 MGD</c:v>
                  </c:pt>
                  <c:pt idx="6">
                    <c:v>1 MGD</c:v>
                  </c:pt>
                  <c:pt idx="9">
                    <c:v>5 MGD</c:v>
                  </c:pt>
                  <c:pt idx="12">
                    <c:v>10 MGD</c:v>
                  </c:pt>
                </c:lvl>
              </c:multiLvlStrCache>
            </c:multiLvlStrRef>
          </c:cat>
          <c:val>
            <c:numRef>
              <c:f>CED_GWP_Compare_yr!$C$12:$Q$12</c:f>
              <c:numCache>
                <c:formatCode>#,##0</c:formatCode>
                <c:ptCount val="15"/>
                <c:pt idx="0">
                  <c:v>-835425.79599999997</c:v>
                </c:pt>
                <c:pt idx="1">
                  <c:v>-849173.79599999997</c:v>
                </c:pt>
                <c:pt idx="2">
                  <c:v>-849173.79599999997</c:v>
                </c:pt>
                <c:pt idx="3">
                  <c:v>-1670852.784</c:v>
                </c:pt>
                <c:pt idx="4">
                  <c:v>-1699832.784</c:v>
                </c:pt>
                <c:pt idx="5">
                  <c:v>-1699832.784</c:v>
                </c:pt>
                <c:pt idx="6">
                  <c:v>-16708406.58</c:v>
                </c:pt>
                <c:pt idx="7">
                  <c:v>-17057606.579999998</c:v>
                </c:pt>
                <c:pt idx="8">
                  <c:v>-17057606.579999998</c:v>
                </c:pt>
                <c:pt idx="9">
                  <c:v>-83542853.599999994</c:v>
                </c:pt>
                <c:pt idx="10">
                  <c:v>-85374753.599999994</c:v>
                </c:pt>
                <c:pt idx="11">
                  <c:v>-85374753.599999994</c:v>
                </c:pt>
                <c:pt idx="12">
                  <c:v>-167085509.5</c:v>
                </c:pt>
                <c:pt idx="13">
                  <c:v>-170697509.5</c:v>
                </c:pt>
                <c:pt idx="14">
                  <c:v>-170697509.5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0283048"/>
        <c:axId val="330283440"/>
      </c:barChart>
      <c:lineChart>
        <c:grouping val="standard"/>
        <c:varyColors val="0"/>
        <c:ser>
          <c:idx val="6"/>
          <c:order val="6"/>
          <c:tx>
            <c:strRef>
              <c:f>CED_GWP_Compare_yr!$B$13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CED_GWP_Compare_yr!$C$5:$Q$6</c:f>
              <c:multiLvlStrCache>
                <c:ptCount val="15"/>
                <c:lvl>
                  <c:pt idx="0">
                    <c:v>AeMBR</c:v>
                  </c:pt>
                  <c:pt idx="1">
                    <c:v>AnMBR @ 35 C</c:v>
                  </c:pt>
                  <c:pt idx="2">
                    <c:v>AnMBR @ 20 C</c:v>
                  </c:pt>
                  <c:pt idx="3">
                    <c:v>AeMBR</c:v>
                  </c:pt>
                  <c:pt idx="4">
                    <c:v>AnMBR @ 35 C</c:v>
                  </c:pt>
                  <c:pt idx="5">
                    <c:v>AnMBR @ 20 C</c:v>
                  </c:pt>
                  <c:pt idx="6">
                    <c:v>AeMBR</c:v>
                  </c:pt>
                  <c:pt idx="7">
                    <c:v>AnMBR @ 35 C</c:v>
                  </c:pt>
                  <c:pt idx="8">
                    <c:v>AnMBR @ 20 C</c:v>
                  </c:pt>
                  <c:pt idx="9">
                    <c:v>AeMBR</c:v>
                  </c:pt>
                  <c:pt idx="10">
                    <c:v>AnMBR @ 35 C</c:v>
                  </c:pt>
                  <c:pt idx="11">
                    <c:v>AnMBR @ 20 C</c:v>
                  </c:pt>
                  <c:pt idx="12">
                    <c:v>AeMBR</c:v>
                  </c:pt>
                  <c:pt idx="13">
                    <c:v>AnMBR @ 35 C</c:v>
                  </c:pt>
                  <c:pt idx="14">
                    <c:v>AnMBR @ 20 C</c:v>
                  </c:pt>
                </c:lvl>
                <c:lvl>
                  <c:pt idx="0">
                    <c:v>0.05 MGD</c:v>
                  </c:pt>
                  <c:pt idx="3">
                    <c:v>0.1 MGD</c:v>
                  </c:pt>
                  <c:pt idx="6">
                    <c:v>1 MGD</c:v>
                  </c:pt>
                  <c:pt idx="9">
                    <c:v>5 MGD</c:v>
                  </c:pt>
                  <c:pt idx="12">
                    <c:v>10 MGD</c:v>
                  </c:pt>
                </c:lvl>
              </c:multiLvlStrCache>
            </c:multiLvlStrRef>
          </c:cat>
          <c:val>
            <c:numRef>
              <c:f>CED_GWP_Compare_yr!$C$13:$Q$13</c:f>
              <c:numCache>
                <c:formatCode>#,##0</c:formatCode>
                <c:ptCount val="15"/>
                <c:pt idx="0">
                  <c:v>520082.72887999995</c:v>
                </c:pt>
                <c:pt idx="1">
                  <c:v>724412.06604999967</c:v>
                </c:pt>
                <c:pt idx="2">
                  <c:v>-422717.93394999986</c:v>
                </c:pt>
                <c:pt idx="3">
                  <c:v>123076.75687000016</c:v>
                </c:pt>
                <c:pt idx="4">
                  <c:v>855631.71084999852</c:v>
                </c:pt>
                <c:pt idx="5">
                  <c:v>-1328142.2891500001</c:v>
                </c:pt>
                <c:pt idx="6">
                  <c:v>-7760220.6083899997</c:v>
                </c:pt>
                <c:pt idx="7">
                  <c:v>1608668.0349900015</c:v>
                </c:pt>
                <c:pt idx="8">
                  <c:v>-17567488.965009999</c:v>
                </c:pt>
                <c:pt idx="9">
                  <c:v>-48118173.339259997</c:v>
                </c:pt>
                <c:pt idx="10">
                  <c:v>-3849107.5696099997</c:v>
                </c:pt>
                <c:pt idx="11">
                  <c:v>-96959587.56961</c:v>
                </c:pt>
                <c:pt idx="12">
                  <c:v>-99198169.314239994</c:v>
                </c:pt>
                <c:pt idx="13">
                  <c:v>-11661901.063190013</c:v>
                </c:pt>
                <c:pt idx="14">
                  <c:v>-195841281.06318998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283048"/>
        <c:axId val="330283440"/>
      </c:lineChart>
      <c:catAx>
        <c:axId val="330283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283440"/>
        <c:crosses val="autoZero"/>
        <c:auto val="1"/>
        <c:lblAlgn val="ctr"/>
        <c:lblOffset val="100"/>
        <c:noMultiLvlLbl val="0"/>
      </c:catAx>
      <c:valAx>
        <c:axId val="330283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MJ/Year</a:t>
                </a:r>
              </a:p>
            </c:rich>
          </c:tx>
          <c:layout>
            <c:manualLayout>
              <c:xMode val="edge"/>
              <c:yMode val="edge"/>
              <c:x val="2.583704725116702E-3"/>
              <c:y val="0.43366756172543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283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444556445106481E-2"/>
          <c:y val="0.13433558275597715"/>
          <c:w val="0.92375460611297244"/>
          <c:h val="0.759580471621741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CED_GWP_Compare_yr!$B$40</c:f>
              <c:strCache>
                <c:ptCount val="1"/>
                <c:pt idx="0">
                  <c:v>Wastewater collection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CED_GWP_Compare_yr!$C$38:$Q$39</c:f>
              <c:multiLvlStrCache>
                <c:ptCount val="15"/>
                <c:lvl>
                  <c:pt idx="0">
                    <c:v>AeMBR</c:v>
                  </c:pt>
                  <c:pt idx="1">
                    <c:v>AnMBR @ 35 C</c:v>
                  </c:pt>
                  <c:pt idx="2">
                    <c:v>AnMBR @ 20 C</c:v>
                  </c:pt>
                  <c:pt idx="3">
                    <c:v>AeMBR</c:v>
                  </c:pt>
                  <c:pt idx="4">
                    <c:v>AnMBR @ 35 C</c:v>
                  </c:pt>
                  <c:pt idx="5">
                    <c:v>AnMBR @ 20 C</c:v>
                  </c:pt>
                  <c:pt idx="6">
                    <c:v>AeMBR</c:v>
                  </c:pt>
                  <c:pt idx="7">
                    <c:v>AnMBR @ 35 C</c:v>
                  </c:pt>
                  <c:pt idx="8">
                    <c:v>AnMBR @ 20 C</c:v>
                  </c:pt>
                  <c:pt idx="9">
                    <c:v>AeMBR</c:v>
                  </c:pt>
                  <c:pt idx="10">
                    <c:v>AnMBR @ 35 C</c:v>
                  </c:pt>
                  <c:pt idx="11">
                    <c:v>AnMBR @ 20 C</c:v>
                  </c:pt>
                  <c:pt idx="12">
                    <c:v>AeMBR</c:v>
                  </c:pt>
                  <c:pt idx="13">
                    <c:v>AnMBR @ 35 C</c:v>
                  </c:pt>
                  <c:pt idx="14">
                    <c:v>AnMBR @ 20 C</c:v>
                  </c:pt>
                </c:lvl>
                <c:lvl>
                  <c:pt idx="0">
                    <c:v>0.05 MGD</c:v>
                  </c:pt>
                  <c:pt idx="3">
                    <c:v>0.1 MGD</c:v>
                  </c:pt>
                  <c:pt idx="6">
                    <c:v>1 MGD</c:v>
                  </c:pt>
                  <c:pt idx="9">
                    <c:v>5 MGD</c:v>
                  </c:pt>
                  <c:pt idx="12">
                    <c:v>10 MGD</c:v>
                  </c:pt>
                </c:lvl>
              </c:multiLvlStrCache>
            </c:multiLvlStrRef>
          </c:cat>
          <c:val>
            <c:numRef>
              <c:f>CED_GWP_Compare_yr!$C$40:$Q$40</c:f>
              <c:numCache>
                <c:formatCode>00.0</c:formatCode>
                <c:ptCount val="15"/>
                <c:pt idx="0">
                  <c:v>17.266590000000001</c:v>
                </c:pt>
                <c:pt idx="1">
                  <c:v>17.266590000000001</c:v>
                </c:pt>
                <c:pt idx="2">
                  <c:v>17.266590000000001</c:v>
                </c:pt>
                <c:pt idx="3">
                  <c:v>35.908639999999998</c:v>
                </c:pt>
                <c:pt idx="4">
                  <c:v>35.908639999999998</c:v>
                </c:pt>
                <c:pt idx="5">
                  <c:v>35.908639999999998</c:v>
                </c:pt>
                <c:pt idx="6" formatCode="00">
                  <c:v>347.92</c:v>
                </c:pt>
                <c:pt idx="7" formatCode="00">
                  <c:v>347.92</c:v>
                </c:pt>
                <c:pt idx="8" formatCode="00">
                  <c:v>347.92</c:v>
                </c:pt>
                <c:pt idx="9" formatCode="#,##0">
                  <c:v>1758.78</c:v>
                </c:pt>
                <c:pt idx="10" formatCode="#,##0">
                  <c:v>1758.78</c:v>
                </c:pt>
                <c:pt idx="11" formatCode="#,##0">
                  <c:v>1758.78</c:v>
                </c:pt>
                <c:pt idx="12" formatCode="#,##0">
                  <c:v>3701.92</c:v>
                </c:pt>
                <c:pt idx="13" formatCode="#,##0">
                  <c:v>3701.92</c:v>
                </c:pt>
                <c:pt idx="14" formatCode="#,##0">
                  <c:v>3701.92</c:v>
                </c:pt>
              </c:numCache>
            </c:numRef>
          </c:val>
        </c:ser>
        <c:ser>
          <c:idx val="1"/>
          <c:order val="1"/>
          <c:tx>
            <c:strRef>
              <c:f>CED_GWP_Compare_yr!$B$41</c:f>
              <c:strCache>
                <c:ptCount val="1"/>
                <c:pt idx="0">
                  <c:v>Pre treatment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CED_GWP_Compare_yr!$C$38:$Q$39</c:f>
              <c:multiLvlStrCache>
                <c:ptCount val="15"/>
                <c:lvl>
                  <c:pt idx="0">
                    <c:v>AeMBR</c:v>
                  </c:pt>
                  <c:pt idx="1">
                    <c:v>AnMBR @ 35 C</c:v>
                  </c:pt>
                  <c:pt idx="2">
                    <c:v>AnMBR @ 20 C</c:v>
                  </c:pt>
                  <c:pt idx="3">
                    <c:v>AeMBR</c:v>
                  </c:pt>
                  <c:pt idx="4">
                    <c:v>AnMBR @ 35 C</c:v>
                  </c:pt>
                  <c:pt idx="5">
                    <c:v>AnMBR @ 20 C</c:v>
                  </c:pt>
                  <c:pt idx="6">
                    <c:v>AeMBR</c:v>
                  </c:pt>
                  <c:pt idx="7">
                    <c:v>AnMBR @ 35 C</c:v>
                  </c:pt>
                  <c:pt idx="8">
                    <c:v>AnMBR @ 20 C</c:v>
                  </c:pt>
                  <c:pt idx="9">
                    <c:v>AeMBR</c:v>
                  </c:pt>
                  <c:pt idx="10">
                    <c:v>AnMBR @ 35 C</c:v>
                  </c:pt>
                  <c:pt idx="11">
                    <c:v>AnMBR @ 20 C</c:v>
                  </c:pt>
                  <c:pt idx="12">
                    <c:v>AeMBR</c:v>
                  </c:pt>
                  <c:pt idx="13">
                    <c:v>AnMBR @ 35 C</c:v>
                  </c:pt>
                  <c:pt idx="14">
                    <c:v>AnMBR @ 20 C</c:v>
                  </c:pt>
                </c:lvl>
                <c:lvl>
                  <c:pt idx="0">
                    <c:v>0.05 MGD</c:v>
                  </c:pt>
                  <c:pt idx="3">
                    <c:v>0.1 MGD</c:v>
                  </c:pt>
                  <c:pt idx="6">
                    <c:v>1 MGD</c:v>
                  </c:pt>
                  <c:pt idx="9">
                    <c:v>5 MGD</c:v>
                  </c:pt>
                  <c:pt idx="12">
                    <c:v>10 MGD</c:v>
                  </c:pt>
                </c:lvl>
              </c:multiLvlStrCache>
            </c:multiLvlStrRef>
          </c:cat>
          <c:val>
            <c:numRef>
              <c:f>CED_GWP_Compare_yr!$C$41:$Q$41</c:f>
              <c:numCache>
                <c:formatCode>#,##0</c:formatCode>
                <c:ptCount val="15"/>
                <c:pt idx="0">
                  <c:v>2803.3273899999913</c:v>
                </c:pt>
                <c:pt idx="1">
                  <c:v>2803.3273899999913</c:v>
                </c:pt>
                <c:pt idx="2">
                  <c:v>2803.3273899999913</c:v>
                </c:pt>
                <c:pt idx="3">
                  <c:v>3903.6092399999907</c:v>
                </c:pt>
                <c:pt idx="4">
                  <c:v>3903.6092399999907</c:v>
                </c:pt>
                <c:pt idx="5">
                  <c:v>3903.6092399999907</c:v>
                </c:pt>
                <c:pt idx="6">
                  <c:v>12355.949999999953</c:v>
                </c:pt>
                <c:pt idx="7">
                  <c:v>12355.949999999953</c:v>
                </c:pt>
                <c:pt idx="8">
                  <c:v>12355.949999999953</c:v>
                </c:pt>
                <c:pt idx="9">
                  <c:v>30123.72</c:v>
                </c:pt>
                <c:pt idx="10">
                  <c:v>30123.72</c:v>
                </c:pt>
                <c:pt idx="11">
                  <c:v>30123.72</c:v>
                </c:pt>
                <c:pt idx="12">
                  <c:v>45957</c:v>
                </c:pt>
                <c:pt idx="13">
                  <c:v>45957</c:v>
                </c:pt>
                <c:pt idx="14">
                  <c:v>45957</c:v>
                </c:pt>
              </c:numCache>
            </c:numRef>
          </c:val>
        </c:ser>
        <c:ser>
          <c:idx val="2"/>
          <c:order val="2"/>
          <c:tx>
            <c:strRef>
              <c:f>CED_GWP_Compare_yr!$B$42</c:f>
              <c:strCache>
                <c:ptCount val="1"/>
                <c:pt idx="0">
                  <c:v>MBR operation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CED_GWP_Compare_yr!$C$38:$Q$39</c:f>
              <c:multiLvlStrCache>
                <c:ptCount val="15"/>
                <c:lvl>
                  <c:pt idx="0">
                    <c:v>AeMBR</c:v>
                  </c:pt>
                  <c:pt idx="1">
                    <c:v>AnMBR @ 35 C</c:v>
                  </c:pt>
                  <c:pt idx="2">
                    <c:v>AnMBR @ 20 C</c:v>
                  </c:pt>
                  <c:pt idx="3">
                    <c:v>AeMBR</c:v>
                  </c:pt>
                  <c:pt idx="4">
                    <c:v>AnMBR @ 35 C</c:v>
                  </c:pt>
                  <c:pt idx="5">
                    <c:v>AnMBR @ 20 C</c:v>
                  </c:pt>
                  <c:pt idx="6">
                    <c:v>AeMBR</c:v>
                  </c:pt>
                  <c:pt idx="7">
                    <c:v>AnMBR @ 35 C</c:v>
                  </c:pt>
                  <c:pt idx="8">
                    <c:v>AnMBR @ 20 C</c:v>
                  </c:pt>
                  <c:pt idx="9">
                    <c:v>AeMBR</c:v>
                  </c:pt>
                  <c:pt idx="10">
                    <c:v>AnMBR @ 35 C</c:v>
                  </c:pt>
                  <c:pt idx="11">
                    <c:v>AnMBR @ 20 C</c:v>
                  </c:pt>
                  <c:pt idx="12">
                    <c:v>AeMBR</c:v>
                  </c:pt>
                  <c:pt idx="13">
                    <c:v>AnMBR @ 35 C</c:v>
                  </c:pt>
                  <c:pt idx="14">
                    <c:v>AnMBR @ 20 C</c:v>
                  </c:pt>
                </c:lvl>
                <c:lvl>
                  <c:pt idx="0">
                    <c:v>0.05 MGD</c:v>
                  </c:pt>
                  <c:pt idx="3">
                    <c:v>0.1 MGD</c:v>
                  </c:pt>
                  <c:pt idx="6">
                    <c:v>1 MGD</c:v>
                  </c:pt>
                  <c:pt idx="9">
                    <c:v>5 MGD</c:v>
                  </c:pt>
                  <c:pt idx="12">
                    <c:v>10 MGD</c:v>
                  </c:pt>
                </c:lvl>
              </c:multiLvlStrCache>
            </c:multiLvlStrRef>
          </c:cat>
          <c:val>
            <c:numRef>
              <c:f>CED_GWP_Compare_yr!$C$42:$Q$42</c:f>
              <c:numCache>
                <c:formatCode>#,##0</c:formatCode>
                <c:ptCount val="15"/>
                <c:pt idx="0">
                  <c:v>47872.26</c:v>
                </c:pt>
                <c:pt idx="1">
                  <c:v>57667.6</c:v>
                </c:pt>
                <c:pt idx="2">
                  <c:v>-13442.959010000002</c:v>
                </c:pt>
                <c:pt idx="3">
                  <c:v>67029.3</c:v>
                </c:pt>
                <c:pt idx="4">
                  <c:v>108668</c:v>
                </c:pt>
                <c:pt idx="5">
                  <c:v>-22969.475559999999</c:v>
                </c:pt>
                <c:pt idx="6">
                  <c:v>378479</c:v>
                </c:pt>
                <c:pt idx="7">
                  <c:v>920852.7</c:v>
                </c:pt>
                <c:pt idx="8">
                  <c:v>-234902.07490000001</c:v>
                </c:pt>
                <c:pt idx="9">
                  <c:v>1840889</c:v>
                </c:pt>
                <c:pt idx="10">
                  <c:v>4424834.7</c:v>
                </c:pt>
                <c:pt idx="11">
                  <c:v>-1186865.1000000001</c:v>
                </c:pt>
                <c:pt idx="12">
                  <c:v>3575700</c:v>
                </c:pt>
                <c:pt idx="13">
                  <c:v>8714136</c:v>
                </c:pt>
                <c:pt idx="14">
                  <c:v>-2386084.7000000002</c:v>
                </c:pt>
              </c:numCache>
            </c:numRef>
          </c:val>
        </c:ser>
        <c:ser>
          <c:idx val="3"/>
          <c:order val="3"/>
          <c:tx>
            <c:strRef>
              <c:f>CED_GWP_Compare_yr!$B$43</c:f>
              <c:strCache>
                <c:ptCount val="1"/>
                <c:pt idx="0">
                  <c:v>MBR infrastructure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CED_GWP_Compare_yr!$C$38:$Q$39</c:f>
              <c:multiLvlStrCache>
                <c:ptCount val="15"/>
                <c:lvl>
                  <c:pt idx="0">
                    <c:v>AeMBR</c:v>
                  </c:pt>
                  <c:pt idx="1">
                    <c:v>AnMBR @ 35 C</c:v>
                  </c:pt>
                  <c:pt idx="2">
                    <c:v>AnMBR @ 20 C</c:v>
                  </c:pt>
                  <c:pt idx="3">
                    <c:v>AeMBR</c:v>
                  </c:pt>
                  <c:pt idx="4">
                    <c:v>AnMBR @ 35 C</c:v>
                  </c:pt>
                  <c:pt idx="5">
                    <c:v>AnMBR @ 20 C</c:v>
                  </c:pt>
                  <c:pt idx="6">
                    <c:v>AeMBR</c:v>
                  </c:pt>
                  <c:pt idx="7">
                    <c:v>AnMBR @ 35 C</c:v>
                  </c:pt>
                  <c:pt idx="8">
                    <c:v>AnMBR @ 20 C</c:v>
                  </c:pt>
                  <c:pt idx="9">
                    <c:v>AeMBR</c:v>
                  </c:pt>
                  <c:pt idx="10">
                    <c:v>AnMBR @ 35 C</c:v>
                  </c:pt>
                  <c:pt idx="11">
                    <c:v>AnMBR @ 20 C</c:v>
                  </c:pt>
                  <c:pt idx="12">
                    <c:v>AeMBR</c:v>
                  </c:pt>
                  <c:pt idx="13">
                    <c:v>AnMBR @ 35 C</c:v>
                  </c:pt>
                  <c:pt idx="14">
                    <c:v>AnMBR @ 20 C</c:v>
                  </c:pt>
                </c:lvl>
                <c:lvl>
                  <c:pt idx="0">
                    <c:v>0.05 MGD</c:v>
                  </c:pt>
                  <c:pt idx="3">
                    <c:v>0.1 MGD</c:v>
                  </c:pt>
                  <c:pt idx="6">
                    <c:v>1 MGD</c:v>
                  </c:pt>
                  <c:pt idx="9">
                    <c:v>5 MGD</c:v>
                  </c:pt>
                  <c:pt idx="12">
                    <c:v>10 MGD</c:v>
                  </c:pt>
                </c:lvl>
              </c:multiLvlStrCache>
            </c:multiLvlStrRef>
          </c:cat>
          <c:val>
            <c:numRef>
              <c:f>CED_GWP_Compare_yr!$C$43:$Q$43</c:f>
              <c:numCache>
                <c:formatCode>#,##0</c:formatCode>
                <c:ptCount val="15"/>
                <c:pt idx="0">
                  <c:v>1054.71</c:v>
                </c:pt>
                <c:pt idx="1">
                  <c:v>3293</c:v>
                </c:pt>
                <c:pt idx="2">
                  <c:v>3293</c:v>
                </c:pt>
                <c:pt idx="3">
                  <c:v>1857.29</c:v>
                </c:pt>
                <c:pt idx="4">
                  <c:v>3475</c:v>
                </c:pt>
                <c:pt idx="5">
                  <c:v>3475</c:v>
                </c:pt>
                <c:pt idx="6">
                  <c:v>15779.8</c:v>
                </c:pt>
                <c:pt idx="7">
                  <c:v>42772.4</c:v>
                </c:pt>
                <c:pt idx="8">
                  <c:v>42772.4</c:v>
                </c:pt>
                <c:pt idx="9">
                  <c:v>70429.8</c:v>
                </c:pt>
                <c:pt idx="10">
                  <c:v>178294</c:v>
                </c:pt>
                <c:pt idx="11">
                  <c:v>178294</c:v>
                </c:pt>
                <c:pt idx="12">
                  <c:v>138680</c:v>
                </c:pt>
                <c:pt idx="13">
                  <c:v>320777.78000000003</c:v>
                </c:pt>
                <c:pt idx="14">
                  <c:v>320777.78000000003</c:v>
                </c:pt>
              </c:numCache>
            </c:numRef>
          </c:val>
        </c:ser>
        <c:ser>
          <c:idx val="4"/>
          <c:order val="4"/>
          <c:tx>
            <c:strRef>
              <c:f>CED_GWP_Compare_yr!$B$44</c:f>
              <c:strCache>
                <c:ptCount val="1"/>
                <c:pt idx="0">
                  <c:v>Post treatment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CED_GWP_Compare_yr!$C$38:$Q$39</c:f>
              <c:multiLvlStrCache>
                <c:ptCount val="15"/>
                <c:lvl>
                  <c:pt idx="0">
                    <c:v>AeMBR</c:v>
                  </c:pt>
                  <c:pt idx="1">
                    <c:v>AnMBR @ 35 C</c:v>
                  </c:pt>
                  <c:pt idx="2">
                    <c:v>AnMBR @ 20 C</c:v>
                  </c:pt>
                  <c:pt idx="3">
                    <c:v>AeMBR</c:v>
                  </c:pt>
                  <c:pt idx="4">
                    <c:v>AnMBR @ 35 C</c:v>
                  </c:pt>
                  <c:pt idx="5">
                    <c:v>AnMBR @ 20 C</c:v>
                  </c:pt>
                  <c:pt idx="6">
                    <c:v>AeMBR</c:v>
                  </c:pt>
                  <c:pt idx="7">
                    <c:v>AnMBR @ 35 C</c:v>
                  </c:pt>
                  <c:pt idx="8">
                    <c:v>AnMBR @ 20 C</c:v>
                  </c:pt>
                  <c:pt idx="9">
                    <c:v>AeMBR</c:v>
                  </c:pt>
                  <c:pt idx="10">
                    <c:v>AnMBR @ 35 C</c:v>
                  </c:pt>
                  <c:pt idx="11">
                    <c:v>AnMBR @ 20 C</c:v>
                  </c:pt>
                  <c:pt idx="12">
                    <c:v>AeMBR</c:v>
                  </c:pt>
                  <c:pt idx="13">
                    <c:v>AnMBR @ 35 C</c:v>
                  </c:pt>
                  <c:pt idx="14">
                    <c:v>AnMBR @ 20 C</c:v>
                  </c:pt>
                </c:lvl>
                <c:lvl>
                  <c:pt idx="0">
                    <c:v>0.05 MGD</c:v>
                  </c:pt>
                  <c:pt idx="3">
                    <c:v>0.1 MGD</c:v>
                  </c:pt>
                  <c:pt idx="6">
                    <c:v>1 MGD</c:v>
                  </c:pt>
                  <c:pt idx="9">
                    <c:v>5 MGD</c:v>
                  </c:pt>
                  <c:pt idx="12">
                    <c:v>10 MGD</c:v>
                  </c:pt>
                </c:lvl>
              </c:multiLvlStrCache>
            </c:multiLvlStrRef>
          </c:cat>
          <c:val>
            <c:numRef>
              <c:f>CED_GWP_Compare_yr!$C$44:$Q$44</c:f>
              <c:numCache>
                <c:formatCode>#,##0</c:formatCode>
                <c:ptCount val="15"/>
                <c:pt idx="0">
                  <c:v>33166</c:v>
                </c:pt>
                <c:pt idx="1">
                  <c:v>33166</c:v>
                </c:pt>
                <c:pt idx="2">
                  <c:v>33166</c:v>
                </c:pt>
                <c:pt idx="3">
                  <c:v>39466</c:v>
                </c:pt>
                <c:pt idx="4">
                  <c:v>39466</c:v>
                </c:pt>
                <c:pt idx="5">
                  <c:v>39466</c:v>
                </c:pt>
                <c:pt idx="6">
                  <c:v>90494</c:v>
                </c:pt>
                <c:pt idx="7">
                  <c:v>90494</c:v>
                </c:pt>
                <c:pt idx="8">
                  <c:v>90494</c:v>
                </c:pt>
                <c:pt idx="9">
                  <c:v>245966</c:v>
                </c:pt>
                <c:pt idx="10">
                  <c:v>245966</c:v>
                </c:pt>
                <c:pt idx="11">
                  <c:v>245966</c:v>
                </c:pt>
                <c:pt idx="12">
                  <c:v>424896</c:v>
                </c:pt>
                <c:pt idx="13">
                  <c:v>424896</c:v>
                </c:pt>
                <c:pt idx="14">
                  <c:v>424896</c:v>
                </c:pt>
              </c:numCache>
            </c:numRef>
          </c:val>
        </c:ser>
        <c:ser>
          <c:idx val="5"/>
          <c:order val="5"/>
          <c:tx>
            <c:strRef>
              <c:f>CED_GWP_Compare_yr!$B$45</c:f>
              <c:strCache>
                <c:ptCount val="1"/>
                <c:pt idx="0">
                  <c:v>Recycled water delivery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CED_GWP_Compare_yr!$C$38:$Q$39</c:f>
              <c:multiLvlStrCache>
                <c:ptCount val="15"/>
                <c:lvl>
                  <c:pt idx="0">
                    <c:v>AeMBR</c:v>
                  </c:pt>
                  <c:pt idx="1">
                    <c:v>AnMBR @ 35 C</c:v>
                  </c:pt>
                  <c:pt idx="2">
                    <c:v>AnMBR @ 20 C</c:v>
                  </c:pt>
                  <c:pt idx="3">
                    <c:v>AeMBR</c:v>
                  </c:pt>
                  <c:pt idx="4">
                    <c:v>AnMBR @ 35 C</c:v>
                  </c:pt>
                  <c:pt idx="5">
                    <c:v>AnMBR @ 20 C</c:v>
                  </c:pt>
                  <c:pt idx="6">
                    <c:v>AeMBR</c:v>
                  </c:pt>
                  <c:pt idx="7">
                    <c:v>AnMBR @ 35 C</c:v>
                  </c:pt>
                  <c:pt idx="8">
                    <c:v>AnMBR @ 20 C</c:v>
                  </c:pt>
                  <c:pt idx="9">
                    <c:v>AeMBR</c:v>
                  </c:pt>
                  <c:pt idx="10">
                    <c:v>AnMBR @ 35 C</c:v>
                  </c:pt>
                  <c:pt idx="11">
                    <c:v>AnMBR @ 20 C</c:v>
                  </c:pt>
                  <c:pt idx="12">
                    <c:v>AeMBR</c:v>
                  </c:pt>
                  <c:pt idx="13">
                    <c:v>AnMBR @ 35 C</c:v>
                  </c:pt>
                  <c:pt idx="14">
                    <c:v>AnMBR @ 20 C</c:v>
                  </c:pt>
                </c:lvl>
                <c:lvl>
                  <c:pt idx="0">
                    <c:v>0.05 MGD</c:v>
                  </c:pt>
                  <c:pt idx="3">
                    <c:v>0.1 MGD</c:v>
                  </c:pt>
                  <c:pt idx="6">
                    <c:v>1 MGD</c:v>
                  </c:pt>
                  <c:pt idx="9">
                    <c:v>5 MGD</c:v>
                  </c:pt>
                  <c:pt idx="12">
                    <c:v>10 MGD</c:v>
                  </c:pt>
                </c:lvl>
              </c:multiLvlStrCache>
            </c:multiLvlStrRef>
          </c:cat>
          <c:val>
            <c:numRef>
              <c:f>CED_GWP_Compare_yr!$C$45:$Q$45</c:f>
              <c:numCache>
                <c:formatCode>#,##0</c:formatCode>
                <c:ptCount val="15"/>
                <c:pt idx="0">
                  <c:v>-51877.063979999992</c:v>
                </c:pt>
                <c:pt idx="1">
                  <c:v>-52730.5</c:v>
                </c:pt>
                <c:pt idx="2">
                  <c:v>-52730.5</c:v>
                </c:pt>
                <c:pt idx="3">
                  <c:v>-106822.14</c:v>
                </c:pt>
                <c:pt idx="4">
                  <c:v>-103668</c:v>
                </c:pt>
                <c:pt idx="5">
                  <c:v>-103668</c:v>
                </c:pt>
                <c:pt idx="6">
                  <c:v>-1037646.67</c:v>
                </c:pt>
                <c:pt idx="7">
                  <c:v>-1059004</c:v>
                </c:pt>
                <c:pt idx="8">
                  <c:v>-1059004</c:v>
                </c:pt>
                <c:pt idx="9">
                  <c:v>-5187567.3</c:v>
                </c:pt>
                <c:pt idx="10">
                  <c:v>-5207280</c:v>
                </c:pt>
                <c:pt idx="11">
                  <c:v>-5207280</c:v>
                </c:pt>
                <c:pt idx="12">
                  <c:v>-10375294.92</c:v>
                </c:pt>
                <c:pt idx="13">
                  <c:v>-10568139.300000001</c:v>
                </c:pt>
                <c:pt idx="14">
                  <c:v>-10568139.300000001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0284224"/>
        <c:axId val="330284616"/>
      </c:barChart>
      <c:lineChart>
        <c:grouping val="standard"/>
        <c:varyColors val="0"/>
        <c:ser>
          <c:idx val="6"/>
          <c:order val="6"/>
          <c:tx>
            <c:strRef>
              <c:f>CED_GWP_Compare_yr!$B$46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CED_GWP_Compare_yr!$C$38:$Q$39</c:f>
              <c:multiLvlStrCache>
                <c:ptCount val="15"/>
                <c:lvl>
                  <c:pt idx="0">
                    <c:v>AeMBR</c:v>
                  </c:pt>
                  <c:pt idx="1">
                    <c:v>AnMBR @ 35 C</c:v>
                  </c:pt>
                  <c:pt idx="2">
                    <c:v>AnMBR @ 20 C</c:v>
                  </c:pt>
                  <c:pt idx="3">
                    <c:v>AeMBR</c:v>
                  </c:pt>
                  <c:pt idx="4">
                    <c:v>AnMBR @ 35 C</c:v>
                  </c:pt>
                  <c:pt idx="5">
                    <c:v>AnMBR @ 20 C</c:v>
                  </c:pt>
                  <c:pt idx="6">
                    <c:v>AeMBR</c:v>
                  </c:pt>
                  <c:pt idx="7">
                    <c:v>AnMBR @ 35 C</c:v>
                  </c:pt>
                  <c:pt idx="8">
                    <c:v>AnMBR @ 20 C</c:v>
                  </c:pt>
                  <c:pt idx="9">
                    <c:v>AeMBR</c:v>
                  </c:pt>
                  <c:pt idx="10">
                    <c:v>AnMBR @ 35 C</c:v>
                  </c:pt>
                  <c:pt idx="11">
                    <c:v>AnMBR @ 20 C</c:v>
                  </c:pt>
                  <c:pt idx="12">
                    <c:v>AeMBR</c:v>
                  </c:pt>
                  <c:pt idx="13">
                    <c:v>AnMBR @ 35 C</c:v>
                  </c:pt>
                  <c:pt idx="14">
                    <c:v>AnMBR @ 20 C</c:v>
                  </c:pt>
                </c:lvl>
                <c:lvl>
                  <c:pt idx="0">
                    <c:v>0.05 MGD</c:v>
                  </c:pt>
                  <c:pt idx="3">
                    <c:v>0.1 MGD</c:v>
                  </c:pt>
                  <c:pt idx="6">
                    <c:v>1 MGD</c:v>
                  </c:pt>
                  <c:pt idx="9">
                    <c:v>5 MGD</c:v>
                  </c:pt>
                  <c:pt idx="12">
                    <c:v>10 MGD</c:v>
                  </c:pt>
                </c:lvl>
              </c:multiLvlStrCache>
            </c:multiLvlStrRef>
          </c:cat>
          <c:val>
            <c:numRef>
              <c:f>CED_GWP_Compare_yr!$C$46:$Q$46</c:f>
              <c:numCache>
                <c:formatCode>#,##0</c:formatCode>
                <c:ptCount val="15"/>
                <c:pt idx="0">
                  <c:v>33036.5</c:v>
                </c:pt>
                <c:pt idx="1">
                  <c:v>44216.693979999982</c:v>
                </c:pt>
                <c:pt idx="2">
                  <c:v>-26893.865030000012</c:v>
                </c:pt>
                <c:pt idx="3">
                  <c:v>5469.967879999982</c:v>
                </c:pt>
                <c:pt idx="4">
                  <c:v>51880.517879999999</c:v>
                </c:pt>
                <c:pt idx="5">
                  <c:v>-79756.957680000007</c:v>
                </c:pt>
                <c:pt idx="6">
                  <c:v>-540190.00000000012</c:v>
                </c:pt>
                <c:pt idx="7">
                  <c:v>7818.9699999999721</c:v>
                </c:pt>
                <c:pt idx="8">
                  <c:v>-1147935.8049000001</c:v>
                </c:pt>
                <c:pt idx="9">
                  <c:v>-2998400</c:v>
                </c:pt>
                <c:pt idx="10">
                  <c:v>-326302.79999999981</c:v>
                </c:pt>
                <c:pt idx="11">
                  <c:v>-5938002.5999999996</c:v>
                </c:pt>
                <c:pt idx="12">
                  <c:v>-6186360</c:v>
                </c:pt>
                <c:pt idx="13">
                  <c:v>-1058670.6000000015</c:v>
                </c:pt>
                <c:pt idx="14">
                  <c:v>-12158891.300000001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284224"/>
        <c:axId val="330284616"/>
      </c:lineChart>
      <c:catAx>
        <c:axId val="33028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284616"/>
        <c:crosses val="autoZero"/>
        <c:auto val="1"/>
        <c:lblAlgn val="ctr"/>
        <c:lblOffset val="100"/>
        <c:noMultiLvlLbl val="0"/>
      </c:catAx>
      <c:valAx>
        <c:axId val="330284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kg</a:t>
                </a:r>
                <a:r>
                  <a:rPr lang="en-US" baseline="0"/>
                  <a:t> CO2 eq/Year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284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74005775350282E-2"/>
          <c:y val="0.20950455723278777"/>
          <c:w val="0.93428981141411516"/>
          <c:h val="0.71173493392717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AeMBR_LCIA_Summary_yr!$C$20</c:f>
              <c:strCache>
                <c:ptCount val="1"/>
                <c:pt idx="0">
                  <c:v>Acidification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AeMBR_LCIA_Summary_yr!$D$19:$U$19</c:f>
              <c:strCache>
                <c:ptCount val="18"/>
                <c:pt idx="0">
                  <c:v>0.05 MGD AeMBR [semi rural single family]</c:v>
                </c:pt>
                <c:pt idx="1">
                  <c:v>0.05 MGD AeMBR [single family]</c:v>
                </c:pt>
                <c:pt idx="2">
                  <c:v>0.05 MGD AeMBR [multi family]</c:v>
                </c:pt>
                <c:pt idx="3">
                  <c:v>0.05 MGD AeMBR [high density urban]</c:v>
                </c:pt>
                <c:pt idx="4">
                  <c:v>0.1 MGD AeMBR [semi rural single family]</c:v>
                </c:pt>
                <c:pt idx="5">
                  <c:v>0.1 MGD AeMBR [single family]</c:v>
                </c:pt>
                <c:pt idx="6">
                  <c:v>0.1 MGD AeMBR [multi family]</c:v>
                </c:pt>
                <c:pt idx="7">
                  <c:v>0.1 MGD AeMBR [high density urban]</c:v>
                </c:pt>
                <c:pt idx="8">
                  <c:v>1 MGD AeMBR [semi rural single family]</c:v>
                </c:pt>
                <c:pt idx="9">
                  <c:v>1 MGD AeMBR [single family]</c:v>
                </c:pt>
                <c:pt idx="10">
                  <c:v>1 MGD AeMBR [multi family]</c:v>
                </c:pt>
                <c:pt idx="11">
                  <c:v>1 MGD AeMBR [high density urban]</c:v>
                </c:pt>
                <c:pt idx="12">
                  <c:v>5 MGD AeMBR [single family]</c:v>
                </c:pt>
                <c:pt idx="13">
                  <c:v>5 MGD AeMBR [multi family]</c:v>
                </c:pt>
                <c:pt idx="14">
                  <c:v>5 MGD AeMBR [high density urban]</c:v>
                </c:pt>
                <c:pt idx="15">
                  <c:v>10 MGD AeMBR [single family]</c:v>
                </c:pt>
                <c:pt idx="16">
                  <c:v>10 MGD AeMBR [multi family]</c:v>
                </c:pt>
                <c:pt idx="17">
                  <c:v>10 MGD AeMBR [high density urban]</c:v>
                </c:pt>
              </c:strCache>
            </c:strRef>
          </c:cat>
          <c:val>
            <c:numRef>
              <c:f>AeMBR_LCIA_Summary_yr!$D$20:$U$20</c:f>
              <c:numCache>
                <c:formatCode>0%</c:formatCode>
                <c:ptCount val="18"/>
                <c:pt idx="0">
                  <c:v>1</c:v>
                </c:pt>
                <c:pt idx="1">
                  <c:v>0.96583447602974537</c:v>
                </c:pt>
                <c:pt idx="2">
                  <c:v>0.94229273245082024</c:v>
                </c:pt>
                <c:pt idx="3">
                  <c:v>0.93743077896735416</c:v>
                </c:pt>
                <c:pt idx="4">
                  <c:v>0.39251621749907706</c:v>
                </c:pt>
                <c:pt idx="5">
                  <c:v>0.32526864353145934</c:v>
                </c:pt>
                <c:pt idx="6">
                  <c:v>0.27777180792152317</c:v>
                </c:pt>
                <c:pt idx="7">
                  <c:v>0.26837983228732665</c:v>
                </c:pt>
                <c:pt idx="8">
                  <c:v>-13.577145192764094</c:v>
                </c:pt>
                <c:pt idx="9">
                  <c:v>-14.257192394915881</c:v>
                </c:pt>
                <c:pt idx="10">
                  <c:v>-14.730894994989717</c:v>
                </c:pt>
                <c:pt idx="11">
                  <c:v>-14.829452560518959</c:v>
                </c:pt>
                <c:pt idx="12">
                  <c:v>-79.671430831707198</c:v>
                </c:pt>
                <c:pt idx="13">
                  <c:v>-81.997257528611371</c:v>
                </c:pt>
                <c:pt idx="14">
                  <c:v>-82.468619798533837</c:v>
                </c:pt>
                <c:pt idx="15">
                  <c:v>-164.48664363693899</c:v>
                </c:pt>
                <c:pt idx="16">
                  <c:v>-169.21246242286801</c:v>
                </c:pt>
                <c:pt idx="17">
                  <c:v>-170.16276831390752</c:v>
                </c:pt>
              </c:numCache>
            </c:numRef>
          </c:val>
        </c:ser>
        <c:ser>
          <c:idx val="1"/>
          <c:order val="1"/>
          <c:tx>
            <c:strRef>
              <c:f>AeMBR_LCIA_Summary_yr!$C$21</c:f>
              <c:strCache>
                <c:ptCount val="1"/>
                <c:pt idx="0">
                  <c:v>Ecotoxicity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AeMBR_LCIA_Summary_yr!$D$19:$U$19</c:f>
              <c:strCache>
                <c:ptCount val="18"/>
                <c:pt idx="0">
                  <c:v>0.05 MGD AeMBR [semi rural single family]</c:v>
                </c:pt>
                <c:pt idx="1">
                  <c:v>0.05 MGD AeMBR [single family]</c:v>
                </c:pt>
                <c:pt idx="2">
                  <c:v>0.05 MGD AeMBR [multi family]</c:v>
                </c:pt>
                <c:pt idx="3">
                  <c:v>0.05 MGD AeMBR [high density urban]</c:v>
                </c:pt>
                <c:pt idx="4">
                  <c:v>0.1 MGD AeMBR [semi rural single family]</c:v>
                </c:pt>
                <c:pt idx="5">
                  <c:v>0.1 MGD AeMBR [single family]</c:v>
                </c:pt>
                <c:pt idx="6">
                  <c:v>0.1 MGD AeMBR [multi family]</c:v>
                </c:pt>
                <c:pt idx="7">
                  <c:v>0.1 MGD AeMBR [high density urban]</c:v>
                </c:pt>
                <c:pt idx="8">
                  <c:v>1 MGD AeMBR [semi rural single family]</c:v>
                </c:pt>
                <c:pt idx="9">
                  <c:v>1 MGD AeMBR [single family]</c:v>
                </c:pt>
                <c:pt idx="10">
                  <c:v>1 MGD AeMBR [multi family]</c:v>
                </c:pt>
                <c:pt idx="11">
                  <c:v>1 MGD AeMBR [high density urban]</c:v>
                </c:pt>
                <c:pt idx="12">
                  <c:v>5 MGD AeMBR [single family]</c:v>
                </c:pt>
                <c:pt idx="13">
                  <c:v>5 MGD AeMBR [multi family]</c:v>
                </c:pt>
                <c:pt idx="14">
                  <c:v>5 MGD AeMBR [high density urban]</c:v>
                </c:pt>
                <c:pt idx="15">
                  <c:v>10 MGD AeMBR [single family]</c:v>
                </c:pt>
                <c:pt idx="16">
                  <c:v>10 MGD AeMBR [multi family]</c:v>
                </c:pt>
                <c:pt idx="17">
                  <c:v>10 MGD AeMBR [high density urban]</c:v>
                </c:pt>
              </c:strCache>
            </c:strRef>
          </c:cat>
          <c:val>
            <c:numRef>
              <c:f>AeMBR_LCIA_Summary_yr!$D$21:$U$21</c:f>
              <c:numCache>
                <c:formatCode>0%</c:formatCode>
                <c:ptCount val="18"/>
                <c:pt idx="0">
                  <c:v>9.3591994953907028E-3</c:v>
                </c:pt>
                <c:pt idx="1">
                  <c:v>8.5060129646684669E-3</c:v>
                </c:pt>
                <c:pt idx="2">
                  <c:v>7.8987346270362798E-3</c:v>
                </c:pt>
                <c:pt idx="3">
                  <c:v>7.7800152211959604E-3</c:v>
                </c:pt>
                <c:pt idx="4">
                  <c:v>1.5441162970443045E-2</c:v>
                </c:pt>
                <c:pt idx="5">
                  <c:v>1.3716103966098785E-2</c:v>
                </c:pt>
                <c:pt idx="6">
                  <c:v>1.2521625055154627E-2</c:v>
                </c:pt>
                <c:pt idx="7">
                  <c:v>1.2294402804964362E-2</c:v>
                </c:pt>
                <c:pt idx="8">
                  <c:v>0.12245600215584256</c:v>
                </c:pt>
                <c:pt idx="9">
                  <c:v>0.10513078679368766</c:v>
                </c:pt>
                <c:pt idx="10">
                  <c:v>9.3183924758726278E-2</c:v>
                </c:pt>
                <c:pt idx="11">
                  <c:v>8.9935354337004392E-2</c:v>
                </c:pt>
                <c:pt idx="12">
                  <c:v>0.5078756363141016</c:v>
                </c:pt>
                <c:pt idx="13">
                  <c:v>0.44775191227379202</c:v>
                </c:pt>
                <c:pt idx="14">
                  <c:v>0.43614352936299</c:v>
                </c:pt>
                <c:pt idx="15">
                  <c:v>1</c:v>
                </c:pt>
                <c:pt idx="16">
                  <c:v>0.88241478055122058</c:v>
                </c:pt>
                <c:pt idx="17">
                  <c:v>0.85731757515095353</c:v>
                </c:pt>
              </c:numCache>
            </c:numRef>
          </c:val>
        </c:ser>
        <c:ser>
          <c:idx val="2"/>
          <c:order val="2"/>
          <c:tx>
            <c:strRef>
              <c:f>AeMBR_LCIA_Summary_yr!$C$22</c:f>
              <c:strCache>
                <c:ptCount val="1"/>
                <c:pt idx="0">
                  <c:v>Energy Demand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AeMBR_LCIA_Summary_yr!$D$19:$U$19</c:f>
              <c:strCache>
                <c:ptCount val="18"/>
                <c:pt idx="0">
                  <c:v>0.05 MGD AeMBR [semi rural single family]</c:v>
                </c:pt>
                <c:pt idx="1">
                  <c:v>0.05 MGD AeMBR [single family]</c:v>
                </c:pt>
                <c:pt idx="2">
                  <c:v>0.05 MGD AeMBR [multi family]</c:v>
                </c:pt>
                <c:pt idx="3">
                  <c:v>0.05 MGD AeMBR [high density urban]</c:v>
                </c:pt>
                <c:pt idx="4">
                  <c:v>0.1 MGD AeMBR [semi rural single family]</c:v>
                </c:pt>
                <c:pt idx="5">
                  <c:v>0.1 MGD AeMBR [single family]</c:v>
                </c:pt>
                <c:pt idx="6">
                  <c:v>0.1 MGD AeMBR [multi family]</c:v>
                </c:pt>
                <c:pt idx="7">
                  <c:v>0.1 MGD AeMBR [high density urban]</c:v>
                </c:pt>
                <c:pt idx="8">
                  <c:v>1 MGD AeMBR [semi rural single family]</c:v>
                </c:pt>
                <c:pt idx="9">
                  <c:v>1 MGD AeMBR [single family]</c:v>
                </c:pt>
                <c:pt idx="10">
                  <c:v>1 MGD AeMBR [multi family]</c:v>
                </c:pt>
                <c:pt idx="11">
                  <c:v>1 MGD AeMBR [high density urban]</c:v>
                </c:pt>
                <c:pt idx="12">
                  <c:v>5 MGD AeMBR [single family]</c:v>
                </c:pt>
                <c:pt idx="13">
                  <c:v>5 MGD AeMBR [multi family]</c:v>
                </c:pt>
                <c:pt idx="14">
                  <c:v>5 MGD AeMBR [high density urban]</c:v>
                </c:pt>
                <c:pt idx="15">
                  <c:v>10 MGD AeMBR [single family]</c:v>
                </c:pt>
                <c:pt idx="16">
                  <c:v>10 MGD AeMBR [multi family]</c:v>
                </c:pt>
                <c:pt idx="17">
                  <c:v>10 MGD AeMBR [high density urban]</c:v>
                </c:pt>
              </c:strCache>
            </c:strRef>
          </c:cat>
          <c:val>
            <c:numRef>
              <c:f>AeMBR_LCIA_Summary_yr!$D$22:$U$22</c:f>
              <c:numCache>
                <c:formatCode>0%</c:formatCode>
                <c:ptCount val="18"/>
                <c:pt idx="0">
                  <c:v>1</c:v>
                </c:pt>
                <c:pt idx="1">
                  <c:v>0.96412846177802325</c:v>
                </c:pt>
                <c:pt idx="2">
                  <c:v>0.93923854019749653</c:v>
                </c:pt>
                <c:pt idx="3">
                  <c:v>0.93412221634361825</c:v>
                </c:pt>
                <c:pt idx="4">
                  <c:v>0.35206204016819553</c:v>
                </c:pt>
                <c:pt idx="5">
                  <c:v>0.28096654409118427</c:v>
                </c:pt>
                <c:pt idx="6">
                  <c:v>0.23095617633822868</c:v>
                </c:pt>
                <c:pt idx="7">
                  <c:v>0.22105854804172176</c:v>
                </c:pt>
                <c:pt idx="8">
                  <c:v>-12.622764064198702</c:v>
                </c:pt>
                <c:pt idx="9">
                  <c:v>-13.339070534392025</c:v>
                </c:pt>
                <c:pt idx="10">
                  <c:v>-13.83925031022474</c:v>
                </c:pt>
                <c:pt idx="11">
                  <c:v>-13.938156511436986</c:v>
                </c:pt>
                <c:pt idx="12">
                  <c:v>-83.465050021970299</c:v>
                </c:pt>
                <c:pt idx="13">
                  <c:v>-85.927524352792489</c:v>
                </c:pt>
                <c:pt idx="14">
                  <c:v>-86.425201665266201</c:v>
                </c:pt>
                <c:pt idx="15">
                  <c:v>-172.18949066199107</c:v>
                </c:pt>
                <c:pt idx="16">
                  <c:v>-177.17039877535049</c:v>
                </c:pt>
                <c:pt idx="17">
                  <c:v>-178.17014223217515</c:v>
                </c:pt>
              </c:numCache>
            </c:numRef>
          </c:val>
        </c:ser>
        <c:ser>
          <c:idx val="3"/>
          <c:order val="3"/>
          <c:tx>
            <c:strRef>
              <c:f>AeMBR_LCIA_Summary_yr!$C$23</c:f>
              <c:strCache>
                <c:ptCount val="1"/>
                <c:pt idx="0">
                  <c:v>Eutrophication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AeMBR_LCIA_Summary_yr!$D$19:$U$19</c:f>
              <c:strCache>
                <c:ptCount val="18"/>
                <c:pt idx="0">
                  <c:v>0.05 MGD AeMBR [semi rural single family]</c:v>
                </c:pt>
                <c:pt idx="1">
                  <c:v>0.05 MGD AeMBR [single family]</c:v>
                </c:pt>
                <c:pt idx="2">
                  <c:v>0.05 MGD AeMBR [multi family]</c:v>
                </c:pt>
                <c:pt idx="3">
                  <c:v>0.05 MGD AeMBR [high density urban]</c:v>
                </c:pt>
                <c:pt idx="4">
                  <c:v>0.1 MGD AeMBR [semi rural single family]</c:v>
                </c:pt>
                <c:pt idx="5">
                  <c:v>0.1 MGD AeMBR [single family]</c:v>
                </c:pt>
                <c:pt idx="6">
                  <c:v>0.1 MGD AeMBR [multi family]</c:v>
                </c:pt>
                <c:pt idx="7">
                  <c:v>0.1 MGD AeMBR [high density urban]</c:v>
                </c:pt>
                <c:pt idx="8">
                  <c:v>1 MGD AeMBR [semi rural single family]</c:v>
                </c:pt>
                <c:pt idx="9">
                  <c:v>1 MGD AeMBR [single family]</c:v>
                </c:pt>
                <c:pt idx="10">
                  <c:v>1 MGD AeMBR [multi family]</c:v>
                </c:pt>
                <c:pt idx="11">
                  <c:v>1 MGD AeMBR [high density urban]</c:v>
                </c:pt>
                <c:pt idx="12">
                  <c:v>5 MGD AeMBR [single family]</c:v>
                </c:pt>
                <c:pt idx="13">
                  <c:v>5 MGD AeMBR [multi family]</c:v>
                </c:pt>
                <c:pt idx="14">
                  <c:v>5 MGD AeMBR [high density urban]</c:v>
                </c:pt>
                <c:pt idx="15">
                  <c:v>10 MGD AeMBR [single family]</c:v>
                </c:pt>
                <c:pt idx="16">
                  <c:v>10 MGD AeMBR [multi family]</c:v>
                </c:pt>
                <c:pt idx="17">
                  <c:v>10 MGD AeMBR [high density urban]</c:v>
                </c:pt>
              </c:strCache>
            </c:strRef>
          </c:cat>
          <c:val>
            <c:numRef>
              <c:f>AeMBR_LCIA_Summary_yr!$D$23:$U$23</c:f>
              <c:numCache>
                <c:formatCode>0%</c:formatCode>
                <c:ptCount val="18"/>
                <c:pt idx="0">
                  <c:v>9.9352818371607511E-3</c:v>
                </c:pt>
                <c:pt idx="1">
                  <c:v>9.7557411273486438E-3</c:v>
                </c:pt>
                <c:pt idx="2">
                  <c:v>9.6287998370589122E-3</c:v>
                </c:pt>
                <c:pt idx="3">
                  <c:v>9.603594887723407E-3</c:v>
                </c:pt>
                <c:pt idx="4">
                  <c:v>1.5729263200773967E-2</c:v>
                </c:pt>
                <c:pt idx="5">
                  <c:v>1.5370894648403686E-2</c:v>
                </c:pt>
                <c:pt idx="6">
                  <c:v>1.5119761698660828E-2</c:v>
                </c:pt>
                <c:pt idx="7">
                  <c:v>1.5070507663322978E-2</c:v>
                </c:pt>
                <c:pt idx="8">
                  <c:v>0.11291970059575335</c:v>
                </c:pt>
                <c:pt idx="9">
                  <c:v>0.10928815112785784</c:v>
                </c:pt>
                <c:pt idx="10">
                  <c:v>0.10677223891236824</c:v>
                </c:pt>
                <c:pt idx="11">
                  <c:v>0.10622587708131778</c:v>
                </c:pt>
                <c:pt idx="12">
                  <c:v>0.50711950710321296</c:v>
                </c:pt>
                <c:pt idx="13">
                  <c:v>0.49470441468506537</c:v>
                </c:pt>
                <c:pt idx="14">
                  <c:v>0.49220937929629816</c:v>
                </c:pt>
                <c:pt idx="15">
                  <c:v>1</c:v>
                </c:pt>
                <c:pt idx="16">
                  <c:v>0.97496308366006412</c:v>
                </c:pt>
                <c:pt idx="17">
                  <c:v>0.96986099088548294</c:v>
                </c:pt>
              </c:numCache>
            </c:numRef>
          </c:val>
        </c:ser>
        <c:ser>
          <c:idx val="4"/>
          <c:order val="4"/>
          <c:tx>
            <c:strRef>
              <c:f>AeMBR_LCIA_Summary_yr!$C$24</c:f>
              <c:strCache>
                <c:ptCount val="1"/>
                <c:pt idx="0">
                  <c:v>Fossil Depletion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AeMBR_LCIA_Summary_yr!$D$19:$U$19</c:f>
              <c:strCache>
                <c:ptCount val="18"/>
                <c:pt idx="0">
                  <c:v>0.05 MGD AeMBR [semi rural single family]</c:v>
                </c:pt>
                <c:pt idx="1">
                  <c:v>0.05 MGD AeMBR [single family]</c:v>
                </c:pt>
                <c:pt idx="2">
                  <c:v>0.05 MGD AeMBR [multi family]</c:v>
                </c:pt>
                <c:pt idx="3">
                  <c:v>0.05 MGD AeMBR [high density urban]</c:v>
                </c:pt>
                <c:pt idx="4">
                  <c:v>0.1 MGD AeMBR [semi rural single family]</c:v>
                </c:pt>
                <c:pt idx="5">
                  <c:v>0.1 MGD AeMBR [single family]</c:v>
                </c:pt>
                <c:pt idx="6">
                  <c:v>0.1 MGD AeMBR [multi family]</c:v>
                </c:pt>
                <c:pt idx="7">
                  <c:v>0.1 MGD AeMBR [high density urban]</c:v>
                </c:pt>
                <c:pt idx="8">
                  <c:v>1 MGD AeMBR [semi rural single family]</c:v>
                </c:pt>
                <c:pt idx="9">
                  <c:v>1 MGD AeMBR [single family]</c:v>
                </c:pt>
                <c:pt idx="10">
                  <c:v>1 MGD AeMBR [multi family]</c:v>
                </c:pt>
                <c:pt idx="11">
                  <c:v>1 MGD AeMBR [high density urban]</c:v>
                </c:pt>
                <c:pt idx="12">
                  <c:v>5 MGD AeMBR [single family]</c:v>
                </c:pt>
                <c:pt idx="13">
                  <c:v>5 MGD AeMBR [multi family]</c:v>
                </c:pt>
                <c:pt idx="14">
                  <c:v>5 MGD AeMBR [high density urban]</c:v>
                </c:pt>
                <c:pt idx="15">
                  <c:v>10 MGD AeMBR [single family]</c:v>
                </c:pt>
                <c:pt idx="16">
                  <c:v>10 MGD AeMBR [multi family]</c:v>
                </c:pt>
                <c:pt idx="17">
                  <c:v>10 MGD AeMBR [high density urban]</c:v>
                </c:pt>
              </c:strCache>
            </c:strRef>
          </c:cat>
          <c:val>
            <c:numRef>
              <c:f>AeMBR_LCIA_Summary_yr!$D$24:$U$24</c:f>
              <c:numCache>
                <c:formatCode>0%</c:formatCode>
                <c:ptCount val="18"/>
                <c:pt idx="0">
                  <c:v>1</c:v>
                </c:pt>
                <c:pt idx="1">
                  <c:v>0.96021799636154426</c:v>
                </c:pt>
                <c:pt idx="2">
                  <c:v>0.93252086336688211</c:v>
                </c:pt>
                <c:pt idx="3">
                  <c:v>0.92684771574731617</c:v>
                </c:pt>
                <c:pt idx="4">
                  <c:v>0.29395634297442641</c:v>
                </c:pt>
                <c:pt idx="5">
                  <c:v>0.21508537487422005</c:v>
                </c:pt>
                <c:pt idx="6">
                  <c:v>0.1595489470024945</c:v>
                </c:pt>
                <c:pt idx="7">
                  <c:v>0.14856660839510341</c:v>
                </c:pt>
                <c:pt idx="8">
                  <c:v>-15.629255138374601</c:v>
                </c:pt>
                <c:pt idx="9">
                  <c:v>-16.424806359967214</c:v>
                </c:pt>
                <c:pt idx="10">
                  <c:v>-16.98034834103747</c:v>
                </c:pt>
                <c:pt idx="11">
                  <c:v>-17.092745079310781</c:v>
                </c:pt>
                <c:pt idx="12">
                  <c:v>-91.106552552138979</c:v>
                </c:pt>
                <c:pt idx="13">
                  <c:v>-93.834616862620535</c:v>
                </c:pt>
                <c:pt idx="14">
                  <c:v>-94.387715436337018</c:v>
                </c:pt>
                <c:pt idx="15">
                  <c:v>-187.69255715907249</c:v>
                </c:pt>
                <c:pt idx="16">
                  <c:v>-193.22243225653114</c:v>
                </c:pt>
                <c:pt idx="17">
                  <c:v>-194.33307196278912</c:v>
                </c:pt>
              </c:numCache>
            </c:numRef>
          </c:val>
        </c:ser>
        <c:ser>
          <c:idx val="5"/>
          <c:order val="5"/>
          <c:tx>
            <c:strRef>
              <c:f>AeMBR_LCIA_Summary_yr!$C$25</c:f>
              <c:strCache>
                <c:ptCount val="1"/>
                <c:pt idx="0">
                  <c:v>Global Warming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AeMBR_LCIA_Summary_yr!$D$19:$U$19</c:f>
              <c:strCache>
                <c:ptCount val="18"/>
                <c:pt idx="0">
                  <c:v>0.05 MGD AeMBR [semi rural single family]</c:v>
                </c:pt>
                <c:pt idx="1">
                  <c:v>0.05 MGD AeMBR [single family]</c:v>
                </c:pt>
                <c:pt idx="2">
                  <c:v>0.05 MGD AeMBR [multi family]</c:v>
                </c:pt>
                <c:pt idx="3">
                  <c:v>0.05 MGD AeMBR [high density urban]</c:v>
                </c:pt>
                <c:pt idx="4">
                  <c:v>0.1 MGD AeMBR [semi rural single family]</c:v>
                </c:pt>
                <c:pt idx="5">
                  <c:v>0.1 MGD AeMBR [single family]</c:v>
                </c:pt>
                <c:pt idx="6">
                  <c:v>0.1 MGD AeMBR [multi family]</c:v>
                </c:pt>
                <c:pt idx="7">
                  <c:v>0.1 MGD AeMBR [high density urban]</c:v>
                </c:pt>
                <c:pt idx="8">
                  <c:v>1 MGD AeMBR [semi rural single family]</c:v>
                </c:pt>
                <c:pt idx="9">
                  <c:v>1 MGD AeMBR [single family]</c:v>
                </c:pt>
                <c:pt idx="10">
                  <c:v>1 MGD AeMBR [multi family]</c:v>
                </c:pt>
                <c:pt idx="11">
                  <c:v>1 MGD AeMBR [high density urban]</c:v>
                </c:pt>
                <c:pt idx="12">
                  <c:v>5 MGD AeMBR [single family]</c:v>
                </c:pt>
                <c:pt idx="13">
                  <c:v>5 MGD AeMBR [multi family]</c:v>
                </c:pt>
                <c:pt idx="14">
                  <c:v>5 MGD AeMBR [high density urban]</c:v>
                </c:pt>
                <c:pt idx="15">
                  <c:v>10 MGD AeMBR [single family]</c:v>
                </c:pt>
                <c:pt idx="16">
                  <c:v>10 MGD AeMBR [multi family]</c:v>
                </c:pt>
                <c:pt idx="17">
                  <c:v>10 MGD AeMBR [high density urban]</c:v>
                </c:pt>
              </c:strCache>
            </c:strRef>
          </c:cat>
          <c:val>
            <c:numRef>
              <c:f>AeMBR_LCIA_Summary_yr!$D$25:$U$25</c:f>
              <c:numCache>
                <c:formatCode>0%</c:formatCode>
                <c:ptCount val="18"/>
                <c:pt idx="0">
                  <c:v>1</c:v>
                </c:pt>
                <c:pt idx="1">
                  <c:v>0.96408152416714299</c:v>
                </c:pt>
                <c:pt idx="2">
                  <c:v>0.93923011236717546</c:v>
                </c:pt>
                <c:pt idx="3">
                  <c:v>0.93412636924521175</c:v>
                </c:pt>
                <c:pt idx="4">
                  <c:v>0.37199359840751872</c:v>
                </c:pt>
                <c:pt idx="5">
                  <c:v>0.30130746305794781</c:v>
                </c:pt>
                <c:pt idx="6">
                  <c:v>0.25130161708071547</c:v>
                </c:pt>
                <c:pt idx="7">
                  <c:v>0.15466654263109927</c:v>
                </c:pt>
                <c:pt idx="8">
                  <c:v>-13.95569781316625</c:v>
                </c:pt>
                <c:pt idx="9">
                  <c:v>-14.67208803886197</c:v>
                </c:pt>
                <c:pt idx="10">
                  <c:v>-15.172594171836391</c:v>
                </c:pt>
                <c:pt idx="11">
                  <c:v>-15.274188349327897</c:v>
                </c:pt>
                <c:pt idx="12">
                  <c:v>-81.842267475725407</c:v>
                </c:pt>
                <c:pt idx="13">
                  <c:v>-84.283864254570759</c:v>
                </c:pt>
                <c:pt idx="14">
                  <c:v>-84.781514553443714</c:v>
                </c:pt>
                <c:pt idx="15">
                  <c:v>-168.94379379181257</c:v>
                </c:pt>
                <c:pt idx="16">
                  <c:v>-173.92312433905823</c:v>
                </c:pt>
                <c:pt idx="17">
                  <c:v>-174.92294903043023</c:v>
                </c:pt>
              </c:numCache>
            </c:numRef>
          </c:val>
        </c:ser>
        <c:ser>
          <c:idx val="6"/>
          <c:order val="6"/>
          <c:tx>
            <c:strRef>
              <c:f>AeMBR_LCIA_Summary_yr!$C$26</c:f>
              <c:strCache>
                <c:ptCount val="1"/>
                <c:pt idx="0">
                  <c:v>Human Health Criteria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AeMBR_LCIA_Summary_yr!$D$19:$U$19</c:f>
              <c:strCache>
                <c:ptCount val="18"/>
                <c:pt idx="0">
                  <c:v>0.05 MGD AeMBR [semi rural single family]</c:v>
                </c:pt>
                <c:pt idx="1">
                  <c:v>0.05 MGD AeMBR [single family]</c:v>
                </c:pt>
                <c:pt idx="2">
                  <c:v>0.05 MGD AeMBR [multi family]</c:v>
                </c:pt>
                <c:pt idx="3">
                  <c:v>0.05 MGD AeMBR [high density urban]</c:v>
                </c:pt>
                <c:pt idx="4">
                  <c:v>0.1 MGD AeMBR [semi rural single family]</c:v>
                </c:pt>
                <c:pt idx="5">
                  <c:v>0.1 MGD AeMBR [single family]</c:v>
                </c:pt>
                <c:pt idx="6">
                  <c:v>0.1 MGD AeMBR [multi family]</c:v>
                </c:pt>
                <c:pt idx="7">
                  <c:v>0.1 MGD AeMBR [high density urban]</c:v>
                </c:pt>
                <c:pt idx="8">
                  <c:v>1 MGD AeMBR [semi rural single family]</c:v>
                </c:pt>
                <c:pt idx="9">
                  <c:v>1 MGD AeMBR [single family]</c:v>
                </c:pt>
                <c:pt idx="10">
                  <c:v>1 MGD AeMBR [multi family]</c:v>
                </c:pt>
                <c:pt idx="11">
                  <c:v>1 MGD AeMBR [high density urban]</c:v>
                </c:pt>
                <c:pt idx="12">
                  <c:v>5 MGD AeMBR [single family]</c:v>
                </c:pt>
                <c:pt idx="13">
                  <c:v>5 MGD AeMBR [multi family]</c:v>
                </c:pt>
                <c:pt idx="14">
                  <c:v>5 MGD AeMBR [high density urban]</c:v>
                </c:pt>
                <c:pt idx="15">
                  <c:v>10 MGD AeMBR [single family]</c:v>
                </c:pt>
                <c:pt idx="16">
                  <c:v>10 MGD AeMBR [multi family]</c:v>
                </c:pt>
                <c:pt idx="17">
                  <c:v>10 MGD AeMBR [high density urban]</c:v>
                </c:pt>
              </c:strCache>
            </c:strRef>
          </c:cat>
          <c:val>
            <c:numRef>
              <c:f>AeMBR_LCIA_Summary_yr!$D$26:$U$26</c:f>
              <c:numCache>
                <c:formatCode>0%</c:formatCode>
                <c:ptCount val="18"/>
                <c:pt idx="0">
                  <c:v>1</c:v>
                </c:pt>
                <c:pt idx="1">
                  <c:v>0.96416416055896703</c:v>
                </c:pt>
                <c:pt idx="2">
                  <c:v>0.93942722683426061</c:v>
                </c:pt>
                <c:pt idx="3">
                  <c:v>0.93433697694380913</c:v>
                </c:pt>
                <c:pt idx="4">
                  <c:v>0.46008175613621216</c:v>
                </c:pt>
                <c:pt idx="5">
                  <c:v>0.38943773147731292</c:v>
                </c:pt>
                <c:pt idx="6">
                  <c:v>0.33960490536817273</c:v>
                </c:pt>
                <c:pt idx="7">
                  <c:v>0.329809775920957</c:v>
                </c:pt>
                <c:pt idx="8">
                  <c:v>-12.156032966571223</c:v>
                </c:pt>
                <c:pt idx="9">
                  <c:v>-12.870108587995894</c:v>
                </c:pt>
                <c:pt idx="10">
                  <c:v>-13.368508880925368</c:v>
                </c:pt>
                <c:pt idx="11">
                  <c:v>-13.474755842082198</c:v>
                </c:pt>
                <c:pt idx="12">
                  <c:v>-72.450222998565366</c:v>
                </c:pt>
                <c:pt idx="13">
                  <c:v>-74.895455391282937</c:v>
                </c:pt>
                <c:pt idx="14">
                  <c:v>-75.389722257237693</c:v>
                </c:pt>
                <c:pt idx="15">
                  <c:v>-149.83822849699564</c:v>
                </c:pt>
                <c:pt idx="16">
                  <c:v>-154.78801630320598</c:v>
                </c:pt>
                <c:pt idx="17">
                  <c:v>-155.79045938304731</c:v>
                </c:pt>
              </c:numCache>
            </c:numRef>
          </c:val>
        </c:ser>
        <c:ser>
          <c:idx val="7"/>
          <c:order val="7"/>
          <c:tx>
            <c:strRef>
              <c:f>AeMBR_LCIA_Summary_yr!$C$27</c:f>
              <c:strCache>
                <c:ptCount val="1"/>
                <c:pt idx="0">
                  <c:v>Human Health Cancer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AeMBR_LCIA_Summary_yr!$D$19:$U$19</c:f>
              <c:strCache>
                <c:ptCount val="18"/>
                <c:pt idx="0">
                  <c:v>0.05 MGD AeMBR [semi rural single family]</c:v>
                </c:pt>
                <c:pt idx="1">
                  <c:v>0.05 MGD AeMBR [single family]</c:v>
                </c:pt>
                <c:pt idx="2">
                  <c:v>0.05 MGD AeMBR [multi family]</c:v>
                </c:pt>
                <c:pt idx="3">
                  <c:v>0.05 MGD AeMBR [high density urban]</c:v>
                </c:pt>
                <c:pt idx="4">
                  <c:v>0.1 MGD AeMBR [semi rural single family]</c:v>
                </c:pt>
                <c:pt idx="5">
                  <c:v>0.1 MGD AeMBR [single family]</c:v>
                </c:pt>
                <c:pt idx="6">
                  <c:v>0.1 MGD AeMBR [multi family]</c:v>
                </c:pt>
                <c:pt idx="7">
                  <c:v>0.1 MGD AeMBR [high density urban]</c:v>
                </c:pt>
                <c:pt idx="8">
                  <c:v>1 MGD AeMBR [semi rural single family]</c:v>
                </c:pt>
                <c:pt idx="9">
                  <c:v>1 MGD AeMBR [single family]</c:v>
                </c:pt>
                <c:pt idx="10">
                  <c:v>1 MGD AeMBR [multi family]</c:v>
                </c:pt>
                <c:pt idx="11">
                  <c:v>1 MGD AeMBR [high density urban]</c:v>
                </c:pt>
                <c:pt idx="12">
                  <c:v>5 MGD AeMBR [single family]</c:v>
                </c:pt>
                <c:pt idx="13">
                  <c:v>5 MGD AeMBR [multi family]</c:v>
                </c:pt>
                <c:pt idx="14">
                  <c:v>5 MGD AeMBR [high density urban]</c:v>
                </c:pt>
                <c:pt idx="15">
                  <c:v>10 MGD AeMBR [single family]</c:v>
                </c:pt>
                <c:pt idx="16">
                  <c:v>10 MGD AeMBR [multi family]</c:v>
                </c:pt>
                <c:pt idx="17">
                  <c:v>10 MGD AeMBR [high density urban]</c:v>
                </c:pt>
              </c:strCache>
            </c:strRef>
          </c:cat>
          <c:val>
            <c:numRef>
              <c:f>AeMBR_LCIA_Summary_yr!$D$27:$U$27</c:f>
              <c:numCache>
                <c:formatCode>0%</c:formatCode>
                <c:ptCount val="18"/>
                <c:pt idx="0">
                  <c:v>1</c:v>
                </c:pt>
                <c:pt idx="1">
                  <c:v>0.74973934061073289</c:v>
                </c:pt>
                <c:pt idx="2">
                  <c:v>0.573998830982133</c:v>
                </c:pt>
                <c:pt idx="3">
                  <c:v>0.53948278858153897</c:v>
                </c:pt>
                <c:pt idx="4">
                  <c:v>0.93655708440624952</c:v>
                </c:pt>
                <c:pt idx="5">
                  <c:v>0.48807048861787339</c:v>
                </c:pt>
                <c:pt idx="6">
                  <c:v>0.13825689957504622</c:v>
                </c:pt>
                <c:pt idx="7">
                  <c:v>6.8600733005797693E-2</c:v>
                </c:pt>
                <c:pt idx="8">
                  <c:v>-1.0276693891091768</c:v>
                </c:pt>
                <c:pt idx="9">
                  <c:v>-6.054643686513641</c:v>
                </c:pt>
                <c:pt idx="10">
                  <c:v>-9.6000853067092162</c:v>
                </c:pt>
                <c:pt idx="11">
                  <c:v>-10.252602644507986</c:v>
                </c:pt>
                <c:pt idx="12">
                  <c:v>-38.12372632343881</c:v>
                </c:pt>
                <c:pt idx="13">
                  <c:v>-52.992053838012033</c:v>
                </c:pt>
                <c:pt idx="14">
                  <c:v>-56.486943334228535</c:v>
                </c:pt>
                <c:pt idx="15">
                  <c:v>-74.395428192287653</c:v>
                </c:pt>
                <c:pt idx="16">
                  <c:v>-109.61201244846053</c:v>
                </c:pt>
                <c:pt idx="17">
                  <c:v>-116.35045259948501</c:v>
                </c:pt>
              </c:numCache>
            </c:numRef>
          </c:val>
        </c:ser>
        <c:ser>
          <c:idx val="8"/>
          <c:order val="8"/>
          <c:tx>
            <c:strRef>
              <c:f>AeMBR_LCIA_Summary_yr!$C$28</c:f>
              <c:strCache>
                <c:ptCount val="1"/>
                <c:pt idx="0">
                  <c:v>Human Health NonCancer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AeMBR_LCIA_Summary_yr!$D$19:$U$19</c:f>
              <c:strCache>
                <c:ptCount val="18"/>
                <c:pt idx="0">
                  <c:v>0.05 MGD AeMBR [semi rural single family]</c:v>
                </c:pt>
                <c:pt idx="1">
                  <c:v>0.05 MGD AeMBR [single family]</c:v>
                </c:pt>
                <c:pt idx="2">
                  <c:v>0.05 MGD AeMBR [multi family]</c:v>
                </c:pt>
                <c:pt idx="3">
                  <c:v>0.05 MGD AeMBR [high density urban]</c:v>
                </c:pt>
                <c:pt idx="4">
                  <c:v>0.1 MGD AeMBR [semi rural single family]</c:v>
                </c:pt>
                <c:pt idx="5">
                  <c:v>0.1 MGD AeMBR [single family]</c:v>
                </c:pt>
                <c:pt idx="6">
                  <c:v>0.1 MGD AeMBR [multi family]</c:v>
                </c:pt>
                <c:pt idx="7">
                  <c:v>0.1 MGD AeMBR [high density urban]</c:v>
                </c:pt>
                <c:pt idx="8">
                  <c:v>1 MGD AeMBR [semi rural single family]</c:v>
                </c:pt>
                <c:pt idx="9">
                  <c:v>1 MGD AeMBR [single family]</c:v>
                </c:pt>
                <c:pt idx="10">
                  <c:v>1 MGD AeMBR [multi family]</c:v>
                </c:pt>
                <c:pt idx="11">
                  <c:v>1 MGD AeMBR [high density urban]</c:v>
                </c:pt>
                <c:pt idx="12">
                  <c:v>5 MGD AeMBR [single family]</c:v>
                </c:pt>
                <c:pt idx="13">
                  <c:v>5 MGD AeMBR [multi family]</c:v>
                </c:pt>
                <c:pt idx="14">
                  <c:v>5 MGD AeMBR [high density urban]</c:v>
                </c:pt>
                <c:pt idx="15">
                  <c:v>10 MGD AeMBR [single family]</c:v>
                </c:pt>
                <c:pt idx="16">
                  <c:v>10 MGD AeMBR [multi family]</c:v>
                </c:pt>
                <c:pt idx="17">
                  <c:v>10 MGD AeMBR [high density urban]</c:v>
                </c:pt>
              </c:strCache>
            </c:strRef>
          </c:cat>
          <c:val>
            <c:numRef>
              <c:f>AeMBR_LCIA_Summary_yr!$D$28:$U$28</c:f>
              <c:numCache>
                <c:formatCode>0%</c:formatCode>
                <c:ptCount val="18"/>
                <c:pt idx="0">
                  <c:v>1</c:v>
                </c:pt>
                <c:pt idx="1">
                  <c:v>0.9463107764812444</c:v>
                </c:pt>
                <c:pt idx="2">
                  <c:v>0.90905552764352482</c:v>
                </c:pt>
                <c:pt idx="3">
                  <c:v>0.90150512677172612</c:v>
                </c:pt>
                <c:pt idx="4">
                  <c:v>0.66278367075440325</c:v>
                </c:pt>
                <c:pt idx="5">
                  <c:v>0.55707947380711453</c:v>
                </c:pt>
                <c:pt idx="6">
                  <c:v>0.48235385693157934</c:v>
                </c:pt>
                <c:pt idx="7">
                  <c:v>0.46816731178839061</c:v>
                </c:pt>
                <c:pt idx="8">
                  <c:v>-7.8725277213640261</c:v>
                </c:pt>
                <c:pt idx="9">
                  <c:v>-8.9451941380017974</c:v>
                </c:pt>
                <c:pt idx="10">
                  <c:v>-9.6931013253890193</c:v>
                </c:pt>
                <c:pt idx="11">
                  <c:v>1.6544364796875112E-4</c:v>
                </c:pt>
                <c:pt idx="12">
                  <c:v>-51.978035197463853</c:v>
                </c:pt>
                <c:pt idx="13">
                  <c:v>-55.630815825413784</c:v>
                </c:pt>
                <c:pt idx="14">
                  <c:v>-56.360098218897939</c:v>
                </c:pt>
                <c:pt idx="15">
                  <c:v>-108.1939186368236</c:v>
                </c:pt>
                <c:pt idx="16">
                  <c:v>-115.50726381114798</c:v>
                </c:pt>
                <c:pt idx="17">
                  <c:v>-117.06079240289563</c:v>
                </c:pt>
              </c:numCache>
            </c:numRef>
          </c:val>
        </c:ser>
        <c:ser>
          <c:idx val="9"/>
          <c:order val="9"/>
          <c:tx>
            <c:strRef>
              <c:f>AeMBR_LCIA_Summary_yr!$C$29</c:f>
              <c:strCache>
                <c:ptCount val="1"/>
                <c:pt idx="0">
                  <c:v>Ozone Depletion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AeMBR_LCIA_Summary_yr!$D$19:$U$19</c:f>
              <c:strCache>
                <c:ptCount val="18"/>
                <c:pt idx="0">
                  <c:v>0.05 MGD AeMBR [semi rural single family]</c:v>
                </c:pt>
                <c:pt idx="1">
                  <c:v>0.05 MGD AeMBR [single family]</c:v>
                </c:pt>
                <c:pt idx="2">
                  <c:v>0.05 MGD AeMBR [multi family]</c:v>
                </c:pt>
                <c:pt idx="3">
                  <c:v>0.05 MGD AeMBR [high density urban]</c:v>
                </c:pt>
                <c:pt idx="4">
                  <c:v>0.1 MGD AeMBR [semi rural single family]</c:v>
                </c:pt>
                <c:pt idx="5">
                  <c:v>0.1 MGD AeMBR [single family]</c:v>
                </c:pt>
                <c:pt idx="6">
                  <c:v>0.1 MGD AeMBR [multi family]</c:v>
                </c:pt>
                <c:pt idx="7">
                  <c:v>0.1 MGD AeMBR [high density urban]</c:v>
                </c:pt>
                <c:pt idx="8">
                  <c:v>1 MGD AeMBR [semi rural single family]</c:v>
                </c:pt>
                <c:pt idx="9">
                  <c:v>1 MGD AeMBR [single family]</c:v>
                </c:pt>
                <c:pt idx="10">
                  <c:v>1 MGD AeMBR [multi family]</c:v>
                </c:pt>
                <c:pt idx="11">
                  <c:v>1 MGD AeMBR [high density urban]</c:v>
                </c:pt>
                <c:pt idx="12">
                  <c:v>5 MGD AeMBR [single family]</c:v>
                </c:pt>
                <c:pt idx="13">
                  <c:v>5 MGD AeMBR [multi family]</c:v>
                </c:pt>
                <c:pt idx="14">
                  <c:v>5 MGD AeMBR [high density urban]</c:v>
                </c:pt>
                <c:pt idx="15">
                  <c:v>10 MGD AeMBR [single family]</c:v>
                </c:pt>
                <c:pt idx="16">
                  <c:v>10 MGD AeMBR [multi family]</c:v>
                </c:pt>
                <c:pt idx="17">
                  <c:v>10 MGD AeMBR [high density urban]</c:v>
                </c:pt>
              </c:strCache>
            </c:strRef>
          </c:cat>
          <c:val>
            <c:numRef>
              <c:f>AeMBR_LCIA_Summary_yr!$D$29:$U$29</c:f>
              <c:numCache>
                <c:formatCode>0%</c:formatCode>
                <c:ptCount val="18"/>
                <c:pt idx="0">
                  <c:v>1</c:v>
                </c:pt>
                <c:pt idx="1">
                  <c:v>0.96612963546177477</c:v>
                </c:pt>
                <c:pt idx="2">
                  <c:v>0.94268266278245805</c:v>
                </c:pt>
                <c:pt idx="3">
                  <c:v>0.93789465396425487</c:v>
                </c:pt>
                <c:pt idx="4">
                  <c:v>0.76370561373120227</c:v>
                </c:pt>
                <c:pt idx="5">
                  <c:v>0.6965612943862689</c:v>
                </c:pt>
                <c:pt idx="6">
                  <c:v>0.64945476734115426</c:v>
                </c:pt>
                <c:pt idx="7">
                  <c:v>0.63971340839303992</c:v>
                </c:pt>
                <c:pt idx="8">
                  <c:v>-5.7398531611684129</c:v>
                </c:pt>
                <c:pt idx="9">
                  <c:v>-6.4161089677978111</c:v>
                </c:pt>
                <c:pt idx="10">
                  <c:v>-6.8892213211558149</c:v>
                </c:pt>
                <c:pt idx="11">
                  <c:v>-6.9974805133454065</c:v>
                </c:pt>
                <c:pt idx="12">
                  <c:v>-38.915538146602636</c:v>
                </c:pt>
                <c:pt idx="13">
                  <c:v>-41.236910479489808</c:v>
                </c:pt>
                <c:pt idx="14">
                  <c:v>-41.709314227226209</c:v>
                </c:pt>
                <c:pt idx="15">
                  <c:v>-81.932524998031667</c:v>
                </c:pt>
                <c:pt idx="16">
                  <c:v>-86.591508542634443</c:v>
                </c:pt>
                <c:pt idx="17">
                  <c:v>-87.551570742461223</c:v>
                </c:pt>
              </c:numCache>
            </c:numRef>
          </c:val>
        </c:ser>
        <c:ser>
          <c:idx val="10"/>
          <c:order val="10"/>
          <c:tx>
            <c:strRef>
              <c:f>AeMBR_LCIA_Summary_yr!$C$30</c:f>
              <c:strCache>
                <c:ptCount val="1"/>
                <c:pt idx="0">
                  <c:v>Smog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AeMBR_LCIA_Summary_yr!$D$19:$U$19</c:f>
              <c:strCache>
                <c:ptCount val="18"/>
                <c:pt idx="0">
                  <c:v>0.05 MGD AeMBR [semi rural single family]</c:v>
                </c:pt>
                <c:pt idx="1">
                  <c:v>0.05 MGD AeMBR [single family]</c:v>
                </c:pt>
                <c:pt idx="2">
                  <c:v>0.05 MGD AeMBR [multi family]</c:v>
                </c:pt>
                <c:pt idx="3">
                  <c:v>0.05 MGD AeMBR [high density urban]</c:v>
                </c:pt>
                <c:pt idx="4">
                  <c:v>0.1 MGD AeMBR [semi rural single family]</c:v>
                </c:pt>
                <c:pt idx="5">
                  <c:v>0.1 MGD AeMBR [single family]</c:v>
                </c:pt>
                <c:pt idx="6">
                  <c:v>0.1 MGD AeMBR [multi family]</c:v>
                </c:pt>
                <c:pt idx="7">
                  <c:v>0.1 MGD AeMBR [high density urban]</c:v>
                </c:pt>
                <c:pt idx="8">
                  <c:v>1 MGD AeMBR [semi rural single family]</c:v>
                </c:pt>
                <c:pt idx="9">
                  <c:v>1 MGD AeMBR [single family]</c:v>
                </c:pt>
                <c:pt idx="10">
                  <c:v>1 MGD AeMBR [multi family]</c:v>
                </c:pt>
                <c:pt idx="11">
                  <c:v>1 MGD AeMBR [high density urban]</c:v>
                </c:pt>
                <c:pt idx="12">
                  <c:v>5 MGD AeMBR [single family]</c:v>
                </c:pt>
                <c:pt idx="13">
                  <c:v>5 MGD AeMBR [multi family]</c:v>
                </c:pt>
                <c:pt idx="14">
                  <c:v>5 MGD AeMBR [high density urban]</c:v>
                </c:pt>
                <c:pt idx="15">
                  <c:v>10 MGD AeMBR [single family]</c:v>
                </c:pt>
                <c:pt idx="16">
                  <c:v>10 MGD AeMBR [multi family]</c:v>
                </c:pt>
                <c:pt idx="17">
                  <c:v>10 MGD AeMBR [high density urban]</c:v>
                </c:pt>
              </c:strCache>
            </c:strRef>
          </c:cat>
          <c:val>
            <c:numRef>
              <c:f>AeMBR_LCIA_Summary_yr!$D$30:$U$30</c:f>
              <c:numCache>
                <c:formatCode>0%</c:formatCode>
                <c:ptCount val="18"/>
                <c:pt idx="0">
                  <c:v>1</c:v>
                </c:pt>
                <c:pt idx="1">
                  <c:v>0.95790763464691786</c:v>
                </c:pt>
                <c:pt idx="2">
                  <c:v>0.92879795304250679</c:v>
                </c:pt>
                <c:pt idx="3">
                  <c:v>0.92284267618069438</c:v>
                </c:pt>
                <c:pt idx="4">
                  <c:v>0.43274050849595469</c:v>
                </c:pt>
                <c:pt idx="5">
                  <c:v>0.35026082490945454</c:v>
                </c:pt>
                <c:pt idx="6">
                  <c:v>0.2916954970538948</c:v>
                </c:pt>
                <c:pt idx="7">
                  <c:v>0.2803024938284952</c:v>
                </c:pt>
                <c:pt idx="8">
                  <c:v>-12.691767122547164</c:v>
                </c:pt>
                <c:pt idx="9">
                  <c:v>-13.531091770726345</c:v>
                </c:pt>
                <c:pt idx="10">
                  <c:v>-14.11742977097861</c:v>
                </c:pt>
                <c:pt idx="11">
                  <c:v>-14.245815089103916</c:v>
                </c:pt>
                <c:pt idx="12">
                  <c:v>-75.777519505558857</c:v>
                </c:pt>
                <c:pt idx="13">
                  <c:v>-78.621366920734445</c:v>
                </c:pt>
                <c:pt idx="14">
                  <c:v>-79.202479413301617</c:v>
                </c:pt>
                <c:pt idx="15">
                  <c:v>-156.53819125358126</c:v>
                </c:pt>
                <c:pt idx="16">
                  <c:v>-162.33264861163667</c:v>
                </c:pt>
                <c:pt idx="17">
                  <c:v>-163.51919923599473</c:v>
                </c:pt>
              </c:numCache>
            </c:numRef>
          </c:val>
        </c:ser>
        <c:ser>
          <c:idx val="11"/>
          <c:order val="11"/>
          <c:tx>
            <c:strRef>
              <c:f>AeMBR_LCIA_Summary_yr!$C$31</c:f>
              <c:strCache>
                <c:ptCount val="1"/>
                <c:pt idx="0">
                  <c:v>Water Depletion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AeMBR_LCIA_Summary_yr!$D$19:$U$19</c:f>
              <c:strCache>
                <c:ptCount val="18"/>
                <c:pt idx="0">
                  <c:v>0.05 MGD AeMBR [semi rural single family]</c:v>
                </c:pt>
                <c:pt idx="1">
                  <c:v>0.05 MGD AeMBR [single family]</c:v>
                </c:pt>
                <c:pt idx="2">
                  <c:v>0.05 MGD AeMBR [multi family]</c:v>
                </c:pt>
                <c:pt idx="3">
                  <c:v>0.05 MGD AeMBR [high density urban]</c:v>
                </c:pt>
                <c:pt idx="4">
                  <c:v>0.1 MGD AeMBR [semi rural single family]</c:v>
                </c:pt>
                <c:pt idx="5">
                  <c:v>0.1 MGD AeMBR [single family]</c:v>
                </c:pt>
                <c:pt idx="6">
                  <c:v>0.1 MGD AeMBR [multi family]</c:v>
                </c:pt>
                <c:pt idx="7">
                  <c:v>0.1 MGD AeMBR [high density urban]</c:v>
                </c:pt>
                <c:pt idx="8">
                  <c:v>1 MGD AeMBR [semi rural single family]</c:v>
                </c:pt>
                <c:pt idx="9">
                  <c:v>1 MGD AeMBR [single family]</c:v>
                </c:pt>
                <c:pt idx="10">
                  <c:v>1 MGD AeMBR [multi family]</c:v>
                </c:pt>
                <c:pt idx="11">
                  <c:v>1 MGD AeMBR [high density urban]</c:v>
                </c:pt>
                <c:pt idx="12">
                  <c:v>5 MGD AeMBR [single family]</c:v>
                </c:pt>
                <c:pt idx="13">
                  <c:v>5 MGD AeMBR [multi family]</c:v>
                </c:pt>
                <c:pt idx="14">
                  <c:v>5 MGD AeMBR [high density urban]</c:v>
                </c:pt>
                <c:pt idx="15">
                  <c:v>10 MGD AeMBR [single family]</c:v>
                </c:pt>
                <c:pt idx="16">
                  <c:v>10 MGD AeMBR [multi family]</c:v>
                </c:pt>
                <c:pt idx="17">
                  <c:v>10 MGD AeMBR [high density urban]</c:v>
                </c:pt>
              </c:strCache>
            </c:strRef>
          </c:cat>
          <c:val>
            <c:numRef>
              <c:f>AeMBR_LCIA_Summary_yr!$D$31:$U$31</c:f>
              <c:numCache>
                <c:formatCode>0%</c:formatCode>
                <c:ptCount val="18"/>
                <c:pt idx="0">
                  <c:v>0.60172478069341195</c:v>
                </c:pt>
                <c:pt idx="1">
                  <c:v>0.59085949922776682</c:v>
                </c:pt>
                <c:pt idx="2">
                  <c:v>0.58327487693723978</c:v>
                </c:pt>
                <c:pt idx="3">
                  <c:v>0.58173649733332311</c:v>
                </c:pt>
                <c:pt idx="4">
                  <c:v>0.66484627616272429</c:v>
                </c:pt>
                <c:pt idx="5">
                  <c:v>0.64312940800535612</c:v>
                </c:pt>
                <c:pt idx="6">
                  <c:v>0.62798450968905251</c:v>
                </c:pt>
                <c:pt idx="7">
                  <c:v>0.62498672367750319</c:v>
                </c:pt>
                <c:pt idx="8">
                  <c:v>1</c:v>
                </c:pt>
                <c:pt idx="9">
                  <c:v>0.78181181858989468</c:v>
                </c:pt>
                <c:pt idx="10">
                  <c:v>0.630400876465531</c:v>
                </c:pt>
                <c:pt idx="11">
                  <c:v>0.59888768002921544</c:v>
                </c:pt>
                <c:pt idx="12">
                  <c:v>0.98368800261722344</c:v>
                </c:pt>
                <c:pt idx="13">
                  <c:v>0.22866392263974372</c:v>
                </c:pt>
                <c:pt idx="14">
                  <c:v>7.759983870599603E-2</c:v>
                </c:pt>
                <c:pt idx="15">
                  <c:v>-0.11357228177758165</c:v>
                </c:pt>
                <c:pt idx="16">
                  <c:v>-1.6257750861629525</c:v>
                </c:pt>
                <c:pt idx="17">
                  <c:v>-1.9307272685773411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7304648"/>
        <c:axId val="317305040"/>
      </c:barChart>
      <c:catAx>
        <c:axId val="317304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305040"/>
        <c:crosses val="autoZero"/>
        <c:auto val="1"/>
        <c:lblAlgn val="ctr"/>
        <c:lblOffset val="100"/>
        <c:noMultiLvlLbl val="0"/>
      </c:catAx>
      <c:valAx>
        <c:axId val="317305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  <a:r>
                  <a:rPr lang="en-US" baseline="0"/>
                  <a:t> of Maximum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4638307944210822E-3"/>
              <c:y val="0.428800034271240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304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39661</xdr:rowOff>
    </xdr:from>
    <xdr:to>
      <xdr:col>1</xdr:col>
      <xdr:colOff>1905000</xdr:colOff>
      <xdr:row>6</xdr:row>
      <xdr:rowOff>161924</xdr:rowOff>
    </xdr:to>
    <xdr:pic>
      <xdr:nvPicPr>
        <xdr:cNvPr id="2" name="Picture 1" descr="K:\ERG Proposals.gs.lex\EPA_ORD_STREAMS III.rs.cha\Tech proposal input for RTI prime\ERG-Quals-to-RTI_082715\ERG logo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30161"/>
          <a:ext cx="1895475" cy="8842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33618</xdr:colOff>
      <xdr:row>32</xdr:row>
      <xdr:rowOff>142874</xdr:rowOff>
    </xdr:from>
    <xdr:to>
      <xdr:col>21</xdr:col>
      <xdr:colOff>28576</xdr:colOff>
      <xdr:row>83</xdr:row>
      <xdr:rowOff>67235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33618</xdr:colOff>
      <xdr:row>32</xdr:row>
      <xdr:rowOff>142874</xdr:rowOff>
    </xdr:from>
    <xdr:to>
      <xdr:col>21</xdr:col>
      <xdr:colOff>28576</xdr:colOff>
      <xdr:row>83</xdr:row>
      <xdr:rowOff>67235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319366</xdr:colOff>
      <xdr:row>75</xdr:row>
      <xdr:rowOff>124385</xdr:rowOff>
    </xdr:from>
    <xdr:to>
      <xdr:col>19</xdr:col>
      <xdr:colOff>280146</xdr:colOff>
      <xdr:row>114</xdr:row>
      <xdr:rowOff>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274543</xdr:colOff>
      <xdr:row>72</xdr:row>
      <xdr:rowOff>146796</xdr:rowOff>
    </xdr:from>
    <xdr:to>
      <xdr:col>12</xdr:col>
      <xdr:colOff>537882</xdr:colOff>
      <xdr:row>106</xdr:row>
      <xdr:rowOff>78441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22411</xdr:colOff>
      <xdr:row>69</xdr:row>
      <xdr:rowOff>152398</xdr:rowOff>
    </xdr:from>
    <xdr:to>
      <xdr:col>11</xdr:col>
      <xdr:colOff>1288677</xdr:colOff>
      <xdr:row>99</xdr:row>
      <xdr:rowOff>44823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201704</xdr:colOff>
      <xdr:row>24</xdr:row>
      <xdr:rowOff>158002</xdr:rowOff>
    </xdr:from>
    <xdr:to>
      <xdr:col>20</xdr:col>
      <xdr:colOff>235324</xdr:colOff>
      <xdr:row>59</xdr:row>
      <xdr:rowOff>11206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201704</xdr:colOff>
      <xdr:row>24</xdr:row>
      <xdr:rowOff>158002</xdr:rowOff>
    </xdr:from>
    <xdr:to>
      <xdr:col>20</xdr:col>
      <xdr:colOff>235324</xdr:colOff>
      <xdr:row>59</xdr:row>
      <xdr:rowOff>11206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201704</xdr:colOff>
      <xdr:row>24</xdr:row>
      <xdr:rowOff>158002</xdr:rowOff>
    </xdr:from>
    <xdr:to>
      <xdr:col>20</xdr:col>
      <xdr:colOff>235324</xdr:colOff>
      <xdr:row>59</xdr:row>
      <xdr:rowOff>11206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336175</xdr:colOff>
      <xdr:row>13</xdr:row>
      <xdr:rowOff>79560</xdr:rowOff>
    </xdr:from>
    <xdr:to>
      <xdr:col>16</xdr:col>
      <xdr:colOff>437029</xdr:colOff>
      <xdr:row>31</xdr:row>
      <xdr:rowOff>145675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145675</xdr:colOff>
      <xdr:row>45</xdr:row>
      <xdr:rowOff>146794</xdr:rowOff>
    </xdr:from>
    <xdr:to>
      <xdr:col>16</xdr:col>
      <xdr:colOff>773206</xdr:colOff>
      <xdr:row>67</xdr:row>
      <xdr:rowOff>11205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56028</xdr:colOff>
      <xdr:row>75</xdr:row>
      <xdr:rowOff>6722</xdr:rowOff>
    </xdr:from>
    <xdr:to>
      <xdr:col>13</xdr:col>
      <xdr:colOff>112059</xdr:colOff>
      <xdr:row>107</xdr:row>
      <xdr:rowOff>145676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84044</xdr:colOff>
      <xdr:row>73</xdr:row>
      <xdr:rowOff>113179</xdr:rowOff>
    </xdr:from>
    <xdr:to>
      <xdr:col>12</xdr:col>
      <xdr:colOff>347383</xdr:colOff>
      <xdr:row>107</xdr:row>
      <xdr:rowOff>44824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212911</xdr:colOff>
      <xdr:row>73</xdr:row>
      <xdr:rowOff>129987</xdr:rowOff>
    </xdr:from>
    <xdr:to>
      <xdr:col>13</xdr:col>
      <xdr:colOff>1232647</xdr:colOff>
      <xdr:row>104</xdr:row>
      <xdr:rowOff>89647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201704</xdr:colOff>
      <xdr:row>24</xdr:row>
      <xdr:rowOff>158002</xdr:rowOff>
    </xdr:from>
    <xdr:to>
      <xdr:col>20</xdr:col>
      <xdr:colOff>235324</xdr:colOff>
      <xdr:row>59</xdr:row>
      <xdr:rowOff>11206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201704</xdr:colOff>
      <xdr:row>24</xdr:row>
      <xdr:rowOff>158002</xdr:rowOff>
    </xdr:from>
    <xdr:to>
      <xdr:col>20</xdr:col>
      <xdr:colOff>235324</xdr:colOff>
      <xdr:row>59</xdr:row>
      <xdr:rowOff>11206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201704</xdr:colOff>
      <xdr:row>24</xdr:row>
      <xdr:rowOff>158002</xdr:rowOff>
    </xdr:from>
    <xdr:to>
      <xdr:col>20</xdr:col>
      <xdr:colOff>235324</xdr:colOff>
      <xdr:row>59</xdr:row>
      <xdr:rowOff>11206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336175</xdr:colOff>
      <xdr:row>14</xdr:row>
      <xdr:rowOff>79560</xdr:rowOff>
    </xdr:from>
    <xdr:to>
      <xdr:col>16</xdr:col>
      <xdr:colOff>437029</xdr:colOff>
      <xdr:row>32</xdr:row>
      <xdr:rowOff>145675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145675</xdr:colOff>
      <xdr:row>46</xdr:row>
      <xdr:rowOff>146794</xdr:rowOff>
    </xdr:from>
    <xdr:to>
      <xdr:col>16</xdr:col>
      <xdr:colOff>773206</xdr:colOff>
      <xdr:row>68</xdr:row>
      <xdr:rowOff>11205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33618</xdr:colOff>
      <xdr:row>32</xdr:row>
      <xdr:rowOff>142874</xdr:rowOff>
    </xdr:from>
    <xdr:to>
      <xdr:col>21</xdr:col>
      <xdr:colOff>28576</xdr:colOff>
      <xdr:row>83</xdr:row>
      <xdr:rowOff>67235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showGridLines="0" tabSelected="1" workbookViewId="0">
      <selection activeCell="C18" sqref="C18"/>
    </sheetView>
  </sheetViews>
  <sheetFormatPr defaultRowHeight="15" x14ac:dyDescent="0.25"/>
  <cols>
    <col min="1" max="1" width="2.5703125" customWidth="1"/>
    <col min="2" max="2" width="33.7109375" customWidth="1"/>
    <col min="3" max="3" width="107.28515625" customWidth="1"/>
  </cols>
  <sheetData>
    <row r="1" spans="1:3" x14ac:dyDescent="0.25">
      <c r="A1" s="69" t="s">
        <v>65</v>
      </c>
    </row>
    <row r="2" spans="1:3" x14ac:dyDescent="0.25">
      <c r="A2" s="69"/>
    </row>
    <row r="9" spans="1:3" ht="18.75" x14ac:dyDescent="0.3">
      <c r="B9" s="70" t="s">
        <v>64</v>
      </c>
    </row>
    <row r="10" spans="1:3" x14ac:dyDescent="0.25">
      <c r="B10" s="68" t="s">
        <v>68</v>
      </c>
    </row>
    <row r="11" spans="1:3" x14ac:dyDescent="0.25">
      <c r="B11" s="68" t="s">
        <v>69</v>
      </c>
    </row>
    <row r="13" spans="1:3" x14ac:dyDescent="0.25">
      <c r="B13" s="68" t="s">
        <v>59</v>
      </c>
      <c r="C13" s="68" t="s">
        <v>66</v>
      </c>
    </row>
    <row r="14" spans="1:3" x14ac:dyDescent="0.25">
      <c r="B14" s="71" t="s">
        <v>60</v>
      </c>
      <c r="C14" t="s">
        <v>70</v>
      </c>
    </row>
    <row r="15" spans="1:3" x14ac:dyDescent="0.25">
      <c r="B15" s="71" t="s">
        <v>86</v>
      </c>
      <c r="C15" t="s">
        <v>88</v>
      </c>
    </row>
    <row r="16" spans="1:3" x14ac:dyDescent="0.25">
      <c r="B16" s="71" t="s">
        <v>87</v>
      </c>
      <c r="C16" t="s">
        <v>89</v>
      </c>
    </row>
    <row r="17" spans="2:3" x14ac:dyDescent="0.25">
      <c r="B17" s="71" t="s">
        <v>61</v>
      </c>
      <c r="C17" t="s">
        <v>71</v>
      </c>
    </row>
    <row r="18" spans="2:3" x14ac:dyDescent="0.25">
      <c r="B18" s="71" t="s">
        <v>103</v>
      </c>
      <c r="C18" t="s">
        <v>105</v>
      </c>
    </row>
    <row r="19" spans="2:3" x14ac:dyDescent="0.25">
      <c r="B19" s="71" t="s">
        <v>104</v>
      </c>
      <c r="C19" t="s">
        <v>106</v>
      </c>
    </row>
    <row r="20" spans="2:3" x14ac:dyDescent="0.25">
      <c r="B20" s="71" t="s">
        <v>120</v>
      </c>
      <c r="C20" t="s">
        <v>121</v>
      </c>
    </row>
    <row r="21" spans="2:3" x14ac:dyDescent="0.25">
      <c r="B21" s="71" t="s">
        <v>67</v>
      </c>
      <c r="C21" s="85" t="s">
        <v>74</v>
      </c>
    </row>
    <row r="22" spans="2:3" x14ac:dyDescent="0.25">
      <c r="B22" s="71" t="s">
        <v>109</v>
      </c>
      <c r="C22" s="85" t="s">
        <v>111</v>
      </c>
    </row>
    <row r="23" spans="2:3" x14ac:dyDescent="0.25">
      <c r="B23" s="71" t="s">
        <v>110</v>
      </c>
      <c r="C23" s="85" t="s">
        <v>112</v>
      </c>
    </row>
    <row r="24" spans="2:3" x14ac:dyDescent="0.25">
      <c r="B24" s="71" t="s">
        <v>62</v>
      </c>
      <c r="C24" s="85" t="s">
        <v>72</v>
      </c>
    </row>
    <row r="25" spans="2:3" x14ac:dyDescent="0.25">
      <c r="B25" s="71" t="s">
        <v>113</v>
      </c>
      <c r="C25" s="85" t="s">
        <v>115</v>
      </c>
    </row>
    <row r="26" spans="2:3" x14ac:dyDescent="0.25">
      <c r="B26" s="71" t="s">
        <v>114</v>
      </c>
      <c r="C26" s="85" t="s">
        <v>116</v>
      </c>
    </row>
    <row r="27" spans="2:3" x14ac:dyDescent="0.25">
      <c r="B27" s="71" t="s">
        <v>63</v>
      </c>
      <c r="C27" s="85" t="s">
        <v>73</v>
      </c>
    </row>
    <row r="28" spans="2:3" x14ac:dyDescent="0.25">
      <c r="B28" s="71" t="s">
        <v>117</v>
      </c>
      <c r="C28" s="85" t="s">
        <v>118</v>
      </c>
    </row>
    <row r="29" spans="2:3" x14ac:dyDescent="0.25">
      <c r="B29" s="71" t="s">
        <v>176</v>
      </c>
      <c r="C29" s="85" t="s">
        <v>119</v>
      </c>
    </row>
    <row r="30" spans="2:3" x14ac:dyDescent="0.25">
      <c r="B30" s="71" t="s">
        <v>174</v>
      </c>
      <c r="C30" s="85" t="s">
        <v>122</v>
      </c>
    </row>
  </sheetData>
  <hyperlinks>
    <hyperlink ref="B14" location="AeMBR_Baseline_CED_Detail_yr!A1" display="AeMBR_Baseline_CED_Detail_yr"/>
    <hyperlink ref="B17" location="AeMBR_Baseline_GWP_yr!A1" display="AeMBR_Baseline_GWP_yr"/>
    <hyperlink ref="B24" location="AeMBR_Baseline_CED_Detail_m3!A1" display="AeMBR_Baseline_CED_Detail_m3"/>
    <hyperlink ref="B21" location="AeMBR_LCIA_Summary_yr!A1" display="AeMBR_LCIA_Summary_yr"/>
    <hyperlink ref="B27" location="AeMBR_Baseline_GWP_m3!A1" display="AeMBR_Baseline_GWP_m3"/>
    <hyperlink ref="B15" location="AnMBR_35_CED_Detail_yr!A1" display="AnMBR_35_CED_Detail_yr"/>
    <hyperlink ref="B16" location="AnMBR_20_CED_Detail_yr!A1" display="AnMBR_20_CED_Detail_yr"/>
    <hyperlink ref="B18" location="AnMBR_35_GWP_yr!A1" display="AnMBR_35_GWP_yr"/>
    <hyperlink ref="B19" location="AnMBR_20_GWP_yr!A1" display="AnMBR_20_GWP_yr"/>
    <hyperlink ref="B20" location="CED_GWP_Compare_yr!A1" display="CED_GWP_Compare_yr"/>
    <hyperlink ref="B22" location="AnMBR_35LCIA_Summary_yr!A1" display="AnMBR_35LCIA_Summary_yr"/>
    <hyperlink ref="B23" location="AnMBR_20LCIA_Summary_yr!A1" display="AnMBR_20LCIA_Summary_yr"/>
    <hyperlink ref="B28:B29" location="AeMBR_Baseline_GWP_m3!A1" display="AeMBR_Baseline_GWP_m3"/>
    <hyperlink ref="B25" location="AnMBR_35_CED_Detail_m3!A1" display="AnMBR_35_CED_Detail_m3"/>
    <hyperlink ref="B26" location="AnMBR_20_CED_Detail_m3!A1" display="AnMBR_20_CED_Detail_m3"/>
    <hyperlink ref="B28" location="AnMBR_35_GWP_m3!A1" display="AnMBR_35_GWP_m3"/>
    <hyperlink ref="B29" location="AnMBR_20_GWP_m3!A1" display="AeMBR_20_GWP_m3"/>
    <hyperlink ref="B30" location="CED_GWP_Compare_m3!A1" display="CED_GWP_Compare_m3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showGridLines="0" zoomScale="85" zoomScaleNormal="85" workbookViewId="0">
      <pane xSplit="2" topLeftCell="C1" activePane="topRight" state="frozen"/>
      <selection pane="topRight"/>
    </sheetView>
  </sheetViews>
  <sheetFormatPr defaultRowHeight="12.75" x14ac:dyDescent="0.2"/>
  <cols>
    <col min="1" max="1" width="4.140625" style="1" customWidth="1"/>
    <col min="2" max="3" width="23.7109375" style="1" customWidth="1"/>
    <col min="4" max="4" width="12.5703125" style="1" customWidth="1"/>
    <col min="5" max="5" width="11.140625" style="1" customWidth="1"/>
    <col min="6" max="6" width="12.28515625" style="1" customWidth="1"/>
    <col min="7" max="7" width="12.5703125" style="1" customWidth="1"/>
    <col min="8" max="8" width="13" style="1" customWidth="1"/>
    <col min="9" max="9" width="12.85546875" style="1" customWidth="1"/>
    <col min="10" max="10" width="12.5703125" style="1" customWidth="1"/>
    <col min="11" max="11" width="12.28515625" style="1" customWidth="1"/>
    <col min="12" max="13" width="13.85546875" style="1" customWidth="1"/>
    <col min="14" max="14" width="14.28515625" style="1" customWidth="1"/>
    <col min="15" max="15" width="11.7109375" style="1" customWidth="1"/>
    <col min="16" max="16" width="13.42578125" style="1" customWidth="1"/>
    <col min="17" max="17" width="13.140625" style="1" customWidth="1"/>
    <col min="18" max="18" width="13" style="1" customWidth="1"/>
    <col min="19" max="19" width="14.28515625" style="1" customWidth="1"/>
    <col min="20" max="20" width="14.42578125" style="1" customWidth="1"/>
    <col min="21" max="21" width="14.140625" style="1" customWidth="1"/>
    <col min="22" max="22" width="10.42578125" style="1" customWidth="1"/>
    <col min="23" max="23" width="11" style="1" customWidth="1"/>
    <col min="24" max="16384" width="9.140625" style="1"/>
  </cols>
  <sheetData>
    <row r="1" spans="1:23" ht="15.75" x14ac:dyDescent="0.25">
      <c r="A1" s="42" t="s">
        <v>107</v>
      </c>
    </row>
    <row r="2" spans="1:23" ht="15" x14ac:dyDescent="0.25">
      <c r="A2" s="41" t="s">
        <v>52</v>
      </c>
      <c r="C2" s="1" t="e">
        <f>#REF!</f>
        <v>#REF!</v>
      </c>
      <c r="D2" s="56" t="e">
        <f>#REF!</f>
        <v>#REF!</v>
      </c>
      <c r="E2" s="57" t="e">
        <f>#REF!</f>
        <v>#REF!</v>
      </c>
      <c r="F2" s="57" t="e">
        <f>#REF!</f>
        <v>#REF!</v>
      </c>
      <c r="G2" s="57" t="e">
        <f>#REF!</f>
        <v>#REF!</v>
      </c>
      <c r="H2" s="57" t="e">
        <f>#REF!</f>
        <v>#REF!</v>
      </c>
      <c r="I2" s="57" t="e">
        <f>#REF!</f>
        <v>#REF!</v>
      </c>
      <c r="J2" s="57" t="e">
        <f>#REF!</f>
        <v>#REF!</v>
      </c>
      <c r="K2" s="57" t="e">
        <f>#REF!</f>
        <v>#REF!</v>
      </c>
      <c r="L2" s="57" t="e">
        <f>#REF!</f>
        <v>#REF!</v>
      </c>
      <c r="M2" s="57" t="e">
        <f>#REF!</f>
        <v>#REF!</v>
      </c>
      <c r="N2" s="57" t="e">
        <f>#REF!</f>
        <v>#REF!</v>
      </c>
      <c r="O2" s="57" t="e">
        <f>#REF!</f>
        <v>#REF!</v>
      </c>
      <c r="P2" s="57" t="e">
        <f>#REF!</f>
        <v>#REF!</v>
      </c>
      <c r="Q2" s="57" t="e">
        <f>#REF!</f>
        <v>#REF!</v>
      </c>
      <c r="R2" s="57" t="e">
        <f>#REF!</f>
        <v>#REF!</v>
      </c>
      <c r="S2" s="57" t="e">
        <f>#REF!</f>
        <v>#REF!</v>
      </c>
      <c r="T2" s="57" t="e">
        <f>#REF!</f>
        <v>#REF!</v>
      </c>
      <c r="U2" s="58" t="e">
        <f>#REF!</f>
        <v>#REF!</v>
      </c>
    </row>
    <row r="3" spans="1:23" ht="113.25" customHeight="1" x14ac:dyDescent="0.2">
      <c r="D3" s="3" t="str">
        <f>AnMBR_35_CED_Detail_yr!E5</f>
        <v>0.05 MGD AnMBR [semi rural single family]</v>
      </c>
      <c r="E3" s="3" t="str">
        <f>AnMBR_35_CED_Detail_yr!F5</f>
        <v>0.05 MGD AnMBR [single family]</v>
      </c>
      <c r="F3" s="3" t="str">
        <f>AnMBR_35_CED_Detail_yr!G5</f>
        <v>0.05 MGD AnMBR [multi family]</v>
      </c>
      <c r="G3" s="3" t="str">
        <f>AnMBR_35_CED_Detail_yr!H5</f>
        <v>0.05 MGD AnMBR [high density urban]</v>
      </c>
      <c r="H3" s="3" t="str">
        <f>AnMBR_35_CED_Detail_yr!I5</f>
        <v>0.1 MGD AnMBR [semi rural single family]</v>
      </c>
      <c r="I3" s="3" t="str">
        <f>AnMBR_35_CED_Detail_yr!J5</f>
        <v>0.1 MGD AnMBR [single family]</v>
      </c>
      <c r="J3" s="3" t="str">
        <f>AnMBR_35_CED_Detail_yr!K5</f>
        <v>0.1 MGD AnMBR [multi family]</v>
      </c>
      <c r="K3" s="3" t="str">
        <f>AnMBR_35_CED_Detail_yr!L5</f>
        <v>0.1 MGD AnMBR [high density urban]</v>
      </c>
      <c r="L3" s="3" t="str">
        <f>AnMBR_35_CED_Detail_yr!M5</f>
        <v>1 MGD AnMBR [semi rural single family]</v>
      </c>
      <c r="M3" s="3" t="str">
        <f>AnMBR_35_CED_Detail_yr!N5</f>
        <v>1 MGD AnMBR [single family]</v>
      </c>
      <c r="N3" s="3" t="str">
        <f>AnMBR_35_CED_Detail_yr!O5</f>
        <v>1 MGD AnMBR [multi family]</v>
      </c>
      <c r="O3" s="3" t="str">
        <f>AnMBR_35_CED_Detail_yr!P5</f>
        <v>1 MGD AnMBR [high density urban]</v>
      </c>
      <c r="P3" s="3" t="str">
        <f>AnMBR_35_CED_Detail_yr!Q5</f>
        <v>5 MGD AnMBR [single family]</v>
      </c>
      <c r="Q3" s="3" t="str">
        <f>AnMBR_35_CED_Detail_yr!R5</f>
        <v>5 MGD AnMBR [multi family]</v>
      </c>
      <c r="R3" s="3" t="str">
        <f>AnMBR_35_CED_Detail_yr!S5</f>
        <v>5 MGD AnMBR [high density urban]</v>
      </c>
      <c r="S3" s="3" t="str">
        <f>AnMBR_35_CED_Detail_yr!T5</f>
        <v>10 MGD AnMBR [single family]</v>
      </c>
      <c r="T3" s="3" t="str">
        <f>AnMBR_35_CED_Detail_yr!U5</f>
        <v>10 MGD AnMBR [multi family]</v>
      </c>
      <c r="U3" s="3" t="str">
        <f>AnMBR_35_CED_Detail_yr!V5</f>
        <v>10 MGD AnMBR [high density urban]</v>
      </c>
      <c r="V3" s="28" t="s">
        <v>49</v>
      </c>
      <c r="W3" s="29" t="s">
        <v>51</v>
      </c>
    </row>
    <row r="4" spans="1:23" ht="15" x14ac:dyDescent="0.25">
      <c r="B4" s="2" t="s">
        <v>26</v>
      </c>
      <c r="C4" s="2" t="s">
        <v>35</v>
      </c>
      <c r="D4">
        <v>-129.126</v>
      </c>
      <c r="E4" s="23">
        <v>-139.49</v>
      </c>
      <c r="F4" s="23">
        <v>-146.63300000000001</v>
      </c>
      <c r="G4" s="23">
        <v>-148.107</v>
      </c>
      <c r="H4" s="23">
        <v>-530.91200000000003</v>
      </c>
      <c r="I4" s="24">
        <v>-551.31399999999996</v>
      </c>
      <c r="J4" s="24">
        <v>-565.72299999999996</v>
      </c>
      <c r="K4" s="24">
        <v>-568.56799999999998</v>
      </c>
      <c r="L4" s="22">
        <v>-8551</v>
      </c>
      <c r="M4" s="79">
        <v>-8704.33</v>
      </c>
      <c r="N4" s="79">
        <v>-8901.5</v>
      </c>
      <c r="O4" s="79">
        <v>-8930.94</v>
      </c>
      <c r="P4" s="7">
        <v>-45261.5</v>
      </c>
      <c r="Q4" s="22">
        <v>-45967.5</v>
      </c>
      <c r="R4" s="22">
        <v>-46110.8</v>
      </c>
      <c r="S4" s="22">
        <v>-91559.6</v>
      </c>
      <c r="T4" s="22">
        <v>-92993.3</v>
      </c>
      <c r="U4" s="22">
        <v>-93281.600000000006</v>
      </c>
      <c r="V4" s="30">
        <f t="shared" ref="V4:V15" si="0">MAX(D4:U4)</f>
        <v>-129.126</v>
      </c>
      <c r="W4" s="31">
        <f t="shared" ref="W4:W15" si="1">MIN(D4:U4)</f>
        <v>-93281.600000000006</v>
      </c>
    </row>
    <row r="5" spans="1:23" x14ac:dyDescent="0.2">
      <c r="B5" s="2" t="s">
        <v>34</v>
      </c>
      <c r="C5" s="2" t="s">
        <v>36</v>
      </c>
      <c r="D5" s="23">
        <v>364.89400000000001</v>
      </c>
      <c r="E5" s="23">
        <v>336.08300000000003</v>
      </c>
      <c r="F5" s="23">
        <v>315.57600000000002</v>
      </c>
      <c r="G5" s="23">
        <v>311.56700000000001</v>
      </c>
      <c r="H5" s="23">
        <v>605.58399999999995</v>
      </c>
      <c r="I5" s="23">
        <v>547.33199999999999</v>
      </c>
      <c r="J5" s="23">
        <v>506.99599999999998</v>
      </c>
      <c r="K5" s="23">
        <v>499.322</v>
      </c>
      <c r="L5" s="22">
        <v>4261.3999999999996</v>
      </c>
      <c r="M5" s="79">
        <v>4481.12</v>
      </c>
      <c r="N5" s="79">
        <v>3272.95</v>
      </c>
      <c r="O5" s="79">
        <v>3163.48</v>
      </c>
      <c r="P5" s="7">
        <v>21520.799999999999</v>
      </c>
      <c r="Q5" s="22">
        <v>19494.7</v>
      </c>
      <c r="R5" s="22">
        <v>19098.8</v>
      </c>
      <c r="S5" s="22">
        <v>41085.300000000003</v>
      </c>
      <c r="T5" s="22">
        <v>37114.6</v>
      </c>
      <c r="U5" s="22">
        <v>36267.199999999997</v>
      </c>
      <c r="V5" s="32">
        <f t="shared" si="0"/>
        <v>41085.300000000003</v>
      </c>
      <c r="W5" s="33">
        <f t="shared" si="1"/>
        <v>311.56700000000001</v>
      </c>
    </row>
    <row r="6" spans="1:23" x14ac:dyDescent="0.2">
      <c r="B6" s="2" t="s">
        <v>27</v>
      </c>
      <c r="C6" s="2" t="s">
        <v>1</v>
      </c>
      <c r="D6" s="22">
        <f>AnMBR_35_CED_Detail_yr!E29</f>
        <v>761090.24037999962</v>
      </c>
      <c r="E6" s="22">
        <f>AnMBR_35_CED_Detail_yr!F29</f>
        <v>741118.37035999936</v>
      </c>
      <c r="F6" s="22">
        <f>AnMBR_35_CED_Detail_yr!G29</f>
        <v>727260.63513999921</v>
      </c>
      <c r="G6" s="22">
        <f>AnMBR_35_CED_Detail_yr!H29</f>
        <v>724412.06604999956</v>
      </c>
      <c r="H6" s="22">
        <f>AnMBR_35_CED_Detail_yr!I29</f>
        <v>928569.33344999887</v>
      </c>
      <c r="I6" s="22">
        <f>AnMBR_35_CED_Detail_yr!J29</f>
        <v>888986.14083999768</v>
      </c>
      <c r="J6" s="22">
        <f>AnMBR_35_CED_Detail_yr!K29</f>
        <v>861142.3233199981</v>
      </c>
      <c r="K6" s="22">
        <f>AnMBR_35_CED_Detail_yr!L29</f>
        <v>855631.71084999898</v>
      </c>
      <c r="L6" s="22">
        <f>AnMBR_35_CED_Detail_yr!M29</f>
        <v>2341027.1219900064</v>
      </c>
      <c r="M6" s="22">
        <f>AnMBR_35_CED_Detail_yr!N29</f>
        <v>1942215.6846699975</v>
      </c>
      <c r="N6" s="22">
        <f>AnMBR_35_CED_Detail_yr!O29</f>
        <v>1663735.1409100033</v>
      </c>
      <c r="O6" s="22">
        <f>AnMBR_35_CED_Detail_yr!P29</f>
        <v>1608668.0349900089</v>
      </c>
      <c r="P6" s="22">
        <f>AnMBR_35_CED_Detail_yr!Q29</f>
        <v>-2201010.8670499921</v>
      </c>
      <c r="Q6" s="22">
        <f>AnMBR_35_CED_Detail_yr!R29</f>
        <v>-3572020.2996100187</v>
      </c>
      <c r="R6" s="22">
        <f>AnMBR_35_CED_Detail_yr!S29</f>
        <v>-3849107.5696100146</v>
      </c>
      <c r="S6" s="22">
        <f>AnMBR_35_CED_Detail_yr!T29</f>
        <v>-8332108.0931899846</v>
      </c>
      <c r="T6" s="22">
        <f>AnMBR_35_CED_Detail_yr!U29</f>
        <v>-11105282.993189991</v>
      </c>
      <c r="U6" s="22">
        <f>AnMBR_35_CED_Detail_yr!V29</f>
        <v>-11661901.063190013</v>
      </c>
      <c r="V6" s="32">
        <f t="shared" si="0"/>
        <v>2341027.1219900064</v>
      </c>
      <c r="W6" s="31">
        <f t="shared" si="1"/>
        <v>-11661901.063190013</v>
      </c>
    </row>
    <row r="7" spans="1:23" x14ac:dyDescent="0.2">
      <c r="B7" s="2" t="s">
        <v>28</v>
      </c>
      <c r="C7" s="2" t="s">
        <v>42</v>
      </c>
      <c r="D7" s="10">
        <v>26.103000000000002</v>
      </c>
      <c r="E7" s="10">
        <v>25.750499999999999</v>
      </c>
      <c r="F7" s="10">
        <v>25.501200000000001</v>
      </c>
      <c r="G7" s="10">
        <v>25.451699999999999</v>
      </c>
      <c r="H7" s="10">
        <v>40.819600000000001</v>
      </c>
      <c r="I7" s="10">
        <v>40.1158</v>
      </c>
      <c r="J7" s="10">
        <v>39.622700000000002</v>
      </c>
      <c r="K7" s="10">
        <v>39.5259</v>
      </c>
      <c r="L7" s="9">
        <v>249.05199999999999</v>
      </c>
      <c r="M7" s="8">
        <v>336.42599999999999</v>
      </c>
      <c r="N7" s="8">
        <v>236.98500000000001</v>
      </c>
      <c r="O7" s="8">
        <v>235.90600000000001</v>
      </c>
      <c r="P7" s="9">
        <v>1491.61</v>
      </c>
      <c r="Q7" s="9">
        <v>1467.23</v>
      </c>
      <c r="R7" s="9">
        <v>1462.33</v>
      </c>
      <c r="S7" s="7">
        <v>2803.52</v>
      </c>
      <c r="T7" s="7">
        <v>2754.35</v>
      </c>
      <c r="U7" s="7">
        <v>2744.33</v>
      </c>
      <c r="V7" s="32">
        <f t="shared" si="0"/>
        <v>2803.52</v>
      </c>
      <c r="W7" s="34">
        <f t="shared" si="1"/>
        <v>25.451699999999999</v>
      </c>
    </row>
    <row r="8" spans="1:23" x14ac:dyDescent="0.2">
      <c r="B8" s="2" t="s">
        <v>29</v>
      </c>
      <c r="C8" s="2" t="s">
        <v>37</v>
      </c>
      <c r="D8" s="7">
        <v>21203.5</v>
      </c>
      <c r="E8" s="7">
        <v>20845.400000000001</v>
      </c>
      <c r="F8" s="7">
        <v>20596</v>
      </c>
      <c r="G8" s="7">
        <v>20544.900000000001</v>
      </c>
      <c r="H8" s="7">
        <v>30231.9</v>
      </c>
      <c r="I8" s="7">
        <v>29521.8</v>
      </c>
      <c r="J8" s="7">
        <v>29021.7</v>
      </c>
      <c r="K8" s="7">
        <v>28922.799999999999</v>
      </c>
      <c r="L8" s="7">
        <v>140970</v>
      </c>
      <c r="M8" s="6">
        <v>138083</v>
      </c>
      <c r="N8" s="6">
        <v>128804</v>
      </c>
      <c r="O8" s="6">
        <v>127778</v>
      </c>
      <c r="P8" s="7">
        <v>572811</v>
      </c>
      <c r="Q8" s="7">
        <v>548241</v>
      </c>
      <c r="R8" s="7">
        <v>543266</v>
      </c>
      <c r="S8" s="7">
        <v>1065470</v>
      </c>
      <c r="T8" s="7">
        <v>1015680</v>
      </c>
      <c r="U8" s="7">
        <v>1005680</v>
      </c>
      <c r="V8" s="32">
        <f t="shared" si="0"/>
        <v>1065470</v>
      </c>
      <c r="W8" s="31">
        <f t="shared" si="1"/>
        <v>20544.900000000001</v>
      </c>
    </row>
    <row r="9" spans="1:23" x14ac:dyDescent="0.2">
      <c r="B9" s="2" t="s">
        <v>30</v>
      </c>
      <c r="C9" s="2" t="s">
        <v>39</v>
      </c>
      <c r="D9" s="7">
        <f>AnMBR_35_GWP_yr!C12</f>
        <v>44473.239999999991</v>
      </c>
      <c r="E9" s="7">
        <f>AnMBR_35_GWP_yr!D12</f>
        <v>44337.897289999994</v>
      </c>
      <c r="F9" s="7">
        <f>AnMBR_35_GWP_yr!E12</f>
        <v>44235.935739999986</v>
      </c>
      <c r="G9" s="7">
        <f>AnMBR_35_GWP_yr!F12</f>
        <v>44216.693979999982</v>
      </c>
      <c r="H9" s="7">
        <f>AnMBR_35_GWP_yr!G12</f>
        <v>52361.409999999974</v>
      </c>
      <c r="I9" s="7">
        <f>AnMBR_35_GWP_yr!H12</f>
        <v>52112.337119999982</v>
      </c>
      <c r="J9" s="7">
        <f>AnMBR_35_GWP_yr!I12</f>
        <v>51917.62592999998</v>
      </c>
      <c r="K9" s="7">
        <f>AnMBR_35_GWP_yr!J12</f>
        <v>51880.517879999999</v>
      </c>
      <c r="L9" s="7">
        <f>AnMBR_35_GWP_yr!K12</f>
        <v>12947.299999999814</v>
      </c>
      <c r="M9" s="7">
        <f>AnMBR_35_GWP_yr!L12</f>
        <v>10148.319999999832</v>
      </c>
      <c r="N9" s="7">
        <f>AnMBR_35_GWP_yr!M12</f>
        <v>8201.2160000000149</v>
      </c>
      <c r="O9" s="7">
        <f>AnMBR_35_GWP_yr!N12</f>
        <v>7818.9699999999721</v>
      </c>
      <c r="P9" s="7">
        <f>AnMBR_35_GWP_yr!O12</f>
        <v>-316513.97999999952</v>
      </c>
      <c r="Q9" s="7">
        <f>AnMBR_35_GWP_yr!P12</f>
        <v>-324410.75</v>
      </c>
      <c r="R9" s="7">
        <f>AnMBR_35_GWP_yr!Q12</f>
        <v>-326302.79999999981</v>
      </c>
      <c r="S9" s="7">
        <f>AnMBR_35_GWP_yr!R12</f>
        <v>-1035602.5200000014</v>
      </c>
      <c r="T9" s="7">
        <f>AnMBR_35_GWP_yr!S12</f>
        <v>-1054734.2000000011</v>
      </c>
      <c r="U9" s="7">
        <f>AnMBR_35_GWP_yr!T12</f>
        <v>-1058670.6000000015</v>
      </c>
      <c r="V9" s="32">
        <f t="shared" si="0"/>
        <v>52361.409999999974</v>
      </c>
      <c r="W9" s="31">
        <f t="shared" si="1"/>
        <v>-1058670.6000000015</v>
      </c>
    </row>
    <row r="10" spans="1:23" x14ac:dyDescent="0.2">
      <c r="B10" s="2" t="s">
        <v>31</v>
      </c>
      <c r="C10" s="2" t="s">
        <v>43</v>
      </c>
      <c r="D10" s="10">
        <v>-5.95608</v>
      </c>
      <c r="E10" s="10">
        <v>-6.5529999999999999</v>
      </c>
      <c r="F10" s="10">
        <v>-6.9651699999999996</v>
      </c>
      <c r="G10" s="10">
        <v>-7.0499200000000002</v>
      </c>
      <c r="H10" s="12">
        <v>-26.4651</v>
      </c>
      <c r="I10" s="12">
        <v>-27.641999999999999</v>
      </c>
      <c r="J10" s="12">
        <v>-28.472200000000001</v>
      </c>
      <c r="K10" s="12">
        <v>-28.635300000000001</v>
      </c>
      <c r="L10" s="9">
        <v>-438.41399999999999</v>
      </c>
      <c r="M10" s="8">
        <v>-444.34300000000002</v>
      </c>
      <c r="N10" s="9">
        <v>-458.61700000000002</v>
      </c>
      <c r="O10" s="9">
        <v>-460.38600000000002</v>
      </c>
      <c r="P10" s="7">
        <v>-2315.69</v>
      </c>
      <c r="Q10" s="7">
        <v>-2356.42</v>
      </c>
      <c r="R10" s="7">
        <v>-2364.66</v>
      </c>
      <c r="S10" s="7">
        <v>-4691.63</v>
      </c>
      <c r="T10" s="7">
        <v>-4774.1000000000004</v>
      </c>
      <c r="U10" s="7">
        <v>-4790.79</v>
      </c>
      <c r="V10" s="52">
        <f t="shared" si="0"/>
        <v>-5.95608</v>
      </c>
      <c r="W10" s="31">
        <f t="shared" si="1"/>
        <v>-4790.79</v>
      </c>
    </row>
    <row r="11" spans="1:23" x14ac:dyDescent="0.2">
      <c r="B11" s="2" t="s">
        <v>44</v>
      </c>
      <c r="C11" s="2" t="s">
        <v>46</v>
      </c>
      <c r="D11" s="25">
        <v>3.6759799999999998E-7</v>
      </c>
      <c r="E11" s="25">
        <v>5.0766199999999997E-8</v>
      </c>
      <c r="F11" s="25">
        <v>-1.7172500000000001E-7</v>
      </c>
      <c r="G11" s="25">
        <v>-2.1542300000000001E-7</v>
      </c>
      <c r="H11" s="25">
        <v>-1.0605500000000001E-7</v>
      </c>
      <c r="I11" s="25">
        <v>-6.7385299999999999E-7</v>
      </c>
      <c r="J11" s="25">
        <v>-1.11672E-6</v>
      </c>
      <c r="K11" s="25">
        <v>-1.20491E-6</v>
      </c>
      <c r="L11" s="25">
        <v>-9.8862700000000001E-6</v>
      </c>
      <c r="M11" s="49">
        <v>-1.5493199999999999E-5</v>
      </c>
      <c r="N11" s="25">
        <v>-2.0739099999999999E-5</v>
      </c>
      <c r="O11" s="25">
        <v>-2.1567900000000001E-5</v>
      </c>
      <c r="P11" s="25">
        <v>-8.6554700000000007E-5</v>
      </c>
      <c r="Q11" s="25">
        <v>-1.05379E-4</v>
      </c>
      <c r="R11" s="25">
        <v>-1.0980300000000001E-4</v>
      </c>
      <c r="S11" s="25">
        <v>-1.7058500000000001E-4</v>
      </c>
      <c r="T11" s="25">
        <v>-2.1516999999999999E-4</v>
      </c>
      <c r="U11" s="25">
        <v>-2.2370100000000001E-4</v>
      </c>
      <c r="V11" s="36">
        <f t="shared" si="0"/>
        <v>3.6759799999999998E-7</v>
      </c>
      <c r="W11" s="37">
        <f t="shared" si="1"/>
        <v>-2.2370100000000001E-4</v>
      </c>
    </row>
    <row r="12" spans="1:23" x14ac:dyDescent="0.2">
      <c r="B12" s="2" t="s">
        <v>45</v>
      </c>
      <c r="C12" s="2" t="s">
        <v>46</v>
      </c>
      <c r="D12" s="11">
        <v>2.7465400000000001E-2</v>
      </c>
      <c r="E12" s="11">
        <v>2.3671899999999999E-2</v>
      </c>
      <c r="F12" s="11">
        <v>2.10394E-2</v>
      </c>
      <c r="G12" s="11">
        <v>2.0505900000000001E-2</v>
      </c>
      <c r="H12" s="11">
        <v>-6.6420699999999999E-3</v>
      </c>
      <c r="I12" s="11">
        <v>-1.4110899999999999E-2</v>
      </c>
      <c r="J12" s="11">
        <v>-1.9390999999999999E-2</v>
      </c>
      <c r="K12" s="11">
        <v>-2.0391300000000001E-2</v>
      </c>
      <c r="L12" s="12">
        <v>-0.83119799999999999</v>
      </c>
      <c r="M12" s="18">
        <v>-0.85161100000000001</v>
      </c>
      <c r="N12" s="12">
        <v>-0.959866</v>
      </c>
      <c r="O12" s="25">
        <v>-0.97287999999999997</v>
      </c>
      <c r="P12" s="12">
        <v>-4.6755300000000002</v>
      </c>
      <c r="Q12" s="12">
        <v>-4.9336399999999996</v>
      </c>
      <c r="R12" s="12">
        <v>-4.9851700000000001</v>
      </c>
      <c r="S12" s="12">
        <v>-9.70275</v>
      </c>
      <c r="T12" s="12">
        <v>-10.2195</v>
      </c>
      <c r="U12" s="12">
        <v>-10.3293</v>
      </c>
      <c r="V12" s="38">
        <f t="shared" si="0"/>
        <v>2.7465400000000001E-2</v>
      </c>
      <c r="W12" s="34">
        <f t="shared" si="1"/>
        <v>-10.3293</v>
      </c>
    </row>
    <row r="13" spans="1:23" x14ac:dyDescent="0.2">
      <c r="B13" s="2" t="s">
        <v>47</v>
      </c>
      <c r="C13" s="2" t="s">
        <v>48</v>
      </c>
      <c r="D13" s="26">
        <v>-1.0679900000000001E-4</v>
      </c>
      <c r="E13" s="25">
        <v>-1.4121199999999999E-4</v>
      </c>
      <c r="F13" s="25">
        <v>-1.65036E-4</v>
      </c>
      <c r="G13" s="25">
        <v>-1.69901E-4</v>
      </c>
      <c r="H13" s="25">
        <v>-1.0319800000000001E-3</v>
      </c>
      <c r="I13" s="25">
        <v>-1.1002E-3</v>
      </c>
      <c r="J13" s="25">
        <v>-1.1480699999999999E-3</v>
      </c>
      <c r="K13" s="25">
        <v>-1.15737E-3</v>
      </c>
      <c r="L13" s="26">
        <v>-2.0091100000000001E-2</v>
      </c>
      <c r="M13" s="48">
        <v>-1.85617E-2</v>
      </c>
      <c r="N13" s="26">
        <v>-1.85617E-2</v>
      </c>
      <c r="O13" s="26">
        <v>-2.1368100000000001E-2</v>
      </c>
      <c r="P13" s="11">
        <v>-0.20299700000000001</v>
      </c>
      <c r="Q13" s="11">
        <v>-0.207731</v>
      </c>
      <c r="R13" s="11">
        <v>-0.208706</v>
      </c>
      <c r="S13" s="11">
        <v>-9.8958000000000004E-2</v>
      </c>
      <c r="T13" s="11">
        <v>-0.101323</v>
      </c>
      <c r="U13" s="11">
        <v>-0.101796</v>
      </c>
      <c r="V13" s="36">
        <f t="shared" si="0"/>
        <v>-1.0679900000000001E-4</v>
      </c>
      <c r="W13" s="39">
        <f t="shared" si="1"/>
        <v>-0.208706</v>
      </c>
    </row>
    <row r="14" spans="1:23" x14ac:dyDescent="0.2">
      <c r="B14" s="2" t="s">
        <v>32</v>
      </c>
      <c r="C14" s="2" t="s">
        <v>38</v>
      </c>
      <c r="D14" s="7">
        <v>163.584</v>
      </c>
      <c r="E14" s="7">
        <v>70.143600000000006</v>
      </c>
      <c r="F14" s="7">
        <v>5.5252600000000003</v>
      </c>
      <c r="G14" s="7">
        <v>-7.6962799999999998</v>
      </c>
      <c r="H14" s="9">
        <v>-1737.13</v>
      </c>
      <c r="I14" s="9">
        <v>-1920.22</v>
      </c>
      <c r="J14" s="9">
        <v>-2050.23</v>
      </c>
      <c r="K14" s="9">
        <v>-2075.52</v>
      </c>
      <c r="L14" s="7">
        <v>-42670</v>
      </c>
      <c r="M14" s="6">
        <v>-44500.1</v>
      </c>
      <c r="N14" s="7">
        <v>-45835.3</v>
      </c>
      <c r="O14" s="7">
        <v>-46119.7</v>
      </c>
      <c r="P14" s="7">
        <v>-236447</v>
      </c>
      <c r="Q14" s="7">
        <v>-242766</v>
      </c>
      <c r="R14" s="7">
        <v>-244050</v>
      </c>
      <c r="S14" s="7">
        <v>-481909</v>
      </c>
      <c r="T14" s="7">
        <v>-494772</v>
      </c>
      <c r="U14" s="7">
        <v>-497405</v>
      </c>
      <c r="V14" s="30">
        <f t="shared" si="0"/>
        <v>163.584</v>
      </c>
      <c r="W14" s="31">
        <f t="shared" si="1"/>
        <v>-497405</v>
      </c>
    </row>
    <row r="15" spans="1:23" x14ac:dyDescent="0.2">
      <c r="B15" s="2" t="s">
        <v>33</v>
      </c>
      <c r="C15" s="2" t="s">
        <v>40</v>
      </c>
      <c r="D15" s="10">
        <v>41.552999999999997</v>
      </c>
      <c r="E15" s="10">
        <v>40.124899999999997</v>
      </c>
      <c r="F15" s="10">
        <v>39.128</v>
      </c>
      <c r="G15" s="10">
        <v>38.925800000000002</v>
      </c>
      <c r="H15" s="10">
        <v>19.546700000000001</v>
      </c>
      <c r="I15" s="10">
        <v>16.692299999999999</v>
      </c>
      <c r="J15" s="10">
        <v>14.701700000000001</v>
      </c>
      <c r="K15" s="10">
        <v>14.307700000000001</v>
      </c>
      <c r="L15" s="9">
        <v>-569.95899999999995</v>
      </c>
      <c r="M15" s="8">
        <v>-189.74</v>
      </c>
      <c r="N15" s="10">
        <v>-618.53700000000003</v>
      </c>
      <c r="O15" s="10">
        <v>-622.67899999999997</v>
      </c>
      <c r="P15" s="9">
        <v>-1603</v>
      </c>
      <c r="Q15" s="10">
        <v>-1702.24</v>
      </c>
      <c r="R15" s="10">
        <v>-1722.09</v>
      </c>
      <c r="S15" s="10">
        <v>-3787.78</v>
      </c>
      <c r="T15" s="9">
        <v>-3986.54</v>
      </c>
      <c r="U15" s="9">
        <v>-4026.62</v>
      </c>
      <c r="V15" s="117">
        <f t="shared" si="0"/>
        <v>41.552999999999997</v>
      </c>
      <c r="W15" s="118">
        <f t="shared" si="1"/>
        <v>-4026.62</v>
      </c>
    </row>
    <row r="17" spans="1:21" ht="15.75" x14ac:dyDescent="0.25">
      <c r="A17" s="42" t="s">
        <v>175</v>
      </c>
    </row>
    <row r="19" spans="1:21" ht="51" x14ac:dyDescent="0.2">
      <c r="D19" s="3" t="str">
        <f>D3</f>
        <v>0.05 MGD AnMBR [semi rural single family]</v>
      </c>
      <c r="E19" s="3" t="str">
        <f t="shared" ref="E19:U19" si="2">E3</f>
        <v>0.05 MGD AnMBR [single family]</v>
      </c>
      <c r="F19" s="3" t="str">
        <f t="shared" si="2"/>
        <v>0.05 MGD AnMBR [multi family]</v>
      </c>
      <c r="G19" s="3" t="str">
        <f t="shared" si="2"/>
        <v>0.05 MGD AnMBR [high density urban]</v>
      </c>
      <c r="H19" s="3" t="str">
        <f t="shared" si="2"/>
        <v>0.1 MGD AnMBR [semi rural single family]</v>
      </c>
      <c r="I19" s="3" t="str">
        <f t="shared" si="2"/>
        <v>0.1 MGD AnMBR [single family]</v>
      </c>
      <c r="J19" s="3" t="str">
        <f t="shared" si="2"/>
        <v>0.1 MGD AnMBR [multi family]</v>
      </c>
      <c r="K19" s="3" t="str">
        <f t="shared" si="2"/>
        <v>0.1 MGD AnMBR [high density urban]</v>
      </c>
      <c r="L19" s="3" t="str">
        <f t="shared" si="2"/>
        <v>1 MGD AnMBR [semi rural single family]</v>
      </c>
      <c r="M19" s="3" t="str">
        <f t="shared" si="2"/>
        <v>1 MGD AnMBR [single family]</v>
      </c>
      <c r="N19" s="3" t="str">
        <f t="shared" si="2"/>
        <v>1 MGD AnMBR [multi family]</v>
      </c>
      <c r="O19" s="3" t="str">
        <f t="shared" si="2"/>
        <v>1 MGD AnMBR [high density urban]</v>
      </c>
      <c r="P19" s="3" t="str">
        <f t="shared" si="2"/>
        <v>5 MGD AnMBR [single family]</v>
      </c>
      <c r="Q19" s="3" t="str">
        <f t="shared" si="2"/>
        <v>5 MGD AnMBR [multi family]</v>
      </c>
      <c r="R19" s="3" t="str">
        <f t="shared" si="2"/>
        <v>5 MGD AnMBR [high density urban]</v>
      </c>
      <c r="S19" s="3" t="str">
        <f t="shared" si="2"/>
        <v>10 MGD AnMBR [single family]</v>
      </c>
      <c r="T19" s="3" t="str">
        <f t="shared" si="2"/>
        <v>10 MGD AnMBR [multi family]</v>
      </c>
      <c r="U19" s="3" t="str">
        <f t="shared" si="2"/>
        <v>10 MGD AnMBR [high density urban]</v>
      </c>
    </row>
    <row r="20" spans="1:21" x14ac:dyDescent="0.2">
      <c r="C20" s="2" t="s">
        <v>26</v>
      </c>
      <c r="D20" s="27">
        <f>D4/$V4</f>
        <v>1</v>
      </c>
      <c r="E20" s="27">
        <f>E4/$V4</f>
        <v>1.0802626891563281</v>
      </c>
      <c r="F20" s="27">
        <f t="shared" ref="F20:U31" si="3">F4/$V4</f>
        <v>1.1355807505847002</v>
      </c>
      <c r="G20" s="27">
        <f t="shared" si="3"/>
        <v>1.146995957436922</v>
      </c>
      <c r="H20" s="27">
        <f t="shared" si="3"/>
        <v>4.1115809364496698</v>
      </c>
      <c r="I20" s="27">
        <f t="shared" si="3"/>
        <v>4.2695816489320508</v>
      </c>
      <c r="J20" s="27">
        <f t="shared" si="3"/>
        <v>4.3811703297554319</v>
      </c>
      <c r="K20" s="27">
        <f t="shared" si="3"/>
        <v>4.4032030729674885</v>
      </c>
      <c r="L20" s="27">
        <f t="shared" si="3"/>
        <v>66.22213961556929</v>
      </c>
      <c r="M20" s="27">
        <f t="shared" si="3"/>
        <v>67.409584436906584</v>
      </c>
      <c r="N20" s="27">
        <f t="shared" si="3"/>
        <v>68.936542601799786</v>
      </c>
      <c r="O20" s="27">
        <f t="shared" si="3"/>
        <v>69.164536963895728</v>
      </c>
      <c r="P20" s="27">
        <f t="shared" si="3"/>
        <v>350.52197078822235</v>
      </c>
      <c r="Q20" s="27">
        <f t="shared" si="3"/>
        <v>355.98949862924582</v>
      </c>
      <c r="R20" s="27">
        <f t="shared" si="3"/>
        <v>357.09926738224681</v>
      </c>
      <c r="S20" s="27">
        <f t="shared" si="3"/>
        <v>709.07175936682006</v>
      </c>
      <c r="T20" s="27">
        <f t="shared" si="3"/>
        <v>720.17486795842819</v>
      </c>
      <c r="U20" s="27">
        <f t="shared" si="3"/>
        <v>722.40757089974136</v>
      </c>
    </row>
    <row r="21" spans="1:21" x14ac:dyDescent="0.2">
      <c r="C21" s="2" t="s">
        <v>34</v>
      </c>
      <c r="D21" s="27">
        <f t="shared" ref="D21:E31" si="4">D5/$V5</f>
        <v>8.8813760639450123E-3</v>
      </c>
      <c r="E21" s="27">
        <f t="shared" si="4"/>
        <v>8.1801276855712392E-3</v>
      </c>
      <c r="F21" s="27">
        <f t="shared" si="3"/>
        <v>7.6809953925126503E-3</v>
      </c>
      <c r="G21" s="27">
        <f t="shared" si="3"/>
        <v>7.5834179134629661E-3</v>
      </c>
      <c r="H21" s="27">
        <f t="shared" si="3"/>
        <v>1.4739675747773533E-2</v>
      </c>
      <c r="I21" s="27">
        <f t="shared" si="3"/>
        <v>1.332184503946667E-2</v>
      </c>
      <c r="J21" s="27">
        <f t="shared" si="3"/>
        <v>1.2340082705979997E-2</v>
      </c>
      <c r="K21" s="27">
        <f t="shared" si="3"/>
        <v>1.2153300572224128E-2</v>
      </c>
      <c r="L21" s="27">
        <f t="shared" si="3"/>
        <v>0.10372079551567104</v>
      </c>
      <c r="M21" s="27">
        <f t="shared" si="3"/>
        <v>0.10906869366902516</v>
      </c>
      <c r="N21" s="27">
        <f t="shared" si="3"/>
        <v>7.9662312311215927E-2</v>
      </c>
      <c r="O21" s="27">
        <f t="shared" si="3"/>
        <v>7.6997855680742258E-2</v>
      </c>
      <c r="P21" s="27">
        <f t="shared" si="3"/>
        <v>0.52380778526626304</v>
      </c>
      <c r="Q21" s="27">
        <f t="shared" si="3"/>
        <v>0.47449331025938718</v>
      </c>
      <c r="R21" s="27">
        <f t="shared" si="3"/>
        <v>0.46485726038266723</v>
      </c>
      <c r="S21" s="27">
        <f t="shared" si="3"/>
        <v>1</v>
      </c>
      <c r="T21" s="27">
        <f t="shared" si="3"/>
        <v>0.90335472784669935</v>
      </c>
      <c r="U21" s="27">
        <f t="shared" si="3"/>
        <v>0.88272934601913566</v>
      </c>
    </row>
    <row r="22" spans="1:21" x14ac:dyDescent="0.2">
      <c r="C22" s="2" t="s">
        <v>27</v>
      </c>
      <c r="D22" s="27">
        <f t="shared" si="4"/>
        <v>0.32510953556703331</v>
      </c>
      <c r="E22" s="27">
        <f t="shared" si="4"/>
        <v>0.31657829309128488</v>
      </c>
      <c r="F22" s="27">
        <f t="shared" si="3"/>
        <v>0.31065878233900435</v>
      </c>
      <c r="G22" s="27">
        <f t="shared" si="3"/>
        <v>0.30944197922585709</v>
      </c>
      <c r="H22" s="27">
        <f t="shared" si="3"/>
        <v>0.39665039534469898</v>
      </c>
      <c r="I22" s="27">
        <f t="shared" si="3"/>
        <v>0.37974192288909014</v>
      </c>
      <c r="J22" s="27">
        <f t="shared" si="3"/>
        <v>0.36784807627003402</v>
      </c>
      <c r="K22" s="27">
        <f t="shared" si="3"/>
        <v>0.36549414691217386</v>
      </c>
      <c r="L22" s="27">
        <f t="shared" si="3"/>
        <v>1</v>
      </c>
      <c r="M22" s="27">
        <f t="shared" si="3"/>
        <v>0.82964253870711402</v>
      </c>
      <c r="N22" s="27">
        <f t="shared" si="3"/>
        <v>0.71068597423840763</v>
      </c>
      <c r="O22" s="27">
        <f t="shared" si="3"/>
        <v>0.68716334803611734</v>
      </c>
      <c r="P22" s="27">
        <f t="shared" si="3"/>
        <v>-0.94019024656963712</v>
      </c>
      <c r="Q22" s="27">
        <f t="shared" si="3"/>
        <v>-1.525834650122976</v>
      </c>
      <c r="R22" s="27">
        <f t="shared" si="3"/>
        <v>-1.64419605969283</v>
      </c>
      <c r="S22" s="27">
        <f t="shared" si="3"/>
        <v>-3.5591676896537696</v>
      </c>
      <c r="T22" s="27">
        <f t="shared" si="3"/>
        <v>-4.7437651998452148</v>
      </c>
      <c r="U22" s="27">
        <f t="shared" si="3"/>
        <v>-4.9815318044144368</v>
      </c>
    </row>
    <row r="23" spans="1:21" x14ac:dyDescent="0.2">
      <c r="C23" s="2" t="s">
        <v>28</v>
      </c>
      <c r="D23" s="27">
        <f t="shared" si="4"/>
        <v>9.3107950005707121E-3</v>
      </c>
      <c r="E23" s="27">
        <f t="shared" si="4"/>
        <v>9.1850602100216859E-3</v>
      </c>
      <c r="F23" s="27">
        <f t="shared" si="3"/>
        <v>9.0961362858121217E-3</v>
      </c>
      <c r="G23" s="27">
        <f t="shared" si="3"/>
        <v>9.078479910969068E-3</v>
      </c>
      <c r="H23" s="27">
        <f t="shared" si="3"/>
        <v>1.4560124415021117E-2</v>
      </c>
      <c r="I23" s="27">
        <f t="shared" si="3"/>
        <v>1.4309082867252597E-2</v>
      </c>
      <c r="J23" s="27">
        <f t="shared" si="3"/>
        <v>1.4133196838260474E-2</v>
      </c>
      <c r="K23" s="27">
        <f t="shared" si="3"/>
        <v>1.4098668816345167E-2</v>
      </c>
      <c r="L23" s="27">
        <f t="shared" si="3"/>
        <v>8.8835463988129207E-2</v>
      </c>
      <c r="M23" s="27">
        <f t="shared" si="3"/>
        <v>0.12000128409998859</v>
      </c>
      <c r="N23" s="27">
        <f t="shared" si="3"/>
        <v>8.4531232165277942E-2</v>
      </c>
      <c r="O23" s="27">
        <f t="shared" si="3"/>
        <v>8.4146358863143478E-2</v>
      </c>
      <c r="P23" s="27">
        <f t="shared" si="3"/>
        <v>0.53204899554845331</v>
      </c>
      <c r="Q23" s="27">
        <f t="shared" si="3"/>
        <v>0.52335278507019745</v>
      </c>
      <c r="R23" s="27">
        <f t="shared" si="3"/>
        <v>0.52160498230795571</v>
      </c>
      <c r="S23" s="27">
        <f t="shared" si="3"/>
        <v>1</v>
      </c>
      <c r="T23" s="27">
        <f t="shared" si="3"/>
        <v>0.98246133432256588</v>
      </c>
      <c r="U23" s="27">
        <f t="shared" si="3"/>
        <v>0.97888725602100213</v>
      </c>
    </row>
    <row r="24" spans="1:21" x14ac:dyDescent="0.2">
      <c r="C24" s="2" t="s">
        <v>29</v>
      </c>
      <c r="D24" s="27">
        <f t="shared" si="4"/>
        <v>1.9900607243751582E-2</v>
      </c>
      <c r="E24" s="27">
        <f t="shared" si="4"/>
        <v>1.9564511436267563E-2</v>
      </c>
      <c r="F24" s="27">
        <f t="shared" si="3"/>
        <v>1.9330436333261376E-2</v>
      </c>
      <c r="G24" s="27">
        <f t="shared" si="3"/>
        <v>1.9282476278074466E-2</v>
      </c>
      <c r="H24" s="27">
        <f t="shared" si="3"/>
        <v>2.8374238598928174E-2</v>
      </c>
      <c r="I24" s="27">
        <f t="shared" si="3"/>
        <v>2.7707772156888508E-2</v>
      </c>
      <c r="J24" s="27">
        <f t="shared" si="3"/>
        <v>2.7238401832055337E-2</v>
      </c>
      <c r="K24" s="27">
        <f t="shared" si="3"/>
        <v>2.7145578946380471E-2</v>
      </c>
      <c r="L24" s="27">
        <f t="shared" si="3"/>
        <v>0.13230780782190019</v>
      </c>
      <c r="M24" s="27">
        <f t="shared" si="3"/>
        <v>0.12959820548678047</v>
      </c>
      <c r="N24" s="27">
        <f t="shared" si="3"/>
        <v>0.12088937276507081</v>
      </c>
      <c r="O24" s="27">
        <f t="shared" si="3"/>
        <v>0.11992641744957624</v>
      </c>
      <c r="P24" s="27">
        <f t="shared" si="3"/>
        <v>0.53761344758651108</v>
      </c>
      <c r="Q24" s="27">
        <f t="shared" si="3"/>
        <v>0.51455320187335163</v>
      </c>
      <c r="R24" s="27">
        <f t="shared" si="3"/>
        <v>0.50988390100143599</v>
      </c>
      <c r="S24" s="27">
        <f t="shared" si="3"/>
        <v>1</v>
      </c>
      <c r="T24" s="27">
        <f t="shared" si="3"/>
        <v>0.95326944916328005</v>
      </c>
      <c r="U24" s="27">
        <f t="shared" si="3"/>
        <v>0.94388391977249475</v>
      </c>
    </row>
    <row r="25" spans="1:21" x14ac:dyDescent="0.2">
      <c r="C25" s="2" t="s">
        <v>30</v>
      </c>
      <c r="D25" s="27">
        <f t="shared" si="4"/>
        <v>0.84935145940493217</v>
      </c>
      <c r="E25" s="27">
        <f t="shared" si="4"/>
        <v>0.84676667969789232</v>
      </c>
      <c r="F25" s="27">
        <f t="shared" si="3"/>
        <v>0.8448194145268435</v>
      </c>
      <c r="G25" s="27">
        <f t="shared" si="3"/>
        <v>0.84445193473590574</v>
      </c>
      <c r="H25" s="27">
        <f t="shared" si="3"/>
        <v>1</v>
      </c>
      <c r="I25" s="27">
        <f t="shared" si="3"/>
        <v>0.99524319761442648</v>
      </c>
      <c r="J25" s="27">
        <f t="shared" si="3"/>
        <v>0.99152459664474291</v>
      </c>
      <c r="K25" s="27">
        <f t="shared" si="3"/>
        <v>0.99081590583599688</v>
      </c>
      <c r="L25" s="27">
        <f t="shared" si="3"/>
        <v>0.24726797845970572</v>
      </c>
      <c r="M25" s="27">
        <f t="shared" si="3"/>
        <v>0.1938129626379396</v>
      </c>
      <c r="N25" s="27">
        <f t="shared" si="3"/>
        <v>0.15662710381557751</v>
      </c>
      <c r="O25" s="27">
        <f t="shared" si="3"/>
        <v>0.14932695662702697</v>
      </c>
      <c r="P25" s="27">
        <f t="shared" si="3"/>
        <v>-6.0447948212242499</v>
      </c>
      <c r="Q25" s="27">
        <f t="shared" si="3"/>
        <v>-6.1956076049136213</v>
      </c>
      <c r="R25" s="27">
        <f t="shared" si="3"/>
        <v>-6.2317420405600226</v>
      </c>
      <c r="S25" s="27">
        <f t="shared" si="3"/>
        <v>-19.77797236552648</v>
      </c>
      <c r="T25" s="27">
        <f t="shared" si="3"/>
        <v>-20.143349844857152</v>
      </c>
      <c r="U25" s="27">
        <f t="shared" si="3"/>
        <v>-20.218527346761707</v>
      </c>
    </row>
    <row r="26" spans="1:21" x14ac:dyDescent="0.2">
      <c r="C26" s="2" t="s">
        <v>31</v>
      </c>
      <c r="D26" s="27">
        <f t="shared" si="4"/>
        <v>1</v>
      </c>
      <c r="E26" s="27">
        <f t="shared" si="4"/>
        <v>1.10022027910975</v>
      </c>
      <c r="F26" s="27">
        <f t="shared" si="3"/>
        <v>1.1694218344951712</v>
      </c>
      <c r="G26" s="27">
        <f t="shared" si="3"/>
        <v>1.1836509919275766</v>
      </c>
      <c r="H26" s="27">
        <f t="shared" si="3"/>
        <v>4.4433755087238582</v>
      </c>
      <c r="I26" s="27">
        <f t="shared" si="3"/>
        <v>4.6409719144135071</v>
      </c>
      <c r="J26" s="27">
        <f t="shared" si="3"/>
        <v>4.7803588937690566</v>
      </c>
      <c r="K26" s="27">
        <f t="shared" si="3"/>
        <v>4.8077426763911832</v>
      </c>
      <c r="L26" s="27">
        <f t="shared" si="3"/>
        <v>73.607809163073696</v>
      </c>
      <c r="M26" s="27">
        <f t="shared" si="3"/>
        <v>74.603262548521855</v>
      </c>
      <c r="N26" s="27">
        <f t="shared" si="3"/>
        <v>76.999805241031012</v>
      </c>
      <c r="O26" s="27">
        <f t="shared" si="3"/>
        <v>77.296812668735143</v>
      </c>
      <c r="P26" s="27">
        <f t="shared" si="3"/>
        <v>388.79430766544436</v>
      </c>
      <c r="Q26" s="27">
        <f t="shared" si="3"/>
        <v>395.63269801614484</v>
      </c>
      <c r="R26" s="27">
        <f t="shared" si="3"/>
        <v>397.01615827859933</v>
      </c>
      <c r="S26" s="27">
        <f t="shared" si="3"/>
        <v>787.70432902177276</v>
      </c>
      <c r="T26" s="27">
        <f t="shared" si="3"/>
        <v>801.55068434272209</v>
      </c>
      <c r="U26" s="27">
        <f t="shared" si="3"/>
        <v>804.35286295684409</v>
      </c>
    </row>
    <row r="27" spans="1:21" x14ac:dyDescent="0.2">
      <c r="C27" s="2" t="s">
        <v>44</v>
      </c>
      <c r="D27" s="27">
        <f t="shared" si="4"/>
        <v>1</v>
      </c>
      <c r="E27" s="27">
        <f t="shared" si="4"/>
        <v>0.1381024923965854</v>
      </c>
      <c r="F27" s="27">
        <f t="shared" si="3"/>
        <v>-0.4671543370747393</v>
      </c>
      <c r="G27" s="27">
        <f t="shared" si="3"/>
        <v>-0.58602875967769141</v>
      </c>
      <c r="H27" s="27">
        <f t="shared" si="3"/>
        <v>-0.28850809852066661</v>
      </c>
      <c r="I27" s="27">
        <f t="shared" si="3"/>
        <v>-1.8331247721695985</v>
      </c>
      <c r="J27" s="27">
        <f t="shared" si="3"/>
        <v>-3.0378837752109642</v>
      </c>
      <c r="K27" s="27">
        <f t="shared" si="3"/>
        <v>-3.2777925886430284</v>
      </c>
      <c r="L27" s="27">
        <f t="shared" si="3"/>
        <v>-26.894243167808312</v>
      </c>
      <c r="M27" s="27">
        <f t="shared" si="3"/>
        <v>-42.14712811277537</v>
      </c>
      <c r="N27" s="27">
        <f t="shared" si="3"/>
        <v>-56.417880401960836</v>
      </c>
      <c r="O27" s="27">
        <f t="shared" si="3"/>
        <v>-58.672517260703273</v>
      </c>
      <c r="P27" s="27">
        <f t="shared" si="3"/>
        <v>-235.46020380959638</v>
      </c>
      <c r="Q27" s="27">
        <f t="shared" si="3"/>
        <v>-286.66913312912476</v>
      </c>
      <c r="R27" s="27">
        <f t="shared" si="3"/>
        <v>-298.70401906430396</v>
      </c>
      <c r="S27" s="27">
        <f t="shared" si="3"/>
        <v>-464.05312324876638</v>
      </c>
      <c r="T27" s="27">
        <f t="shared" si="3"/>
        <v>-585.34050783736586</v>
      </c>
      <c r="U27" s="27">
        <f t="shared" si="3"/>
        <v>-608.5479246350634</v>
      </c>
    </row>
    <row r="28" spans="1:21" x14ac:dyDescent="0.2">
      <c r="C28" s="2" t="s">
        <v>45</v>
      </c>
      <c r="D28" s="27">
        <f t="shared" si="4"/>
        <v>1</v>
      </c>
      <c r="E28" s="27">
        <f t="shared" si="4"/>
        <v>0.86188076634602073</v>
      </c>
      <c r="F28" s="27">
        <f t="shared" si="3"/>
        <v>0.76603289957546583</v>
      </c>
      <c r="G28" s="27">
        <f t="shared" si="3"/>
        <v>0.74660846009888804</v>
      </c>
      <c r="H28" s="27">
        <f t="shared" si="3"/>
        <v>-0.2418340894361633</v>
      </c>
      <c r="I28" s="27">
        <f t="shared" si="3"/>
        <v>-0.51377005250242114</v>
      </c>
      <c r="J28" s="27">
        <f t="shared" si="3"/>
        <v>-0.70601556867913806</v>
      </c>
      <c r="K28" s="27">
        <f t="shared" si="3"/>
        <v>-0.74243593757964566</v>
      </c>
      <c r="L28" s="27">
        <f t="shared" si="3"/>
        <v>-30.26345875173855</v>
      </c>
      <c r="M28" s="27">
        <f t="shared" si="3"/>
        <v>-31.006684774297842</v>
      </c>
      <c r="N28" s="27">
        <f t="shared" si="3"/>
        <v>-34.948189358247099</v>
      </c>
      <c r="O28" s="27">
        <f t="shared" si="3"/>
        <v>-35.422021889358973</v>
      </c>
      <c r="P28" s="27">
        <f t="shared" si="3"/>
        <v>-170.23345736817961</v>
      </c>
      <c r="Q28" s="27">
        <f t="shared" si="3"/>
        <v>-179.63109949245231</v>
      </c>
      <c r="R28" s="27">
        <f t="shared" si="3"/>
        <v>-181.50727824826873</v>
      </c>
      <c r="S28" s="27">
        <f t="shared" si="3"/>
        <v>-353.2717528235525</v>
      </c>
      <c r="T28" s="27">
        <f t="shared" si="3"/>
        <v>-372.08633407851335</v>
      </c>
      <c r="U28" s="27">
        <f t="shared" si="3"/>
        <v>-376.08409125663559</v>
      </c>
    </row>
    <row r="29" spans="1:21" x14ac:dyDescent="0.2">
      <c r="C29" s="2" t="s">
        <v>47</v>
      </c>
      <c r="D29" s="27">
        <f t="shared" si="4"/>
        <v>1</v>
      </c>
      <c r="E29" s="27">
        <f>E13/$V13</f>
        <v>1.322222118184627</v>
      </c>
      <c r="F29" s="27">
        <f t="shared" si="3"/>
        <v>1.5452953679341566</v>
      </c>
      <c r="G29" s="27">
        <f t="shared" si="3"/>
        <v>1.5908482289160011</v>
      </c>
      <c r="H29" s="27">
        <f t="shared" si="3"/>
        <v>9.6628245582823808</v>
      </c>
      <c r="I29" s="27">
        <f t="shared" si="3"/>
        <v>10.301594584218952</v>
      </c>
      <c r="J29" s="27">
        <f t="shared" si="3"/>
        <v>10.749819754866618</v>
      </c>
      <c r="K29" s="27">
        <f t="shared" si="3"/>
        <v>10.836899221902826</v>
      </c>
      <c r="L29" s="27">
        <f t="shared" si="3"/>
        <v>188.12067528722179</v>
      </c>
      <c r="M29" s="27">
        <f t="shared" si="3"/>
        <v>173.80031648236405</v>
      </c>
      <c r="N29" s="27">
        <f t="shared" si="3"/>
        <v>173.80031648236405</v>
      </c>
      <c r="O29" s="27">
        <f t="shared" si="3"/>
        <v>200.07771608348392</v>
      </c>
      <c r="P29" s="27">
        <f t="shared" si="3"/>
        <v>1900.7387709622749</v>
      </c>
      <c r="Q29" s="27">
        <f t="shared" si="3"/>
        <v>1945.0650286987704</v>
      </c>
      <c r="R29" s="27">
        <f t="shared" si="3"/>
        <v>1954.1943276622439</v>
      </c>
      <c r="S29" s="27">
        <f t="shared" si="3"/>
        <v>926.58170956656897</v>
      </c>
      <c r="T29" s="27">
        <f t="shared" si="3"/>
        <v>948.72611166771219</v>
      </c>
      <c r="U29" s="27">
        <f t="shared" si="3"/>
        <v>953.15499208794085</v>
      </c>
    </row>
    <row r="30" spans="1:21" x14ac:dyDescent="0.2">
      <c r="C30" s="2" t="s">
        <v>32</v>
      </c>
      <c r="D30" s="27">
        <f t="shared" si="4"/>
        <v>1</v>
      </c>
      <c r="E30" s="27">
        <f t="shared" si="4"/>
        <v>0.42879254694835683</v>
      </c>
      <c r="F30" s="27">
        <f t="shared" si="3"/>
        <v>3.3776286189358372E-2</v>
      </c>
      <c r="G30" s="27">
        <f t="shared" si="3"/>
        <v>-4.7047877543035993E-2</v>
      </c>
      <c r="H30" s="27">
        <f t="shared" si="3"/>
        <v>-10.619192586071987</v>
      </c>
      <c r="I30" s="27">
        <f t="shared" si="3"/>
        <v>-11.738434076682315</v>
      </c>
      <c r="J30" s="27">
        <f t="shared" si="3"/>
        <v>-12.53319395539906</v>
      </c>
      <c r="K30" s="27">
        <f t="shared" si="3"/>
        <v>-12.687793427230046</v>
      </c>
      <c r="L30" s="27">
        <f t="shared" si="3"/>
        <v>-260.84458137715177</v>
      </c>
      <c r="M30" s="27">
        <f t="shared" si="3"/>
        <v>-272.03210582942097</v>
      </c>
      <c r="N30" s="27">
        <f t="shared" si="3"/>
        <v>-280.19427327856027</v>
      </c>
      <c r="O30" s="27">
        <f t="shared" si="3"/>
        <v>-281.93282961658838</v>
      </c>
      <c r="P30" s="27">
        <f t="shared" si="3"/>
        <v>-1445.4164221439748</v>
      </c>
      <c r="Q30" s="27">
        <f t="shared" si="3"/>
        <v>-1484.0448943661972</v>
      </c>
      <c r="R30" s="27">
        <f t="shared" si="3"/>
        <v>-1491.894072769953</v>
      </c>
      <c r="S30" s="27">
        <f t="shared" si="3"/>
        <v>-2945.9421459311425</v>
      </c>
      <c r="T30" s="27">
        <f t="shared" si="3"/>
        <v>-3024.5745305164319</v>
      </c>
      <c r="U30" s="27">
        <f t="shared" si="3"/>
        <v>-3040.6702366979657</v>
      </c>
    </row>
    <row r="31" spans="1:21" x14ac:dyDescent="0.2">
      <c r="C31" s="2" t="s">
        <v>33</v>
      </c>
      <c r="D31" s="27">
        <f t="shared" si="4"/>
        <v>1</v>
      </c>
      <c r="E31" s="27">
        <f t="shared" si="4"/>
        <v>0.96563184366953048</v>
      </c>
      <c r="F31" s="27">
        <f t="shared" si="3"/>
        <v>0.94164079609173834</v>
      </c>
      <c r="G31" s="27">
        <f t="shared" si="3"/>
        <v>0.93677472144008866</v>
      </c>
      <c r="H31" s="27">
        <f t="shared" si="3"/>
        <v>0.47040406228190512</v>
      </c>
      <c r="I31" s="27">
        <f t="shared" si="3"/>
        <v>0.40171106779293914</v>
      </c>
      <c r="J31" s="27">
        <f t="shared" si="3"/>
        <v>0.35380598272086256</v>
      </c>
      <c r="K31" s="27">
        <f t="shared" si="3"/>
        <v>0.34432411618896352</v>
      </c>
      <c r="L31" s="27">
        <f t="shared" si="3"/>
        <v>-13.716434433133587</v>
      </c>
      <c r="M31" s="27">
        <f t="shared" si="3"/>
        <v>-4.5662166389911683</v>
      </c>
      <c r="N31" s="27">
        <f t="shared" si="3"/>
        <v>-14.885495632084329</v>
      </c>
      <c r="O31" s="27">
        <f t="shared" si="3"/>
        <v>-14.985175558924746</v>
      </c>
      <c r="P31" s="27">
        <f t="shared" si="3"/>
        <v>-38.577238707193224</v>
      </c>
      <c r="Q31" s="27">
        <f t="shared" si="3"/>
        <v>-40.965513921979159</v>
      </c>
      <c r="R31" s="27">
        <f t="shared" si="3"/>
        <v>-41.443217096238541</v>
      </c>
      <c r="S31" s="27">
        <f t="shared" si="3"/>
        <v>-91.155391909128113</v>
      </c>
      <c r="T31" s="27">
        <f t="shared" si="3"/>
        <v>-95.938680721006918</v>
      </c>
      <c r="U31" s="27">
        <f t="shared" si="3"/>
        <v>-96.903232016942226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showGridLines="0" zoomScale="85" zoomScaleNormal="85" workbookViewId="0">
      <pane xSplit="2" topLeftCell="C1" activePane="topRight" state="frozen"/>
      <selection pane="topRight"/>
    </sheetView>
  </sheetViews>
  <sheetFormatPr defaultRowHeight="12.75" x14ac:dyDescent="0.2"/>
  <cols>
    <col min="1" max="1" width="4.140625" style="1" customWidth="1"/>
    <col min="2" max="3" width="23.7109375" style="1" customWidth="1"/>
    <col min="4" max="4" width="12.5703125" style="1" customWidth="1"/>
    <col min="5" max="5" width="11.140625" style="1" customWidth="1"/>
    <col min="6" max="6" width="12.28515625" style="1" customWidth="1"/>
    <col min="7" max="7" width="12.5703125" style="1" customWidth="1"/>
    <col min="8" max="8" width="13" style="1" customWidth="1"/>
    <col min="9" max="9" width="12.85546875" style="1" customWidth="1"/>
    <col min="10" max="10" width="12.5703125" style="1" customWidth="1"/>
    <col min="11" max="11" width="12.28515625" style="1" customWidth="1"/>
    <col min="12" max="13" width="13.85546875" style="1" customWidth="1"/>
    <col min="14" max="14" width="14.28515625" style="1" customWidth="1"/>
    <col min="15" max="15" width="11.7109375" style="1" customWidth="1"/>
    <col min="16" max="16" width="13.42578125" style="1" customWidth="1"/>
    <col min="17" max="17" width="13.140625" style="1" customWidth="1"/>
    <col min="18" max="18" width="13" style="1" customWidth="1"/>
    <col min="19" max="19" width="14.28515625" style="1" customWidth="1"/>
    <col min="20" max="20" width="14.42578125" style="1" customWidth="1"/>
    <col min="21" max="21" width="14.140625" style="1" customWidth="1"/>
    <col min="22" max="22" width="10.42578125" style="1" customWidth="1"/>
    <col min="23" max="23" width="13.85546875" style="1" customWidth="1"/>
    <col min="24" max="16384" width="9.140625" style="1"/>
  </cols>
  <sheetData>
    <row r="1" spans="1:23" ht="15.75" x14ac:dyDescent="0.25">
      <c r="A1" s="42" t="s">
        <v>108</v>
      </c>
    </row>
    <row r="2" spans="1:23" ht="15" x14ac:dyDescent="0.25">
      <c r="A2" s="41" t="s">
        <v>52</v>
      </c>
      <c r="C2" s="1" t="e">
        <f>#REF!</f>
        <v>#REF!</v>
      </c>
      <c r="D2" s="56" t="e">
        <f>#REF!</f>
        <v>#REF!</v>
      </c>
      <c r="E2" s="57" t="e">
        <f>#REF!</f>
        <v>#REF!</v>
      </c>
      <c r="F2" s="57" t="e">
        <f>#REF!</f>
        <v>#REF!</v>
      </c>
      <c r="G2" s="57" t="e">
        <f>#REF!</f>
        <v>#REF!</v>
      </c>
      <c r="H2" s="57" t="e">
        <f>#REF!</f>
        <v>#REF!</v>
      </c>
      <c r="I2" s="57" t="e">
        <f>#REF!</f>
        <v>#REF!</v>
      </c>
      <c r="J2" s="57" t="e">
        <f>#REF!</f>
        <v>#REF!</v>
      </c>
      <c r="K2" s="57" t="e">
        <f>#REF!</f>
        <v>#REF!</v>
      </c>
      <c r="L2" s="57" t="e">
        <f>#REF!</f>
        <v>#REF!</v>
      </c>
      <c r="M2" s="57" t="e">
        <f>#REF!</f>
        <v>#REF!</v>
      </c>
      <c r="N2" s="57" t="e">
        <f>#REF!</f>
        <v>#REF!</v>
      </c>
      <c r="O2" s="57" t="e">
        <f>#REF!</f>
        <v>#REF!</v>
      </c>
      <c r="P2" s="57" t="e">
        <f>#REF!</f>
        <v>#REF!</v>
      </c>
      <c r="Q2" s="57" t="e">
        <f>#REF!</f>
        <v>#REF!</v>
      </c>
      <c r="R2" s="57" t="e">
        <f>#REF!</f>
        <v>#REF!</v>
      </c>
      <c r="S2" s="57" t="e">
        <f>#REF!</f>
        <v>#REF!</v>
      </c>
      <c r="T2" s="57" t="e">
        <f>#REF!</f>
        <v>#REF!</v>
      </c>
      <c r="U2" s="58" t="e">
        <f>#REF!</f>
        <v>#REF!</v>
      </c>
    </row>
    <row r="3" spans="1:23" ht="113.25" customHeight="1" x14ac:dyDescent="0.2">
      <c r="D3" s="3" t="str">
        <f>AnMBR_35LCIA_Summary_yr!D3</f>
        <v>0.05 MGD AnMBR [semi rural single family]</v>
      </c>
      <c r="E3" s="3" t="str">
        <f>AnMBR_35LCIA_Summary_yr!E3</f>
        <v>0.05 MGD AnMBR [single family]</v>
      </c>
      <c r="F3" s="3" t="str">
        <f>AnMBR_35LCIA_Summary_yr!F3</f>
        <v>0.05 MGD AnMBR [multi family]</v>
      </c>
      <c r="G3" s="3" t="str">
        <f>AnMBR_35LCIA_Summary_yr!G3</f>
        <v>0.05 MGD AnMBR [high density urban]</v>
      </c>
      <c r="H3" s="3" t="str">
        <f>AnMBR_35LCIA_Summary_yr!H3</f>
        <v>0.1 MGD AnMBR [semi rural single family]</v>
      </c>
      <c r="I3" s="3" t="str">
        <f>AnMBR_35LCIA_Summary_yr!I3</f>
        <v>0.1 MGD AnMBR [single family]</v>
      </c>
      <c r="J3" s="3" t="str">
        <f>AnMBR_35LCIA_Summary_yr!J3</f>
        <v>0.1 MGD AnMBR [multi family]</v>
      </c>
      <c r="K3" s="3" t="str">
        <f>AnMBR_35LCIA_Summary_yr!K3</f>
        <v>0.1 MGD AnMBR [high density urban]</v>
      </c>
      <c r="L3" s="3" t="str">
        <f>AnMBR_35LCIA_Summary_yr!L3</f>
        <v>1 MGD AnMBR [semi rural single family]</v>
      </c>
      <c r="M3" s="3" t="str">
        <f>AnMBR_35LCIA_Summary_yr!M3</f>
        <v>1 MGD AnMBR [single family]</v>
      </c>
      <c r="N3" s="3" t="str">
        <f>AnMBR_35LCIA_Summary_yr!N3</f>
        <v>1 MGD AnMBR [multi family]</v>
      </c>
      <c r="O3" s="3" t="str">
        <f>AnMBR_35LCIA_Summary_yr!O3</f>
        <v>1 MGD AnMBR [high density urban]</v>
      </c>
      <c r="P3" s="3" t="str">
        <f>AnMBR_35LCIA_Summary_yr!P3</f>
        <v>5 MGD AnMBR [single family]</v>
      </c>
      <c r="Q3" s="3" t="str">
        <f>AnMBR_35LCIA_Summary_yr!Q3</f>
        <v>5 MGD AnMBR [multi family]</v>
      </c>
      <c r="R3" s="3" t="str">
        <f>AnMBR_35LCIA_Summary_yr!R3</f>
        <v>5 MGD AnMBR [high density urban]</v>
      </c>
      <c r="S3" s="3" t="str">
        <f>AnMBR_35LCIA_Summary_yr!S3</f>
        <v>10 MGD AnMBR [single family]</v>
      </c>
      <c r="T3" s="3" t="str">
        <f>AnMBR_35LCIA_Summary_yr!T3</f>
        <v>10 MGD AnMBR [multi family]</v>
      </c>
      <c r="U3" s="3" t="str">
        <f>AnMBR_35LCIA_Summary_yr!U3</f>
        <v>10 MGD AnMBR [high density urban]</v>
      </c>
      <c r="V3" s="28" t="s">
        <v>49</v>
      </c>
      <c r="W3" s="29" t="s">
        <v>51</v>
      </c>
    </row>
    <row r="4" spans="1:23" x14ac:dyDescent="0.2">
      <c r="B4" s="2" t="s">
        <v>26</v>
      </c>
      <c r="C4" s="2" t="s">
        <v>35</v>
      </c>
      <c r="D4" s="23">
        <v>-462.81700000000001</v>
      </c>
      <c r="E4" s="23">
        <v>-473.18099999999998</v>
      </c>
      <c r="F4" s="23">
        <v>-480.32400000000001</v>
      </c>
      <c r="G4" s="23">
        <v>-481.798</v>
      </c>
      <c r="H4" s="22">
        <v>-1189.17</v>
      </c>
      <c r="I4" s="22">
        <v>-1209.58</v>
      </c>
      <c r="J4" s="22">
        <v>-1223.98</v>
      </c>
      <c r="K4" s="22">
        <v>-1226.83</v>
      </c>
      <c r="L4" s="22">
        <v>-14913.9</v>
      </c>
      <c r="M4" s="79">
        <v>-15067.2</v>
      </c>
      <c r="N4" s="79">
        <v>-15067.2</v>
      </c>
      <c r="O4" s="79">
        <v>-15293.8</v>
      </c>
      <c r="P4" s="7">
        <v>-76847.3</v>
      </c>
      <c r="Q4" s="22">
        <v>-77553.399999999994</v>
      </c>
      <c r="R4" s="22">
        <v>-77696.600000000006</v>
      </c>
      <c r="S4" s="22">
        <v>-154563</v>
      </c>
      <c r="T4" s="22">
        <v>-155996</v>
      </c>
      <c r="U4" s="22">
        <v>-156285</v>
      </c>
      <c r="V4" s="30">
        <f t="shared" ref="V4:V15" si="0">MAX(D4:U4)</f>
        <v>-462.81700000000001</v>
      </c>
      <c r="W4" s="31">
        <f t="shared" ref="W4:W15" si="1">MIN(D4:U4)</f>
        <v>-156285</v>
      </c>
    </row>
    <row r="5" spans="1:23" x14ac:dyDescent="0.2">
      <c r="B5" s="2" t="s">
        <v>34</v>
      </c>
      <c r="C5" s="2" t="s">
        <v>36</v>
      </c>
      <c r="D5" s="23">
        <v>297.24299999999999</v>
      </c>
      <c r="E5" s="23">
        <v>268.43099999999998</v>
      </c>
      <c r="F5" s="23">
        <v>247.92500000000001</v>
      </c>
      <c r="G5" s="23">
        <v>243.916</v>
      </c>
      <c r="H5" s="23">
        <v>472.07600000000002</v>
      </c>
      <c r="I5" s="23">
        <v>413.82299999999998</v>
      </c>
      <c r="J5" s="23">
        <v>373.488</v>
      </c>
      <c r="K5" s="23">
        <v>365.81400000000002</v>
      </c>
      <c r="L5" s="22">
        <v>2969.56</v>
      </c>
      <c r="M5" s="79">
        <v>3189.29</v>
      </c>
      <c r="N5" s="79">
        <v>3189.29</v>
      </c>
      <c r="O5" s="79">
        <v>1871.65</v>
      </c>
      <c r="P5" s="7">
        <v>15106.6</v>
      </c>
      <c r="Q5" s="22">
        <v>13080.5</v>
      </c>
      <c r="R5" s="22">
        <v>12684.6</v>
      </c>
      <c r="S5" s="22">
        <v>28290</v>
      </c>
      <c r="T5" s="22">
        <v>24319.3</v>
      </c>
      <c r="U5" s="22">
        <v>23471.9</v>
      </c>
      <c r="V5" s="32">
        <f t="shared" si="0"/>
        <v>28290</v>
      </c>
      <c r="W5" s="33">
        <f t="shared" si="1"/>
        <v>243.916</v>
      </c>
    </row>
    <row r="6" spans="1:23" x14ac:dyDescent="0.2">
      <c r="B6" s="2" t="s">
        <v>27</v>
      </c>
      <c r="C6" s="2" t="s">
        <v>1</v>
      </c>
      <c r="D6" s="22">
        <f>AnMBR_20_CED_Detail_yr!E29</f>
        <v>-386039.75962000003</v>
      </c>
      <c r="E6" s="22">
        <f>AnMBR_20_CED_Detail_yr!F29</f>
        <v>-406011.62964</v>
      </c>
      <c r="F6" s="22">
        <f>AnMBR_20_CED_Detail_yr!G29</f>
        <v>-419869.36485999997</v>
      </c>
      <c r="G6" s="22">
        <f>AnMBR_20_CED_Detail_yr!H29</f>
        <v>-422717.93394999992</v>
      </c>
      <c r="H6" s="22">
        <f>AnMBR_20_CED_Detail_yr!I29</f>
        <v>-1255204.66655</v>
      </c>
      <c r="I6" s="22">
        <f>AnMBR_20_CED_Detail_yr!J29</f>
        <v>-1294787.85916</v>
      </c>
      <c r="J6" s="22">
        <f>AnMBR_20_CED_Detail_yr!K29</f>
        <v>-1322631.67668</v>
      </c>
      <c r="K6" s="22">
        <f>AnMBR_20_CED_Detail_yr!L29</f>
        <v>-1328142.2891500001</v>
      </c>
      <c r="L6" s="22">
        <f>AnMBR_20_CED_Detail_yr!M29</f>
        <v>-16835129.878010001</v>
      </c>
      <c r="M6" s="22">
        <f>AnMBR_20_CED_Detail_yr!N29</f>
        <v>-17233941.315329999</v>
      </c>
      <c r="N6" s="22">
        <f>AnMBR_20_CED_Detail_yr!O29</f>
        <v>-17512421.85909</v>
      </c>
      <c r="O6" s="22">
        <f>AnMBR_20_CED_Detail_yr!P29</f>
        <v>-17567488.965009999</v>
      </c>
      <c r="P6" s="22">
        <f>AnMBR_20_CED_Detail_yr!Q29</f>
        <v>-95311490.867049992</v>
      </c>
      <c r="Q6" s="22">
        <f>AnMBR_20_CED_Detail_yr!R29</f>
        <v>-96682500.299610004</v>
      </c>
      <c r="R6" s="22">
        <f>AnMBR_20_CED_Detail_yr!S29</f>
        <v>-96959587.56961</v>
      </c>
      <c r="S6" s="22">
        <f>AnMBR_20_CED_Detail_yr!T29</f>
        <v>-192511488.09319001</v>
      </c>
      <c r="T6" s="22">
        <f>AnMBR_20_CED_Detail_yr!U29</f>
        <v>-195284662.99318999</v>
      </c>
      <c r="U6" s="22">
        <f>AnMBR_20_CED_Detail_yr!V29</f>
        <v>-195841281.06319001</v>
      </c>
      <c r="V6" s="32">
        <f t="shared" si="0"/>
        <v>-386039.75962000003</v>
      </c>
      <c r="W6" s="31">
        <f t="shared" si="1"/>
        <v>-195841281.06319001</v>
      </c>
    </row>
    <row r="7" spans="1:23" x14ac:dyDescent="0.2">
      <c r="B7" s="2" t="s">
        <v>28</v>
      </c>
      <c r="C7" s="2" t="s">
        <v>42</v>
      </c>
      <c r="D7" s="12">
        <v>3.7504900000000001</v>
      </c>
      <c r="E7" s="12">
        <v>3.3979300000000001</v>
      </c>
      <c r="F7" s="12">
        <v>3.1486499999999999</v>
      </c>
      <c r="G7" s="12">
        <v>3.0991399999999998</v>
      </c>
      <c r="H7" s="12">
        <v>-3.29718</v>
      </c>
      <c r="I7" s="12">
        <v>-4.0010000000000003</v>
      </c>
      <c r="J7" s="12">
        <v>-4.4941199999999997</v>
      </c>
      <c r="K7" s="12">
        <v>-4.5908899999999999</v>
      </c>
      <c r="L7" s="9">
        <v>-177.94300000000001</v>
      </c>
      <c r="M7" s="17">
        <v>-90.569400000000002</v>
      </c>
      <c r="N7" s="17">
        <v>-90.569400000000002</v>
      </c>
      <c r="O7" s="8">
        <v>-191.089</v>
      </c>
      <c r="P7" s="9">
        <v>-628.62400000000002</v>
      </c>
      <c r="Q7" s="9">
        <v>-653</v>
      </c>
      <c r="R7" s="9">
        <v>-657.90599999999995</v>
      </c>
      <c r="S7" s="7">
        <v>-1426.08</v>
      </c>
      <c r="T7" s="7">
        <v>-1475.25</v>
      </c>
      <c r="U7" s="7">
        <v>-1485.26</v>
      </c>
      <c r="V7" s="32">
        <f t="shared" si="0"/>
        <v>3.7504900000000001</v>
      </c>
      <c r="W7" s="33">
        <f t="shared" si="1"/>
        <v>-1485.26</v>
      </c>
    </row>
    <row r="8" spans="1:23" x14ac:dyDescent="0.2">
      <c r="B8" s="2" t="s">
        <v>29</v>
      </c>
      <c r="C8" s="2" t="s">
        <v>37</v>
      </c>
      <c r="D8" s="7">
        <v>-89083.9</v>
      </c>
      <c r="E8" s="7">
        <v>-89442.1</v>
      </c>
      <c r="F8" s="7">
        <v>-89691.5</v>
      </c>
      <c r="G8" s="7">
        <v>-89742.6</v>
      </c>
      <c r="H8" s="7">
        <v>-187460</v>
      </c>
      <c r="I8" s="7">
        <v>-188170</v>
      </c>
      <c r="J8" s="7">
        <v>-188670</v>
      </c>
      <c r="K8" s="7">
        <v>-188769</v>
      </c>
      <c r="L8" s="7">
        <v>-1966490</v>
      </c>
      <c r="M8" s="6">
        <v>-1969380</v>
      </c>
      <c r="N8" s="6">
        <v>-1969380</v>
      </c>
      <c r="O8" s="6">
        <v>-1979680</v>
      </c>
      <c r="P8" s="7">
        <v>-9892230</v>
      </c>
      <c r="Q8" s="7">
        <v>-9916800</v>
      </c>
      <c r="R8" s="7">
        <v>-9921780</v>
      </c>
      <c r="S8" s="7">
        <v>-19811300</v>
      </c>
      <c r="T8" s="7">
        <v>-19861100</v>
      </c>
      <c r="U8" s="7">
        <v>-19871100</v>
      </c>
      <c r="V8" s="32">
        <f t="shared" si="0"/>
        <v>-89083.9</v>
      </c>
      <c r="W8" s="31">
        <f t="shared" si="1"/>
        <v>-19871100</v>
      </c>
    </row>
    <row r="9" spans="1:23" x14ac:dyDescent="0.2">
      <c r="B9" s="2" t="s">
        <v>30</v>
      </c>
      <c r="C9" s="2" t="s">
        <v>39</v>
      </c>
      <c r="D9" s="7">
        <f>AnMBR_20_GWP_yr!C12</f>
        <v>-26637.31901000001</v>
      </c>
      <c r="E9" s="7">
        <f>AnMBR_20_GWP_yr!D12</f>
        <v>-26772.661720000011</v>
      </c>
      <c r="F9" s="7">
        <f>AnMBR_20_GWP_yr!E12</f>
        <v>-26874.623270000011</v>
      </c>
      <c r="G9" s="7">
        <f>AnMBR_20_GWP_yr!F12</f>
        <v>-26893.865030000012</v>
      </c>
      <c r="H9" s="7">
        <f>AnMBR_20_GWP_yr!G12</f>
        <v>-79276.065560000017</v>
      </c>
      <c r="I9" s="7">
        <f>AnMBR_20_GWP_yr!H12</f>
        <v>-79525.13844000001</v>
      </c>
      <c r="J9" s="7">
        <f>AnMBR_20_GWP_yr!I12</f>
        <v>-79719.849630000012</v>
      </c>
      <c r="K9" s="7">
        <f>AnMBR_20_GWP_yr!J12</f>
        <v>-79756.957680000007</v>
      </c>
      <c r="L9" s="7">
        <f>AnMBR_20_GWP_yr!K12</f>
        <v>-1142807.4749</v>
      </c>
      <c r="M9" s="7">
        <f>AnMBR_20_GWP_yr!L12</f>
        <v>-1145606.4549</v>
      </c>
      <c r="N9" s="7">
        <f>AnMBR_20_GWP_yr!M12</f>
        <v>-1147553.5589000001</v>
      </c>
      <c r="O9" s="7">
        <f>AnMBR_20_GWP_yr!N12</f>
        <v>-1147935.8049000001</v>
      </c>
      <c r="P9" s="7">
        <f>AnMBR_20_GWP_yr!O12</f>
        <v>-5928213.7800000003</v>
      </c>
      <c r="Q9" s="7">
        <f>AnMBR_20_GWP_yr!P12</f>
        <v>-5936110.5499999998</v>
      </c>
      <c r="R9" s="7">
        <f>AnMBR_20_GWP_yr!Q12</f>
        <v>-5938002.5999999996</v>
      </c>
      <c r="S9" s="7">
        <f>AnMBR_20_GWP_yr!R12</f>
        <v>-12135823.220000001</v>
      </c>
      <c r="T9" s="7">
        <f>AnMBR_20_GWP_yr!S12</f>
        <v>-12154954.9</v>
      </c>
      <c r="U9" s="7">
        <f>AnMBR_20_GWP_yr!T12</f>
        <v>-12158891.300000001</v>
      </c>
      <c r="V9" s="32">
        <f t="shared" si="0"/>
        <v>-26637.31901000001</v>
      </c>
      <c r="W9" s="31">
        <f t="shared" si="1"/>
        <v>-12158891.300000001</v>
      </c>
    </row>
    <row r="10" spans="1:23" x14ac:dyDescent="0.2">
      <c r="B10" s="2" t="s">
        <v>31</v>
      </c>
      <c r="C10" s="2" t="s">
        <v>43</v>
      </c>
      <c r="D10" s="10">
        <v>-22.388500000000001</v>
      </c>
      <c r="E10" s="10">
        <v>-22.985399999999998</v>
      </c>
      <c r="F10" s="10">
        <v>-23.397500000000001</v>
      </c>
      <c r="G10" s="10">
        <v>-23.482299999999999</v>
      </c>
      <c r="H10" s="10">
        <v>-58.879300000000001</v>
      </c>
      <c r="I10" s="10">
        <v>-60.056199999999997</v>
      </c>
      <c r="J10" s="10">
        <v>-60.886400000000002</v>
      </c>
      <c r="K10" s="10">
        <v>-61.049599999999998</v>
      </c>
      <c r="L10" s="9">
        <v>-751.70100000000002</v>
      </c>
      <c r="M10" s="8">
        <v>-757.63099999999997</v>
      </c>
      <c r="N10" s="9">
        <v>-757.63099999999997</v>
      </c>
      <c r="O10" s="9">
        <v>-773.67399999999998</v>
      </c>
      <c r="P10" s="7">
        <v>-3870.84</v>
      </c>
      <c r="Q10" s="7">
        <v>-3911.57</v>
      </c>
      <c r="R10" s="7">
        <v>-3919.8</v>
      </c>
      <c r="S10" s="7">
        <v>-7793.6</v>
      </c>
      <c r="T10" s="7">
        <v>-7876.07</v>
      </c>
      <c r="U10" s="7">
        <v>-7892.76</v>
      </c>
      <c r="V10" s="35">
        <f t="shared" si="0"/>
        <v>-22.388500000000001</v>
      </c>
      <c r="W10" s="31">
        <f t="shared" si="1"/>
        <v>-7892.76</v>
      </c>
    </row>
    <row r="11" spans="1:23" x14ac:dyDescent="0.2">
      <c r="B11" s="2" t="s">
        <v>44</v>
      </c>
      <c r="C11" s="2" t="s">
        <v>46</v>
      </c>
      <c r="D11" s="25">
        <v>-1.065E-6</v>
      </c>
      <c r="E11" s="25">
        <v>-1.38183E-6</v>
      </c>
      <c r="F11" s="25">
        <v>-1.60433E-6</v>
      </c>
      <c r="G11" s="25">
        <v>-1.6480200000000001E-6</v>
      </c>
      <c r="H11" s="25">
        <v>-2.9328800000000002E-6</v>
      </c>
      <c r="I11" s="25">
        <v>-3.5006699999999998E-6</v>
      </c>
      <c r="J11" s="25">
        <v>-3.9435399999999999E-6</v>
      </c>
      <c r="K11" s="25">
        <v>-4.0317300000000003E-6</v>
      </c>
      <c r="L11" s="25">
        <v>-3.7229800000000001E-5</v>
      </c>
      <c r="M11" s="49">
        <v>-4.2836800000000003E-5</v>
      </c>
      <c r="N11" s="25">
        <v>-4.2836800000000003E-5</v>
      </c>
      <c r="O11" s="25">
        <v>-4.8911500000000001E-5</v>
      </c>
      <c r="P11" s="25">
        <v>-2.2231099999999999E-4</v>
      </c>
      <c r="Q11" s="25">
        <v>-2.4113499999999999E-4</v>
      </c>
      <c r="R11" s="25">
        <v>-2.4555900000000001E-4</v>
      </c>
      <c r="S11" s="25">
        <v>-4.4138800000000002E-4</v>
      </c>
      <c r="T11" s="25">
        <v>-4.85973E-4</v>
      </c>
      <c r="U11" s="25">
        <v>-4.9450399999999999E-4</v>
      </c>
      <c r="V11" s="36">
        <f t="shared" si="0"/>
        <v>-1.065E-6</v>
      </c>
      <c r="W11" s="37">
        <f t="shared" si="1"/>
        <v>-4.9450399999999999E-4</v>
      </c>
    </row>
    <row r="12" spans="1:23" x14ac:dyDescent="0.2">
      <c r="B12" s="2" t="s">
        <v>45</v>
      </c>
      <c r="C12" s="2" t="s">
        <v>46</v>
      </c>
      <c r="D12" s="12">
        <v>-0.168318</v>
      </c>
      <c r="E12" s="12">
        <v>-0.17211099999999999</v>
      </c>
      <c r="F12" s="12">
        <v>-0.17474400000000001</v>
      </c>
      <c r="G12" s="12">
        <v>-0.17527699999999999</v>
      </c>
      <c r="H12" s="12">
        <v>-0.39303199999999999</v>
      </c>
      <c r="I12" s="12">
        <v>-0.40050000000000002</v>
      </c>
      <c r="J12" s="12">
        <v>-0.405781</v>
      </c>
      <c r="K12" s="12">
        <v>-0.406781</v>
      </c>
      <c r="L12" s="12">
        <v>-4.57036</v>
      </c>
      <c r="M12" s="18">
        <v>-4.5907799999999996</v>
      </c>
      <c r="N12" s="12">
        <v>-4.5907799999999996</v>
      </c>
      <c r="O12" s="12">
        <v>-4.71204</v>
      </c>
      <c r="P12" s="10">
        <v>-23.241599999999998</v>
      </c>
      <c r="Q12" s="10">
        <v>-23.499700000000001</v>
      </c>
      <c r="R12" s="10">
        <v>-23.551300000000001</v>
      </c>
      <c r="S12" s="10">
        <v>-46.7393</v>
      </c>
      <c r="T12" s="10">
        <v>-47.256</v>
      </c>
      <c r="U12" s="10">
        <v>-47.3658</v>
      </c>
      <c r="V12" s="52">
        <f t="shared" si="0"/>
        <v>-0.168318</v>
      </c>
      <c r="W12" s="34">
        <f t="shared" si="1"/>
        <v>-47.3658</v>
      </c>
    </row>
    <row r="13" spans="1:23" x14ac:dyDescent="0.2">
      <c r="B13" s="2" t="s">
        <v>47</v>
      </c>
      <c r="C13" s="2" t="s">
        <v>48</v>
      </c>
      <c r="D13" s="25">
        <v>-1.75561E-4</v>
      </c>
      <c r="E13" s="25">
        <v>-2.0997400000000001E-4</v>
      </c>
      <c r="F13" s="25">
        <v>-2.3379799999999999E-4</v>
      </c>
      <c r="G13" s="25">
        <v>-2.3866299999999999E-4</v>
      </c>
      <c r="H13" s="26">
        <v>-1.1666300000000001E-3</v>
      </c>
      <c r="I13" s="26">
        <v>-1.23485E-3</v>
      </c>
      <c r="J13" s="26">
        <v>-1.2827100000000001E-3</v>
      </c>
      <c r="K13" s="26">
        <v>-1.2920200000000001E-3</v>
      </c>
      <c r="L13" s="11">
        <v>-2.13683E-2</v>
      </c>
      <c r="M13" s="21">
        <v>-1.9838999999999999E-2</v>
      </c>
      <c r="N13" s="11">
        <v>-1.9838999999999999E-2</v>
      </c>
      <c r="O13" s="11">
        <v>-2.26453E-2</v>
      </c>
      <c r="P13" s="12">
        <v>-0.105272</v>
      </c>
      <c r="Q13" s="12">
        <v>-0.107637</v>
      </c>
      <c r="R13" s="12">
        <v>-0.10811</v>
      </c>
      <c r="S13" s="12">
        <v>-0.21557200000000001</v>
      </c>
      <c r="T13" s="12">
        <v>-0.220306</v>
      </c>
      <c r="U13" s="12">
        <v>-0.22128100000000001</v>
      </c>
      <c r="V13" s="36">
        <f t="shared" si="0"/>
        <v>-1.75561E-4</v>
      </c>
      <c r="W13" s="39">
        <f t="shared" si="1"/>
        <v>-0.22128100000000001</v>
      </c>
    </row>
    <row r="14" spans="1:23" x14ac:dyDescent="0.2">
      <c r="B14" s="2" t="s">
        <v>32</v>
      </c>
      <c r="C14" s="2" t="s">
        <v>38</v>
      </c>
      <c r="D14" s="7">
        <v>-6104.1</v>
      </c>
      <c r="E14" s="7">
        <v>-6197.54</v>
      </c>
      <c r="F14" s="7">
        <v>-6262.16</v>
      </c>
      <c r="G14" s="7">
        <v>-6275.38</v>
      </c>
      <c r="H14" s="7">
        <v>-14106.3</v>
      </c>
      <c r="I14" s="7">
        <v>-14289.4</v>
      </c>
      <c r="J14" s="7">
        <v>-14419.4</v>
      </c>
      <c r="K14" s="7">
        <v>-14444.7</v>
      </c>
      <c r="L14" s="7">
        <v>-162359</v>
      </c>
      <c r="M14" s="6">
        <v>-164189</v>
      </c>
      <c r="N14" s="7">
        <v>-164189</v>
      </c>
      <c r="O14" s="7">
        <v>-165809</v>
      </c>
      <c r="P14" s="7">
        <v>-830728</v>
      </c>
      <c r="Q14" s="7">
        <v>-837047</v>
      </c>
      <c r="R14" s="7">
        <v>-838331</v>
      </c>
      <c r="S14" s="7">
        <v>-1667400</v>
      </c>
      <c r="T14" s="7">
        <v>-1680260</v>
      </c>
      <c r="U14" s="7">
        <v>-1682900</v>
      </c>
      <c r="V14" s="32">
        <f t="shared" si="0"/>
        <v>-6104.1</v>
      </c>
      <c r="W14" s="31">
        <f t="shared" si="1"/>
        <v>-1682900</v>
      </c>
    </row>
    <row r="15" spans="1:23" x14ac:dyDescent="0.2">
      <c r="B15" s="2" t="s">
        <v>33</v>
      </c>
      <c r="C15" s="2" t="s">
        <v>40</v>
      </c>
      <c r="D15" s="10">
        <v>41.091900000000003</v>
      </c>
      <c r="E15" s="10">
        <v>39.663800000000002</v>
      </c>
      <c r="F15" s="10">
        <v>38.666899999999998</v>
      </c>
      <c r="G15" s="10">
        <v>38.464700000000001</v>
      </c>
      <c r="H15" s="10">
        <v>18.685099999999998</v>
      </c>
      <c r="I15" s="10">
        <v>15.8307</v>
      </c>
      <c r="J15" s="10">
        <v>13.8401</v>
      </c>
      <c r="K15" s="10">
        <v>13.446</v>
      </c>
      <c r="L15" s="9">
        <v>-577.11500000000001</v>
      </c>
      <c r="M15" s="8">
        <v>-196.89599999999999</v>
      </c>
      <c r="N15" s="9">
        <v>-196.89599999999999</v>
      </c>
      <c r="O15" s="9">
        <v>-629.83600000000001</v>
      </c>
      <c r="P15" s="7">
        <v>-1637.27</v>
      </c>
      <c r="Q15" s="7">
        <v>-1736.5</v>
      </c>
      <c r="R15" s="7">
        <v>-1756.36</v>
      </c>
      <c r="S15" s="7">
        <v>-3855.19</v>
      </c>
      <c r="T15" s="7">
        <v>-4053.95</v>
      </c>
      <c r="U15" s="7">
        <v>-4094.03</v>
      </c>
      <c r="V15" s="117">
        <f t="shared" si="0"/>
        <v>41.091900000000003</v>
      </c>
      <c r="W15" s="118">
        <f t="shared" si="1"/>
        <v>-4094.03</v>
      </c>
    </row>
    <row r="17" spans="1:21" ht="15.75" x14ac:dyDescent="0.25">
      <c r="A17" s="42" t="s">
        <v>175</v>
      </c>
    </row>
    <row r="19" spans="1:21" ht="51" x14ac:dyDescent="0.2">
      <c r="D19" s="3" t="str">
        <f>D3</f>
        <v>0.05 MGD AnMBR [semi rural single family]</v>
      </c>
      <c r="E19" s="3" t="str">
        <f t="shared" ref="E19:U19" si="2">E3</f>
        <v>0.05 MGD AnMBR [single family]</v>
      </c>
      <c r="F19" s="3" t="str">
        <f t="shared" si="2"/>
        <v>0.05 MGD AnMBR [multi family]</v>
      </c>
      <c r="G19" s="3" t="str">
        <f t="shared" si="2"/>
        <v>0.05 MGD AnMBR [high density urban]</v>
      </c>
      <c r="H19" s="3" t="str">
        <f t="shared" si="2"/>
        <v>0.1 MGD AnMBR [semi rural single family]</v>
      </c>
      <c r="I19" s="3" t="str">
        <f t="shared" si="2"/>
        <v>0.1 MGD AnMBR [single family]</v>
      </c>
      <c r="J19" s="3" t="str">
        <f t="shared" si="2"/>
        <v>0.1 MGD AnMBR [multi family]</v>
      </c>
      <c r="K19" s="3" t="str">
        <f t="shared" si="2"/>
        <v>0.1 MGD AnMBR [high density urban]</v>
      </c>
      <c r="L19" s="3" t="str">
        <f t="shared" si="2"/>
        <v>1 MGD AnMBR [semi rural single family]</v>
      </c>
      <c r="M19" s="3" t="str">
        <f t="shared" si="2"/>
        <v>1 MGD AnMBR [single family]</v>
      </c>
      <c r="N19" s="3" t="str">
        <f t="shared" si="2"/>
        <v>1 MGD AnMBR [multi family]</v>
      </c>
      <c r="O19" s="3" t="str">
        <f t="shared" si="2"/>
        <v>1 MGD AnMBR [high density urban]</v>
      </c>
      <c r="P19" s="3" t="str">
        <f t="shared" si="2"/>
        <v>5 MGD AnMBR [single family]</v>
      </c>
      <c r="Q19" s="3" t="str">
        <f t="shared" si="2"/>
        <v>5 MGD AnMBR [multi family]</v>
      </c>
      <c r="R19" s="3" t="str">
        <f t="shared" si="2"/>
        <v>5 MGD AnMBR [high density urban]</v>
      </c>
      <c r="S19" s="3" t="str">
        <f t="shared" si="2"/>
        <v>10 MGD AnMBR [single family]</v>
      </c>
      <c r="T19" s="3" t="str">
        <f t="shared" si="2"/>
        <v>10 MGD AnMBR [multi family]</v>
      </c>
      <c r="U19" s="3" t="str">
        <f t="shared" si="2"/>
        <v>10 MGD AnMBR [high density urban]</v>
      </c>
    </row>
    <row r="20" spans="1:21" x14ac:dyDescent="0.2">
      <c r="C20" s="2" t="s">
        <v>26</v>
      </c>
      <c r="D20" s="27">
        <f>D4/$V4</f>
        <v>1</v>
      </c>
      <c r="E20" s="27">
        <f>E4/$V4</f>
        <v>1.0223933001596743</v>
      </c>
      <c r="F20" s="27">
        <f t="shared" ref="F20:U31" si="3">F4/$V4</f>
        <v>1.0378270461110979</v>
      </c>
      <c r="G20" s="27">
        <f t="shared" si="3"/>
        <v>1.0410118902287513</v>
      </c>
      <c r="H20" s="27">
        <f t="shared" si="3"/>
        <v>2.5694172858818929</v>
      </c>
      <c r="I20" s="27">
        <f t="shared" si="3"/>
        <v>2.6135167895734166</v>
      </c>
      <c r="J20" s="27">
        <f t="shared" si="3"/>
        <v>2.6446305991352954</v>
      </c>
      <c r="K20" s="27">
        <f t="shared" si="3"/>
        <v>2.6507885406110838</v>
      </c>
      <c r="L20" s="27">
        <f t="shared" si="3"/>
        <v>32.224183640618214</v>
      </c>
      <c r="M20" s="27">
        <f t="shared" si="3"/>
        <v>32.555416071579046</v>
      </c>
      <c r="N20" s="27">
        <f t="shared" si="3"/>
        <v>32.555416071579046</v>
      </c>
      <c r="O20" s="27">
        <f t="shared" si="3"/>
        <v>33.045026435934716</v>
      </c>
      <c r="P20" s="27">
        <f t="shared" si="3"/>
        <v>166.04251788503879</v>
      </c>
      <c r="Q20" s="27">
        <f t="shared" si="3"/>
        <v>167.56817489418063</v>
      </c>
      <c r="R20" s="27">
        <f t="shared" si="3"/>
        <v>167.87758444482378</v>
      </c>
      <c r="S20" s="27">
        <f t="shared" si="3"/>
        <v>333.96137134115645</v>
      </c>
      <c r="T20" s="27">
        <f t="shared" si="3"/>
        <v>337.0576275288073</v>
      </c>
      <c r="U20" s="27">
        <f t="shared" si="3"/>
        <v>337.68206440126443</v>
      </c>
    </row>
    <row r="21" spans="1:21" x14ac:dyDescent="0.2">
      <c r="C21" s="2" t="s">
        <v>34</v>
      </c>
      <c r="D21" s="27">
        <f t="shared" ref="D21:E31" si="4">D5/$V5</f>
        <v>1.0506998939554613E-2</v>
      </c>
      <c r="E21" s="27">
        <f t="shared" si="4"/>
        <v>9.4885471898197241E-3</v>
      </c>
      <c r="F21" s="27">
        <f t="shared" si="3"/>
        <v>8.7636974195828918E-3</v>
      </c>
      <c r="G21" s="27">
        <f t="shared" si="3"/>
        <v>8.6219865676917633E-3</v>
      </c>
      <c r="H21" s="27">
        <f t="shared" si="3"/>
        <v>1.6687027218098269E-2</v>
      </c>
      <c r="I21" s="27">
        <f t="shared" si="3"/>
        <v>1.4627889713679745E-2</v>
      </c>
      <c r="J21" s="27">
        <f t="shared" si="3"/>
        <v>1.3202120890774126E-2</v>
      </c>
      <c r="K21" s="27">
        <f t="shared" si="3"/>
        <v>1.2930858960763521E-2</v>
      </c>
      <c r="L21" s="27">
        <f t="shared" si="3"/>
        <v>0.10496854012018381</v>
      </c>
      <c r="M21" s="27">
        <f t="shared" si="3"/>
        <v>0.11273559561682574</v>
      </c>
      <c r="N21" s="27">
        <f t="shared" si="3"/>
        <v>0.11273559561682574</v>
      </c>
      <c r="O21" s="27">
        <f t="shared" si="3"/>
        <v>6.6159420289855081E-2</v>
      </c>
      <c r="P21" s="27">
        <f t="shared" si="3"/>
        <v>0.53399080947331212</v>
      </c>
      <c r="Q21" s="27">
        <f t="shared" si="3"/>
        <v>0.46237186284906329</v>
      </c>
      <c r="R21" s="27">
        <f t="shared" si="3"/>
        <v>0.44837751855779429</v>
      </c>
      <c r="S21" s="27">
        <f t="shared" si="3"/>
        <v>1</v>
      </c>
      <c r="T21" s="27">
        <f t="shared" si="3"/>
        <v>0.85964298338635559</v>
      </c>
      <c r="U21" s="27">
        <f t="shared" si="3"/>
        <v>0.82968893601979499</v>
      </c>
    </row>
    <row r="22" spans="1:21" x14ac:dyDescent="0.2">
      <c r="C22" s="2" t="s">
        <v>27</v>
      </c>
      <c r="D22" s="27">
        <f t="shared" si="4"/>
        <v>1</v>
      </c>
      <c r="E22" s="27">
        <f t="shared" si="4"/>
        <v>1.0517352669571118</v>
      </c>
      <c r="F22" s="27">
        <f t="shared" si="3"/>
        <v>1.0876324378434499</v>
      </c>
      <c r="G22" s="27">
        <f t="shared" si="3"/>
        <v>1.0950113904487564</v>
      </c>
      <c r="H22" s="27">
        <f t="shared" si="3"/>
        <v>3.2514906438278959</v>
      </c>
      <c r="I22" s="27">
        <f t="shared" si="3"/>
        <v>3.3540272132449007</v>
      </c>
      <c r="J22" s="27">
        <f t="shared" si="3"/>
        <v>3.4261540261602548</v>
      </c>
      <c r="K22" s="27">
        <f t="shared" si="3"/>
        <v>3.4404287539121952</v>
      </c>
      <c r="L22" s="27">
        <f t="shared" si="3"/>
        <v>43.609834112894838</v>
      </c>
      <c r="M22" s="27">
        <f t="shared" si="3"/>
        <v>44.642917953047913</v>
      </c>
      <c r="N22" s="27">
        <f t="shared" si="3"/>
        <v>45.364295834005368</v>
      </c>
      <c r="O22" s="27">
        <f t="shared" si="3"/>
        <v>45.506942037013587</v>
      </c>
      <c r="P22" s="27">
        <f t="shared" si="3"/>
        <v>246.89552951973207</v>
      </c>
      <c r="Q22" s="27">
        <f t="shared" si="3"/>
        <v>250.44700161138806</v>
      </c>
      <c r="R22" s="27">
        <f t="shared" si="3"/>
        <v>251.16477034658971</v>
      </c>
      <c r="S22" s="27">
        <f t="shared" si="3"/>
        <v>498.6830586639303</v>
      </c>
      <c r="T22" s="27">
        <f t="shared" si="3"/>
        <v>505.86670965037212</v>
      </c>
      <c r="U22" s="27">
        <f t="shared" si="3"/>
        <v>507.3085768573871</v>
      </c>
    </row>
    <row r="23" spans="1:21" x14ac:dyDescent="0.2">
      <c r="C23" s="2" t="s">
        <v>28</v>
      </c>
      <c r="D23" s="27">
        <f t="shared" si="4"/>
        <v>1</v>
      </c>
      <c r="E23" s="27">
        <f t="shared" si="4"/>
        <v>0.90599628315233471</v>
      </c>
      <c r="F23" s="27">
        <f t="shared" si="3"/>
        <v>0.83953030137395379</v>
      </c>
      <c r="G23" s="27">
        <f t="shared" si="3"/>
        <v>0.8263293596303416</v>
      </c>
      <c r="H23" s="27">
        <f t="shared" si="3"/>
        <v>-0.87913312660479026</v>
      </c>
      <c r="I23" s="27">
        <f t="shared" si="3"/>
        <v>-1.0667939389253138</v>
      </c>
      <c r="J23" s="27">
        <f t="shared" si="3"/>
        <v>-1.1982754253444214</v>
      </c>
      <c r="K23" s="27">
        <f t="shared" si="3"/>
        <v>-1.224077387221403</v>
      </c>
      <c r="L23" s="27">
        <f t="shared" si="3"/>
        <v>-47.445267151758841</v>
      </c>
      <c r="M23" s="27">
        <f t="shared" si="3"/>
        <v>-24.148684571882608</v>
      </c>
      <c r="N23" s="27">
        <f t="shared" si="3"/>
        <v>-24.148684571882608</v>
      </c>
      <c r="O23" s="27">
        <f t="shared" si="3"/>
        <v>-50.950409146538185</v>
      </c>
      <c r="P23" s="27">
        <f t="shared" si="3"/>
        <v>-167.61116547437803</v>
      </c>
      <c r="Q23" s="27">
        <f t="shared" si="3"/>
        <v>-174.11058288383651</v>
      </c>
      <c r="R23" s="27">
        <f t="shared" si="3"/>
        <v>-175.41867862599284</v>
      </c>
      <c r="S23" s="27">
        <f t="shared" si="3"/>
        <v>-380.23831552677115</v>
      </c>
      <c r="T23" s="27">
        <f t="shared" si="3"/>
        <v>-393.34860244927995</v>
      </c>
      <c r="U23" s="27">
        <f t="shared" si="3"/>
        <v>-396.01758703529401</v>
      </c>
    </row>
    <row r="24" spans="1:21" x14ac:dyDescent="0.2">
      <c r="C24" s="2" t="s">
        <v>29</v>
      </c>
      <c r="D24" s="27">
        <f t="shared" si="4"/>
        <v>1</v>
      </c>
      <c r="E24" s="27">
        <f t="shared" si="4"/>
        <v>1.0040209285853001</v>
      </c>
      <c r="F24" s="27">
        <f t="shared" si="3"/>
        <v>1.0068205365952771</v>
      </c>
      <c r="G24" s="27">
        <f t="shared" si="3"/>
        <v>1.0073941531522532</v>
      </c>
      <c r="H24" s="27">
        <f t="shared" si="3"/>
        <v>2.1043084103861642</v>
      </c>
      <c r="I24" s="27">
        <f t="shared" si="3"/>
        <v>2.1122784251699804</v>
      </c>
      <c r="J24" s="27">
        <f t="shared" si="3"/>
        <v>2.1178911116374564</v>
      </c>
      <c r="K24" s="27">
        <f t="shared" si="3"/>
        <v>2.1190024235580167</v>
      </c>
      <c r="L24" s="27">
        <f t="shared" si="3"/>
        <v>22.074583622854412</v>
      </c>
      <c r="M24" s="27">
        <f t="shared" si="3"/>
        <v>22.107024950636426</v>
      </c>
      <c r="N24" s="27">
        <f t="shared" si="3"/>
        <v>22.107024950636426</v>
      </c>
      <c r="O24" s="27">
        <f t="shared" si="3"/>
        <v>22.222646291866432</v>
      </c>
      <c r="P24" s="27">
        <f t="shared" si="3"/>
        <v>111.04397090832352</v>
      </c>
      <c r="Q24" s="27">
        <f t="shared" si="3"/>
        <v>111.31977832133529</v>
      </c>
      <c r="R24" s="27">
        <f t="shared" si="3"/>
        <v>111.37568067855135</v>
      </c>
      <c r="S24" s="27">
        <f t="shared" si="3"/>
        <v>222.38923082622114</v>
      </c>
      <c r="T24" s="27">
        <f t="shared" si="3"/>
        <v>222.94825439838178</v>
      </c>
      <c r="U24" s="27">
        <f t="shared" si="3"/>
        <v>223.06050812773128</v>
      </c>
    </row>
    <row r="25" spans="1:21" x14ac:dyDescent="0.2">
      <c r="C25" s="2" t="s">
        <v>30</v>
      </c>
      <c r="D25" s="27">
        <f t="shared" si="4"/>
        <v>1</v>
      </c>
      <c r="E25" s="27">
        <f t="shared" si="4"/>
        <v>1.0050809433918328</v>
      </c>
      <c r="F25" s="27">
        <f t="shared" si="3"/>
        <v>1.0089087141206259</v>
      </c>
      <c r="G25" s="27">
        <f t="shared" si="3"/>
        <v>1.0096310751057076</v>
      </c>
      <c r="H25" s="27">
        <f t="shared" si="3"/>
        <v>2.9761277976300358</v>
      </c>
      <c r="I25" s="27">
        <f t="shared" si="3"/>
        <v>2.9854783212283937</v>
      </c>
      <c r="J25" s="27">
        <f t="shared" si="3"/>
        <v>2.9927880354652845</v>
      </c>
      <c r="K25" s="27">
        <f t="shared" si="3"/>
        <v>2.9941811204820636</v>
      </c>
      <c r="L25" s="27">
        <f t="shared" si="3"/>
        <v>42.902496098461512</v>
      </c>
      <c r="M25" s="27">
        <f t="shared" si="3"/>
        <v>43.00757349003193</v>
      </c>
      <c r="N25" s="27">
        <f t="shared" si="3"/>
        <v>43.080670335824443</v>
      </c>
      <c r="O25" s="27">
        <f t="shared" si="3"/>
        <v>43.095020353551703</v>
      </c>
      <c r="P25" s="27">
        <f t="shared" si="3"/>
        <v>222.55294452773074</v>
      </c>
      <c r="Q25" s="27">
        <f t="shared" si="3"/>
        <v>222.84939966261257</v>
      </c>
      <c r="R25" s="27">
        <f t="shared" si="3"/>
        <v>222.92042970881542</v>
      </c>
      <c r="S25" s="27">
        <f t="shared" si="3"/>
        <v>455.59476970801933</v>
      </c>
      <c r="T25" s="27">
        <f t="shared" si="3"/>
        <v>456.31299814507855</v>
      </c>
      <c r="U25" s="27">
        <f t="shared" si="3"/>
        <v>456.46077577985187</v>
      </c>
    </row>
    <row r="26" spans="1:21" x14ac:dyDescent="0.2">
      <c r="C26" s="2" t="s">
        <v>31</v>
      </c>
      <c r="D26" s="27">
        <f t="shared" si="4"/>
        <v>1</v>
      </c>
      <c r="E26" s="27">
        <f t="shared" si="4"/>
        <v>1.0266610090001562</v>
      </c>
      <c r="F26" s="27">
        <f t="shared" si="3"/>
        <v>1.0450677803336534</v>
      </c>
      <c r="G26" s="27">
        <f t="shared" si="3"/>
        <v>1.0488554391763627</v>
      </c>
      <c r="H26" s="27">
        <f t="shared" si="3"/>
        <v>2.6298903454898719</v>
      </c>
      <c r="I26" s="27">
        <f t="shared" si="3"/>
        <v>2.6824575116689369</v>
      </c>
      <c r="J26" s="27">
        <f t="shared" si="3"/>
        <v>2.7195390490653684</v>
      </c>
      <c r="K26" s="27">
        <f t="shared" si="3"/>
        <v>2.7268285057060542</v>
      </c>
      <c r="L26" s="27">
        <f t="shared" si="3"/>
        <v>33.575317685418852</v>
      </c>
      <c r="M26" s="27">
        <f t="shared" si="3"/>
        <v>33.840185809679078</v>
      </c>
      <c r="N26" s="27">
        <f t="shared" si="3"/>
        <v>33.840185809679078</v>
      </c>
      <c r="O26" s="27">
        <f t="shared" si="3"/>
        <v>34.55675905040534</v>
      </c>
      <c r="P26" s="27">
        <f t="shared" si="3"/>
        <v>172.89411974897828</v>
      </c>
      <c r="Q26" s="27">
        <f t="shared" si="3"/>
        <v>174.71335730397303</v>
      </c>
      <c r="R26" s="27">
        <f t="shared" si="3"/>
        <v>175.08095674118408</v>
      </c>
      <c r="S26" s="27">
        <f t="shared" si="3"/>
        <v>348.10728722335131</v>
      </c>
      <c r="T26" s="27">
        <f t="shared" si="3"/>
        <v>351.79087477946263</v>
      </c>
      <c r="U26" s="27">
        <f t="shared" si="3"/>
        <v>352.53634678517989</v>
      </c>
    </row>
    <row r="27" spans="1:21" x14ac:dyDescent="0.2">
      <c r="C27" s="2" t="s">
        <v>44</v>
      </c>
      <c r="D27" s="27">
        <f t="shared" si="4"/>
        <v>1</v>
      </c>
      <c r="E27" s="27">
        <f t="shared" si="4"/>
        <v>1.2974929577464789</v>
      </c>
      <c r="F27" s="27">
        <f t="shared" si="3"/>
        <v>1.5064131455399061</v>
      </c>
      <c r="G27" s="27">
        <f t="shared" si="3"/>
        <v>1.54743661971831</v>
      </c>
      <c r="H27" s="27">
        <f t="shared" si="3"/>
        <v>2.7538779342723005</v>
      </c>
      <c r="I27" s="27">
        <f t="shared" si="3"/>
        <v>3.2870140845070424</v>
      </c>
      <c r="J27" s="27">
        <f t="shared" si="3"/>
        <v>3.7028544600938966</v>
      </c>
      <c r="K27" s="27">
        <f t="shared" si="3"/>
        <v>3.7856619718309861</v>
      </c>
      <c r="L27" s="27">
        <f t="shared" si="3"/>
        <v>34.95755868544601</v>
      </c>
      <c r="M27" s="27">
        <f t="shared" si="3"/>
        <v>40.222347417840382</v>
      </c>
      <c r="N27" s="27">
        <f t="shared" si="3"/>
        <v>40.222347417840382</v>
      </c>
      <c r="O27" s="27">
        <f t="shared" si="3"/>
        <v>45.926291079812209</v>
      </c>
      <c r="P27" s="27">
        <f t="shared" si="3"/>
        <v>208.74272300469482</v>
      </c>
      <c r="Q27" s="27">
        <f t="shared" si="3"/>
        <v>226.41784037558685</v>
      </c>
      <c r="R27" s="27">
        <f t="shared" si="3"/>
        <v>230.57183098591551</v>
      </c>
      <c r="S27" s="27">
        <f t="shared" si="3"/>
        <v>414.44882629107985</v>
      </c>
      <c r="T27" s="27">
        <f t="shared" si="3"/>
        <v>456.31267605633803</v>
      </c>
      <c r="U27" s="27">
        <f t="shared" si="3"/>
        <v>464.32300469483567</v>
      </c>
    </row>
    <row r="28" spans="1:21" x14ac:dyDescent="0.2">
      <c r="C28" s="2" t="s">
        <v>45</v>
      </c>
      <c r="D28" s="27">
        <f t="shared" si="4"/>
        <v>1</v>
      </c>
      <c r="E28" s="27">
        <f t="shared" si="4"/>
        <v>1.0225347259354316</v>
      </c>
      <c r="F28" s="27">
        <f t="shared" si="3"/>
        <v>1.0381777350016042</v>
      </c>
      <c r="G28" s="27">
        <f t="shared" si="3"/>
        <v>1.041344360080324</v>
      </c>
      <c r="H28" s="27">
        <f t="shared" si="3"/>
        <v>2.3350562625506481</v>
      </c>
      <c r="I28" s="27">
        <f t="shared" si="3"/>
        <v>2.3794246604641218</v>
      </c>
      <c r="J28" s="27">
        <f t="shared" si="3"/>
        <v>2.4107997956249481</v>
      </c>
      <c r="K28" s="27">
        <f t="shared" si="3"/>
        <v>2.4167409308570682</v>
      </c>
      <c r="L28" s="27">
        <f t="shared" si="3"/>
        <v>27.153126819472664</v>
      </c>
      <c r="M28" s="27">
        <f t="shared" si="3"/>
        <v>27.274444800912558</v>
      </c>
      <c r="N28" s="27">
        <f t="shared" si="3"/>
        <v>27.274444800912558</v>
      </c>
      <c r="O28" s="27">
        <f t="shared" si="3"/>
        <v>27.994866859159448</v>
      </c>
      <c r="P28" s="27">
        <f t="shared" si="3"/>
        <v>138.08148861084376</v>
      </c>
      <c r="Q28" s="27">
        <f t="shared" si="3"/>
        <v>139.61489561425398</v>
      </c>
      <c r="R28" s="27">
        <f t="shared" si="3"/>
        <v>139.92145819223137</v>
      </c>
      <c r="S28" s="27">
        <f t="shared" si="3"/>
        <v>277.6845019546335</v>
      </c>
      <c r="T28" s="27">
        <f t="shared" si="3"/>
        <v>280.75428652906999</v>
      </c>
      <c r="U28" s="27">
        <f t="shared" si="3"/>
        <v>281.40662317755675</v>
      </c>
    </row>
    <row r="29" spans="1:21" x14ac:dyDescent="0.2">
      <c r="C29" s="2" t="s">
        <v>47</v>
      </c>
      <c r="D29" s="27">
        <f t="shared" si="4"/>
        <v>1</v>
      </c>
      <c r="E29" s="27">
        <f>E13/$V13</f>
        <v>1.196017338702787</v>
      </c>
      <c r="F29" s="27">
        <f t="shared" si="3"/>
        <v>1.3317194593332231</v>
      </c>
      <c r="G29" s="27">
        <f t="shared" si="3"/>
        <v>1.359430625252761</v>
      </c>
      <c r="H29" s="27">
        <f t="shared" si="3"/>
        <v>6.6451546755828463</v>
      </c>
      <c r="I29" s="27">
        <f t="shared" si="3"/>
        <v>7.0337375613034787</v>
      </c>
      <c r="J29" s="27">
        <f t="shared" si="3"/>
        <v>7.3063493600514926</v>
      </c>
      <c r="K29" s="27">
        <f t="shared" si="3"/>
        <v>7.3593793610198173</v>
      </c>
      <c r="L29" s="27">
        <f t="shared" si="3"/>
        <v>121.71438987018757</v>
      </c>
      <c r="M29" s="27">
        <f t="shared" si="3"/>
        <v>113.00345748771082</v>
      </c>
      <c r="N29" s="27">
        <f t="shared" si="3"/>
        <v>113.00345748771082</v>
      </c>
      <c r="O29" s="27">
        <f t="shared" si="3"/>
        <v>128.98821492244861</v>
      </c>
      <c r="P29" s="27">
        <f t="shared" si="3"/>
        <v>599.63203672797488</v>
      </c>
      <c r="Q29" s="27">
        <f t="shared" si="3"/>
        <v>613.10313794065883</v>
      </c>
      <c r="R29" s="27">
        <f t="shared" si="3"/>
        <v>615.79735818319557</v>
      </c>
      <c r="S29" s="27">
        <f t="shared" si="3"/>
        <v>1227.9036915943748</v>
      </c>
      <c r="T29" s="27">
        <f t="shared" si="3"/>
        <v>1254.8686781232734</v>
      </c>
      <c r="U29" s="27">
        <f t="shared" si="3"/>
        <v>1260.4223033589465</v>
      </c>
    </row>
    <row r="30" spans="1:21" x14ac:dyDescent="0.2">
      <c r="C30" s="2" t="s">
        <v>32</v>
      </c>
      <c r="D30" s="27">
        <f t="shared" si="4"/>
        <v>1</v>
      </c>
      <c r="E30" s="27">
        <f t="shared" si="4"/>
        <v>1.0153077439753608</v>
      </c>
      <c r="F30" s="27">
        <f t="shared" si="3"/>
        <v>1.0258940711980471</v>
      </c>
      <c r="G30" s="27">
        <f t="shared" si="3"/>
        <v>1.0280598286397666</v>
      </c>
      <c r="H30" s="27">
        <f t="shared" si="3"/>
        <v>2.310954931930997</v>
      </c>
      <c r="I30" s="27">
        <f t="shared" si="3"/>
        <v>2.3409511639717566</v>
      </c>
      <c r="J30" s="27">
        <f t="shared" si="3"/>
        <v>2.362248324896381</v>
      </c>
      <c r="K30" s="27">
        <f t="shared" si="3"/>
        <v>2.3663930800609427</v>
      </c>
      <c r="L30" s="27">
        <f t="shared" si="3"/>
        <v>26.598351927393061</v>
      </c>
      <c r="M30" s="27">
        <f t="shared" si="3"/>
        <v>26.898150423485852</v>
      </c>
      <c r="N30" s="27">
        <f t="shared" si="3"/>
        <v>26.898150423485852</v>
      </c>
      <c r="O30" s="27">
        <f t="shared" si="3"/>
        <v>27.163545813469632</v>
      </c>
      <c r="P30" s="27">
        <f t="shared" si="3"/>
        <v>136.09344538916466</v>
      </c>
      <c r="Q30" s="27">
        <f t="shared" si="3"/>
        <v>137.1286512344162</v>
      </c>
      <c r="R30" s="27">
        <f t="shared" si="3"/>
        <v>137.33900165462558</v>
      </c>
      <c r="S30" s="27">
        <f t="shared" si="3"/>
        <v>273.16066250552905</v>
      </c>
      <c r="T30" s="27">
        <f t="shared" si="3"/>
        <v>275.26744319391884</v>
      </c>
      <c r="U30" s="27">
        <f t="shared" si="3"/>
        <v>275.69993938500352</v>
      </c>
    </row>
    <row r="31" spans="1:21" x14ac:dyDescent="0.2">
      <c r="C31" s="2" t="s">
        <v>33</v>
      </c>
      <c r="D31" s="27">
        <f t="shared" si="4"/>
        <v>1</v>
      </c>
      <c r="E31" s="27">
        <f t="shared" si="4"/>
        <v>0.96524619207191686</v>
      </c>
      <c r="F31" s="27">
        <f t="shared" si="3"/>
        <v>0.94098593640109107</v>
      </c>
      <c r="G31" s="27">
        <f t="shared" si="3"/>
        <v>0.93606525860327705</v>
      </c>
      <c r="H31" s="27">
        <f t="shared" si="3"/>
        <v>0.45471491948534865</v>
      </c>
      <c r="I31" s="27">
        <f t="shared" si="3"/>
        <v>0.38525110788257538</v>
      </c>
      <c r="J31" s="27">
        <f t="shared" si="3"/>
        <v>0.3368084707691783</v>
      </c>
      <c r="K31" s="27">
        <f t="shared" si="3"/>
        <v>0.32721777284574327</v>
      </c>
      <c r="L31" s="27">
        <f t="shared" si="3"/>
        <v>-14.044495387168761</v>
      </c>
      <c r="M31" s="27">
        <f t="shared" si="3"/>
        <v>-4.7916012644827806</v>
      </c>
      <c r="N31" s="27">
        <f t="shared" si="3"/>
        <v>-4.7916012644827806</v>
      </c>
      <c r="O31" s="27">
        <f t="shared" si="3"/>
        <v>-15.327497633353531</v>
      </c>
      <c r="P31" s="27">
        <f t="shared" si="3"/>
        <v>-39.844105529313559</v>
      </c>
      <c r="Q31" s="27">
        <f t="shared" si="3"/>
        <v>-42.258936676084581</v>
      </c>
      <c r="R31" s="27">
        <f t="shared" si="3"/>
        <v>-42.74224360518739</v>
      </c>
      <c r="S31" s="27">
        <f t="shared" si="3"/>
        <v>-93.818733132320475</v>
      </c>
      <c r="T31" s="27">
        <f t="shared" si="3"/>
        <v>-98.655696134761342</v>
      </c>
      <c r="U31" s="27">
        <f t="shared" si="3"/>
        <v>-99.631070843645588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showGridLines="0" zoomScale="85" zoomScaleNormal="85" workbookViewId="0">
      <pane xSplit="4" topLeftCell="E1" activePane="topRight" state="frozen"/>
      <selection pane="topRight" activeCell="E18" sqref="E18"/>
    </sheetView>
  </sheetViews>
  <sheetFormatPr defaultRowHeight="12.75" x14ac:dyDescent="0.2"/>
  <cols>
    <col min="1" max="1" width="1.85546875" style="1" customWidth="1"/>
    <col min="2" max="3" width="13.7109375" style="1" customWidth="1"/>
    <col min="4" max="4" width="54.85546875" style="1" customWidth="1"/>
    <col min="5" max="5" width="19.42578125" style="1" customWidth="1"/>
    <col min="6" max="8" width="20.140625" style="1" customWidth="1"/>
    <col min="9" max="9" width="19.42578125" style="1" customWidth="1"/>
    <col min="10" max="12" width="20.140625" style="1" customWidth="1"/>
    <col min="13" max="13" width="19.42578125" style="1" customWidth="1"/>
    <col min="14" max="22" width="20.140625" style="1" customWidth="1"/>
    <col min="23" max="16384" width="9.140625" style="1"/>
  </cols>
  <sheetData>
    <row r="1" spans="1:23" ht="15.75" x14ac:dyDescent="0.25">
      <c r="A1" s="42" t="s">
        <v>54</v>
      </c>
    </row>
    <row r="2" spans="1:23" x14ac:dyDescent="0.2">
      <c r="A2" s="41" t="s">
        <v>52</v>
      </c>
    </row>
    <row r="4" spans="1:23" x14ac:dyDescent="0.2">
      <c r="D4" s="44" t="s">
        <v>53</v>
      </c>
      <c r="E4" s="45">
        <f>F4</f>
        <v>69129.535959999994</v>
      </c>
      <c r="F4" s="46">
        <f>G4</f>
        <v>69129.535959999994</v>
      </c>
      <c r="G4" s="46">
        <f>H4</f>
        <v>69129.535959999994</v>
      </c>
      <c r="H4" s="46">
        <v>69129.535959999994</v>
      </c>
      <c r="I4" s="46">
        <f>J4</f>
        <v>138259.07190000001</v>
      </c>
      <c r="J4" s="46">
        <f>K4</f>
        <v>138259.07190000001</v>
      </c>
      <c r="K4" s="46">
        <f>L4</f>
        <v>138259.07190000001</v>
      </c>
      <c r="L4" s="46">
        <v>138259.07190000001</v>
      </c>
      <c r="M4" s="46">
        <f>N4</f>
        <v>1382590.719</v>
      </c>
      <c r="N4" s="46">
        <f>O4</f>
        <v>1382590.719</v>
      </c>
      <c r="O4" s="46">
        <f>P4</f>
        <v>1382590.719</v>
      </c>
      <c r="P4" s="46">
        <v>1382590.719</v>
      </c>
      <c r="Q4" s="46">
        <f>R4</f>
        <v>6912953.5959999999</v>
      </c>
      <c r="R4" s="46">
        <f>S4</f>
        <v>6912953.5959999999</v>
      </c>
      <c r="S4" s="46">
        <v>6912953.5959999999</v>
      </c>
      <c r="T4" s="46">
        <v>13825907.189999999</v>
      </c>
      <c r="U4" s="46">
        <f>T4</f>
        <v>13825907.189999999</v>
      </c>
      <c r="V4" s="47">
        <f>U4</f>
        <v>13825907.189999999</v>
      </c>
    </row>
    <row r="5" spans="1:23" ht="75" customHeight="1" x14ac:dyDescent="0.2">
      <c r="B5" s="13"/>
      <c r="C5" s="14"/>
      <c r="D5" s="2"/>
      <c r="E5" s="3" t="str">
        <f>AeMBR_Baseline_CED_Detail_yr!E5</f>
        <v>0.05 MGD AeMBR [semi rural single family]</v>
      </c>
      <c r="F5" s="3" t="str">
        <f>AeMBR_Baseline_CED_Detail_yr!F5</f>
        <v>0.05 MGD AeMBR [single family]</v>
      </c>
      <c r="G5" s="3" t="str">
        <f>AeMBR_Baseline_CED_Detail_yr!G5</f>
        <v>0.05 MGD AeMBR [multi family]</v>
      </c>
      <c r="H5" s="3" t="str">
        <f>AeMBR_Baseline_CED_Detail_yr!H5</f>
        <v>0.05 MGD AeMBR [high density urban]</v>
      </c>
      <c r="I5" s="3" t="str">
        <f>AeMBR_Baseline_CED_Detail_yr!I5</f>
        <v>0.1 MGD AeMBR [semi rural single family]</v>
      </c>
      <c r="J5" s="3" t="str">
        <f>AeMBR_Baseline_CED_Detail_yr!J5</f>
        <v>0.1 MGD AeMBR [single family]</v>
      </c>
      <c r="K5" s="3" t="str">
        <f>AeMBR_Baseline_CED_Detail_yr!K5</f>
        <v>0.1 MGD AeMBR [multi family]</v>
      </c>
      <c r="L5" s="3" t="str">
        <f>AeMBR_Baseline_CED_Detail_yr!L5</f>
        <v>0.1 MGD AeMBR [high density urban]</v>
      </c>
      <c r="M5" s="3" t="str">
        <f>AeMBR_Baseline_CED_Detail_yr!M5</f>
        <v>1 MGD AeMBR [semi rural single family]</v>
      </c>
      <c r="N5" s="3" t="str">
        <f>AeMBR_Baseline_CED_Detail_yr!N5</f>
        <v>1 MGD AeMBR [single family]</v>
      </c>
      <c r="O5" s="3" t="str">
        <f>AeMBR_Baseline_CED_Detail_yr!O5</f>
        <v>1 MGD AeMBR [multi family]</v>
      </c>
      <c r="P5" s="3" t="str">
        <f>AeMBR_Baseline_CED_Detail_yr!P5</f>
        <v>1 MGD AeMBR [high density urban]</v>
      </c>
      <c r="Q5" s="3" t="str">
        <f>AeMBR_Baseline_CED_Detail_yr!Q5</f>
        <v>5 MGD AeMBR [single family]</v>
      </c>
      <c r="R5" s="3" t="str">
        <f>AeMBR_Baseline_CED_Detail_yr!R5</f>
        <v>5 MGD AeMBR [multi family]</v>
      </c>
      <c r="S5" s="3" t="str">
        <f>AeMBR_Baseline_CED_Detail_yr!S5</f>
        <v>5 MGD AeMBR [high density urban]</v>
      </c>
      <c r="T5" s="3" t="str">
        <f>AeMBR_Baseline_CED_Detail_yr!T5</f>
        <v>10 MGD AeMBR [single family]</v>
      </c>
      <c r="U5" s="3" t="str">
        <f>AeMBR_Baseline_CED_Detail_yr!U5</f>
        <v>10 MGD AeMBR [multi family]</v>
      </c>
      <c r="V5" s="3" t="str">
        <f>AeMBR_Baseline_CED_Detail_yr!V5</f>
        <v>10 MGD AeMBR [high density urban]</v>
      </c>
      <c r="W5" s="2" t="s">
        <v>0</v>
      </c>
    </row>
    <row r="6" spans="1:23" ht="12.75" customHeight="1" x14ac:dyDescent="0.2">
      <c r="B6" s="120" t="s">
        <v>12</v>
      </c>
      <c r="C6" s="120"/>
      <c r="D6" s="2" t="s">
        <v>20</v>
      </c>
      <c r="E6" s="21">
        <f>AeMBR_Baseline_CED_Detail_yr!E6/AeMBR_Baseline_CED_Detail_m3!E$4</f>
        <v>3.3068788445545935E-2</v>
      </c>
      <c r="F6" s="21">
        <f>AeMBR_Baseline_CED_Detail_yr!F6/AeMBR_Baseline_CED_Detail_m3!F$4</f>
        <v>1.7609334463121139E-2</v>
      </c>
      <c r="G6" s="48">
        <f>AeMBR_Baseline_CED_Detail_yr!G6/AeMBR_Baseline_CED_Detail_m3!G$4</f>
        <v>4.4091728053312403E-3</v>
      </c>
      <c r="H6" s="48">
        <f>AeMBR_Baseline_CED_Detail_yr!H6/AeMBR_Baseline_CED_Detail_m3!H$4</f>
        <v>2.074800561123281E-3</v>
      </c>
      <c r="I6" s="21">
        <f>AeMBR_Baseline_CED_Detail_yr!I6/AeMBR_Baseline_CED_Detail_m3!I$4</f>
        <v>3.1208440362747728E-2</v>
      </c>
      <c r="J6" s="21">
        <f>AeMBR_Baseline_CED_Detail_yr!J6/AeMBR_Baseline_CED_Detail_m3!J$4</f>
        <v>1.6166966762345233E-2</v>
      </c>
      <c r="K6" s="48">
        <f>AeMBR_Baseline_CED_Detail_yr!K6/AeMBR_Baseline_CED_Detail_m3!K$4</f>
        <v>4.4091139309897246E-3</v>
      </c>
      <c r="L6" s="48">
        <f>AeMBR_Baseline_CED_Detail_yr!L6/AeMBR_Baseline_CED_Detail_m3!L$4</f>
        <v>1.9914608583453106E-3</v>
      </c>
      <c r="M6" s="21">
        <f>AeMBR_Baseline_CED_Detail_yr!M6/AeMBR_Baseline_CED_Detail_m3!M$4</f>
        <v>3.3068354482422936E-2</v>
      </c>
      <c r="N6" s="21">
        <f>AeMBR_Baseline_CED_Detail_yr!N6/AeMBR_Baseline_CED_Detail_m3!N$4</f>
        <v>1.6166968064248954E-2</v>
      </c>
      <c r="O6" s="48">
        <f>AeMBR_Baseline_CED_Detail_yr!O6/AeMBR_Baseline_CED_Detail_m3!O$4</f>
        <v>4.4091717933772701E-3</v>
      </c>
      <c r="P6" s="48">
        <f>AeMBR_Baseline_CED_Detail_yr!P6/AeMBR_Baseline_CED_Detail_m3!P$4</f>
        <v>2.0576081995238677E-3</v>
      </c>
      <c r="Q6" s="21">
        <f>AeMBR_Baseline_CED_Detail_yr!Q6/AeMBR_Baseline_CED_Detail_m3!Q$4</f>
        <v>1.3587448359894935E-2</v>
      </c>
      <c r="R6" s="48">
        <f>AeMBR_Baseline_CED_Detail_yr!R6/AeMBR_Baseline_CED_Detail_m3!R$4</f>
        <v>4.4091717927394582E-3</v>
      </c>
      <c r="S6" s="48">
        <f>AeMBR_Baseline_CED_Detail_yr!S6/AeMBR_Baseline_CED_Detail_m3!S$4</f>
        <v>2.0576154320246648E-3</v>
      </c>
      <c r="T6" s="21">
        <f>AeMBR_Baseline_CED_Detail_yr!T6/AeMBR_Baseline_CED_Detail_m3!T$4</f>
        <v>1.6166968064248954E-2</v>
      </c>
      <c r="U6" s="48">
        <f>AeMBR_Baseline_CED_Detail_yr!U6/AeMBR_Baseline_CED_Detail_m3!U$4</f>
        <v>4.2880007210579288E-3</v>
      </c>
      <c r="V6" s="48">
        <f>AeMBR_Baseline_CED_Detail_yr!V6/AeMBR_Baseline_CED_Detail_m3!V$4</f>
        <v>2.0576154323223112E-3</v>
      </c>
      <c r="W6" s="2" t="s">
        <v>1</v>
      </c>
    </row>
    <row r="7" spans="1:23" x14ac:dyDescent="0.2">
      <c r="B7" s="120"/>
      <c r="C7" s="120"/>
      <c r="D7" s="2" t="s">
        <v>21</v>
      </c>
      <c r="E7" s="48">
        <f>AeMBR_Baseline_CED_Detail_yr!E7/AeMBR_Baseline_CED_Detail_m3!E$4</f>
        <v>4.9071644310803219E-3</v>
      </c>
      <c r="F7" s="48">
        <f>AeMBR_Baseline_CED_Detail_yr!F7/AeMBR_Baseline_CED_Detail_m3!F$4</f>
        <v>2.3990904567327579E-3</v>
      </c>
      <c r="G7" s="49">
        <f>AeMBR_Baseline_CED_Detail_yr!G7/AeMBR_Baseline_CED_Detail_m3!G$4</f>
        <v>6.5429746304346531E-4</v>
      </c>
      <c r="H7" s="49">
        <f>AeMBR_Baseline_CED_Detail_yr!H7/AeMBR_Baseline_CED_Detail_m3!H$4</f>
        <v>3.0533880644321922E-4</v>
      </c>
      <c r="I7" s="48">
        <f>AeMBR_Baseline_CED_Detail_yr!I7/AeMBR_Baseline_CED_Detail_m3!I$4</f>
        <v>4.9072304672399579E-3</v>
      </c>
      <c r="J7" s="48">
        <f>AeMBR_Baseline_CED_Detail_yr!J7/AeMBR_Baseline_CED_Detail_m3!J$4</f>
        <v>2.3990904570798002E-3</v>
      </c>
      <c r="K7" s="49">
        <f>AeMBR_Baseline_CED_Detail_yr!K7/AeMBR_Baseline_CED_Detail_m3!K$4</f>
        <v>6.5427894717409848E-4</v>
      </c>
      <c r="L7" s="49">
        <f>AeMBR_Baseline_CED_Detail_yr!L7/AeMBR_Baseline_CED_Detail_m3!L$4</f>
        <v>4.5798079742498252E-4</v>
      </c>
      <c r="M7" s="48">
        <f>AeMBR_Baseline_CED_Detail_yr!M7/AeMBR_Baseline_CED_Detail_m3!M$4</f>
        <v>4.9072295269761606E-3</v>
      </c>
      <c r="N7" s="48">
        <f>AeMBR_Baseline_CED_Detail_yr!N7/AeMBR_Baseline_CED_Detail_m3!N$4</f>
        <v>2.399090435381405E-3</v>
      </c>
      <c r="O7" s="49">
        <f>AeMBR_Baseline_CED_Detail_yr!O7/AeMBR_Baseline_CED_Detail_m3!O$4</f>
        <v>6.5429739081012881E-4</v>
      </c>
      <c r="P7" s="49">
        <f>AeMBR_Baseline_CED_Detail_yr!P7/AeMBR_Baseline_CED_Detail_m3!P$4</f>
        <v>3.5113789882166858E-4</v>
      </c>
      <c r="Q7" s="48">
        <f>AeMBR_Baseline_CED_Detail_yr!Q7/AeMBR_Baseline_CED_Detail_m3!Q$4</f>
        <v>2.3990903120767889E-3</v>
      </c>
      <c r="R7" s="49">
        <f>AeMBR_Baseline_CED_Detail_yr!R7/AeMBR_Baseline_CED_Detail_m3!R$4</f>
        <v>6.5429630579571445E-4</v>
      </c>
      <c r="S7" s="49">
        <f>AeMBR_Baseline_CED_Detail_yr!S7/AeMBR_Baseline_CED_Detail_m3!S$4</f>
        <v>3.7556595222948755E-4</v>
      </c>
      <c r="T7" s="48">
        <f>AeMBR_Baseline_CED_Detail_yr!T7/AeMBR_Baseline_CED_Detail_m3!T$4</f>
        <v>2.3990903124238316E-3</v>
      </c>
      <c r="U7" s="49">
        <f>AeMBR_Baseline_CED_Detail_yr!U7/AeMBR_Baseline_CED_Detail_m3!U$4</f>
        <v>9.8141842076114789E-4</v>
      </c>
      <c r="V7" s="49">
        <f>AeMBR_Baseline_CED_Detail_yr!V7/AeMBR_Baseline_CED_Detail_m3!V$4</f>
        <v>4.931220719412337E-4</v>
      </c>
      <c r="W7" s="2" t="s">
        <v>1</v>
      </c>
    </row>
    <row r="8" spans="1:23" x14ac:dyDescent="0.2">
      <c r="B8" s="120"/>
      <c r="C8" s="120"/>
      <c r="D8" s="2" t="s">
        <v>3</v>
      </c>
      <c r="E8" s="48">
        <f>AeMBR_Baseline_CED_Detail_yr!E8/AeMBR_Baseline_CED_Detail_m3!E$4</f>
        <v>2.2674465815986076E-3</v>
      </c>
      <c r="F8" s="48">
        <f>AeMBR_Baseline_CED_Detail_yr!F8/AeMBR_Baseline_CED_Detail_m3!F$4</f>
        <v>1.1085295009696172E-3</v>
      </c>
      <c r="G8" s="49">
        <f>AeMBR_Baseline_CED_Detail_yr!G8/AeMBR_Baseline_CED_Detail_m3!G$4</f>
        <v>3.0232620123608309E-4</v>
      </c>
      <c r="H8" s="49">
        <f>AeMBR_Baseline_CED_Detail_yr!H8/AeMBR_Baseline_CED_Detail_m3!H$4</f>
        <v>1.4108296641313084E-4</v>
      </c>
      <c r="I8" s="48">
        <f>AeMBR_Baseline_CED_Detail_yr!I8/AeMBR_Baseline_CED_Detail_m3!I$4</f>
        <v>2.267409983966484E-3</v>
      </c>
      <c r="J8" s="48">
        <f>AeMBR_Baseline_CED_Detail_yr!J8/AeMBR_Baseline_CED_Detail_m3!J$4</f>
        <v>1.1085294288019881E-3</v>
      </c>
      <c r="K8" s="49">
        <f>AeMBR_Baseline_CED_Detail_yr!K8/AeMBR_Baseline_CED_Detail_m3!K$4</f>
        <v>3.0232374212834561E-4</v>
      </c>
      <c r="L8" s="49">
        <f>AeMBR_Baseline_CED_Detail_yr!L8/AeMBR_Baseline_CED_Detail_m3!L$4</f>
        <v>2.1162444965030898E-4</v>
      </c>
      <c r="M8" s="48">
        <f>AeMBR_Baseline_CED_Detail_yr!M8/AeMBR_Baseline_CED_Detail_m3!M$4</f>
        <v>2.2674461479587002E-3</v>
      </c>
      <c r="N8" s="48">
        <f>AeMBR_Baseline_CED_Detail_yr!N8/AeMBR_Baseline_CED_Detail_m3!N$4</f>
        <v>1.1085294360347864E-3</v>
      </c>
      <c r="O8" s="49">
        <f>AeMBR_Baseline_CED_Detail_yr!O8/AeMBR_Baseline_CED_Detail_m3!O$4</f>
        <v>3.0232621574541324E-4</v>
      </c>
      <c r="P8" s="49">
        <f>AeMBR_Baseline_CED_Detail_yr!P8/AeMBR_Baseline_CED_Detail_m3!P$4</f>
        <v>1.6224830451794752E-4</v>
      </c>
      <c r="Q8" s="48">
        <f>AeMBR_Baseline_CED_Detail_yr!Q8/AeMBR_Baseline_CED_Detail_m3!Q$4</f>
        <v>1.1085294373209909E-3</v>
      </c>
      <c r="R8" s="49">
        <f>AeMBR_Baseline_CED_Detail_yr!R8/AeMBR_Baseline_CED_Detail_m3!R$4</f>
        <v>3.0232518864430118E-4</v>
      </c>
      <c r="S8" s="49">
        <f>AeMBR_Baseline_CED_Detail_yr!S8/AeMBR_Baseline_CED_Detail_m3!S$4</f>
        <v>1.7353508646349665E-4</v>
      </c>
      <c r="T8" s="48">
        <f>AeMBR_Baseline_CED_Detail_yr!T8/AeMBR_Baseline_CED_Detail_m3!T$4</f>
        <v>1.1085276206023772E-3</v>
      </c>
      <c r="U8" s="49">
        <f>AeMBR_Baseline_CED_Detail_yr!U8/AeMBR_Baseline_CED_Detail_m3!U$4</f>
        <v>4.5342413440575108E-4</v>
      </c>
      <c r="V8" s="49">
        <f>AeMBR_Baseline_CED_Detail_yr!V8/AeMBR_Baseline_CED_Detail_m3!V$4</f>
        <v>2.2785267951737207E-4</v>
      </c>
      <c r="W8" s="2" t="s">
        <v>1</v>
      </c>
    </row>
    <row r="9" spans="1:23" x14ac:dyDescent="0.2">
      <c r="B9" s="131" t="s">
        <v>55</v>
      </c>
      <c r="C9" s="132" t="s">
        <v>10</v>
      </c>
      <c r="D9" s="2" t="s">
        <v>3</v>
      </c>
      <c r="E9" s="18">
        <f>AeMBR_Baseline_CED_Detail_yr!E9/AeMBR_Baseline_CED_Detail_m3!E$4</f>
        <v>0.63386798987562598</v>
      </c>
      <c r="F9" s="18">
        <f>AeMBR_Baseline_CED_Detail_yr!F9/AeMBR_Baseline_CED_Detail_m3!F$4</f>
        <v>0.63386798987562598</v>
      </c>
      <c r="G9" s="18">
        <f>AeMBR_Baseline_CED_Detail_yr!G9/AeMBR_Baseline_CED_Detail_m3!G$4</f>
        <v>0.63386798987562598</v>
      </c>
      <c r="H9" s="18">
        <f>AeMBR_Baseline_CED_Detail_yr!H9/AeMBR_Baseline_CED_Detail_m3!H$4</f>
        <v>0.63386798987562598</v>
      </c>
      <c r="I9" s="18">
        <f>AeMBR_Baseline_CED_Detail_yr!I9/AeMBR_Baseline_CED_Detail_m3!I$4</f>
        <v>0.43657677699194791</v>
      </c>
      <c r="J9" s="18">
        <f>AeMBR_Baseline_CED_Detail_yr!J9/AeMBR_Baseline_CED_Detail_m3!J$4</f>
        <v>0.43657677699194791</v>
      </c>
      <c r="K9" s="18">
        <f>AeMBR_Baseline_CED_Detail_yr!K9/AeMBR_Baseline_CED_Detail_m3!K$4</f>
        <v>0.43657677699194791</v>
      </c>
      <c r="L9" s="18">
        <f>AeMBR_Baseline_CED_Detail_yr!L9/AeMBR_Baseline_CED_Detail_m3!L$4</f>
        <v>0.43657677699194791</v>
      </c>
      <c r="M9" s="18">
        <f>AeMBR_Baseline_CED_Detail_yr!M9/AeMBR_Baseline_CED_Detail_m3!M$4</f>
        <v>0.12677359799346374</v>
      </c>
      <c r="N9" s="18">
        <f>AeMBR_Baseline_CED_Detail_yr!N9/AeMBR_Baseline_CED_Detail_m3!N$4</f>
        <v>0.12677359799346374</v>
      </c>
      <c r="O9" s="18">
        <f>AeMBR_Baseline_CED_Detail_yr!O9/AeMBR_Baseline_CED_Detail_m3!O$4</f>
        <v>0.12677359799346374</v>
      </c>
      <c r="P9" s="18">
        <f>AeMBR_Baseline_CED_Detail_yr!P9/AeMBR_Baseline_CED_Detail_m3!P$4</f>
        <v>0.12677359799346374</v>
      </c>
      <c r="Q9" s="21">
        <f>AeMBR_Baseline_CED_Detail_yr!Q9/AeMBR_Baseline_CED_Detail_m3!Q$4</f>
        <v>5.3403367297823821E-2</v>
      </c>
      <c r="R9" s="21">
        <f>AeMBR_Baseline_CED_Detail_yr!R9/AeMBR_Baseline_CED_Detail_m3!R$4</f>
        <v>5.3403367297823821E-2</v>
      </c>
      <c r="S9" s="21">
        <f>AeMBR_Baseline_CED_Detail_yr!S9/AeMBR_Baseline_CED_Detail_m3!S$4</f>
        <v>5.3403367297823821E-2</v>
      </c>
      <c r="T9" s="21">
        <f>AeMBR_Baseline_CED_Detail_yr!T9/AeMBR_Baseline_CED_Detail_m3!T$4</f>
        <v>3.6843585957848458E-2</v>
      </c>
      <c r="U9" s="21">
        <f>AeMBR_Baseline_CED_Detail_yr!U9/AeMBR_Baseline_CED_Detail_m3!U$4</f>
        <v>3.6843585957848458E-2</v>
      </c>
      <c r="V9" s="21">
        <f>AeMBR_Baseline_CED_Detail_yr!V9/AeMBR_Baseline_CED_Detail_m3!V$4</f>
        <v>3.6843585957848458E-2</v>
      </c>
      <c r="W9" s="2" t="s">
        <v>1</v>
      </c>
    </row>
    <row r="10" spans="1:23" x14ac:dyDescent="0.2">
      <c r="B10" s="131"/>
      <c r="C10" s="132"/>
      <c r="D10" s="2" t="s">
        <v>4</v>
      </c>
      <c r="E10" s="49">
        <f>AeMBR_Baseline_CED_Detail_yr!E10/AeMBR_Baseline_CED_Detail_m3!E$4</f>
        <v>4.3150875506036016E-7</v>
      </c>
      <c r="F10" s="49">
        <f>AeMBR_Baseline_CED_Detail_yr!F10/AeMBR_Baseline_CED_Detail_m3!F$4</f>
        <v>4.3150875506036016E-7</v>
      </c>
      <c r="G10" s="49">
        <f>AeMBR_Baseline_CED_Detail_yr!G10/AeMBR_Baseline_CED_Detail_m3!G$4</f>
        <v>4.3150875506036016E-7</v>
      </c>
      <c r="H10" s="49">
        <f>AeMBR_Baseline_CED_Detail_yr!H10/AeMBR_Baseline_CED_Detail_m3!H$4</f>
        <v>4.3150875506036016E-7</v>
      </c>
      <c r="I10" s="49">
        <f>AeMBR_Baseline_CED_Detail_yr!I10/AeMBR_Baseline_CED_Detail_m3!I$4</f>
        <v>4.3013452341856779E-7</v>
      </c>
      <c r="J10" s="49">
        <f>AeMBR_Baseline_CED_Detail_yr!J10/AeMBR_Baseline_CED_Detail_m3!J$4</f>
        <v>4.3013452341856779E-7</v>
      </c>
      <c r="K10" s="49">
        <f>AeMBR_Baseline_CED_Detail_yr!K10/AeMBR_Baseline_CED_Detail_m3!K$4</f>
        <v>4.3013452341856779E-7</v>
      </c>
      <c r="L10" s="49">
        <f>AeMBR_Baseline_CED_Detail_yr!L10/AeMBR_Baseline_CED_Detail_m3!L$4</f>
        <v>4.3013452341856779E-7</v>
      </c>
      <c r="M10" s="49">
        <f>AeMBR_Baseline_CED_Detail_yr!M10/AeMBR_Baseline_CED_Detail_m3!M$4</f>
        <v>4.2998986744970334E-7</v>
      </c>
      <c r="N10" s="49">
        <f>AeMBR_Baseline_CED_Detail_yr!N10/AeMBR_Baseline_CED_Detail_m3!N$4</f>
        <v>4.2998986744970334E-7</v>
      </c>
      <c r="O10" s="49">
        <f>AeMBR_Baseline_CED_Detail_yr!O10/AeMBR_Baseline_CED_Detail_m3!O$4</f>
        <v>4.2998986744970334E-7</v>
      </c>
      <c r="P10" s="49">
        <f>AeMBR_Baseline_CED_Detail_yr!P10/AeMBR_Baseline_CED_Detail_m3!P$4</f>
        <v>4.2998986744970334E-7</v>
      </c>
      <c r="Q10" s="49">
        <f>AeMBR_Baseline_CED_Detail_yr!Q10/AeMBR_Baseline_CED_Detail_m3!Q$4</f>
        <v>4.3131636262179822E-7</v>
      </c>
      <c r="R10" s="49">
        <f>AeMBR_Baseline_CED_Detail_yr!R10/AeMBR_Baseline_CED_Detail_m3!R$4</f>
        <v>4.3131636262179822E-7</v>
      </c>
      <c r="S10" s="49">
        <f>AeMBR_Baseline_CED_Detail_yr!S10/AeMBR_Baseline_CED_Detail_m3!S$4</f>
        <v>4.3131636262179822E-7</v>
      </c>
      <c r="T10" s="49">
        <f>AeMBR_Baseline_CED_Detail_yr!T10/AeMBR_Baseline_CED_Detail_m3!T$4</f>
        <v>4.2997467857297259E-7</v>
      </c>
      <c r="U10" s="49">
        <f>AeMBR_Baseline_CED_Detail_yr!U10/AeMBR_Baseline_CED_Detail_m3!U$4</f>
        <v>4.2997467857297259E-7</v>
      </c>
      <c r="V10" s="49">
        <f>AeMBR_Baseline_CED_Detail_yr!V10/AeMBR_Baseline_CED_Detail_m3!V$4</f>
        <v>4.2997467857297259E-7</v>
      </c>
      <c r="W10" s="2" t="s">
        <v>1</v>
      </c>
    </row>
    <row r="11" spans="1:23" ht="15.75" customHeight="1" x14ac:dyDescent="0.2">
      <c r="B11" s="131"/>
      <c r="C11" s="120" t="s">
        <v>13</v>
      </c>
      <c r="D11" s="2" t="s">
        <v>3</v>
      </c>
      <c r="E11" s="21">
        <f>AeMBR_Baseline_CED_Detail_yr!E11/AeMBR_Baseline_CED_Detail_m3!E$4</f>
        <v>1.5846706111753279E-2</v>
      </c>
      <c r="F11" s="21">
        <f>AeMBR_Baseline_CED_Detail_yr!F11/AeMBR_Baseline_CED_Detail_m3!F$4</f>
        <v>1.5846706111753279E-2</v>
      </c>
      <c r="G11" s="21">
        <f>AeMBR_Baseline_CED_Detail_yr!G11/AeMBR_Baseline_CED_Detail_m3!G$4</f>
        <v>1.5846706111753279E-2</v>
      </c>
      <c r="H11" s="21">
        <f>AeMBR_Baseline_CED_Detail_yr!H11/AeMBR_Baseline_CED_Detail_m3!H$4</f>
        <v>1.5846706111753279E-2</v>
      </c>
      <c r="I11" s="21">
        <f>AeMBR_Baseline_CED_Detail_yr!I11/AeMBR_Baseline_CED_Detail_m3!I$4</f>
        <v>1.5846706186373582E-2</v>
      </c>
      <c r="J11" s="21">
        <f>AeMBR_Baseline_CED_Detail_yr!J11/AeMBR_Baseline_CED_Detail_m3!J$4</f>
        <v>1.5846706186373582E-2</v>
      </c>
      <c r="K11" s="21">
        <f>AeMBR_Baseline_CED_Detail_yr!K11/AeMBR_Baseline_CED_Detail_m3!K$4</f>
        <v>1.5846706186373582E-2</v>
      </c>
      <c r="L11" s="21">
        <f>AeMBR_Baseline_CED_Detail_yr!L11/AeMBR_Baseline_CED_Detail_m3!L$4</f>
        <v>1.5846706186373582E-2</v>
      </c>
      <c r="M11" s="21">
        <f>AeMBR_Baseline_CED_Detail_yr!M11/AeMBR_Baseline_CED_Detail_m3!M$4</f>
        <v>1.6401310733809432E-2</v>
      </c>
      <c r="N11" s="21">
        <f>AeMBR_Baseline_CED_Detail_yr!N11/AeMBR_Baseline_CED_Detail_m3!N$4</f>
        <v>1.6401310733809432E-2</v>
      </c>
      <c r="O11" s="21">
        <f>AeMBR_Baseline_CED_Detail_yr!O11/AeMBR_Baseline_CED_Detail_m3!O$4</f>
        <v>1.6401310733809432E-2</v>
      </c>
      <c r="P11" s="21">
        <f>AeMBR_Baseline_CED_Detail_yr!P11/AeMBR_Baseline_CED_Detail_m3!P$4</f>
        <v>1.6401310733809432E-2</v>
      </c>
      <c r="Q11" s="21">
        <f>AeMBR_Baseline_CED_Detail_yr!Q11/AeMBR_Baseline_CED_Detail_m3!Q$4</f>
        <v>1.6417150560025254E-2</v>
      </c>
      <c r="R11" s="21">
        <f>AeMBR_Baseline_CED_Detail_yr!R11/AeMBR_Baseline_CED_Detail_m3!R$4</f>
        <v>1.6417150560025254E-2</v>
      </c>
      <c r="S11" s="21">
        <f>AeMBR_Baseline_CED_Detail_yr!S11/AeMBR_Baseline_CED_Detail_m3!S$4</f>
        <v>1.6417150560025254E-2</v>
      </c>
      <c r="T11" s="21">
        <f>AeMBR_Baseline_CED_Detail_yr!T11/AeMBR_Baseline_CED_Detail_m3!T$4</f>
        <v>1.6417222890384525E-2</v>
      </c>
      <c r="U11" s="21">
        <f>AeMBR_Baseline_CED_Detail_yr!U11/AeMBR_Baseline_CED_Detail_m3!U$4</f>
        <v>1.6417222890384525E-2</v>
      </c>
      <c r="V11" s="21">
        <f>AeMBR_Baseline_CED_Detail_yr!V11/AeMBR_Baseline_CED_Detail_m3!V$4</f>
        <v>1.6417222890384525E-2</v>
      </c>
      <c r="W11" s="2" t="s">
        <v>1</v>
      </c>
    </row>
    <row r="12" spans="1:23" x14ac:dyDescent="0.2">
      <c r="B12" s="131"/>
      <c r="C12" s="120"/>
      <c r="D12" s="2" t="s">
        <v>4</v>
      </c>
      <c r="E12" s="49">
        <f>AeMBR_Baseline_CED_Detail_yr!E12/AeMBR_Baseline_CED_Detail_m3!E$4</f>
        <v>1.9017920223863747E-6</v>
      </c>
      <c r="F12" s="49">
        <f>AeMBR_Baseline_CED_Detail_yr!F12/AeMBR_Baseline_CED_Detail_m3!F$4</f>
        <v>1.9017920223863747E-6</v>
      </c>
      <c r="G12" s="49">
        <f>AeMBR_Baseline_CED_Detail_yr!G12/AeMBR_Baseline_CED_Detail_m3!G$4</f>
        <v>1.9017920223863747E-6</v>
      </c>
      <c r="H12" s="49">
        <f>AeMBR_Baseline_CED_Detail_yr!H12/AeMBR_Baseline_CED_Detail_m3!H$4</f>
        <v>1.9017920223863747E-6</v>
      </c>
      <c r="I12" s="49">
        <f>AeMBR_Baseline_CED_Detail_yr!I12/AeMBR_Baseline_CED_Detail_m3!I$4</f>
        <v>1.90179202266148E-6</v>
      </c>
      <c r="J12" s="49">
        <f>AeMBR_Baseline_CED_Detail_yr!J12/AeMBR_Baseline_CED_Detail_m3!J$4</f>
        <v>1.90179202266148E-6</v>
      </c>
      <c r="K12" s="49">
        <f>AeMBR_Baseline_CED_Detail_yr!K12/AeMBR_Baseline_CED_Detail_m3!K$4</f>
        <v>1.90179202266148E-6</v>
      </c>
      <c r="L12" s="49">
        <f>AeMBR_Baseline_CED_Detail_yr!L12/AeMBR_Baseline_CED_Detail_m3!L$4</f>
        <v>1.90179202266148E-6</v>
      </c>
      <c r="M12" s="49">
        <f>AeMBR_Baseline_CED_Detail_yr!M12/AeMBR_Baseline_CED_Detail_m3!M$4</f>
        <v>1.9016979962817182E-6</v>
      </c>
      <c r="N12" s="49">
        <f>AeMBR_Baseline_CED_Detail_yr!N12/AeMBR_Baseline_CED_Detail_m3!N$4</f>
        <v>1.9016979962817182E-6</v>
      </c>
      <c r="O12" s="49">
        <f>AeMBR_Baseline_CED_Detail_yr!O12/AeMBR_Baseline_CED_Detail_m3!O$4</f>
        <v>1.9016979962817182E-6</v>
      </c>
      <c r="P12" s="49">
        <f>AeMBR_Baseline_CED_Detail_yr!P12/AeMBR_Baseline_CED_Detail_m3!P$4</f>
        <v>1.9016979962817182E-6</v>
      </c>
      <c r="Q12" s="49">
        <f>AeMBR_Baseline_CED_Detail_yr!Q12/AeMBR_Baseline_CED_Detail_m3!Q$4</f>
        <v>1.9017095684841337E-6</v>
      </c>
      <c r="R12" s="49">
        <f>AeMBR_Baseline_CED_Detail_yr!R12/AeMBR_Baseline_CED_Detail_m3!R$4</f>
        <v>1.9017095684841337E-6</v>
      </c>
      <c r="S12" s="49">
        <f>AeMBR_Baseline_CED_Detail_yr!S12/AeMBR_Baseline_CED_Detail_m3!S$4</f>
        <v>1.9017095684841337E-6</v>
      </c>
      <c r="T12" s="49">
        <f>AeMBR_Baseline_CED_Detail_yr!T12/AeMBR_Baseline_CED_Detail_m3!T$4</f>
        <v>1.9017095687592275E-6</v>
      </c>
      <c r="U12" s="49">
        <f>AeMBR_Baseline_CED_Detail_yr!U12/AeMBR_Baseline_CED_Detail_m3!U$4</f>
        <v>1.9017095687592275E-6</v>
      </c>
      <c r="V12" s="49">
        <f>AeMBR_Baseline_CED_Detail_yr!V12/AeMBR_Baseline_CED_Detail_m3!V$4</f>
        <v>1.9017095687592275E-6</v>
      </c>
      <c r="W12" s="2" t="s">
        <v>1</v>
      </c>
    </row>
    <row r="13" spans="1:23" x14ac:dyDescent="0.2">
      <c r="B13" s="120" t="s">
        <v>5</v>
      </c>
      <c r="C13" s="133" t="s">
        <v>2</v>
      </c>
      <c r="D13" s="2" t="s">
        <v>3</v>
      </c>
      <c r="E13" s="18">
        <f>AeMBR_Baseline_CED_Detail_yr!E13/AeMBR_Baseline_CED_Detail_m3!E$4</f>
        <v>8.7926092886216463</v>
      </c>
      <c r="F13" s="18">
        <f>AeMBR_Baseline_CED_Detail_yr!F13/AeMBR_Baseline_CED_Detail_m3!F$4</f>
        <v>8.7926092886216463</v>
      </c>
      <c r="G13" s="18">
        <f>AeMBR_Baseline_CED_Detail_yr!G13/AeMBR_Baseline_CED_Detail_m3!G$4</f>
        <v>8.7926092886216463</v>
      </c>
      <c r="H13" s="18">
        <f>AeMBR_Baseline_CED_Detail_yr!H13/AeMBR_Baseline_CED_Detail_m3!H$4</f>
        <v>8.7926092886216463</v>
      </c>
      <c r="I13" s="18">
        <f>AeMBR_Baseline_CED_Detail_yr!I13/AeMBR_Baseline_CED_Detail_m3!I$4</f>
        <v>5.4908801973521708</v>
      </c>
      <c r="J13" s="18">
        <f>AeMBR_Baseline_CED_Detail_yr!J13/AeMBR_Baseline_CED_Detail_m3!J$4</f>
        <v>5.4908801973521708</v>
      </c>
      <c r="K13" s="18">
        <f>AeMBR_Baseline_CED_Detail_yr!K13/AeMBR_Baseline_CED_Detail_m3!K$4</f>
        <v>5.4908801973521708</v>
      </c>
      <c r="L13" s="18">
        <f>AeMBR_Baseline_CED_Detail_yr!L13/AeMBR_Baseline_CED_Detail_m3!L$4</f>
        <v>5.4908801973521708</v>
      </c>
      <c r="M13" s="18">
        <f>AeMBR_Baseline_CED_Detail_yr!M13/AeMBR_Baseline_CED_Detail_m3!M$4</f>
        <v>2.1947709892011793</v>
      </c>
      <c r="N13" s="18">
        <f>AeMBR_Baseline_CED_Detail_yr!N13/AeMBR_Baseline_CED_Detail_m3!N$4</f>
        <v>2.1947709892011793</v>
      </c>
      <c r="O13" s="18">
        <f>AeMBR_Baseline_CED_Detail_yr!O13/AeMBR_Baseline_CED_Detail_m3!O$4</f>
        <v>2.1947709892011793</v>
      </c>
      <c r="P13" s="18">
        <f>AeMBR_Baseline_CED_Detail_yr!P13/AeMBR_Baseline_CED_Detail_m3!P$4</f>
        <v>2.1947709892011793</v>
      </c>
      <c r="Q13" s="18">
        <f>AeMBR_Baseline_CED_Detail_yr!Q13/AeMBR_Baseline_CED_Detail_m3!Q$4</f>
        <v>2.2026909031778783</v>
      </c>
      <c r="R13" s="18">
        <f>AeMBR_Baseline_CED_Detail_yr!R13/AeMBR_Baseline_CED_Detail_m3!R$4</f>
        <v>2.2026909031778783</v>
      </c>
      <c r="S13" s="18">
        <f>AeMBR_Baseline_CED_Detail_yr!S13/AeMBR_Baseline_CED_Detail_m3!S$4</f>
        <v>2.2026909031778783</v>
      </c>
      <c r="T13" s="18">
        <f>AeMBR_Baseline_CED_Detail_yr!T13/AeMBR_Baseline_CED_Detail_m3!T$4</f>
        <v>2.0838415594774435</v>
      </c>
      <c r="U13" s="18">
        <f>AeMBR_Baseline_CED_Detail_yr!U13/AeMBR_Baseline_CED_Detail_m3!U$4</f>
        <v>2.0838415594774435</v>
      </c>
      <c r="V13" s="18">
        <f>AeMBR_Baseline_CED_Detail_yr!V13/AeMBR_Baseline_CED_Detail_m3!V$4</f>
        <v>2.0838415594774435</v>
      </c>
      <c r="W13" s="2" t="s">
        <v>1</v>
      </c>
    </row>
    <row r="14" spans="1:23" x14ac:dyDescent="0.2">
      <c r="B14" s="120"/>
      <c r="C14" s="133"/>
      <c r="D14" s="2" t="s">
        <v>4</v>
      </c>
      <c r="E14" s="21">
        <f>AeMBR_Baseline_CED_Detail_yr!E14/AeMBR_Baseline_CED_Detail_m3!E$4</f>
        <v>5.9171506986056735E-2</v>
      </c>
      <c r="F14" s="21">
        <f>AeMBR_Baseline_CED_Detail_yr!F14/AeMBR_Baseline_CED_Detail_m3!F$4</f>
        <v>5.9171506986056735E-2</v>
      </c>
      <c r="G14" s="21">
        <f>AeMBR_Baseline_CED_Detail_yr!G14/AeMBR_Baseline_CED_Detail_m3!G$4</f>
        <v>5.9171506986056735E-2</v>
      </c>
      <c r="H14" s="21">
        <f>AeMBR_Baseline_CED_Detail_yr!H14/AeMBR_Baseline_CED_Detail_m3!H$4</f>
        <v>5.9171506986056735E-2</v>
      </c>
      <c r="I14" s="21">
        <f>AeMBR_Baseline_CED_Detail_yr!I14/AeMBR_Baseline_CED_Detail_m3!I$4</f>
        <v>2.9585753569636105E-2</v>
      </c>
      <c r="J14" s="21">
        <f>AeMBR_Baseline_CED_Detail_yr!J14/AeMBR_Baseline_CED_Detail_m3!J$4</f>
        <v>2.9585753569636105E-2</v>
      </c>
      <c r="K14" s="21">
        <f>AeMBR_Baseline_CED_Detail_yr!K14/AeMBR_Baseline_CED_Detail_m3!K$4</f>
        <v>2.9585753569636105E-2</v>
      </c>
      <c r="L14" s="21">
        <f>AeMBR_Baseline_CED_Detail_yr!L14/AeMBR_Baseline_CED_Detail_m3!L$4</f>
        <v>2.9585753569636105E-2</v>
      </c>
      <c r="M14" s="48">
        <f>AeMBR_Baseline_CED_Detail_yr!M14/AeMBR_Baseline_CED_Detail_m3!M$4</f>
        <v>4.0046310046147502E-3</v>
      </c>
      <c r="N14" s="48">
        <f>AeMBR_Baseline_CED_Detail_yr!N14/AeMBR_Baseline_CED_Detail_m3!N$4</f>
        <v>4.0046310046147502E-3</v>
      </c>
      <c r="O14" s="48">
        <f>AeMBR_Baseline_CED_Detail_yr!O14/AeMBR_Baseline_CED_Detail_m3!O$4</f>
        <v>4.0046310046147502E-3</v>
      </c>
      <c r="P14" s="48">
        <f>AeMBR_Baseline_CED_Detail_yr!P14/AeMBR_Baseline_CED_Detail_m3!P$4</f>
        <v>4.0046310046147502E-3</v>
      </c>
      <c r="Q14" s="48">
        <f>AeMBR_Baseline_CED_Detail_yr!Q14/AeMBR_Baseline_CED_Detail_m3!Q$4</f>
        <v>5.2559444375590448E-3</v>
      </c>
      <c r="R14" s="48">
        <f>AeMBR_Baseline_CED_Detail_yr!R14/AeMBR_Baseline_CED_Detail_m3!R$4</f>
        <v>5.2559444375590448E-3</v>
      </c>
      <c r="S14" s="48">
        <f>AeMBR_Baseline_CED_Detail_yr!S14/AeMBR_Baseline_CED_Detail_m3!S$4</f>
        <v>5.2559444375590448E-3</v>
      </c>
      <c r="T14" s="48">
        <f>AeMBR_Baseline_CED_Detail_yr!T14/AeMBR_Baseline_CED_Detail_m3!T$4</f>
        <v>3.333915045613727E-3</v>
      </c>
      <c r="U14" s="48">
        <f>AeMBR_Baseline_CED_Detail_yr!U14/AeMBR_Baseline_CED_Detail_m3!U$4</f>
        <v>3.333915045613727E-3</v>
      </c>
      <c r="V14" s="48">
        <f>AeMBR_Baseline_CED_Detail_yr!V14/AeMBR_Baseline_CED_Detail_m3!V$4</f>
        <v>3.333915045613727E-3</v>
      </c>
      <c r="W14" s="2" t="s">
        <v>1</v>
      </c>
    </row>
    <row r="15" spans="1:23" x14ac:dyDescent="0.2">
      <c r="B15" s="120"/>
      <c r="C15" s="132" t="s">
        <v>6</v>
      </c>
      <c r="D15" s="2" t="s">
        <v>3</v>
      </c>
      <c r="E15" s="18">
        <f>AeMBR_Baseline_CED_Detail_yr!E15/AeMBR_Baseline_CED_Detail_m3!E$4</f>
        <v>0.8002585180379389</v>
      </c>
      <c r="F15" s="18">
        <f>AeMBR_Baseline_CED_Detail_yr!F15/AeMBR_Baseline_CED_Detail_m3!F$4</f>
        <v>0.8002585180379389</v>
      </c>
      <c r="G15" s="18">
        <f>AeMBR_Baseline_CED_Detail_yr!G15/AeMBR_Baseline_CED_Detail_m3!G$4</f>
        <v>0.8002585180379389</v>
      </c>
      <c r="H15" s="18">
        <f>AeMBR_Baseline_CED_Detail_yr!H15/AeMBR_Baseline_CED_Detail_m3!H$4</f>
        <v>0.8002585180379389</v>
      </c>
      <c r="I15" s="18">
        <f>AeMBR_Baseline_CED_Detail_yr!I15/AeMBR_Baseline_CED_Detail_m3!I$4</f>
        <v>0.80025851815370097</v>
      </c>
      <c r="J15" s="18">
        <f>AeMBR_Baseline_CED_Detail_yr!J15/AeMBR_Baseline_CED_Detail_m3!J$4</f>
        <v>0.80025851815370097</v>
      </c>
      <c r="K15" s="18">
        <f>AeMBR_Baseline_CED_Detail_yr!K15/AeMBR_Baseline_CED_Detail_m3!K$4</f>
        <v>0.80025851815370097</v>
      </c>
      <c r="L15" s="18">
        <f>AeMBR_Baseline_CED_Detail_yr!L15/AeMBR_Baseline_CED_Detail_m3!L$4</f>
        <v>0.80025851815370097</v>
      </c>
      <c r="M15" s="18">
        <f>AeMBR_Baseline_CED_Detail_yr!M15/AeMBR_Baseline_CED_Detail_m3!M$4</f>
        <v>0.79233860385836996</v>
      </c>
      <c r="N15" s="18">
        <f>AeMBR_Baseline_CED_Detail_yr!N15/AeMBR_Baseline_CED_Detail_m3!N$4</f>
        <v>0.79233860385836996</v>
      </c>
      <c r="O15" s="18">
        <f>AeMBR_Baseline_CED_Detail_yr!O15/AeMBR_Baseline_CED_Detail_m3!O$4</f>
        <v>0.79233860385836996</v>
      </c>
      <c r="P15" s="18">
        <f>AeMBR_Baseline_CED_Detail_yr!P15/AeMBR_Baseline_CED_Detail_m3!P$4</f>
        <v>0.79233860385836996</v>
      </c>
      <c r="Q15" s="18">
        <f>AeMBR_Baseline_CED_Detail_yr!Q15/AeMBR_Baseline_CED_Detail_m3!Q$4</f>
        <v>0.79075028120585122</v>
      </c>
      <c r="R15" s="18">
        <f>AeMBR_Baseline_CED_Detail_yr!R15/AeMBR_Baseline_CED_Detail_m3!R$4</f>
        <v>0.79075028120585122</v>
      </c>
      <c r="S15" s="18">
        <f>AeMBR_Baseline_CED_Detail_yr!S15/AeMBR_Baseline_CED_Detail_m3!S$4</f>
        <v>0.79075028120585122</v>
      </c>
      <c r="T15" s="18">
        <f>AeMBR_Baseline_CED_Detail_yr!T15/AeMBR_Baseline_CED_Detail_m3!T$4</f>
        <v>0.78995901317054917</v>
      </c>
      <c r="U15" s="18">
        <f>AeMBR_Baseline_CED_Detail_yr!U15/AeMBR_Baseline_CED_Detail_m3!U$4</f>
        <v>0.78995901317054917</v>
      </c>
      <c r="V15" s="18">
        <f>AeMBR_Baseline_CED_Detail_yr!V15/AeMBR_Baseline_CED_Detail_m3!V$4</f>
        <v>0.78995901317054917</v>
      </c>
      <c r="W15" s="2" t="s">
        <v>1</v>
      </c>
    </row>
    <row r="16" spans="1:23" ht="14.25" customHeight="1" x14ac:dyDescent="0.2">
      <c r="B16" s="120"/>
      <c r="C16" s="132"/>
      <c r="D16" s="2" t="s">
        <v>4</v>
      </c>
      <c r="E16" s="49">
        <f>AeMBR_Baseline_CED_Detail_yr!E16/AeMBR_Baseline_CED_Detail_m3!E$4</f>
        <v>9.6226452378460331E-5</v>
      </c>
      <c r="F16" s="49">
        <f>AeMBR_Baseline_CED_Detail_yr!F16/AeMBR_Baseline_CED_Detail_m3!F$4</f>
        <v>9.6226452378460331E-5</v>
      </c>
      <c r="G16" s="49">
        <f>AeMBR_Baseline_CED_Detail_yr!G16/AeMBR_Baseline_CED_Detail_m3!G$4</f>
        <v>9.6226452378460331E-5</v>
      </c>
      <c r="H16" s="49">
        <f>AeMBR_Baseline_CED_Detail_yr!H16/AeMBR_Baseline_CED_Detail_m3!H$4</f>
        <v>9.6226452378460331E-5</v>
      </c>
      <c r="I16" s="49">
        <f>AeMBR_Baseline_CED_Detail_yr!I16/AeMBR_Baseline_CED_Detail_m3!I$4</f>
        <v>4.9279659601128857E-5</v>
      </c>
      <c r="J16" s="49">
        <f>AeMBR_Baseline_CED_Detail_yr!J16/AeMBR_Baseline_CED_Detail_m3!J$4</f>
        <v>4.9279659601128857E-5</v>
      </c>
      <c r="K16" s="49">
        <f>AeMBR_Baseline_CED_Detail_yr!K16/AeMBR_Baseline_CED_Detail_m3!K$4</f>
        <v>4.9279659601128857E-5</v>
      </c>
      <c r="L16" s="49">
        <f>AeMBR_Baseline_CED_Detail_yr!L16/AeMBR_Baseline_CED_Detail_m3!L$4</f>
        <v>4.9279659601128857E-5</v>
      </c>
      <c r="M16" s="49">
        <f>AeMBR_Baseline_CED_Detail_yr!M16/AeMBR_Baseline_CED_Detail_m3!M$4</f>
        <v>7.4356856723555077E-6</v>
      </c>
      <c r="N16" s="49">
        <f>AeMBR_Baseline_CED_Detail_yr!N16/AeMBR_Baseline_CED_Detail_m3!N$4</f>
        <v>7.4356856723555077E-6</v>
      </c>
      <c r="O16" s="49">
        <f>AeMBR_Baseline_CED_Detail_yr!O16/AeMBR_Baseline_CED_Detail_m3!O$4</f>
        <v>7.4356856723555077E-6</v>
      </c>
      <c r="P16" s="49">
        <f>AeMBR_Baseline_CED_Detail_yr!P16/AeMBR_Baseline_CED_Detail_m3!P$4</f>
        <v>7.4356856723555077E-6</v>
      </c>
      <c r="Q16" s="49">
        <f>AeMBR_Baseline_CED_Detail_yr!Q16/AeMBR_Baseline_CED_Detail_m3!Q$4</f>
        <v>3.6915986264925021E-6</v>
      </c>
      <c r="R16" s="49">
        <f>AeMBR_Baseline_CED_Detail_yr!R16/AeMBR_Baseline_CED_Detail_m3!R$4</f>
        <v>3.6915986264925021E-6</v>
      </c>
      <c r="S16" s="49">
        <f>AeMBR_Baseline_CED_Detail_yr!S16/AeMBR_Baseline_CED_Detail_m3!S$4</f>
        <v>3.6915986264925021E-6</v>
      </c>
      <c r="T16" s="49">
        <f>AeMBR_Baseline_CED_Detail_yr!T16/AeMBR_Baseline_CED_Detail_m3!T$4</f>
        <v>3.2367091276561651E-6</v>
      </c>
      <c r="U16" s="49">
        <f>AeMBR_Baseline_CED_Detail_yr!U16/AeMBR_Baseline_CED_Detail_m3!U$4</f>
        <v>3.2367091276561651E-6</v>
      </c>
      <c r="V16" s="49">
        <f>AeMBR_Baseline_CED_Detail_yr!V16/AeMBR_Baseline_CED_Detail_m3!V$4</f>
        <v>3.2367091276561651E-6</v>
      </c>
      <c r="W16" s="2" t="s">
        <v>1</v>
      </c>
    </row>
    <row r="17" spans="2:23" x14ac:dyDescent="0.2">
      <c r="B17" s="129" t="s">
        <v>16</v>
      </c>
      <c r="C17" s="129" t="s">
        <v>8</v>
      </c>
      <c r="D17" s="2" t="s">
        <v>3</v>
      </c>
      <c r="E17" s="18">
        <f>AeMBR_Baseline_CED_Detail_yr!E17/AeMBR_Baseline_CED_Detail_m3!E$4</f>
        <v>1.0664833630976396</v>
      </c>
      <c r="F17" s="18">
        <f>AeMBR_Baseline_CED_Detail_yr!F17/AeMBR_Baseline_CED_Detail_m3!F$4</f>
        <v>1.0664833630976396</v>
      </c>
      <c r="G17" s="18">
        <f>AeMBR_Baseline_CED_Detail_yr!G17/AeMBR_Baseline_CED_Detail_m3!G$4</f>
        <v>1.0664833630976396</v>
      </c>
      <c r="H17" s="18">
        <f>AeMBR_Baseline_CED_Detail_yr!H17/AeMBR_Baseline_CED_Detail_m3!H$4</f>
        <v>1.0664833630976396</v>
      </c>
      <c r="I17" s="18">
        <f>AeMBR_Baseline_CED_Detail_yr!I17/AeMBR_Baseline_CED_Detail_m3!I$4</f>
        <v>1.0696513289700449</v>
      </c>
      <c r="J17" s="18">
        <f>AeMBR_Baseline_CED_Detail_yr!J17/AeMBR_Baseline_CED_Detail_m3!J$4</f>
        <v>1.0696513289700449</v>
      </c>
      <c r="K17" s="18">
        <f>AeMBR_Baseline_CED_Detail_yr!K17/AeMBR_Baseline_CED_Detail_m3!K$4</f>
        <v>1.0696513289700449</v>
      </c>
      <c r="L17" s="18">
        <f>AeMBR_Baseline_CED_Detail_yr!L17/AeMBR_Baseline_CED_Detail_m3!L$4</f>
        <v>1.0696513289700449</v>
      </c>
      <c r="M17" s="18">
        <f>AeMBR_Baseline_CED_Detail_yr!M17/AeMBR_Baseline_CED_Detail_m3!M$4</f>
        <v>1.0696513289700449</v>
      </c>
      <c r="N17" s="18">
        <f>AeMBR_Baseline_CED_Detail_yr!N17/AeMBR_Baseline_CED_Detail_m3!N$4</f>
        <v>1.0696513289700449</v>
      </c>
      <c r="O17" s="18">
        <f>AeMBR_Baseline_CED_Detail_yr!O17/AeMBR_Baseline_CED_Detail_m3!O$4</f>
        <v>1.0696513289700449</v>
      </c>
      <c r="P17" s="18">
        <f>AeMBR_Baseline_CED_Detail_yr!P17/AeMBR_Baseline_CED_Detail_m3!P$4</f>
        <v>1.0696513289700449</v>
      </c>
      <c r="Q17" s="18">
        <f>AeMBR_Baseline_CED_Detail_yr!Q17/AeMBR_Baseline_CED_Detail_m3!Q$4</f>
        <v>0.94763257253607636</v>
      </c>
      <c r="R17" s="18">
        <f>AeMBR_Baseline_CED_Detail_yr!R17/AeMBR_Baseline_CED_Detail_m3!R$4</f>
        <v>0.94763257253607636</v>
      </c>
      <c r="S17" s="18">
        <f>AeMBR_Baseline_CED_Detail_yr!S17/AeMBR_Baseline_CED_Detail_m3!S$4</f>
        <v>0.94763257253607636</v>
      </c>
      <c r="T17" s="18">
        <f>AeMBR_Baseline_CED_Detail_yr!T17/AeMBR_Baseline_CED_Detail_m3!T$4</f>
        <v>0.95080198495097812</v>
      </c>
      <c r="U17" s="18">
        <f>AeMBR_Baseline_CED_Detail_yr!U17/AeMBR_Baseline_CED_Detail_m3!U$4</f>
        <v>0.95080198495097812</v>
      </c>
      <c r="V17" s="18">
        <f>AeMBR_Baseline_CED_Detail_yr!V17/AeMBR_Baseline_CED_Detail_m3!V$4</f>
        <v>0.95080198495097812</v>
      </c>
      <c r="W17" s="2" t="s">
        <v>1</v>
      </c>
    </row>
    <row r="18" spans="2:23" x14ac:dyDescent="0.2">
      <c r="B18" s="129"/>
      <c r="C18" s="129"/>
      <c r="D18" s="2" t="s">
        <v>17</v>
      </c>
      <c r="E18" s="21">
        <f>AeMBR_Baseline_CED_Detail_yr!E18/AeMBR_Baseline_CED_Detail_m3!E$4</f>
        <v>8.2791529272114042E-2</v>
      </c>
      <c r="F18" s="21">
        <f>AeMBR_Baseline_CED_Detail_yr!F18/AeMBR_Baseline_CED_Detail_m3!F$4</f>
        <v>8.2791529272114042E-2</v>
      </c>
      <c r="G18" s="21">
        <f>AeMBR_Baseline_CED_Detail_yr!G18/AeMBR_Baseline_CED_Detail_m3!G$4</f>
        <v>8.2791529272114042E-2</v>
      </c>
      <c r="H18" s="21">
        <f>AeMBR_Baseline_CED_Detail_yr!H18/AeMBR_Baseline_CED_Detail_m3!H$4</f>
        <v>8.2791529272114042E-2</v>
      </c>
      <c r="I18" s="21">
        <f>AeMBR_Baseline_CED_Detail_yr!I18/AeMBR_Baseline_CED_Detail_m3!I$4</f>
        <v>8.0608092090049668E-2</v>
      </c>
      <c r="J18" s="21">
        <f>AeMBR_Baseline_CED_Detail_yr!J18/AeMBR_Baseline_CED_Detail_m3!J$4</f>
        <v>8.0608092090049668E-2</v>
      </c>
      <c r="K18" s="21">
        <f>AeMBR_Baseline_CED_Detail_yr!K18/AeMBR_Baseline_CED_Detail_m3!K$4</f>
        <v>8.0608092090049668E-2</v>
      </c>
      <c r="L18" s="21">
        <f>AeMBR_Baseline_CED_Detail_yr!L18/AeMBR_Baseline_CED_Detail_m3!L$4</f>
        <v>8.0608092090049668E-2</v>
      </c>
      <c r="M18" s="21">
        <f>AeMBR_Baseline_CED_Detail_yr!M18/AeMBR_Baseline_CED_Detail_m3!M$4</f>
        <v>7.9097160495260055E-2</v>
      </c>
      <c r="N18" s="21">
        <f>AeMBR_Baseline_CED_Detail_yr!N18/AeMBR_Baseline_CED_Detail_m3!N$4</f>
        <v>7.9097160495260055E-2</v>
      </c>
      <c r="O18" s="21">
        <f>AeMBR_Baseline_CED_Detail_yr!O18/AeMBR_Baseline_CED_Detail_m3!O$4</f>
        <v>7.9097160495260055E-2</v>
      </c>
      <c r="P18" s="21">
        <f>AeMBR_Baseline_CED_Detail_yr!P18/AeMBR_Baseline_CED_Detail_m3!P$4</f>
        <v>7.9097160495260055E-2</v>
      </c>
      <c r="Q18" s="21">
        <f>AeMBR_Baseline_CED_Detail_yr!Q18/AeMBR_Baseline_CED_Detail_m3!Q$4</f>
        <v>7.0381204393086746E-2</v>
      </c>
      <c r="R18" s="21">
        <f>AeMBR_Baseline_CED_Detail_yr!R18/AeMBR_Baseline_CED_Detail_m3!R$4</f>
        <v>7.0381204393086746E-2</v>
      </c>
      <c r="S18" s="21">
        <f>AeMBR_Baseline_CED_Detail_yr!S18/AeMBR_Baseline_CED_Detail_m3!S$4</f>
        <v>7.0381204393086746E-2</v>
      </c>
      <c r="T18" s="21">
        <f>AeMBR_Baseline_CED_Detail_yr!T18/AeMBR_Baseline_CED_Detail_m3!T$4</f>
        <v>7.022164886961027E-2</v>
      </c>
      <c r="U18" s="21">
        <f>AeMBR_Baseline_CED_Detail_yr!U18/AeMBR_Baseline_CED_Detail_m3!U$4</f>
        <v>7.022164886961027E-2</v>
      </c>
      <c r="V18" s="21">
        <f>AeMBR_Baseline_CED_Detail_yr!V18/AeMBR_Baseline_CED_Detail_m3!V$4</f>
        <v>7.022164886961027E-2</v>
      </c>
      <c r="W18" s="2" t="s">
        <v>1</v>
      </c>
    </row>
    <row r="19" spans="2:23" x14ac:dyDescent="0.2">
      <c r="B19" s="129"/>
      <c r="C19" s="120" t="s">
        <v>9</v>
      </c>
      <c r="D19" s="2" t="s">
        <v>3</v>
      </c>
      <c r="E19" s="18">
        <f>AeMBR_Baseline_CED_Detail_yr!E19/AeMBR_Baseline_CED_Detail_m3!E$4</f>
        <v>0.24879380081405078</v>
      </c>
      <c r="F19" s="18">
        <f>AeMBR_Baseline_CED_Detail_yr!F19/AeMBR_Baseline_CED_Detail_m3!F$4</f>
        <v>0.24879380081405078</v>
      </c>
      <c r="G19" s="18">
        <f>AeMBR_Baseline_CED_Detail_yr!G19/AeMBR_Baseline_CED_Detail_m3!G$4</f>
        <v>0.24879380081405078</v>
      </c>
      <c r="H19" s="18">
        <f>AeMBR_Baseline_CED_Detail_yr!H19/AeMBR_Baseline_CED_Detail_m3!H$4</f>
        <v>0.24879380081405078</v>
      </c>
      <c r="I19" s="18">
        <f>AeMBR_Baseline_CED_Detail_yr!I19/AeMBR_Baseline_CED_Detail_m3!I$4</f>
        <v>0.24873593846249448</v>
      </c>
      <c r="J19" s="18">
        <f>AeMBR_Baseline_CED_Detail_yr!J19/AeMBR_Baseline_CED_Detail_m3!J$4</f>
        <v>0.24873593846249448</v>
      </c>
      <c r="K19" s="18">
        <f>AeMBR_Baseline_CED_Detail_yr!K19/AeMBR_Baseline_CED_Detail_m3!K$4</f>
        <v>0.24873593846249448</v>
      </c>
      <c r="L19" s="18">
        <f>AeMBR_Baseline_CED_Detail_yr!L19/AeMBR_Baseline_CED_Detail_m3!L$4</f>
        <v>0.24873593846249448</v>
      </c>
      <c r="M19" s="18">
        <f>AeMBR_Baseline_CED_Detail_yr!M19/AeMBR_Baseline_CED_Detail_m3!M$4</f>
        <v>0.24720837143128543</v>
      </c>
      <c r="N19" s="18">
        <f>AeMBR_Baseline_CED_Detail_yr!N19/AeMBR_Baseline_CED_Detail_m3!N$4</f>
        <v>0.24720837143128543</v>
      </c>
      <c r="O19" s="18">
        <f>AeMBR_Baseline_CED_Detail_yr!O19/AeMBR_Baseline_CED_Detail_m3!O$4</f>
        <v>0.24720837143128543</v>
      </c>
      <c r="P19" s="18">
        <f>AeMBR_Baseline_CED_Detail_yr!P19/AeMBR_Baseline_CED_Detail_m3!P$4</f>
        <v>0.24720837143128543</v>
      </c>
      <c r="Q19" s="18">
        <f>AeMBR_Baseline_CED_Detail_yr!Q19/AeMBR_Baseline_CED_Detail_m3!Q$4</f>
        <v>0.24720837139552529</v>
      </c>
      <c r="R19" s="18">
        <f>AeMBR_Baseline_CED_Detail_yr!R19/AeMBR_Baseline_CED_Detail_m3!R$4</f>
        <v>0.24720837139552529</v>
      </c>
      <c r="S19" s="18">
        <f>AeMBR_Baseline_CED_Detail_yr!S19/AeMBR_Baseline_CED_Detail_m3!S$4</f>
        <v>0.24720837139552529</v>
      </c>
      <c r="T19" s="18">
        <f>AeMBR_Baseline_CED_Detail_yr!T19/AeMBR_Baseline_CED_Detail_m3!T$4</f>
        <v>0.24641638000175237</v>
      </c>
      <c r="U19" s="18">
        <f>AeMBR_Baseline_CED_Detail_yr!U19/AeMBR_Baseline_CED_Detail_m3!U$4</f>
        <v>0.24641638000175237</v>
      </c>
      <c r="V19" s="18">
        <f>AeMBR_Baseline_CED_Detail_yr!V19/AeMBR_Baseline_CED_Detail_m3!V$4</f>
        <v>0.24641638000175237</v>
      </c>
      <c r="W19" s="2" t="s">
        <v>1</v>
      </c>
    </row>
    <row r="20" spans="2:23" x14ac:dyDescent="0.2">
      <c r="B20" s="129"/>
      <c r="C20" s="120"/>
      <c r="D20" s="2" t="s">
        <v>4</v>
      </c>
      <c r="E20" s="49">
        <f>AeMBR_Baseline_CED_Detail_yr!E20/AeMBR_Baseline_CED_Detail_m3!E$4</f>
        <v>9.3310477358511714E-5</v>
      </c>
      <c r="F20" s="49">
        <f>AeMBR_Baseline_CED_Detail_yr!F20/AeMBR_Baseline_CED_Detail_m3!F$4</f>
        <v>9.3310477358511714E-5</v>
      </c>
      <c r="G20" s="49">
        <f>AeMBR_Baseline_CED_Detail_yr!G20/AeMBR_Baseline_CED_Detail_m3!G$4</f>
        <v>9.3310477358511714E-5</v>
      </c>
      <c r="H20" s="49">
        <f>AeMBR_Baseline_CED_Detail_yr!H20/AeMBR_Baseline_CED_Detail_m3!H$4</f>
        <v>9.3310477358511714E-5</v>
      </c>
      <c r="I20" s="49">
        <f>AeMBR_Baseline_CED_Detail_yr!I20/AeMBR_Baseline_CED_Detail_m3!I$4</f>
        <v>4.6946865119235615E-5</v>
      </c>
      <c r="J20" s="49">
        <f>AeMBR_Baseline_CED_Detail_yr!J20/AeMBR_Baseline_CED_Detail_m3!J$4</f>
        <v>4.6946865119235615E-5</v>
      </c>
      <c r="K20" s="49">
        <f>AeMBR_Baseline_CED_Detail_yr!K20/AeMBR_Baseline_CED_Detail_m3!K$4</f>
        <v>4.6946865119235615E-5</v>
      </c>
      <c r="L20" s="49">
        <f>AeMBR_Baseline_CED_Detail_yr!L20/AeMBR_Baseline_CED_Detail_m3!L$4</f>
        <v>4.6946865119235615E-5</v>
      </c>
      <c r="M20" s="49">
        <f>AeMBR_Baseline_CED_Detail_yr!M20/AeMBR_Baseline_CED_Detail_m3!M$4</f>
        <v>4.8988033167898042E-6</v>
      </c>
      <c r="N20" s="49">
        <f>AeMBR_Baseline_CED_Detail_yr!N20/AeMBR_Baseline_CED_Detail_m3!N$4</f>
        <v>4.8988033167898042E-6</v>
      </c>
      <c r="O20" s="49">
        <f>AeMBR_Baseline_CED_Detail_yr!O20/AeMBR_Baseline_CED_Detail_m3!O$4</f>
        <v>4.8988033167898042E-6</v>
      </c>
      <c r="P20" s="49">
        <f>AeMBR_Baseline_CED_Detail_yr!P20/AeMBR_Baseline_CED_Detail_m3!P$4</f>
        <v>4.8988033167898042E-6</v>
      </c>
      <c r="Q20" s="49">
        <f>AeMBR_Baseline_CED_Detail_yr!Q20/AeMBR_Baseline_CED_Detail_m3!Q$4</f>
        <v>1.0963982174544891E-6</v>
      </c>
      <c r="R20" s="49">
        <f>AeMBR_Baseline_CED_Detail_yr!R20/AeMBR_Baseline_CED_Detail_m3!R$4</f>
        <v>1.0963982174544891E-6</v>
      </c>
      <c r="S20" s="49">
        <f>AeMBR_Baseline_CED_Detail_yr!S20/AeMBR_Baseline_CED_Detail_m3!S$4</f>
        <v>1.0963982174544891E-6</v>
      </c>
      <c r="T20" s="49">
        <f>AeMBR_Baseline_CED_Detail_yr!T20/AeMBR_Baseline_CED_Detail_m3!T$4</f>
        <v>6.3276209508534973E-7</v>
      </c>
      <c r="U20" s="49">
        <f>AeMBR_Baseline_CED_Detail_yr!U20/AeMBR_Baseline_CED_Detail_m3!U$4</f>
        <v>6.3276209508534973E-7</v>
      </c>
      <c r="V20" s="49">
        <f>AeMBR_Baseline_CED_Detail_yr!V20/AeMBR_Baseline_CED_Detail_m3!V$4</f>
        <v>6.3276209508534973E-7</v>
      </c>
      <c r="W20" s="2" t="s">
        <v>1</v>
      </c>
    </row>
    <row r="21" spans="2:23" x14ac:dyDescent="0.2">
      <c r="B21" s="129"/>
      <c r="C21" s="120" t="s">
        <v>18</v>
      </c>
      <c r="D21" s="2" t="s">
        <v>3</v>
      </c>
      <c r="E21" s="48">
        <f>AeMBR_Baseline_CED_Detail_yr!E21/AeMBR_Baseline_CED_Detail_m3!E$4</f>
        <v>6.2752955589201673E-3</v>
      </c>
      <c r="F21" s="48">
        <f>AeMBR_Baseline_CED_Detail_yr!F21/AeMBR_Baseline_CED_Detail_m3!F$4</f>
        <v>6.2752955589201673E-3</v>
      </c>
      <c r="G21" s="48">
        <f>AeMBR_Baseline_CED_Detail_yr!G21/AeMBR_Baseline_CED_Detail_m3!G$4</f>
        <v>6.2752955589201673E-3</v>
      </c>
      <c r="H21" s="48">
        <f>AeMBR_Baseline_CED_Detail_yr!H21/AeMBR_Baseline_CED_Detail_m3!H$4</f>
        <v>6.2752955589201673E-3</v>
      </c>
      <c r="I21" s="48">
        <f>AeMBR_Baseline_CED_Detail_yr!I21/AeMBR_Baseline_CED_Detail_m3!I$4</f>
        <v>6.2594084287354449E-3</v>
      </c>
      <c r="J21" s="48">
        <f>AeMBR_Baseline_CED_Detail_yr!J21/AeMBR_Baseline_CED_Detail_m3!J$4</f>
        <v>6.2594084287354449E-3</v>
      </c>
      <c r="K21" s="48">
        <f>AeMBR_Baseline_CED_Detail_yr!K21/AeMBR_Baseline_CED_Detail_m3!K$4</f>
        <v>6.2594084287354449E-3</v>
      </c>
      <c r="L21" s="48">
        <f>AeMBR_Baseline_CED_Detail_yr!L21/AeMBR_Baseline_CED_Detail_m3!L$4</f>
        <v>6.2594084287354449E-3</v>
      </c>
      <c r="M21" s="48">
        <f>AeMBR_Baseline_CED_Detail_yr!M21/AeMBR_Baseline_CED_Detail_m3!M$4</f>
        <v>6.2277554605803774E-3</v>
      </c>
      <c r="N21" s="48">
        <f>AeMBR_Baseline_CED_Detail_yr!N21/AeMBR_Baseline_CED_Detail_m3!N$4</f>
        <v>6.2277554605803774E-3</v>
      </c>
      <c r="O21" s="48">
        <f>AeMBR_Baseline_CED_Detail_yr!O21/AeMBR_Baseline_CED_Detail_m3!O$4</f>
        <v>6.2277554605803774E-3</v>
      </c>
      <c r="P21" s="48">
        <f>AeMBR_Baseline_CED_Detail_yr!P21/AeMBR_Baseline_CED_Detail_m3!P$4</f>
        <v>6.2277554605803774E-3</v>
      </c>
      <c r="Q21" s="48">
        <f>AeMBR_Baseline_CED_Detail_yr!Q21/AeMBR_Baseline_CED_Detail_m3!Q$4</f>
        <v>6.1960635790733864E-3</v>
      </c>
      <c r="R21" s="48">
        <f>AeMBR_Baseline_CED_Detail_yr!R21/AeMBR_Baseline_CED_Detail_m3!R$4</f>
        <v>6.1960635790733864E-3</v>
      </c>
      <c r="S21" s="48">
        <f>AeMBR_Baseline_CED_Detail_yr!S21/AeMBR_Baseline_CED_Detail_m3!S$4</f>
        <v>6.1960635790733864E-3</v>
      </c>
      <c r="T21" s="48">
        <f>AeMBR_Baseline_CED_Detail_yr!T21/AeMBR_Baseline_CED_Detail_m3!T$4</f>
        <v>6.1881364328759108E-3</v>
      </c>
      <c r="U21" s="48">
        <f>AeMBR_Baseline_CED_Detail_yr!U21/AeMBR_Baseline_CED_Detail_m3!U$4</f>
        <v>6.1881364328759108E-3</v>
      </c>
      <c r="V21" s="48">
        <f>AeMBR_Baseline_CED_Detail_yr!V21/AeMBR_Baseline_CED_Detail_m3!V$4</f>
        <v>6.1881364328759108E-3</v>
      </c>
      <c r="W21" s="2" t="s">
        <v>1</v>
      </c>
    </row>
    <row r="22" spans="2:23" x14ac:dyDescent="0.2">
      <c r="B22" s="129"/>
      <c r="C22" s="120">
        <v>0</v>
      </c>
      <c r="D22" s="2" t="s">
        <v>4</v>
      </c>
      <c r="E22" s="49">
        <f>AeMBR_Baseline_CED_Detail_yr!E22/AeMBR_Baseline_CED_Detail_m3!E$4</f>
        <v>9.3310477358511714E-5</v>
      </c>
      <c r="F22" s="49">
        <f>AeMBR_Baseline_CED_Detail_yr!F22/AeMBR_Baseline_CED_Detail_m3!F$4</f>
        <v>9.3310477358511714E-5</v>
      </c>
      <c r="G22" s="49">
        <f>AeMBR_Baseline_CED_Detail_yr!G22/AeMBR_Baseline_CED_Detail_m3!G$4</f>
        <v>9.3310477358511714E-5</v>
      </c>
      <c r="H22" s="49">
        <f>AeMBR_Baseline_CED_Detail_yr!H22/AeMBR_Baseline_CED_Detail_m3!H$4</f>
        <v>9.3310477358511714E-5</v>
      </c>
      <c r="I22" s="49">
        <f>AeMBR_Baseline_CED_Detail_yr!I22/AeMBR_Baseline_CED_Detail_m3!I$4</f>
        <v>4.6651549958798761E-5</v>
      </c>
      <c r="J22" s="49">
        <f>AeMBR_Baseline_CED_Detail_yr!J22/AeMBR_Baseline_CED_Detail_m3!J$4</f>
        <v>4.6651549958798761E-5</v>
      </c>
      <c r="K22" s="49">
        <f>AeMBR_Baseline_CED_Detail_yr!K22/AeMBR_Baseline_CED_Detail_m3!K$4</f>
        <v>4.6651549958798761E-5</v>
      </c>
      <c r="L22" s="49">
        <f>AeMBR_Baseline_CED_Detail_yr!L22/AeMBR_Baseline_CED_Detail_m3!L$4</f>
        <v>4.6651549958798761E-5</v>
      </c>
      <c r="M22" s="49">
        <f>AeMBR_Baseline_CED_Detail_yr!M22/AeMBR_Baseline_CED_Detail_m3!M$4</f>
        <v>4.6655238686004805E-6</v>
      </c>
      <c r="N22" s="49">
        <f>AeMBR_Baseline_CED_Detail_yr!N22/AeMBR_Baseline_CED_Detail_m3!N$4</f>
        <v>4.6655238686004805E-6</v>
      </c>
      <c r="O22" s="49">
        <f>AeMBR_Baseline_CED_Detail_yr!O22/AeMBR_Baseline_CED_Detail_m3!O$4</f>
        <v>4.6655238686004805E-6</v>
      </c>
      <c r="P22" s="49">
        <f>AeMBR_Baseline_CED_Detail_yr!P22/AeMBR_Baseline_CED_Detail_m3!P$4</f>
        <v>4.6655238686004805E-6</v>
      </c>
      <c r="Q22" s="49">
        <f>AeMBR_Baseline_CED_Detail_yr!Q22/AeMBR_Baseline_CED_Detail_m3!Q$4</f>
        <v>9.447698309126622E-7</v>
      </c>
      <c r="R22" s="49">
        <f>AeMBR_Baseline_CED_Detail_yr!R22/AeMBR_Baseline_CED_Detail_m3!R$4</f>
        <v>9.447698309126622E-7</v>
      </c>
      <c r="S22" s="49">
        <f>AeMBR_Baseline_CED_Detail_yr!S22/AeMBR_Baseline_CED_Detail_m3!S$4</f>
        <v>9.447698309126622E-7</v>
      </c>
      <c r="T22" s="49">
        <f>AeMBR_Baseline_CED_Detail_yr!T22/AeMBR_Baseline_CED_Detail_m3!T$4</f>
        <v>4.7821672090943642E-7</v>
      </c>
      <c r="U22" s="49">
        <f>AeMBR_Baseline_CED_Detail_yr!U22/AeMBR_Baseline_CED_Detail_m3!U$4</f>
        <v>4.7821672090943642E-7</v>
      </c>
      <c r="V22" s="49">
        <f>AeMBR_Baseline_CED_Detail_yr!V22/AeMBR_Baseline_CED_Detail_m3!V$4</f>
        <v>4.7821672090943642E-7</v>
      </c>
      <c r="W22" s="2" t="s">
        <v>1</v>
      </c>
    </row>
    <row r="23" spans="2:23" ht="15" customHeight="1" x14ac:dyDescent="0.2">
      <c r="B23" s="127" t="s">
        <v>15</v>
      </c>
      <c r="C23" s="128"/>
      <c r="D23" s="2" t="s">
        <v>4</v>
      </c>
      <c r="E23" s="18">
        <f>AeMBR_Baseline_CED_Detail_yr!E23/AeMBR_Baseline_CED_Detail_m3!E$4</f>
        <v>0.16058259101324368</v>
      </c>
      <c r="F23" s="18">
        <f>AeMBR_Baseline_CED_Detail_yr!F23/AeMBR_Baseline_CED_Detail_m3!F$4</f>
        <v>0.16058259101324368</v>
      </c>
      <c r="G23" s="18">
        <f>AeMBR_Baseline_CED_Detail_yr!G23/AeMBR_Baseline_CED_Detail_m3!G$4</f>
        <v>0.16058259101324368</v>
      </c>
      <c r="H23" s="18">
        <f>AeMBR_Baseline_CED_Detail_yr!H23/AeMBR_Baseline_CED_Detail_m3!H$4</f>
        <v>0.16058259101324368</v>
      </c>
      <c r="I23" s="18">
        <f>AeMBR_Baseline_CED_Detail_yr!I23/AeMBR_Baseline_CED_Detail_m3!I$4</f>
        <v>0.15044582401829357</v>
      </c>
      <c r="J23" s="18">
        <f>AeMBR_Baseline_CED_Detail_yr!J23/AeMBR_Baseline_CED_Detail_m3!J$4</f>
        <v>0.15044582401829357</v>
      </c>
      <c r="K23" s="18">
        <f>AeMBR_Baseline_CED_Detail_yr!K23/AeMBR_Baseline_CED_Detail_m3!K$4</f>
        <v>0.15044582401829357</v>
      </c>
      <c r="L23" s="18">
        <f>AeMBR_Baseline_CED_Detail_yr!L23/AeMBR_Baseline_CED_Detail_m3!L$4</f>
        <v>0.15044582401829357</v>
      </c>
      <c r="M23" s="18">
        <f>AeMBR_Baseline_CED_Detail_yr!M23/AeMBR_Baseline_CED_Detail_m3!M$4</f>
        <v>0.13937168632187238</v>
      </c>
      <c r="N23" s="18">
        <f>AeMBR_Baseline_CED_Detail_yr!N23/AeMBR_Baseline_CED_Detail_m3!N$4</f>
        <v>0.13937168632187238</v>
      </c>
      <c r="O23" s="18">
        <f>AeMBR_Baseline_CED_Detail_yr!O23/AeMBR_Baseline_CED_Detail_m3!O$4</f>
        <v>0.13937168632187238</v>
      </c>
      <c r="P23" s="18">
        <f>AeMBR_Baseline_CED_Detail_yr!P23/AeMBR_Baseline_CED_Detail_m3!P$4</f>
        <v>0.13937168632187238</v>
      </c>
      <c r="Q23" s="18">
        <f>AeMBR_Baseline_CED_Detail_yr!Q23/AeMBR_Baseline_CED_Detail_m3!Q$4</f>
        <v>0.12431155338540768</v>
      </c>
      <c r="R23" s="18">
        <f>AeMBR_Baseline_CED_Detail_yr!R23/AeMBR_Baseline_CED_Detail_m3!R$4</f>
        <v>0.12431155338540768</v>
      </c>
      <c r="S23" s="18">
        <f>AeMBR_Baseline_CED_Detail_yr!S23/AeMBR_Baseline_CED_Detail_m3!S$4</f>
        <v>0.12431155338540768</v>
      </c>
      <c r="T23" s="18">
        <f>AeMBR_Baseline_CED_Detail_yr!T23/AeMBR_Baseline_CED_Detail_m3!T$4</f>
        <v>0.12332427641588993</v>
      </c>
      <c r="U23" s="18">
        <f>AeMBR_Baseline_CED_Detail_yr!U23/AeMBR_Baseline_CED_Detail_m3!U$4</f>
        <v>0.12332427641588993</v>
      </c>
      <c r="V23" s="18">
        <f>AeMBR_Baseline_CED_Detail_yr!V23/AeMBR_Baseline_CED_Detail_m3!V$4</f>
        <v>0.12332427641588993</v>
      </c>
      <c r="W23" s="2" t="s">
        <v>1</v>
      </c>
    </row>
    <row r="24" spans="2:23" x14ac:dyDescent="0.2">
      <c r="B24" s="130" t="s">
        <v>14</v>
      </c>
      <c r="C24" s="120" t="s">
        <v>7</v>
      </c>
      <c r="D24" s="2" t="s">
        <v>3</v>
      </c>
      <c r="E24" s="18">
        <f>AeMBR_Baseline_CED_Detail_yr!E24/AeMBR_Baseline_CED_Detail_m3!E$4</f>
        <v>7.2440092797637234</v>
      </c>
      <c r="F24" s="18">
        <f>AeMBR_Baseline_CED_Detail_yr!F24/AeMBR_Baseline_CED_Detail_m3!F$4</f>
        <v>7.2440092797637234</v>
      </c>
      <c r="G24" s="18">
        <f>AeMBR_Baseline_CED_Detail_yr!G24/AeMBR_Baseline_CED_Detail_m3!G$4</f>
        <v>7.2440092797637234</v>
      </c>
      <c r="H24" s="18">
        <f>AeMBR_Baseline_CED_Detail_yr!H24/AeMBR_Baseline_CED_Detail_m3!H$4</f>
        <v>7.2440092797637234</v>
      </c>
      <c r="I24" s="18">
        <f>AeMBR_Baseline_CED_Detail_yr!I24/AeMBR_Baseline_CED_Detail_m3!I$4</f>
        <v>4.1580201002347392</v>
      </c>
      <c r="J24" s="18">
        <f>AeMBR_Baseline_CED_Detail_yr!J24/AeMBR_Baseline_CED_Detail_m3!J$4</f>
        <v>4.1580201002347392</v>
      </c>
      <c r="K24" s="18">
        <f>AeMBR_Baseline_CED_Detail_yr!K24/AeMBR_Baseline_CED_Detail_m3!K$4</f>
        <v>4.1580201002347392</v>
      </c>
      <c r="L24" s="18">
        <f>AeMBR_Baseline_CED_Detail_yr!L24/AeMBR_Baseline_CED_Detail_m3!L$4</f>
        <v>4.1580201002347392</v>
      </c>
      <c r="M24" s="18">
        <f>AeMBR_Baseline_CED_Detail_yr!M24/AeMBR_Baseline_CED_Detail_m3!M$4</f>
        <v>0.65763858205097636</v>
      </c>
      <c r="N24" s="18">
        <f>AeMBR_Baseline_CED_Detail_yr!N24/AeMBR_Baseline_CED_Detail_m3!N$4</f>
        <v>0.65763858205097636</v>
      </c>
      <c r="O24" s="18">
        <f>AeMBR_Baseline_CED_Detail_yr!O24/AeMBR_Baseline_CED_Detail_m3!O$4</f>
        <v>0.65763858205097636</v>
      </c>
      <c r="P24" s="18">
        <f>AeMBR_Baseline_CED_Detail_yr!P24/AeMBR_Baseline_CED_Detail_m3!P$4</f>
        <v>0.65763858205097636</v>
      </c>
      <c r="Q24" s="18">
        <f>AeMBR_Baseline_CED_Detail_yr!Q24/AeMBR_Baseline_CED_Detail_m3!Q$4</f>
        <v>0.18121053217033631</v>
      </c>
      <c r="R24" s="18">
        <f>AeMBR_Baseline_CED_Detail_yr!R24/AeMBR_Baseline_CED_Detail_m3!R$4</f>
        <v>0.18121053217033631</v>
      </c>
      <c r="S24" s="18">
        <f>AeMBR_Baseline_CED_Detail_yr!S24/AeMBR_Baseline_CED_Detail_m3!S$4</f>
        <v>0.18121053217033631</v>
      </c>
      <c r="T24" s="18">
        <f>AeMBR_Baseline_CED_Detail_yr!T24/AeMBR_Baseline_CED_Detail_m3!T$4</f>
        <v>0.10379572061918348</v>
      </c>
      <c r="U24" s="18">
        <f>AeMBR_Baseline_CED_Detail_yr!U24/AeMBR_Baseline_CED_Detail_m3!U$4</f>
        <v>0.10379572061918348</v>
      </c>
      <c r="V24" s="18">
        <f>AeMBR_Baseline_CED_Detail_yr!V24/AeMBR_Baseline_CED_Detail_m3!V$4</f>
        <v>0.10379572061918348</v>
      </c>
      <c r="W24" s="2" t="s">
        <v>1</v>
      </c>
    </row>
    <row r="25" spans="2:23" x14ac:dyDescent="0.2">
      <c r="B25" s="130"/>
      <c r="C25" s="120"/>
      <c r="D25" s="2" t="s">
        <v>17</v>
      </c>
      <c r="E25" s="18">
        <f>AeMBR_Baseline_CED_Detail_yr!E25/AeMBR_Baseline_CED_Detail_m3!E$4</f>
        <v>0.47575756936991892</v>
      </c>
      <c r="F25" s="18">
        <f>AeMBR_Baseline_CED_Detail_yr!F25/AeMBR_Baseline_CED_Detail_m3!F$4</f>
        <v>0.47575756936991892</v>
      </c>
      <c r="G25" s="18">
        <f>AeMBR_Baseline_CED_Detail_yr!G25/AeMBR_Baseline_CED_Detail_m3!G$4</f>
        <v>0.47575756936991892</v>
      </c>
      <c r="H25" s="18">
        <f>AeMBR_Baseline_CED_Detail_yr!H25/AeMBR_Baseline_CED_Detail_m3!H$4</f>
        <v>0.47575756936991892</v>
      </c>
      <c r="I25" s="18">
        <f>AeMBR_Baseline_CED_Detail_yr!I25/AeMBR_Baseline_CED_Detail_m3!I$4</f>
        <v>0.47584146990068138</v>
      </c>
      <c r="J25" s="18">
        <f>AeMBR_Baseline_CED_Detail_yr!J25/AeMBR_Baseline_CED_Detail_m3!J$4</f>
        <v>0.47584146990068138</v>
      </c>
      <c r="K25" s="18">
        <f>AeMBR_Baseline_CED_Detail_yr!K25/AeMBR_Baseline_CED_Detail_m3!K$4</f>
        <v>0.47584146990068138</v>
      </c>
      <c r="L25" s="18">
        <f>AeMBR_Baseline_CED_Detail_yr!L25/AeMBR_Baseline_CED_Detail_m3!L$4</f>
        <v>0.47584146990068138</v>
      </c>
      <c r="M25" s="18">
        <f>AeMBR_Baseline_CED_Detail_yr!M25/AeMBR_Baseline_CED_Detail_m3!M$4</f>
        <v>1.1347248165637367</v>
      </c>
      <c r="N25" s="18">
        <f>AeMBR_Baseline_CED_Detail_yr!N25/AeMBR_Baseline_CED_Detail_m3!N$4</f>
        <v>1.1347248165637367</v>
      </c>
      <c r="O25" s="18">
        <f>AeMBR_Baseline_CED_Detail_yr!O25/AeMBR_Baseline_CED_Detail_m3!O$4</f>
        <v>1.1347248165637367</v>
      </c>
      <c r="P25" s="18">
        <f>AeMBR_Baseline_CED_Detail_yr!P25/AeMBR_Baseline_CED_Detail_m3!P$4</f>
        <v>1.1347248165637367</v>
      </c>
      <c r="Q25" s="18">
        <f>AeMBR_Baseline_CED_Detail_yr!Q25/AeMBR_Baseline_CED_Detail_m3!Q$4</f>
        <v>0.47582411111558692</v>
      </c>
      <c r="R25" s="18">
        <f>AeMBR_Baseline_CED_Detail_yr!R25/AeMBR_Baseline_CED_Detail_m3!R$4</f>
        <v>0.47582411111558692</v>
      </c>
      <c r="S25" s="18">
        <f>AeMBR_Baseline_CED_Detail_yr!S25/AeMBR_Baseline_CED_Detail_m3!S$4</f>
        <v>0.47582411111558692</v>
      </c>
      <c r="T25" s="18">
        <f>AeMBR_Baseline_CED_Detail_yr!T25/AeMBR_Baseline_CED_Detail_m3!T$4</f>
        <v>0.47582483446426205</v>
      </c>
      <c r="U25" s="18">
        <f>AeMBR_Baseline_CED_Detail_yr!U25/AeMBR_Baseline_CED_Detail_m3!U$4</f>
        <v>0.47582483446426205</v>
      </c>
      <c r="V25" s="18">
        <f>AeMBR_Baseline_CED_Detail_yr!V25/AeMBR_Baseline_CED_Detail_m3!V$4</f>
        <v>0.47582483446426205</v>
      </c>
      <c r="W25" s="2" t="s">
        <v>1</v>
      </c>
    </row>
    <row r="26" spans="2:23" x14ac:dyDescent="0.2">
      <c r="B26" s="130"/>
      <c r="C26" s="120"/>
      <c r="D26" s="2" t="s">
        <v>4</v>
      </c>
      <c r="E26" s="21">
        <f>AeMBR_Baseline_CED_Detail_yr!E26/AeMBR_Baseline_CED_Detail_m3!E$4</f>
        <v>1.8986052658583479E-2</v>
      </c>
      <c r="F26" s="21">
        <f>AeMBR_Baseline_CED_Detail_yr!F26/AeMBR_Baseline_CED_Detail_m3!F$4</f>
        <v>1.8986052658583479E-2</v>
      </c>
      <c r="G26" s="21">
        <f>AeMBR_Baseline_CED_Detail_yr!G26/AeMBR_Baseline_CED_Detail_m3!G$4</f>
        <v>1.8986052658583479E-2</v>
      </c>
      <c r="H26" s="21">
        <f>AeMBR_Baseline_CED_Detail_yr!H26/AeMBR_Baseline_CED_Detail_m3!H$4</f>
        <v>1.8986052658583479E-2</v>
      </c>
      <c r="I26" s="48">
        <f>AeMBR_Baseline_CED_Detail_yr!I26/AeMBR_Baseline_CED_Detail_m3!I$4</f>
        <v>9.6143999936686968E-3</v>
      </c>
      <c r="J26" s="48">
        <f>AeMBR_Baseline_CED_Detail_yr!J26/AeMBR_Baseline_CED_Detail_m3!J$4</f>
        <v>9.6143999936686968E-3</v>
      </c>
      <c r="K26" s="48">
        <f>AeMBR_Baseline_CED_Detail_yr!K26/AeMBR_Baseline_CED_Detail_m3!K$4</f>
        <v>9.6143999936686968E-3</v>
      </c>
      <c r="L26" s="48">
        <f>AeMBR_Baseline_CED_Detail_yr!L26/AeMBR_Baseline_CED_Detail_m3!L$4</f>
        <v>9.6143999936686968E-3</v>
      </c>
      <c r="M26" s="48">
        <f>AeMBR_Baseline_CED_Detail_yr!M26/AeMBR_Baseline_CED_Detail_m3!M$4</f>
        <v>1.2433963257350638E-3</v>
      </c>
      <c r="N26" s="48">
        <f>AeMBR_Baseline_CED_Detail_yr!N26/AeMBR_Baseline_CED_Detail_m3!N$4</f>
        <v>1.2433963257350638E-3</v>
      </c>
      <c r="O26" s="48">
        <f>AeMBR_Baseline_CED_Detail_yr!O26/AeMBR_Baseline_CED_Detail_m3!O$4</f>
        <v>1.2433963257350638E-3</v>
      </c>
      <c r="P26" s="48">
        <f>AeMBR_Baseline_CED_Detail_yr!P26/AeMBR_Baseline_CED_Detail_m3!P$4</f>
        <v>1.2433963257350638E-3</v>
      </c>
      <c r="Q26" s="49">
        <f>AeMBR_Baseline_CED_Detail_yr!Q26/AeMBR_Baseline_CED_Detail_m3!Q$4</f>
        <v>4.9460657337240433E-4</v>
      </c>
      <c r="R26" s="49">
        <f>AeMBR_Baseline_CED_Detail_yr!R26/AeMBR_Baseline_CED_Detail_m3!R$4</f>
        <v>4.9460657337240433E-4</v>
      </c>
      <c r="S26" s="49">
        <f>AeMBR_Baseline_CED_Detail_yr!S26/AeMBR_Baseline_CED_Detail_m3!S$4</f>
        <v>4.9460657337240433E-4</v>
      </c>
      <c r="T26" s="49">
        <f>AeMBR_Baseline_CED_Detail_yr!T26/AeMBR_Baseline_CED_Detail_m3!T$4</f>
        <v>4.009362498837952E-4</v>
      </c>
      <c r="U26" s="49">
        <f>AeMBR_Baseline_CED_Detail_yr!U26/AeMBR_Baseline_CED_Detail_m3!U$4</f>
        <v>4.009362498837952E-4</v>
      </c>
      <c r="V26" s="49">
        <f>AeMBR_Baseline_CED_Detail_yr!V26/AeMBR_Baseline_CED_Detail_m3!V$4</f>
        <v>4.009362498837952E-4</v>
      </c>
      <c r="W26" s="2" t="s">
        <v>1</v>
      </c>
    </row>
    <row r="27" spans="2:23" ht="12.75" customHeight="1" x14ac:dyDescent="0.2">
      <c r="B27" s="121" t="s">
        <v>11</v>
      </c>
      <c r="C27" s="122"/>
      <c r="D27" s="2" t="s">
        <v>3</v>
      </c>
      <c r="E27" s="18">
        <f>AeMBR_Baseline_CED_Detail_yr!E27/AeMBR_Baseline_CED_Detail_m3!E$4</f>
        <v>0.42319248341154353</v>
      </c>
      <c r="F27" s="18">
        <f>AeMBR_Baseline_CED_Detail_yr!F27/AeMBR_Baseline_CED_Detail_m3!F$4</f>
        <v>0.20561833379331135</v>
      </c>
      <c r="G27" s="21">
        <f>AeMBR_Baseline_CED_Detail_yr!G27/AeMBR_Baseline_CED_Detail_m3!G$4</f>
        <v>5.7381985064897292E-2</v>
      </c>
      <c r="H27" s="21">
        <f>AeMBR_Baseline_CED_Detail_yr!H27/AeMBR_Baseline_CED_Detail_m3!H$4</f>
        <v>2.630004635141775E-2</v>
      </c>
      <c r="I27" s="18">
        <f>AeMBR_Baseline_CED_Detail_yr!I27/AeMBR_Baseline_CED_Detail_m3!I$4</f>
        <v>0.42199690189009575</v>
      </c>
      <c r="J27" s="18">
        <f>AeMBR_Baseline_CED_Detail_yr!J27/AeMBR_Baseline_CED_Detail_m3!J$4</f>
        <v>0.2068146386855646</v>
      </c>
      <c r="K27" s="21">
        <f>AeMBR_Baseline_CED_Detail_yr!K27/AeMBR_Baseline_CED_Detail_m3!K$4</f>
        <v>5.6186548146501765E-2</v>
      </c>
      <c r="L27" s="21">
        <f>AeMBR_Baseline_CED_Detail_yr!L27/AeMBR_Baseline_CED_Detail_m3!L$4</f>
        <v>2.6300046355222203E-2</v>
      </c>
      <c r="M27" s="18">
        <f>AeMBR_Baseline_CED_Detail_yr!M27/AeMBR_Baseline_CED_Detail_m3!M$4</f>
        <v>0.4222363075185665</v>
      </c>
      <c r="N27" s="18">
        <f>AeMBR_Baseline_CED_Detail_yr!N27/AeMBR_Baseline_CED_Detail_m3!N$4</f>
        <v>0.2068146386855646</v>
      </c>
      <c r="O27" s="21">
        <f>AeMBR_Baseline_CED_Detail_yr!O27/AeMBR_Baseline_CED_Detail_m3!O$4</f>
        <v>5.6305889320814977E-2</v>
      </c>
      <c r="P27" s="21">
        <f>AeMBR_Baseline_CED_Detail_yr!P27/AeMBR_Baseline_CED_Detail_m3!P$4</f>
        <v>2.6300118683206641E-2</v>
      </c>
      <c r="Q27" s="18">
        <f>AeMBR_Baseline_CED_Detail_yr!Q27/AeMBR_Baseline_CED_Detail_m3!Q$4</f>
        <v>0.2064558918529156</v>
      </c>
      <c r="R27" s="21">
        <f>AeMBR_Baseline_CED_Detail_yr!R27/AeMBR_Baseline_CED_Detail_m3!R$4</f>
        <v>5.6305889312669992E-2</v>
      </c>
      <c r="S27" s="21">
        <f>AeMBR_Baseline_CED_Detail_yr!S27/AeMBR_Baseline_CED_Detail_m3!S$4</f>
        <v>2.6276178116558559E-2</v>
      </c>
      <c r="T27" s="18">
        <f>AeMBR_Baseline_CED_Detail_yr!T27/AeMBR_Baseline_CED_Detail_m3!T$4</f>
        <v>0.2064435961254272</v>
      </c>
      <c r="U27" s="21">
        <f>AeMBR_Baseline_CED_Detail_yr!U27/AeMBR_Baseline_CED_Detail_m3!U$4</f>
        <v>5.6305889320814977E-2</v>
      </c>
      <c r="V27" s="21">
        <f>AeMBR_Baseline_CED_Detail_yr!V27/AeMBR_Baseline_CED_Detail_m3!V$4</f>
        <v>2.62760334643907E-2</v>
      </c>
      <c r="W27" s="2" t="s">
        <v>1</v>
      </c>
    </row>
    <row r="28" spans="2:23" x14ac:dyDescent="0.2">
      <c r="B28" s="123"/>
      <c r="C28" s="124"/>
      <c r="D28" s="2" t="s">
        <v>20</v>
      </c>
      <c r="E28" s="21">
        <f>AeMBR_Baseline_CED_Detail_yr!E28/AeMBR_Baseline_CED_Detail_m3!E$4</f>
        <v>8.423155976874E-2</v>
      </c>
      <c r="F28" s="21">
        <f>AeMBR_Baseline_CED_Detail_yr!F28/AeMBR_Baseline_CED_Detail_m3!F$4</f>
        <v>4.1288806302006022E-2</v>
      </c>
      <c r="G28" s="21">
        <f>AeMBR_Baseline_CED_Detail_yr!G28/AeMBR_Baseline_CED_Detail_m3!G$4</f>
        <v>1.1258848901435617E-2</v>
      </c>
      <c r="H28" s="48">
        <f>AeMBR_Baseline_CED_Detail_yr!H28/AeMBR_Baseline_CED_Detail_m3!H$4</f>
        <v>5.2676471054384898E-3</v>
      </c>
      <c r="I28" s="21">
        <f>AeMBR_Baseline_CED_Detail_yr!I28/AeMBR_Baseline_CED_Detail_m3!I$4</f>
        <v>8.4375656799125384E-2</v>
      </c>
      <c r="J28" s="21">
        <f>AeMBR_Baseline_CED_Detail_yr!J28/AeMBR_Baseline_CED_Detail_m3!J$4</f>
        <v>4.1230831667401054E-2</v>
      </c>
      <c r="K28" s="21">
        <f>AeMBR_Baseline_CED_Detail_yr!K28/AeMBR_Baseline_CED_Detail_m3!K$4</f>
        <v>1.1221976096600717E-2</v>
      </c>
      <c r="L28" s="48">
        <f>AeMBR_Baseline_CED_Detail_yr!L28/AeMBR_Baseline_CED_Detail_m3!L$4</f>
        <v>5.2445600135697127E-3</v>
      </c>
      <c r="M28" s="21">
        <f>AeMBR_Baseline_CED_Detail_yr!M28/AeMBR_Baseline_CED_Detail_m3!M$4</f>
        <v>8.443134934713821E-2</v>
      </c>
      <c r="N28" s="21">
        <f>AeMBR_Baseline_CED_Detail_yr!N28/AeMBR_Baseline_CED_Detail_m3!N$4</f>
        <v>4.1230856837539645E-2</v>
      </c>
      <c r="O28" s="21">
        <f>AeMBR_Baseline_CED_Detail_yr!O28/AeMBR_Baseline_CED_Detail_m3!O$4</f>
        <v>1.1071967856888239E-2</v>
      </c>
      <c r="P28" s="48">
        <f>AeMBR_Baseline_CED_Detail_yr!P28/AeMBR_Baseline_CED_Detail_m3!P$4</f>
        <v>5.2516553888425173E-3</v>
      </c>
      <c r="Q28" s="21">
        <f>AeMBR_Baseline_CED_Detail_yr!Q28/AeMBR_Baseline_CED_Detail_m3!Q$4</f>
        <v>4.1259354057437539E-2</v>
      </c>
      <c r="R28" s="21">
        <f>AeMBR_Baseline_CED_Detail_yr!R28/AeMBR_Baseline_CED_Detail_m3!R$4</f>
        <v>1.1256838183468692E-2</v>
      </c>
      <c r="S28" s="48">
        <f>AeMBR_Baseline_CED_Detail_yr!S28/AeMBR_Baseline_CED_Detail_m3!S$4</f>
        <v>5.2519374672220787E-3</v>
      </c>
      <c r="T28" s="21">
        <f>AeMBR_Baseline_CED_Detail_yr!T28/AeMBR_Baseline_CED_Detail_m3!T$4</f>
        <v>4.1293999167948993E-2</v>
      </c>
      <c r="U28" s="21">
        <f>AeMBR_Baseline_CED_Detail_yr!U28/AeMBR_Baseline_CED_Detail_m3!U$4</f>
        <v>1.1248231154949623E-2</v>
      </c>
      <c r="V28" s="48">
        <f>AeMBR_Baseline_CED_Detail_yr!V28/AeMBR_Baseline_CED_Detail_m3!V$4</f>
        <v>5.2518579071989275E-3</v>
      </c>
      <c r="W28" s="2" t="s">
        <v>1</v>
      </c>
    </row>
    <row r="29" spans="2:23" x14ac:dyDescent="0.2">
      <c r="B29" s="123"/>
      <c r="C29" s="124"/>
      <c r="D29" s="4" t="s">
        <v>21</v>
      </c>
      <c r="E29" s="21">
        <f>AeMBR_Baseline_CED_Detail_yr!E29/AeMBR_Baseline_CED_Detail_m3!E$4</f>
        <v>1.8120663947821473E-2</v>
      </c>
      <c r="F29" s="48">
        <f>AeMBR_Baseline_CED_Detail_yr!F29/AeMBR_Baseline_CED_Detail_m3!F$4</f>
        <v>8.8589913341000828E-3</v>
      </c>
      <c r="G29" s="48">
        <f>AeMBR_Baseline_CED_Detail_yr!G29/AeMBR_Baseline_CED_Detail_m3!G$4</f>
        <v>2.4160439916252551E-3</v>
      </c>
      <c r="H29" s="48">
        <f>AeMBR_Baseline_CED_Detail_yr!H29/AeMBR_Baseline_CED_Detail_m3!H$4</f>
        <v>1.1275064835542983E-3</v>
      </c>
      <c r="I29" s="21">
        <f>AeMBR_Baseline_CED_Detail_yr!I29/AeMBR_Baseline_CED_Detail_m3!I$4</f>
        <v>1.8120662648539013E-2</v>
      </c>
      <c r="J29" s="48">
        <f>AeMBR_Baseline_CED_Detail_yr!J29/AeMBR_Baseline_CED_Detail_m3!J$4</f>
        <v>8.8589912630536033E-3</v>
      </c>
      <c r="K29" s="48">
        <f>AeMBR_Baseline_CED_Detail_yr!K29/AeMBR_Baseline_CED_Detail_m3!K$4</f>
        <v>2.4160873887654091E-3</v>
      </c>
      <c r="L29" s="48">
        <f>AeMBR_Baseline_CED_Detail_yr!L29/AeMBR_Baseline_CED_Detail_m3!L$4</f>
        <v>1.1275064837173985E-3</v>
      </c>
      <c r="M29" s="21">
        <f>AeMBR_Baseline_CED_Detail_yr!M29/AeMBR_Baseline_CED_Detail_m3!M$4</f>
        <v>1.8120691579732787E-2</v>
      </c>
      <c r="N29" s="48">
        <f>AeMBR_Baseline_CED_Detail_yr!N29/AeMBR_Baseline_CED_Detail_m3!N$4</f>
        <v>8.8590208451992357E-3</v>
      </c>
      <c r="O29" s="48">
        <f>AeMBR_Baseline_CED_Detail_yr!O29/AeMBR_Baseline_CED_Detail_m3!O$4</f>
        <v>2.4160873887654095E-3</v>
      </c>
      <c r="P29" s="48">
        <f>AeMBR_Baseline_CED_Detail_yr!P29/AeMBR_Baseline_CED_Detail_m3!P$4</f>
        <v>1.2080436943827048E-3</v>
      </c>
      <c r="Q29" s="48">
        <f>AeMBR_Baseline_CED_Detail_yr!Q29/AeMBR_Baseline_CED_Detail_m3!Q$4</f>
        <v>8.8589919127239573E-3</v>
      </c>
      <c r="R29" s="48">
        <f>AeMBR_Baseline_CED_Detail_yr!R29/AeMBR_Baseline_CED_Detail_m3!R$4</f>
        <v>2.4160873884159079E-3</v>
      </c>
      <c r="S29" s="48">
        <f>AeMBR_Baseline_CED_Detail_yr!S29/AeMBR_Baseline_CED_Detail_m3!S$4</f>
        <v>1.1274486211667607E-3</v>
      </c>
      <c r="T29" s="48">
        <f>AeMBR_Baseline_CED_Detail_yr!T29/AeMBR_Baseline_CED_Detail_m3!T$4</f>
        <v>8.8590208451992374E-3</v>
      </c>
      <c r="U29" s="48">
        <f>AeMBR_Baseline_CED_Detail_yr!U29/AeMBR_Baseline_CED_Detail_m3!U$4</f>
        <v>2.4160873887654095E-3</v>
      </c>
      <c r="V29" s="48">
        <f>AeMBR_Baseline_CED_Detail_yr!V29/AeMBR_Baseline_CED_Detail_m3!V$4</f>
        <v>1.1275064837173987E-3</v>
      </c>
      <c r="W29" s="4" t="s">
        <v>1</v>
      </c>
    </row>
    <row r="30" spans="2:23" x14ac:dyDescent="0.2">
      <c r="B30" s="125"/>
      <c r="C30" s="126"/>
      <c r="D30" s="2" t="s">
        <v>22</v>
      </c>
      <c r="E30" s="17">
        <f>AeMBR_Baseline_CED_Detail_yr!E30/AeMBR_Baseline_CED_Detail_m3!E$4</f>
        <v>-12.117627991669222</v>
      </c>
      <c r="F30" s="17">
        <f>AeMBR_Baseline_CED_Detail_yr!F30/AeMBR_Baseline_CED_Detail_m3!F$4</f>
        <v>-12.117627991669222</v>
      </c>
      <c r="G30" s="17">
        <f>AeMBR_Baseline_CED_Detail_yr!G30/AeMBR_Baseline_CED_Detail_m3!G$4</f>
        <v>-12.117627991669222</v>
      </c>
      <c r="H30" s="17">
        <f>AeMBR_Baseline_CED_Detail_yr!H30/AeMBR_Baseline_CED_Detail_m3!H$4</f>
        <v>-12.117627991669222</v>
      </c>
      <c r="I30" s="17">
        <f>AeMBR_Baseline_CED_Detail_yr!I30/AeMBR_Baseline_CED_Detail_m3!I$4</f>
        <v>-12.11761352782522</v>
      </c>
      <c r="J30" s="17">
        <f>AeMBR_Baseline_CED_Detail_yr!J30/AeMBR_Baseline_CED_Detail_m3!J$4</f>
        <v>-12.11761352782522</v>
      </c>
      <c r="K30" s="17">
        <f>AeMBR_Baseline_CED_Detail_yr!K30/AeMBR_Baseline_CED_Detail_m3!K$4</f>
        <v>-12.11761352782522</v>
      </c>
      <c r="L30" s="17">
        <f>AeMBR_Baseline_CED_Detail_yr!L30/AeMBR_Baseline_CED_Detail_m3!L$4</f>
        <v>-12.11761352782522</v>
      </c>
      <c r="M30" s="17">
        <f>AeMBR_Baseline_CED_Detail_yr!M30/AeMBR_Baseline_CED_Detail_m3!M$4</f>
        <v>-12.117613527825222</v>
      </c>
      <c r="N30" s="17">
        <f>AeMBR_Baseline_CED_Detail_yr!N30/AeMBR_Baseline_CED_Detail_m3!N$4</f>
        <v>-12.117613527825222</v>
      </c>
      <c r="O30" s="17">
        <f>AeMBR_Baseline_CED_Detail_yr!O30/AeMBR_Baseline_CED_Detail_m3!O$4</f>
        <v>-12.117613527825222</v>
      </c>
      <c r="P30" s="17">
        <f>AeMBR_Baseline_CED_Detail_yr!P30/AeMBR_Baseline_CED_Detail_m3!P$4</f>
        <v>-12.117613527825222</v>
      </c>
      <c r="Q30" s="17">
        <f>AeMBR_Baseline_CED_Detail_yr!Q30/AeMBR_Baseline_CED_Detail_m3!Q$4</f>
        <v>-12.117627991669222</v>
      </c>
      <c r="R30" s="17">
        <f>AeMBR_Baseline_CED_Detail_yr!R30/AeMBR_Baseline_CED_Detail_m3!R$4</f>
        <v>-12.117627991669222</v>
      </c>
      <c r="S30" s="17">
        <f>AeMBR_Baseline_CED_Detail_yr!S30/AeMBR_Baseline_CED_Detail_m3!S$4</f>
        <v>-12.117627991669222</v>
      </c>
      <c r="T30" s="17">
        <f>AeMBR_Baseline_CED_Detail_yr!T30/AeMBR_Baseline_CED_Detail_m3!T$4</f>
        <v>-12.117613527825222</v>
      </c>
      <c r="U30" s="17">
        <f>AeMBR_Baseline_CED_Detail_yr!U30/AeMBR_Baseline_CED_Detail_m3!U$4</f>
        <v>-12.117613527825222</v>
      </c>
      <c r="V30" s="17">
        <f>AeMBR_Baseline_CED_Detail_yr!V30/AeMBR_Baseline_CED_Detail_m3!V$4</f>
        <v>-12.117613527825222</v>
      </c>
      <c r="W30" s="2" t="s">
        <v>1</v>
      </c>
    </row>
    <row r="31" spans="2:23" x14ac:dyDescent="0.2">
      <c r="D31" s="15" t="s">
        <v>23</v>
      </c>
      <c r="E31" s="50">
        <f>SUM(E6:E30)</f>
        <v>8.0538787868061963</v>
      </c>
      <c r="F31" s="50">
        <f t="shared" ref="F31:V31" si="0">SUM(F6:F30)</f>
        <v>7.7649737660701081</v>
      </c>
      <c r="G31" s="50">
        <f t="shared" si="0"/>
        <v>7.564513354647433</v>
      </c>
      <c r="H31" s="50">
        <f t="shared" si="0"/>
        <v>7.5233071024942557</v>
      </c>
      <c r="I31" s="50">
        <f t="shared" si="0"/>
        <v>1.4177324986802553</v>
      </c>
      <c r="J31" s="50">
        <f t="shared" si="0"/>
        <v>1.1314352447927867</v>
      </c>
      <c r="K31" s="50">
        <f t="shared" si="0"/>
        <v>0.93004652478069794</v>
      </c>
      <c r="L31" s="51">
        <f t="shared" si="0"/>
        <v>0.89018937548646981</v>
      </c>
      <c r="M31" s="50">
        <f t="shared" si="0"/>
        <v>-5.0831105871107756</v>
      </c>
      <c r="N31" s="50">
        <f t="shared" si="0"/>
        <v>-5.3715628614096023</v>
      </c>
      <c r="O31" s="50">
        <f t="shared" si="0"/>
        <v>-5.5729822257471691</v>
      </c>
      <c r="P31" s="50">
        <f t="shared" si="0"/>
        <v>-5.6128111535442766</v>
      </c>
      <c r="Q31" s="50">
        <f t="shared" si="0"/>
        <v>-6.7221739581166426</v>
      </c>
      <c r="R31" s="50">
        <f t="shared" si="0"/>
        <v>-6.920498655877279</v>
      </c>
      <c r="S31" s="50">
        <f t="shared" si="0"/>
        <v>-6.9605809833733474</v>
      </c>
      <c r="T31" s="50">
        <f t="shared" si="0"/>
        <v>-6.9339664317709051</v>
      </c>
      <c r="U31" s="50">
        <f t="shared" si="0"/>
        <v>-7.1345445827660008</v>
      </c>
      <c r="V31" s="50">
        <f t="shared" si="0"/>
        <v>-7.1748036458676676</v>
      </c>
      <c r="W31" s="15" t="str">
        <f>W30</f>
        <v>MJ</v>
      </c>
    </row>
    <row r="34" spans="1:23" ht="15.75" x14ac:dyDescent="0.25">
      <c r="A34" s="42" t="s">
        <v>25</v>
      </c>
    </row>
    <row r="36" spans="1:23" ht="75" customHeight="1" x14ac:dyDescent="0.2">
      <c r="B36" s="13"/>
      <c r="C36" s="2"/>
      <c r="D36" s="2"/>
      <c r="E36" s="3" t="str">
        <f>E5</f>
        <v>0.05 MGD AeMBR [semi rural single family]</v>
      </c>
      <c r="F36" s="3" t="str">
        <f t="shared" ref="F36:V36" si="1">F5</f>
        <v>0.05 MGD AeMBR [single family]</v>
      </c>
      <c r="G36" s="3" t="str">
        <f t="shared" si="1"/>
        <v>0.05 MGD AeMBR [multi family]</v>
      </c>
      <c r="H36" s="3" t="str">
        <f t="shared" si="1"/>
        <v>0.05 MGD AeMBR [high density urban]</v>
      </c>
      <c r="I36" s="3" t="str">
        <f t="shared" si="1"/>
        <v>0.1 MGD AeMBR [semi rural single family]</v>
      </c>
      <c r="J36" s="3" t="str">
        <f t="shared" si="1"/>
        <v>0.1 MGD AeMBR [single family]</v>
      </c>
      <c r="K36" s="3" t="str">
        <f t="shared" si="1"/>
        <v>0.1 MGD AeMBR [multi family]</v>
      </c>
      <c r="L36" s="3" t="str">
        <f t="shared" si="1"/>
        <v>0.1 MGD AeMBR [high density urban]</v>
      </c>
      <c r="M36" s="3" t="str">
        <f t="shared" si="1"/>
        <v>1 MGD AeMBR [semi rural single family]</v>
      </c>
      <c r="N36" s="3" t="str">
        <f t="shared" si="1"/>
        <v>1 MGD AeMBR [single family]</v>
      </c>
      <c r="O36" s="3" t="str">
        <f t="shared" si="1"/>
        <v>1 MGD AeMBR [multi family]</v>
      </c>
      <c r="P36" s="3" t="str">
        <f t="shared" si="1"/>
        <v>1 MGD AeMBR [high density urban]</v>
      </c>
      <c r="Q36" s="3" t="str">
        <f t="shared" si="1"/>
        <v>5 MGD AeMBR [single family]</v>
      </c>
      <c r="R36" s="3" t="str">
        <f t="shared" si="1"/>
        <v>5 MGD AeMBR [multi family]</v>
      </c>
      <c r="S36" s="3" t="str">
        <f t="shared" si="1"/>
        <v>5 MGD AeMBR [high density urban]</v>
      </c>
      <c r="T36" s="3" t="str">
        <f t="shared" si="1"/>
        <v>10 MGD AeMBR [single family]</v>
      </c>
      <c r="U36" s="3" t="str">
        <f t="shared" si="1"/>
        <v>10 MGD AeMBR [multi family]</v>
      </c>
      <c r="V36" s="3" t="str">
        <f t="shared" si="1"/>
        <v>10 MGD AeMBR [high density urban]</v>
      </c>
      <c r="W36" s="2" t="s">
        <v>0</v>
      </c>
    </row>
    <row r="37" spans="1:23" ht="12.75" customHeight="1" x14ac:dyDescent="0.2">
      <c r="B37" s="121" t="s">
        <v>12</v>
      </c>
      <c r="C37" s="122"/>
      <c r="D37" s="2" t="s">
        <v>20</v>
      </c>
      <c r="E37" s="5">
        <f>E6/$E$31</f>
        <v>4.1059456345083041E-3</v>
      </c>
      <c r="F37" s="5">
        <f t="shared" ref="F37:V52" si="2">F6/$E$31</f>
        <v>2.1864414562544222E-3</v>
      </c>
      <c r="G37" s="5">
        <f t="shared" si="2"/>
        <v>5.4745954366165956E-4</v>
      </c>
      <c r="H37" s="5">
        <f t="shared" si="2"/>
        <v>2.5761507169963917E-4</v>
      </c>
      <c r="I37" s="5">
        <f t="shared" si="2"/>
        <v>3.8749577922470302E-3</v>
      </c>
      <c r="J37" s="5">
        <f t="shared" si="2"/>
        <v>2.0073516364350849E-3</v>
      </c>
      <c r="K37" s="5">
        <f t="shared" si="2"/>
        <v>5.4745223360111927E-4</v>
      </c>
      <c r="L37" s="5">
        <f t="shared" si="2"/>
        <v>2.4726729952873229E-4</v>
      </c>
      <c r="M37" s="5">
        <f t="shared" si="2"/>
        <v>4.1058917520083943E-3</v>
      </c>
      <c r="N37" s="5">
        <f t="shared" si="2"/>
        <v>2.0073517980843665E-3</v>
      </c>
      <c r="O37" s="5">
        <f t="shared" si="2"/>
        <v>5.4745941801363361E-4</v>
      </c>
      <c r="P37" s="5">
        <f t="shared" si="2"/>
        <v>2.5548040316854855E-4</v>
      </c>
      <c r="Q37" s="5">
        <f t="shared" si="2"/>
        <v>1.6870688918429952E-3</v>
      </c>
      <c r="R37" s="5">
        <f t="shared" si="2"/>
        <v>5.4745941793444056E-4</v>
      </c>
      <c r="S37" s="5">
        <f t="shared" si="2"/>
        <v>2.55481301183156E-4</v>
      </c>
      <c r="T37" s="5">
        <f t="shared" si="2"/>
        <v>2.0073517980843665E-3</v>
      </c>
      <c r="U37" s="5">
        <f t="shared" si="2"/>
        <v>5.3241436015681034E-4</v>
      </c>
      <c r="V37" s="5">
        <f t="shared" si="2"/>
        <v>2.5548130122011287E-4</v>
      </c>
      <c r="W37" s="2" t="s">
        <v>24</v>
      </c>
    </row>
    <row r="38" spans="1:23" x14ac:dyDescent="0.2">
      <c r="B38" s="123"/>
      <c r="C38" s="124"/>
      <c r="D38" s="2" t="s">
        <v>21</v>
      </c>
      <c r="E38" s="5">
        <f t="shared" ref="E38:T53" si="3">E7/$E$31</f>
        <v>6.0929206423111337E-4</v>
      </c>
      <c r="F38" s="5">
        <f t="shared" si="3"/>
        <v>2.9788012959208298E-4</v>
      </c>
      <c r="G38" s="5">
        <f t="shared" si="3"/>
        <v>8.1240043507400497E-5</v>
      </c>
      <c r="H38" s="5">
        <f t="shared" si="3"/>
        <v>3.7912019106051477E-5</v>
      </c>
      <c r="I38" s="5">
        <f t="shared" si="3"/>
        <v>6.0930026353003298E-4</v>
      </c>
      <c r="J38" s="5">
        <f t="shared" si="3"/>
        <v>2.9788012963517308E-4</v>
      </c>
      <c r="K38" s="5">
        <f t="shared" si="3"/>
        <v>8.1237744507147699E-5</v>
      </c>
      <c r="L38" s="5">
        <f t="shared" si="3"/>
        <v>5.6864625051874784E-5</v>
      </c>
      <c r="M38" s="5">
        <f t="shared" si="3"/>
        <v>6.0930014678332964E-4</v>
      </c>
      <c r="N38" s="5">
        <f t="shared" si="3"/>
        <v>2.9788012694101839E-4</v>
      </c>
      <c r="O38" s="5">
        <f t="shared" si="3"/>
        <v>8.1240034538636695E-5</v>
      </c>
      <c r="P38" s="5">
        <f t="shared" si="3"/>
        <v>4.3598607343942159E-5</v>
      </c>
      <c r="Q38" s="5">
        <f t="shared" si="3"/>
        <v>2.9788011163105167E-4</v>
      </c>
      <c r="R38" s="5">
        <f t="shared" si="3"/>
        <v>8.1239899819150207E-5</v>
      </c>
      <c r="S38" s="5">
        <f t="shared" si="3"/>
        <v>4.6631686690484695E-5</v>
      </c>
      <c r="T38" s="5">
        <f t="shared" si="3"/>
        <v>2.9788011167414182E-4</v>
      </c>
      <c r="U38" s="5">
        <f t="shared" si="2"/>
        <v>1.2185661676072158E-4</v>
      </c>
      <c r="V38" s="5">
        <f t="shared" si="2"/>
        <v>6.1227898382213377E-5</v>
      </c>
      <c r="W38" s="2" t="s">
        <v>24</v>
      </c>
    </row>
    <row r="39" spans="1:23" x14ac:dyDescent="0.2">
      <c r="B39" s="125"/>
      <c r="C39" s="126"/>
      <c r="D39" s="2" t="s">
        <v>3</v>
      </c>
      <c r="E39" s="5">
        <f t="shared" si="3"/>
        <v>2.8153472899457109E-4</v>
      </c>
      <c r="F39" s="5">
        <f t="shared" si="2"/>
        <v>1.3763920842533686E-4</v>
      </c>
      <c r="G39" s="5">
        <f t="shared" si="2"/>
        <v>3.7537962668540732E-5</v>
      </c>
      <c r="H39" s="5">
        <f t="shared" si="2"/>
        <v>1.7517393810824654E-5</v>
      </c>
      <c r="I39" s="5">
        <f t="shared" si="2"/>
        <v>2.8153018489438132E-4</v>
      </c>
      <c r="J39" s="5">
        <f t="shared" si="2"/>
        <v>1.3763919946473154E-4</v>
      </c>
      <c r="K39" s="5">
        <f t="shared" si="2"/>
        <v>3.7537657336438946E-5</v>
      </c>
      <c r="L39" s="5">
        <f t="shared" si="2"/>
        <v>2.6276090720037972E-5</v>
      </c>
      <c r="M39" s="5">
        <f t="shared" si="2"/>
        <v>2.8153467515220287E-4</v>
      </c>
      <c r="N39" s="5">
        <f t="shared" si="2"/>
        <v>1.3763920036278309E-4</v>
      </c>
      <c r="O39" s="5">
        <f t="shared" si="2"/>
        <v>3.7537964470073945E-5</v>
      </c>
      <c r="P39" s="5">
        <f t="shared" si="2"/>
        <v>2.014536210598817E-5</v>
      </c>
      <c r="Q39" s="5">
        <f t="shared" si="2"/>
        <v>1.3763920052248309E-4</v>
      </c>
      <c r="R39" s="5">
        <f t="shared" si="2"/>
        <v>3.7537836941321745E-5</v>
      </c>
      <c r="S39" s="5">
        <f t="shared" si="2"/>
        <v>2.1546771568971281E-5</v>
      </c>
      <c r="T39" s="5">
        <f t="shared" si="2"/>
        <v>1.3763897495184044E-4</v>
      </c>
      <c r="U39" s="5">
        <f t="shared" si="2"/>
        <v>5.6298852566361824E-5</v>
      </c>
      <c r="V39" s="5">
        <f t="shared" si="2"/>
        <v>2.8291049014872016E-5</v>
      </c>
      <c r="W39" s="2" t="s">
        <v>24</v>
      </c>
    </row>
    <row r="40" spans="1:23" x14ac:dyDescent="0.2">
      <c r="B40" s="131" t="s">
        <v>19</v>
      </c>
      <c r="C40" s="132" t="s">
        <v>10</v>
      </c>
      <c r="D40" s="2" t="s">
        <v>3</v>
      </c>
      <c r="E40" s="5">
        <f t="shared" si="3"/>
        <v>7.8703442981290422E-2</v>
      </c>
      <c r="F40" s="5">
        <f t="shared" si="2"/>
        <v>7.8703442981290422E-2</v>
      </c>
      <c r="G40" s="5">
        <f t="shared" si="2"/>
        <v>7.8703442981290422E-2</v>
      </c>
      <c r="H40" s="5">
        <f t="shared" si="2"/>
        <v>7.8703442981290422E-2</v>
      </c>
      <c r="I40" s="5">
        <f t="shared" si="2"/>
        <v>5.4207021057623157E-2</v>
      </c>
      <c r="J40" s="5">
        <f t="shared" si="2"/>
        <v>5.4207021057623157E-2</v>
      </c>
      <c r="K40" s="5">
        <f t="shared" si="2"/>
        <v>5.4207021057623157E-2</v>
      </c>
      <c r="L40" s="5">
        <f t="shared" si="2"/>
        <v>5.4207021057623157E-2</v>
      </c>
      <c r="M40" s="5">
        <f t="shared" si="2"/>
        <v>1.5740688598535068E-2</v>
      </c>
      <c r="N40" s="5">
        <f t="shared" si="2"/>
        <v>1.5740688598535068E-2</v>
      </c>
      <c r="O40" s="5">
        <f t="shared" si="2"/>
        <v>1.5740688598535068E-2</v>
      </c>
      <c r="P40" s="5">
        <f t="shared" si="2"/>
        <v>1.5740688598535068E-2</v>
      </c>
      <c r="Q40" s="5">
        <f t="shared" si="2"/>
        <v>6.6307637240963719E-3</v>
      </c>
      <c r="R40" s="5">
        <f t="shared" si="2"/>
        <v>6.6307637240963719E-3</v>
      </c>
      <c r="S40" s="5">
        <f t="shared" si="2"/>
        <v>6.6307637240963719E-3</v>
      </c>
      <c r="T40" s="5">
        <f t="shared" si="2"/>
        <v>4.57463874651371E-3</v>
      </c>
      <c r="U40" s="5">
        <f t="shared" si="2"/>
        <v>4.57463874651371E-3</v>
      </c>
      <c r="V40" s="5">
        <f t="shared" si="2"/>
        <v>4.57463874651371E-3</v>
      </c>
      <c r="W40" s="2" t="s">
        <v>24</v>
      </c>
    </row>
    <row r="41" spans="1:23" x14ac:dyDescent="0.2">
      <c r="B41" s="131"/>
      <c r="C41" s="132"/>
      <c r="D41" s="2" t="s">
        <v>4</v>
      </c>
      <c r="E41" s="5">
        <f t="shared" si="3"/>
        <v>5.35777563187634E-8</v>
      </c>
      <c r="F41" s="5">
        <f t="shared" si="2"/>
        <v>5.35777563187634E-8</v>
      </c>
      <c r="G41" s="5">
        <f t="shared" si="2"/>
        <v>5.35777563187634E-8</v>
      </c>
      <c r="H41" s="5">
        <f t="shared" si="2"/>
        <v>5.35777563187634E-8</v>
      </c>
      <c r="I41" s="5">
        <f t="shared" si="2"/>
        <v>5.340712652929554E-8</v>
      </c>
      <c r="J41" s="5">
        <f t="shared" si="2"/>
        <v>5.340712652929554E-8</v>
      </c>
      <c r="K41" s="5">
        <f t="shared" si="2"/>
        <v>5.340712652929554E-8</v>
      </c>
      <c r="L41" s="5">
        <f t="shared" si="2"/>
        <v>5.340712652929554E-8</v>
      </c>
      <c r="M41" s="5">
        <f t="shared" si="2"/>
        <v>5.338916549800942E-8</v>
      </c>
      <c r="N41" s="5">
        <f t="shared" si="2"/>
        <v>5.338916549800942E-8</v>
      </c>
      <c r="O41" s="5">
        <f t="shared" si="2"/>
        <v>5.338916549800942E-8</v>
      </c>
      <c r="P41" s="5">
        <f t="shared" si="2"/>
        <v>5.338916549800942E-8</v>
      </c>
      <c r="Q41" s="5">
        <f t="shared" si="2"/>
        <v>5.3553868147156306E-8</v>
      </c>
      <c r="R41" s="5">
        <f t="shared" si="2"/>
        <v>5.3553868147156306E-8</v>
      </c>
      <c r="S41" s="5">
        <f t="shared" si="2"/>
        <v>5.3553868147156306E-8</v>
      </c>
      <c r="T41" s="5">
        <f t="shared" si="2"/>
        <v>5.3387279589724382E-8</v>
      </c>
      <c r="U41" s="5">
        <f t="shared" si="2"/>
        <v>5.3387279589724382E-8</v>
      </c>
      <c r="V41" s="5">
        <f t="shared" si="2"/>
        <v>5.3387279589724382E-8</v>
      </c>
      <c r="W41" s="2" t="s">
        <v>24</v>
      </c>
    </row>
    <row r="42" spans="1:23" ht="15.75" customHeight="1" x14ac:dyDescent="0.2">
      <c r="B42" s="131"/>
      <c r="C42" s="120" t="s">
        <v>13</v>
      </c>
      <c r="D42" s="2" t="s">
        <v>3</v>
      </c>
      <c r="E42" s="5">
        <f t="shared" si="3"/>
        <v>1.9675868648176371E-3</v>
      </c>
      <c r="F42" s="5">
        <f t="shared" si="2"/>
        <v>1.9675868648176371E-3</v>
      </c>
      <c r="G42" s="5">
        <f t="shared" si="2"/>
        <v>1.9675868648176371E-3</v>
      </c>
      <c r="H42" s="5">
        <f t="shared" si="2"/>
        <v>1.9675868648176371E-3</v>
      </c>
      <c r="I42" s="5">
        <f t="shared" si="2"/>
        <v>1.9675868740827757E-3</v>
      </c>
      <c r="J42" s="5">
        <f t="shared" si="2"/>
        <v>1.9675868740827757E-3</v>
      </c>
      <c r="K42" s="5">
        <f t="shared" si="2"/>
        <v>1.9675868740827757E-3</v>
      </c>
      <c r="L42" s="5">
        <f t="shared" si="2"/>
        <v>1.9675868740827757E-3</v>
      </c>
      <c r="M42" s="5">
        <f t="shared" si="2"/>
        <v>2.0364486687678906E-3</v>
      </c>
      <c r="N42" s="5">
        <f t="shared" si="2"/>
        <v>2.0364486687678906E-3</v>
      </c>
      <c r="O42" s="5">
        <f t="shared" si="2"/>
        <v>2.0364486687678906E-3</v>
      </c>
      <c r="P42" s="5">
        <f t="shared" si="2"/>
        <v>2.0364486687678906E-3</v>
      </c>
      <c r="Q42" s="5">
        <f t="shared" si="2"/>
        <v>2.0384154013988521E-3</v>
      </c>
      <c r="R42" s="5">
        <f t="shared" si="2"/>
        <v>2.0384154013988521E-3</v>
      </c>
      <c r="S42" s="5">
        <f t="shared" si="2"/>
        <v>2.0384154013988521E-3</v>
      </c>
      <c r="T42" s="5">
        <f t="shared" si="2"/>
        <v>2.0384243822093645E-3</v>
      </c>
      <c r="U42" s="5">
        <f t="shared" si="2"/>
        <v>2.0384243822093645E-3</v>
      </c>
      <c r="V42" s="5">
        <f t="shared" si="2"/>
        <v>2.0384243822093645E-3</v>
      </c>
      <c r="W42" s="2" t="s">
        <v>24</v>
      </c>
    </row>
    <row r="43" spans="1:23" x14ac:dyDescent="0.2">
      <c r="B43" s="131"/>
      <c r="C43" s="120"/>
      <c r="D43" s="2" t="s">
        <v>4</v>
      </c>
      <c r="E43" s="5">
        <f t="shared" si="3"/>
        <v>2.3613367828453987E-7</v>
      </c>
      <c r="F43" s="5">
        <f t="shared" si="2"/>
        <v>2.3613367828453987E-7</v>
      </c>
      <c r="G43" s="5">
        <f t="shared" si="2"/>
        <v>2.3613367828453987E-7</v>
      </c>
      <c r="H43" s="5">
        <f t="shared" si="2"/>
        <v>2.3613367828453987E-7</v>
      </c>
      <c r="I43" s="5">
        <f t="shared" si="2"/>
        <v>2.3613367831869798E-7</v>
      </c>
      <c r="J43" s="5">
        <f t="shared" si="2"/>
        <v>2.3613367831869798E-7</v>
      </c>
      <c r="K43" s="5">
        <f t="shared" si="2"/>
        <v>2.3613367831869798E-7</v>
      </c>
      <c r="L43" s="5">
        <f t="shared" si="2"/>
        <v>2.3613367831869798E-7</v>
      </c>
      <c r="M43" s="5">
        <f t="shared" si="2"/>
        <v>2.3612200364836202E-7</v>
      </c>
      <c r="N43" s="5">
        <f t="shared" si="2"/>
        <v>2.3612200364836202E-7</v>
      </c>
      <c r="O43" s="5">
        <f t="shared" si="2"/>
        <v>2.3612200364836202E-7</v>
      </c>
      <c r="P43" s="5">
        <f t="shared" si="2"/>
        <v>2.3612200364836202E-7</v>
      </c>
      <c r="Q43" s="5">
        <f t="shared" si="2"/>
        <v>2.3612344049670823E-7</v>
      </c>
      <c r="R43" s="5">
        <f t="shared" si="2"/>
        <v>2.3612344049670823E-7</v>
      </c>
      <c r="S43" s="5">
        <f t="shared" si="2"/>
        <v>2.3612344049670823E-7</v>
      </c>
      <c r="T43" s="5">
        <f t="shared" si="2"/>
        <v>2.3612344053086494E-7</v>
      </c>
      <c r="U43" s="5">
        <f t="shared" si="2"/>
        <v>2.3612344053086494E-7</v>
      </c>
      <c r="V43" s="5">
        <f t="shared" si="2"/>
        <v>2.3612344053086494E-7</v>
      </c>
      <c r="W43" s="2" t="s">
        <v>24</v>
      </c>
    </row>
    <row r="44" spans="1:23" x14ac:dyDescent="0.2">
      <c r="B44" s="120" t="s">
        <v>5</v>
      </c>
      <c r="C44" s="133" t="s">
        <v>2</v>
      </c>
      <c r="D44" s="2" t="s">
        <v>3</v>
      </c>
      <c r="E44" s="5">
        <f t="shared" si="3"/>
        <v>1.0917235684035416</v>
      </c>
      <c r="F44" s="5">
        <f t="shared" si="2"/>
        <v>1.0917235684035416</v>
      </c>
      <c r="G44" s="5">
        <f t="shared" si="2"/>
        <v>1.0917235684035416</v>
      </c>
      <c r="H44" s="5">
        <f t="shared" si="2"/>
        <v>1.0917235684035416</v>
      </c>
      <c r="I44" s="5">
        <f t="shared" si="2"/>
        <v>0.68176841776502639</v>
      </c>
      <c r="J44" s="5">
        <f t="shared" si="2"/>
        <v>0.68176841776502639</v>
      </c>
      <c r="K44" s="5">
        <f t="shared" si="2"/>
        <v>0.68176841776502639</v>
      </c>
      <c r="L44" s="5">
        <f t="shared" si="2"/>
        <v>0.68176841776502639</v>
      </c>
      <c r="M44" s="5">
        <f t="shared" si="2"/>
        <v>0.27251105303405321</v>
      </c>
      <c r="N44" s="5">
        <f t="shared" si="2"/>
        <v>0.27251105303405321</v>
      </c>
      <c r="O44" s="5">
        <f t="shared" si="2"/>
        <v>0.27251105303405321</v>
      </c>
      <c r="P44" s="5">
        <f t="shared" si="2"/>
        <v>0.27251105303405321</v>
      </c>
      <c r="Q44" s="5">
        <f t="shared" si="2"/>
        <v>0.27349441945740605</v>
      </c>
      <c r="R44" s="5">
        <f t="shared" si="2"/>
        <v>0.27349441945740605</v>
      </c>
      <c r="S44" s="5">
        <f t="shared" si="2"/>
        <v>0.27349441945740605</v>
      </c>
      <c r="T44" s="5">
        <f t="shared" si="2"/>
        <v>0.25873763619228751</v>
      </c>
      <c r="U44" s="5">
        <f t="shared" si="2"/>
        <v>0.25873763619228751</v>
      </c>
      <c r="V44" s="5">
        <f t="shared" si="2"/>
        <v>0.25873763619228751</v>
      </c>
      <c r="W44" s="2" t="s">
        <v>24</v>
      </c>
    </row>
    <row r="45" spans="1:23" x14ac:dyDescent="0.2">
      <c r="B45" s="120"/>
      <c r="C45" s="133"/>
      <c r="D45" s="2" t="s">
        <v>4</v>
      </c>
      <c r="E45" s="5">
        <f t="shared" si="3"/>
        <v>7.3469577271253516E-3</v>
      </c>
      <c r="F45" s="5">
        <f t="shared" si="2"/>
        <v>7.3469577271253516E-3</v>
      </c>
      <c r="G45" s="5">
        <f t="shared" si="2"/>
        <v>7.3469577271253516E-3</v>
      </c>
      <c r="H45" s="5">
        <f t="shared" si="2"/>
        <v>7.3469577271253516E-3</v>
      </c>
      <c r="I45" s="5">
        <f t="shared" si="2"/>
        <v>3.6734788730745818E-3</v>
      </c>
      <c r="J45" s="5">
        <f t="shared" si="2"/>
        <v>3.6734788730745818E-3</v>
      </c>
      <c r="K45" s="5">
        <f t="shared" si="2"/>
        <v>3.6734788730745818E-3</v>
      </c>
      <c r="L45" s="5">
        <f t="shared" si="2"/>
        <v>3.6734788730745818E-3</v>
      </c>
      <c r="M45" s="5">
        <f t="shared" si="2"/>
        <v>4.972301062160392E-4</v>
      </c>
      <c r="N45" s="5">
        <f t="shared" si="2"/>
        <v>4.972301062160392E-4</v>
      </c>
      <c r="O45" s="5">
        <f t="shared" si="2"/>
        <v>4.972301062160392E-4</v>
      </c>
      <c r="P45" s="5">
        <f t="shared" si="2"/>
        <v>4.972301062160392E-4</v>
      </c>
      <c r="Q45" s="5">
        <f t="shared" si="2"/>
        <v>6.5259790675882697E-4</v>
      </c>
      <c r="R45" s="5">
        <f t="shared" si="2"/>
        <v>6.5259790675882697E-4</v>
      </c>
      <c r="S45" s="5">
        <f t="shared" si="2"/>
        <v>6.5259790675882697E-4</v>
      </c>
      <c r="T45" s="5">
        <f t="shared" si="2"/>
        <v>4.1395148025760226E-4</v>
      </c>
      <c r="U45" s="5">
        <f t="shared" si="2"/>
        <v>4.1395148025760226E-4</v>
      </c>
      <c r="V45" s="5">
        <f t="shared" si="2"/>
        <v>4.1395148025760226E-4</v>
      </c>
      <c r="W45" s="2" t="s">
        <v>24</v>
      </c>
    </row>
    <row r="46" spans="1:23" x14ac:dyDescent="0.2">
      <c r="B46" s="120"/>
      <c r="C46" s="132" t="s">
        <v>6</v>
      </c>
      <c r="D46" s="2" t="s">
        <v>3</v>
      </c>
      <c r="E46" s="5">
        <f t="shared" si="3"/>
        <v>9.9363119215168272E-2</v>
      </c>
      <c r="F46" s="5">
        <f t="shared" si="2"/>
        <v>9.9363119215168272E-2</v>
      </c>
      <c r="G46" s="5">
        <f t="shared" si="2"/>
        <v>9.9363119215168272E-2</v>
      </c>
      <c r="H46" s="5">
        <f t="shared" si="2"/>
        <v>9.9363119215168272E-2</v>
      </c>
      <c r="I46" s="5">
        <f t="shared" si="2"/>
        <v>9.9363119229541733E-2</v>
      </c>
      <c r="J46" s="5">
        <f t="shared" si="2"/>
        <v>9.9363119229541733E-2</v>
      </c>
      <c r="K46" s="5">
        <f t="shared" si="2"/>
        <v>9.9363119229541733E-2</v>
      </c>
      <c r="L46" s="5">
        <f t="shared" si="2"/>
        <v>9.9363119229541733E-2</v>
      </c>
      <c r="M46" s="5">
        <f t="shared" si="2"/>
        <v>9.8379752766626319E-2</v>
      </c>
      <c r="N46" s="5">
        <f t="shared" si="2"/>
        <v>9.8379752766626319E-2</v>
      </c>
      <c r="O46" s="5">
        <f t="shared" si="2"/>
        <v>9.8379752766626319E-2</v>
      </c>
      <c r="P46" s="5">
        <f t="shared" si="2"/>
        <v>9.8379752766626319E-2</v>
      </c>
      <c r="Q46" s="5">
        <f t="shared" si="2"/>
        <v>9.8182540628901985E-2</v>
      </c>
      <c r="R46" s="5">
        <f t="shared" si="2"/>
        <v>9.8182540628901985E-2</v>
      </c>
      <c r="S46" s="5">
        <f t="shared" si="2"/>
        <v>9.8182540628901985E-2</v>
      </c>
      <c r="T46" s="5">
        <f t="shared" si="2"/>
        <v>9.8084293801969563E-2</v>
      </c>
      <c r="U46" s="5">
        <f t="shared" si="2"/>
        <v>9.8084293801969563E-2</v>
      </c>
      <c r="V46" s="5">
        <f t="shared" si="2"/>
        <v>9.8084293801969563E-2</v>
      </c>
      <c r="W46" s="2" t="s">
        <v>24</v>
      </c>
    </row>
    <row r="47" spans="1:23" ht="15.75" customHeight="1" x14ac:dyDescent="0.2">
      <c r="B47" s="120"/>
      <c r="C47" s="132"/>
      <c r="D47" s="2" t="s">
        <v>4</v>
      </c>
      <c r="E47" s="5">
        <f t="shared" si="3"/>
        <v>1.194783965908424E-5</v>
      </c>
      <c r="F47" s="5">
        <f t="shared" si="2"/>
        <v>1.194783965908424E-5</v>
      </c>
      <c r="G47" s="5">
        <f t="shared" si="2"/>
        <v>1.194783965908424E-5</v>
      </c>
      <c r="H47" s="5">
        <f t="shared" si="2"/>
        <v>1.194783965908424E-5</v>
      </c>
      <c r="I47" s="5">
        <f t="shared" si="2"/>
        <v>6.1187486061819587E-6</v>
      </c>
      <c r="J47" s="5">
        <f t="shared" si="2"/>
        <v>6.1187486061819587E-6</v>
      </c>
      <c r="K47" s="5">
        <f t="shared" si="2"/>
        <v>6.1187486061819587E-6</v>
      </c>
      <c r="L47" s="5">
        <f t="shared" si="2"/>
        <v>6.1187486061819587E-6</v>
      </c>
      <c r="M47" s="5">
        <f t="shared" si="2"/>
        <v>9.2324280873665394E-7</v>
      </c>
      <c r="N47" s="5">
        <f t="shared" si="2"/>
        <v>9.2324280873665394E-7</v>
      </c>
      <c r="O47" s="5">
        <f t="shared" si="2"/>
        <v>9.2324280873665394E-7</v>
      </c>
      <c r="P47" s="5">
        <f t="shared" si="2"/>
        <v>9.2324280873665394E-7</v>
      </c>
      <c r="Q47" s="5">
        <f t="shared" si="2"/>
        <v>4.5836282420093671E-7</v>
      </c>
      <c r="R47" s="5">
        <f t="shared" si="2"/>
        <v>4.5836282420093671E-7</v>
      </c>
      <c r="S47" s="5">
        <f t="shared" si="2"/>
        <v>4.5836282420093671E-7</v>
      </c>
      <c r="T47" s="5">
        <f t="shared" si="2"/>
        <v>4.0188202645395131E-7</v>
      </c>
      <c r="U47" s="5">
        <f t="shared" si="2"/>
        <v>4.0188202645395131E-7</v>
      </c>
      <c r="V47" s="5">
        <f t="shared" si="2"/>
        <v>4.0188202645395131E-7</v>
      </c>
      <c r="W47" s="2" t="s">
        <v>24</v>
      </c>
    </row>
    <row r="48" spans="1:23" x14ac:dyDescent="0.2">
      <c r="B48" s="129" t="s">
        <v>16</v>
      </c>
      <c r="C48" s="129" t="s">
        <v>8</v>
      </c>
      <c r="D48" s="2" t="s">
        <v>3</v>
      </c>
      <c r="E48" s="5">
        <f t="shared" si="3"/>
        <v>0.13241860118937282</v>
      </c>
      <c r="F48" s="5">
        <f t="shared" si="2"/>
        <v>0.13241860118937282</v>
      </c>
      <c r="G48" s="5">
        <f t="shared" si="2"/>
        <v>0.13241860118937282</v>
      </c>
      <c r="H48" s="5">
        <f t="shared" si="2"/>
        <v>0.13241860118937282</v>
      </c>
      <c r="I48" s="5">
        <f t="shared" si="2"/>
        <v>0.1328119477936941</v>
      </c>
      <c r="J48" s="5">
        <f t="shared" si="2"/>
        <v>0.1328119477936941</v>
      </c>
      <c r="K48" s="5">
        <f t="shared" si="2"/>
        <v>0.1328119477936941</v>
      </c>
      <c r="L48" s="5">
        <f t="shared" si="2"/>
        <v>0.1328119477936941</v>
      </c>
      <c r="M48" s="5">
        <f t="shared" si="2"/>
        <v>0.1328119477936941</v>
      </c>
      <c r="N48" s="5">
        <f t="shared" si="2"/>
        <v>0.1328119477936941</v>
      </c>
      <c r="O48" s="5">
        <f t="shared" si="2"/>
        <v>0.1328119477936941</v>
      </c>
      <c r="P48" s="5">
        <f t="shared" si="2"/>
        <v>0.1328119477936941</v>
      </c>
      <c r="Q48" s="5">
        <f t="shared" si="2"/>
        <v>0.11766163827651353</v>
      </c>
      <c r="R48" s="5">
        <f t="shared" si="2"/>
        <v>0.11766163827651353</v>
      </c>
      <c r="S48" s="5">
        <f t="shared" si="2"/>
        <v>0.11766163827651353</v>
      </c>
      <c r="T48" s="5">
        <f t="shared" si="2"/>
        <v>0.11805516448901301</v>
      </c>
      <c r="U48" s="5">
        <f t="shared" si="2"/>
        <v>0.11805516448901301</v>
      </c>
      <c r="V48" s="5">
        <f t="shared" si="2"/>
        <v>0.11805516448901301</v>
      </c>
      <c r="W48" s="2" t="s">
        <v>24</v>
      </c>
    </row>
    <row r="49" spans="2:23" x14ac:dyDescent="0.2">
      <c r="B49" s="129"/>
      <c r="C49" s="129"/>
      <c r="D49" s="2" t="s">
        <v>17</v>
      </c>
      <c r="E49" s="5">
        <f t="shared" si="3"/>
        <v>1.0279708878626595E-2</v>
      </c>
      <c r="F49" s="5">
        <f t="shared" si="2"/>
        <v>1.0279708878626595E-2</v>
      </c>
      <c r="G49" s="5">
        <f t="shared" si="2"/>
        <v>1.0279708878626595E-2</v>
      </c>
      <c r="H49" s="5">
        <f t="shared" si="2"/>
        <v>1.0279708878626595E-2</v>
      </c>
      <c r="I49" s="5">
        <f t="shared" si="2"/>
        <v>1.0008605073880829E-2</v>
      </c>
      <c r="J49" s="5">
        <f t="shared" si="2"/>
        <v>1.0008605073880829E-2</v>
      </c>
      <c r="K49" s="5">
        <f t="shared" si="2"/>
        <v>1.0008605073880829E-2</v>
      </c>
      <c r="L49" s="5">
        <f t="shared" si="2"/>
        <v>1.0008605073880829E-2</v>
      </c>
      <c r="M49" s="5">
        <f t="shared" si="2"/>
        <v>9.8210021020972444E-3</v>
      </c>
      <c r="N49" s="5">
        <f t="shared" si="2"/>
        <v>9.8210021020972444E-3</v>
      </c>
      <c r="O49" s="5">
        <f t="shared" si="2"/>
        <v>9.8210021020972444E-3</v>
      </c>
      <c r="P49" s="5">
        <f t="shared" si="2"/>
        <v>9.8210021020972444E-3</v>
      </c>
      <c r="Q49" s="5">
        <f t="shared" si="2"/>
        <v>8.7387960827501783E-3</v>
      </c>
      <c r="R49" s="5">
        <f t="shared" si="2"/>
        <v>8.7387960827501783E-3</v>
      </c>
      <c r="S49" s="5">
        <f t="shared" si="2"/>
        <v>8.7387960827501783E-3</v>
      </c>
      <c r="T49" s="5">
        <f t="shared" si="2"/>
        <v>8.7189850665057005E-3</v>
      </c>
      <c r="U49" s="5">
        <f t="shared" si="2"/>
        <v>8.7189850665057005E-3</v>
      </c>
      <c r="V49" s="5">
        <f t="shared" si="2"/>
        <v>8.7189850665057005E-3</v>
      </c>
      <c r="W49" s="2" t="s">
        <v>24</v>
      </c>
    </row>
    <row r="50" spans="2:23" x14ac:dyDescent="0.2">
      <c r="B50" s="129"/>
      <c r="C50" s="120" t="s">
        <v>9</v>
      </c>
      <c r="D50" s="2" t="s">
        <v>3</v>
      </c>
      <c r="E50" s="5">
        <f t="shared" si="3"/>
        <v>3.0891177704539446E-2</v>
      </c>
      <c r="F50" s="5">
        <f t="shared" si="2"/>
        <v>3.0891177704539446E-2</v>
      </c>
      <c r="G50" s="5">
        <f t="shared" si="2"/>
        <v>3.0891177704539446E-2</v>
      </c>
      <c r="H50" s="5">
        <f t="shared" si="2"/>
        <v>3.0891177704539446E-2</v>
      </c>
      <c r="I50" s="5">
        <f t="shared" si="2"/>
        <v>3.0883993296493589E-2</v>
      </c>
      <c r="J50" s="5">
        <f t="shared" si="2"/>
        <v>3.0883993296493589E-2</v>
      </c>
      <c r="K50" s="5">
        <f t="shared" si="2"/>
        <v>3.0883993296493589E-2</v>
      </c>
      <c r="L50" s="5">
        <f t="shared" si="2"/>
        <v>3.0883993296493589E-2</v>
      </c>
      <c r="M50" s="5">
        <f t="shared" si="2"/>
        <v>3.0694324806112096E-2</v>
      </c>
      <c r="N50" s="5">
        <f t="shared" si="2"/>
        <v>3.0694324806112096E-2</v>
      </c>
      <c r="O50" s="5">
        <f t="shared" si="2"/>
        <v>3.0694324806112096E-2</v>
      </c>
      <c r="P50" s="5">
        <f t="shared" si="2"/>
        <v>3.0694324806112096E-2</v>
      </c>
      <c r="Q50" s="5">
        <f t="shared" si="2"/>
        <v>3.0694324801671984E-2</v>
      </c>
      <c r="R50" s="5">
        <f t="shared" si="2"/>
        <v>3.0694324801671984E-2</v>
      </c>
      <c r="S50" s="5">
        <f t="shared" si="2"/>
        <v>3.0694324801671984E-2</v>
      </c>
      <c r="T50" s="5">
        <f t="shared" si="2"/>
        <v>3.0595988159820561E-2</v>
      </c>
      <c r="U50" s="5">
        <f t="shared" si="2"/>
        <v>3.0595988159820561E-2</v>
      </c>
      <c r="V50" s="5">
        <f t="shared" si="2"/>
        <v>3.0595988159820561E-2</v>
      </c>
      <c r="W50" s="2" t="s">
        <v>24</v>
      </c>
    </row>
    <row r="51" spans="2:23" x14ac:dyDescent="0.2">
      <c r="B51" s="129"/>
      <c r="C51" s="120"/>
      <c r="D51" s="2" t="s">
        <v>4</v>
      </c>
      <c r="E51" s="5">
        <f t="shared" si="3"/>
        <v>1.1585781190470887E-5</v>
      </c>
      <c r="F51" s="5">
        <f t="shared" si="2"/>
        <v>1.1585781190470887E-5</v>
      </c>
      <c r="G51" s="5">
        <f t="shared" si="2"/>
        <v>1.1585781190470887E-5</v>
      </c>
      <c r="H51" s="5">
        <f t="shared" si="2"/>
        <v>1.1585781190470887E-5</v>
      </c>
      <c r="I51" s="5">
        <f t="shared" si="2"/>
        <v>5.8291000351462471E-6</v>
      </c>
      <c r="J51" s="5">
        <f t="shared" si="2"/>
        <v>5.8291000351462471E-6</v>
      </c>
      <c r="K51" s="5">
        <f t="shared" si="2"/>
        <v>5.8291000351462471E-6</v>
      </c>
      <c r="L51" s="5">
        <f t="shared" si="2"/>
        <v>5.8291000351462471E-6</v>
      </c>
      <c r="M51" s="5">
        <f t="shared" si="2"/>
        <v>6.0825391671091293E-7</v>
      </c>
      <c r="N51" s="5">
        <f t="shared" si="2"/>
        <v>6.0825391671091293E-7</v>
      </c>
      <c r="O51" s="5">
        <f t="shared" si="2"/>
        <v>6.0825391671091293E-7</v>
      </c>
      <c r="P51" s="5">
        <f t="shared" si="2"/>
        <v>6.0825391671091293E-7</v>
      </c>
      <c r="Q51" s="5">
        <f t="shared" si="2"/>
        <v>1.3613294245880635E-7</v>
      </c>
      <c r="R51" s="5">
        <f t="shared" si="2"/>
        <v>1.3613294245880635E-7</v>
      </c>
      <c r="S51" s="5">
        <f t="shared" si="2"/>
        <v>1.3613294245880635E-7</v>
      </c>
      <c r="T51" s="5">
        <f t="shared" si="2"/>
        <v>7.8566130908492915E-8</v>
      </c>
      <c r="U51" s="5">
        <f t="shared" si="2"/>
        <v>7.8566130908492915E-8</v>
      </c>
      <c r="V51" s="5">
        <f t="shared" si="2"/>
        <v>7.8566130908492915E-8</v>
      </c>
      <c r="W51" s="2" t="s">
        <v>24</v>
      </c>
    </row>
    <row r="52" spans="2:23" x14ac:dyDescent="0.2">
      <c r="B52" s="129"/>
      <c r="C52" s="120" t="s">
        <v>18</v>
      </c>
      <c r="D52" s="2" t="s">
        <v>3</v>
      </c>
      <c r="E52" s="5">
        <f t="shared" si="3"/>
        <v>7.7916439085230695E-4</v>
      </c>
      <c r="F52" s="5">
        <f t="shared" si="2"/>
        <v>7.7916439085230695E-4</v>
      </c>
      <c r="G52" s="5">
        <f t="shared" si="2"/>
        <v>7.7916439085230695E-4</v>
      </c>
      <c r="H52" s="5">
        <f t="shared" si="2"/>
        <v>7.7916439085230695E-4</v>
      </c>
      <c r="I52" s="5">
        <f t="shared" si="2"/>
        <v>7.7719178478195632E-4</v>
      </c>
      <c r="J52" s="5">
        <f t="shared" si="2"/>
        <v>7.7719178478195632E-4</v>
      </c>
      <c r="K52" s="5">
        <f t="shared" si="2"/>
        <v>7.7719178478195632E-4</v>
      </c>
      <c r="L52" s="5">
        <f t="shared" si="2"/>
        <v>7.7719178478195632E-4</v>
      </c>
      <c r="M52" s="5">
        <f t="shared" si="2"/>
        <v>7.732616327405671E-4</v>
      </c>
      <c r="N52" s="5">
        <f t="shared" si="2"/>
        <v>7.732616327405671E-4</v>
      </c>
      <c r="O52" s="5">
        <f t="shared" si="2"/>
        <v>7.732616327405671E-4</v>
      </c>
      <c r="P52" s="5">
        <f t="shared" si="2"/>
        <v>7.732616327405671E-4</v>
      </c>
      <c r="Q52" s="5">
        <f t="shared" si="2"/>
        <v>7.693266490704741E-4</v>
      </c>
      <c r="R52" s="5">
        <f t="shared" si="2"/>
        <v>7.693266490704741E-4</v>
      </c>
      <c r="S52" s="5">
        <f t="shared" si="2"/>
        <v>7.693266490704741E-4</v>
      </c>
      <c r="T52" s="5">
        <f t="shared" si="2"/>
        <v>7.6834238466728228E-4</v>
      </c>
      <c r="U52" s="5">
        <f t="shared" ref="F52:V61" si="4">U21/$E$31</f>
        <v>7.6834238466728228E-4</v>
      </c>
      <c r="V52" s="5">
        <f t="shared" si="4"/>
        <v>7.6834238466728228E-4</v>
      </c>
      <c r="W52" s="2" t="s">
        <v>24</v>
      </c>
    </row>
    <row r="53" spans="2:23" x14ac:dyDescent="0.2">
      <c r="B53" s="129"/>
      <c r="C53" s="120">
        <v>0</v>
      </c>
      <c r="D53" s="2" t="s">
        <v>4</v>
      </c>
      <c r="E53" s="5">
        <f t="shared" si="3"/>
        <v>1.1585781190470887E-5</v>
      </c>
      <c r="F53" s="5">
        <f t="shared" si="4"/>
        <v>1.1585781190470887E-5</v>
      </c>
      <c r="G53" s="5">
        <f t="shared" si="4"/>
        <v>1.1585781190470887E-5</v>
      </c>
      <c r="H53" s="5">
        <f t="shared" si="4"/>
        <v>1.1585781190470887E-5</v>
      </c>
      <c r="I53" s="5">
        <f t="shared" si="4"/>
        <v>5.7924325897756223E-6</v>
      </c>
      <c r="J53" s="5">
        <f t="shared" si="4"/>
        <v>5.7924325897756223E-6</v>
      </c>
      <c r="K53" s="5">
        <f t="shared" si="4"/>
        <v>5.7924325897756223E-6</v>
      </c>
      <c r="L53" s="5">
        <f t="shared" si="4"/>
        <v>5.7924325897756223E-6</v>
      </c>
      <c r="M53" s="5">
        <f t="shared" si="4"/>
        <v>5.7928905960734181E-7</v>
      </c>
      <c r="N53" s="5">
        <f t="shared" si="4"/>
        <v>5.7928905960734181E-7</v>
      </c>
      <c r="O53" s="5">
        <f t="shared" si="4"/>
        <v>5.7928905960734181E-7</v>
      </c>
      <c r="P53" s="5">
        <f t="shared" si="4"/>
        <v>5.7928905960734181E-7</v>
      </c>
      <c r="Q53" s="5">
        <f t="shared" si="4"/>
        <v>1.1730618946741253E-7</v>
      </c>
      <c r="R53" s="5">
        <f t="shared" si="4"/>
        <v>1.1730618946741253E-7</v>
      </c>
      <c r="S53" s="5">
        <f t="shared" si="4"/>
        <v>1.1730618946741253E-7</v>
      </c>
      <c r="T53" s="5">
        <f t="shared" si="4"/>
        <v>5.9377193718490954E-8</v>
      </c>
      <c r="U53" s="5">
        <f t="shared" si="4"/>
        <v>5.9377193718490954E-8</v>
      </c>
      <c r="V53" s="5">
        <f t="shared" si="4"/>
        <v>5.9377193718490954E-8</v>
      </c>
      <c r="W53" s="2" t="s">
        <v>24</v>
      </c>
    </row>
    <row r="54" spans="2:23" ht="15" customHeight="1" x14ac:dyDescent="0.2">
      <c r="B54" s="127" t="s">
        <v>15</v>
      </c>
      <c r="C54" s="128"/>
      <c r="D54" s="2" t="s">
        <v>4</v>
      </c>
      <c r="E54" s="5">
        <f t="shared" ref="E54:E61" si="5">E23/$E$31</f>
        <v>1.9938540827844204E-2</v>
      </c>
      <c r="F54" s="5">
        <f t="shared" si="4"/>
        <v>1.9938540827844204E-2</v>
      </c>
      <c r="G54" s="5">
        <f t="shared" si="4"/>
        <v>1.9938540827844204E-2</v>
      </c>
      <c r="H54" s="5">
        <f t="shared" si="4"/>
        <v>1.9938540827844204E-2</v>
      </c>
      <c r="I54" s="5">
        <f t="shared" si="4"/>
        <v>1.8679921563353147E-2</v>
      </c>
      <c r="J54" s="5">
        <f t="shared" si="4"/>
        <v>1.8679921563353147E-2</v>
      </c>
      <c r="K54" s="5">
        <f t="shared" si="4"/>
        <v>1.8679921563353147E-2</v>
      </c>
      <c r="L54" s="5">
        <f t="shared" si="4"/>
        <v>1.8679921563353147E-2</v>
      </c>
      <c r="M54" s="5">
        <f t="shared" si="4"/>
        <v>1.7304914813243779E-2</v>
      </c>
      <c r="N54" s="5">
        <f t="shared" si="4"/>
        <v>1.7304914813243779E-2</v>
      </c>
      <c r="O54" s="5">
        <f t="shared" si="4"/>
        <v>1.7304914813243779E-2</v>
      </c>
      <c r="P54" s="5">
        <f t="shared" si="4"/>
        <v>1.7304914813243779E-2</v>
      </c>
      <c r="Q54" s="5">
        <f t="shared" si="4"/>
        <v>1.5434991843812442E-2</v>
      </c>
      <c r="R54" s="5">
        <f t="shared" si="4"/>
        <v>1.5434991843812442E-2</v>
      </c>
      <c r="S54" s="5">
        <f t="shared" si="4"/>
        <v>1.5434991843812442E-2</v>
      </c>
      <c r="T54" s="5">
        <f t="shared" si="4"/>
        <v>1.5312407807517395E-2</v>
      </c>
      <c r="U54" s="5">
        <f t="shared" si="4"/>
        <v>1.5312407807517395E-2</v>
      </c>
      <c r="V54" s="5">
        <f t="shared" si="4"/>
        <v>1.5312407807517395E-2</v>
      </c>
      <c r="W54" s="2" t="s">
        <v>24</v>
      </c>
    </row>
    <row r="55" spans="2:23" x14ac:dyDescent="0.2">
      <c r="B55" s="130" t="s">
        <v>14</v>
      </c>
      <c r="C55" s="120" t="s">
        <v>7</v>
      </c>
      <c r="D55" s="2" t="s">
        <v>3</v>
      </c>
      <c r="E55" s="5">
        <f t="shared" si="5"/>
        <v>0.89944354410086291</v>
      </c>
      <c r="F55" s="5">
        <f t="shared" si="4"/>
        <v>0.89944354410086291</v>
      </c>
      <c r="G55" s="5">
        <f t="shared" si="4"/>
        <v>0.89944354410086291</v>
      </c>
      <c r="H55" s="5">
        <f t="shared" si="4"/>
        <v>0.89944354410086291</v>
      </c>
      <c r="I55" s="5">
        <f t="shared" si="4"/>
        <v>0.5162754754946618</v>
      </c>
      <c r="J55" s="5">
        <f t="shared" si="4"/>
        <v>0.5162754754946618</v>
      </c>
      <c r="K55" s="5">
        <f t="shared" si="4"/>
        <v>0.5162754754946618</v>
      </c>
      <c r="L55" s="5">
        <f t="shared" si="4"/>
        <v>0.5162754754946618</v>
      </c>
      <c r="M55" s="5">
        <f t="shared" si="4"/>
        <v>8.165488945876799E-2</v>
      </c>
      <c r="N55" s="5">
        <f t="shared" si="4"/>
        <v>8.165488945876799E-2</v>
      </c>
      <c r="O55" s="5">
        <f t="shared" si="4"/>
        <v>8.165488945876799E-2</v>
      </c>
      <c r="P55" s="5">
        <f t="shared" si="4"/>
        <v>8.165488945876799E-2</v>
      </c>
      <c r="Q55" s="5">
        <f t="shared" si="4"/>
        <v>2.2499783888875264E-2</v>
      </c>
      <c r="R55" s="5">
        <f t="shared" si="4"/>
        <v>2.2499783888875264E-2</v>
      </c>
      <c r="S55" s="5">
        <f t="shared" si="4"/>
        <v>2.2499783888875264E-2</v>
      </c>
      <c r="T55" s="5">
        <f t="shared" si="4"/>
        <v>1.2887668583890392E-2</v>
      </c>
      <c r="U55" s="5">
        <f t="shared" si="4"/>
        <v>1.2887668583890392E-2</v>
      </c>
      <c r="V55" s="5">
        <f t="shared" si="4"/>
        <v>1.2887668583890392E-2</v>
      </c>
      <c r="W55" s="2" t="s">
        <v>24</v>
      </c>
    </row>
    <row r="56" spans="2:23" x14ac:dyDescent="0.2">
      <c r="B56" s="130"/>
      <c r="C56" s="120"/>
      <c r="D56" s="2" t="s">
        <v>17</v>
      </c>
      <c r="E56" s="5">
        <f t="shared" si="5"/>
        <v>5.9071856178081722E-2</v>
      </c>
      <c r="F56" s="5">
        <f t="shared" si="4"/>
        <v>5.9071856178081722E-2</v>
      </c>
      <c r="G56" s="5">
        <f t="shared" si="4"/>
        <v>5.9071856178081722E-2</v>
      </c>
      <c r="H56" s="5">
        <f t="shared" si="4"/>
        <v>5.9071856178081722E-2</v>
      </c>
      <c r="I56" s="5">
        <f t="shared" si="4"/>
        <v>5.9082273584772756E-2</v>
      </c>
      <c r="J56" s="5">
        <f t="shared" si="4"/>
        <v>5.9082273584772756E-2</v>
      </c>
      <c r="K56" s="5">
        <f t="shared" si="4"/>
        <v>5.9082273584772756E-2</v>
      </c>
      <c r="L56" s="5">
        <f t="shared" si="4"/>
        <v>5.9082273584772756E-2</v>
      </c>
      <c r="M56" s="5">
        <f t="shared" si="4"/>
        <v>0.14089171771775785</v>
      </c>
      <c r="N56" s="5">
        <f t="shared" si="4"/>
        <v>0.14089171771775785</v>
      </c>
      <c r="O56" s="5">
        <f t="shared" si="4"/>
        <v>0.14089171771775785</v>
      </c>
      <c r="P56" s="5">
        <f t="shared" si="4"/>
        <v>0.14089171771775785</v>
      </c>
      <c r="Q56" s="5">
        <f>Q25/$E$31</f>
        <v>5.9080118252472141E-2</v>
      </c>
      <c r="R56" s="5">
        <f t="shared" si="4"/>
        <v>5.9080118252472141E-2</v>
      </c>
      <c r="S56" s="5">
        <f t="shared" si="4"/>
        <v>5.9080118252472141E-2</v>
      </c>
      <c r="T56" s="5">
        <f t="shared" si="4"/>
        <v>5.9080208066174859E-2</v>
      </c>
      <c r="U56" s="5">
        <f t="shared" si="4"/>
        <v>5.9080208066174859E-2</v>
      </c>
      <c r="V56" s="5">
        <f t="shared" si="4"/>
        <v>5.9080208066174859E-2</v>
      </c>
      <c r="W56" s="2" t="s">
        <v>24</v>
      </c>
    </row>
    <row r="57" spans="2:23" x14ac:dyDescent="0.2">
      <c r="B57" s="130"/>
      <c r="C57" s="120"/>
      <c r="D57" s="2" t="s">
        <v>4</v>
      </c>
      <c r="E57" s="5">
        <f t="shared" si="5"/>
        <v>2.357379985614669E-3</v>
      </c>
      <c r="F57" s="5">
        <f t="shared" si="4"/>
        <v>2.357379985614669E-3</v>
      </c>
      <c r="G57" s="5">
        <f t="shared" si="4"/>
        <v>2.357379985614669E-3</v>
      </c>
      <c r="H57" s="5">
        <f t="shared" si="4"/>
        <v>2.357379985614669E-3</v>
      </c>
      <c r="I57" s="5">
        <f t="shared" si="4"/>
        <v>1.1937602052589783E-3</v>
      </c>
      <c r="J57" s="5">
        <f t="shared" si="4"/>
        <v>1.1937602052589783E-3</v>
      </c>
      <c r="K57" s="5">
        <f t="shared" si="4"/>
        <v>1.1937602052589783E-3</v>
      </c>
      <c r="L57" s="5">
        <f t="shared" si="4"/>
        <v>1.1937602052589783E-3</v>
      </c>
      <c r="M57" s="5">
        <f t="shared" si="4"/>
        <v>1.5438478261828157E-4</v>
      </c>
      <c r="N57" s="5">
        <f t="shared" si="4"/>
        <v>1.5438478261828157E-4</v>
      </c>
      <c r="O57" s="5">
        <f t="shared" si="4"/>
        <v>1.5438478261828157E-4</v>
      </c>
      <c r="P57" s="5">
        <f t="shared" si="4"/>
        <v>1.5438478261828157E-4</v>
      </c>
      <c r="Q57" s="5">
        <f>Q26/$E$31</f>
        <v>6.1412219685087031E-5</v>
      </c>
      <c r="R57" s="5">
        <f t="shared" si="4"/>
        <v>6.1412219685087031E-5</v>
      </c>
      <c r="S57" s="5">
        <f t="shared" si="4"/>
        <v>6.1412219685087031E-5</v>
      </c>
      <c r="T57" s="5">
        <f t="shared" si="4"/>
        <v>4.9781758640396471E-5</v>
      </c>
      <c r="U57" s="5">
        <f t="shared" si="4"/>
        <v>4.9781758640396471E-5</v>
      </c>
      <c r="V57" s="5">
        <f t="shared" si="4"/>
        <v>4.9781758640396471E-5</v>
      </c>
      <c r="W57" s="2" t="s">
        <v>24</v>
      </c>
    </row>
    <row r="58" spans="2:23" ht="12.75" customHeight="1" x14ac:dyDescent="0.2">
      <c r="B58" s="120" t="s">
        <v>11</v>
      </c>
      <c r="C58" s="120"/>
      <c r="D58" s="2" t="s">
        <v>3</v>
      </c>
      <c r="E58" s="5">
        <f t="shared" si="5"/>
        <v>5.2545176630273388E-2</v>
      </c>
      <c r="F58" s="5">
        <f t="shared" si="4"/>
        <v>2.5530348697344905E-2</v>
      </c>
      <c r="G58" s="5">
        <f t="shared" si="4"/>
        <v>7.1247639285185209E-3</v>
      </c>
      <c r="H58" s="5">
        <f t="shared" si="4"/>
        <v>3.2655130586894711E-3</v>
      </c>
      <c r="I58" s="5">
        <f t="shared" si="4"/>
        <v>5.2396728714294523E-2</v>
      </c>
      <c r="J58" s="5">
        <f t="shared" si="4"/>
        <v>2.5678886429774284E-2</v>
      </c>
      <c r="K58" s="5">
        <f t="shared" si="4"/>
        <v>6.9763339670006145E-3</v>
      </c>
      <c r="L58" s="5">
        <f t="shared" si="4"/>
        <v>3.2655130591618467E-3</v>
      </c>
      <c r="M58" s="5">
        <f t="shared" si="4"/>
        <v>5.242645422107306E-2</v>
      </c>
      <c r="N58" s="5">
        <f t="shared" si="4"/>
        <v>2.5678886429774284E-2</v>
      </c>
      <c r="O58" s="5">
        <f t="shared" si="4"/>
        <v>6.9911518178116683E-3</v>
      </c>
      <c r="P58" s="5">
        <f t="shared" si="4"/>
        <v>3.2655220396774903E-3</v>
      </c>
      <c r="Q58" s="5">
        <f t="shared" si="4"/>
        <v>2.5634343068476534E-2</v>
      </c>
      <c r="R58" s="5">
        <f t="shared" si="4"/>
        <v>6.9911518168003567E-3</v>
      </c>
      <c r="S58" s="5">
        <f t="shared" si="4"/>
        <v>3.2625494885276888E-3</v>
      </c>
      <c r="T58" s="5">
        <f t="shared" si="4"/>
        <v>2.5632816384525373E-2</v>
      </c>
      <c r="U58" s="5">
        <f t="shared" si="4"/>
        <v>6.9911518178116683E-3</v>
      </c>
      <c r="V58" s="5">
        <f t="shared" si="4"/>
        <v>3.26253152796835E-3</v>
      </c>
      <c r="W58" s="2" t="s">
        <v>24</v>
      </c>
    </row>
    <row r="59" spans="2:23" x14ac:dyDescent="0.2">
      <c r="B59" s="120"/>
      <c r="C59" s="120"/>
      <c r="D59" s="2" t="s">
        <v>20</v>
      </c>
      <c r="E59" s="5">
        <f t="shared" si="5"/>
        <v>1.045850850235386E-2</v>
      </c>
      <c r="F59" s="5">
        <f t="shared" si="4"/>
        <v>5.1265740887043191E-3</v>
      </c>
      <c r="G59" s="5">
        <f t="shared" si="4"/>
        <v>1.3979411907564065E-3</v>
      </c>
      <c r="H59" s="5">
        <f t="shared" si="4"/>
        <v>6.5405095418966444E-4</v>
      </c>
      <c r="I59" s="5">
        <f t="shared" si="4"/>
        <v>1.047640013372798E-2</v>
      </c>
      <c r="J59" s="5">
        <f t="shared" si="4"/>
        <v>5.1193757391711798E-3</v>
      </c>
      <c r="K59" s="5">
        <f t="shared" si="4"/>
        <v>1.3933629240837934E-3</v>
      </c>
      <c r="L59" s="5">
        <f t="shared" si="4"/>
        <v>6.5118437369101104E-4</v>
      </c>
      <c r="M59" s="5">
        <f t="shared" si="4"/>
        <v>1.0483315130773139E-2</v>
      </c>
      <c r="N59" s="5">
        <f t="shared" si="4"/>
        <v>5.1193788643906241E-3</v>
      </c>
      <c r="O59" s="5">
        <f t="shared" si="4"/>
        <v>1.3747373346400811E-3</v>
      </c>
      <c r="P59" s="5">
        <f t="shared" si="4"/>
        <v>6.5206536227559566E-4</v>
      </c>
      <c r="Q59" s="5">
        <f t="shared" si="4"/>
        <v>5.1229171868129308E-3</v>
      </c>
      <c r="R59" s="5">
        <f t="shared" si="4"/>
        <v>1.3976915324215656E-3</v>
      </c>
      <c r="S59" s="5">
        <f t="shared" si="4"/>
        <v>6.5210038619227333E-4</v>
      </c>
      <c r="T59" s="5">
        <f t="shared" si="4"/>
        <v>5.1272188545470184E-3</v>
      </c>
      <c r="U59" s="5">
        <f t="shared" si="4"/>
        <v>1.3966228512622256E-3</v>
      </c>
      <c r="V59" s="5">
        <f t="shared" si="4"/>
        <v>6.5209050771939628E-4</v>
      </c>
      <c r="W59" s="2" t="s">
        <v>24</v>
      </c>
    </row>
    <row r="60" spans="2:23" x14ac:dyDescent="0.2">
      <c r="B60" s="120"/>
      <c r="C60" s="120"/>
      <c r="D60" s="2" t="s">
        <v>21</v>
      </c>
      <c r="E60" s="5">
        <f t="shared" si="5"/>
        <v>2.2499300557523422E-3</v>
      </c>
      <c r="F60" s="5">
        <f t="shared" si="4"/>
        <v>1.0999658138154272E-3</v>
      </c>
      <c r="G60" s="5">
        <f t="shared" si="4"/>
        <v>2.9998514449748115E-4</v>
      </c>
      <c r="H60" s="5">
        <f t="shared" si="4"/>
        <v>1.3999546223632904E-4</v>
      </c>
      <c r="I60" s="5">
        <f t="shared" si="4"/>
        <v>2.2499298944285264E-3</v>
      </c>
      <c r="J60" s="5">
        <f t="shared" si="4"/>
        <v>1.0999658049940281E-3</v>
      </c>
      <c r="K60" s="5">
        <f t="shared" si="4"/>
        <v>2.9999053285026156E-4</v>
      </c>
      <c r="L60" s="5">
        <f t="shared" si="4"/>
        <v>1.3999546225658017E-4</v>
      </c>
      <c r="M60" s="5">
        <f t="shared" si="4"/>
        <v>2.2499334866347837E-3</v>
      </c>
      <c r="N60" s="5">
        <f t="shared" si="4"/>
        <v>1.099969478024926E-3</v>
      </c>
      <c r="O60" s="5">
        <f t="shared" si="4"/>
        <v>2.9999053285026161E-4</v>
      </c>
      <c r="P60" s="5">
        <f t="shared" si="4"/>
        <v>1.4999526642513081E-4</v>
      </c>
      <c r="Q60" s="5">
        <f t="shared" si="4"/>
        <v>1.0999658856595523E-3</v>
      </c>
      <c r="R60" s="5">
        <f t="shared" si="4"/>
        <v>2.9999053280686621E-4</v>
      </c>
      <c r="S60" s="5">
        <f t="shared" si="4"/>
        <v>1.3998827782381559E-4</v>
      </c>
      <c r="T60" s="5">
        <f t="shared" si="4"/>
        <v>1.0999694780249262E-3</v>
      </c>
      <c r="U60" s="5">
        <f t="shared" si="4"/>
        <v>2.9999053285026161E-4</v>
      </c>
      <c r="V60" s="5">
        <f t="shared" si="4"/>
        <v>1.399954622565802E-4</v>
      </c>
      <c r="W60" s="2" t="s">
        <v>24</v>
      </c>
    </row>
    <row r="61" spans="2:23" x14ac:dyDescent="0.2">
      <c r="B61" s="120"/>
      <c r="C61" s="120"/>
      <c r="D61" s="2" t="s">
        <v>22</v>
      </c>
      <c r="E61" s="5">
        <f t="shared" si="5"/>
        <v>-1.5045704451773261</v>
      </c>
      <c r="F61" s="5">
        <f t="shared" si="4"/>
        <v>-1.5045704451773261</v>
      </c>
      <c r="G61" s="5">
        <f t="shared" si="4"/>
        <v>-1.5045704451773261</v>
      </c>
      <c r="H61" s="5">
        <f t="shared" si="4"/>
        <v>-1.5045704451773261</v>
      </c>
      <c r="I61" s="5">
        <f t="shared" si="4"/>
        <v>-1.5045686492918424</v>
      </c>
      <c r="J61" s="5">
        <f t="shared" si="4"/>
        <v>-1.5045686492918424</v>
      </c>
      <c r="K61" s="5">
        <f t="shared" si="4"/>
        <v>-1.5045686492918424</v>
      </c>
      <c r="L61" s="5">
        <f t="shared" si="4"/>
        <v>-1.5045686492918424</v>
      </c>
      <c r="M61" s="5">
        <f t="shared" si="4"/>
        <v>-1.5045686492918426</v>
      </c>
      <c r="N61" s="5">
        <f t="shared" si="4"/>
        <v>-1.5045686492918426</v>
      </c>
      <c r="O61" s="5">
        <f t="shared" si="4"/>
        <v>-1.5045686492918426</v>
      </c>
      <c r="P61" s="5">
        <f t="shared" si="4"/>
        <v>-1.5045686492918426</v>
      </c>
      <c r="Q61" s="5">
        <f t="shared" si="4"/>
        <v>-1.5045704451773261</v>
      </c>
      <c r="R61" s="5">
        <f t="shared" si="4"/>
        <v>-1.5045704451773261</v>
      </c>
      <c r="S61" s="5">
        <f t="shared" si="4"/>
        <v>-1.5045704451773261</v>
      </c>
      <c r="T61" s="5">
        <f t="shared" si="4"/>
        <v>-1.5045686492918426</v>
      </c>
      <c r="U61" s="5">
        <f t="shared" si="4"/>
        <v>-1.5045686492918426</v>
      </c>
      <c r="V61" s="5">
        <f t="shared" si="4"/>
        <v>-1.5045686492918426</v>
      </c>
      <c r="W61" s="2" t="s">
        <v>24</v>
      </c>
    </row>
    <row r="67" spans="2:21" ht="42.75" customHeight="1" x14ac:dyDescent="0.2">
      <c r="B67" s="3"/>
      <c r="C67" s="3" t="str">
        <f>E5</f>
        <v>0.05 MGD AeMBR [semi rural single family]</v>
      </c>
      <c r="D67" s="3" t="str">
        <f t="shared" ref="D67:U67" si="6">F5</f>
        <v>0.05 MGD AeMBR [single family]</v>
      </c>
      <c r="E67" s="3" t="str">
        <f t="shared" si="6"/>
        <v>0.05 MGD AeMBR [multi family]</v>
      </c>
      <c r="F67" s="3" t="str">
        <f t="shared" si="6"/>
        <v>0.05 MGD AeMBR [high density urban]</v>
      </c>
      <c r="G67" s="3" t="str">
        <f t="shared" si="6"/>
        <v>0.1 MGD AeMBR [semi rural single family]</v>
      </c>
      <c r="H67" s="3" t="str">
        <f t="shared" si="6"/>
        <v>0.1 MGD AeMBR [single family]</v>
      </c>
      <c r="I67" s="3" t="str">
        <f t="shared" si="6"/>
        <v>0.1 MGD AeMBR [multi family]</v>
      </c>
      <c r="J67" s="3" t="str">
        <f t="shared" si="6"/>
        <v>0.1 MGD AeMBR [high density urban]</v>
      </c>
      <c r="K67" s="3" t="str">
        <f t="shared" si="6"/>
        <v>1 MGD AeMBR [semi rural single family]</v>
      </c>
      <c r="L67" s="3" t="str">
        <f t="shared" si="6"/>
        <v>1 MGD AeMBR [single family]</v>
      </c>
      <c r="M67" s="3" t="str">
        <f t="shared" si="6"/>
        <v>1 MGD AeMBR [multi family]</v>
      </c>
      <c r="N67" s="3" t="str">
        <f t="shared" si="6"/>
        <v>1 MGD AeMBR [high density urban]</v>
      </c>
      <c r="O67" s="3" t="str">
        <f t="shared" si="6"/>
        <v>5 MGD AeMBR [single family]</v>
      </c>
      <c r="P67" s="3" t="str">
        <f t="shared" si="6"/>
        <v>5 MGD AeMBR [multi family]</v>
      </c>
      <c r="Q67" s="3" t="str">
        <f t="shared" si="6"/>
        <v>5 MGD AeMBR [high density urban]</v>
      </c>
      <c r="R67" s="3" t="str">
        <f t="shared" si="6"/>
        <v>10 MGD AeMBR [single family]</v>
      </c>
      <c r="S67" s="3" t="str">
        <f t="shared" si="6"/>
        <v>10 MGD AeMBR [multi family]</v>
      </c>
      <c r="T67" s="3" t="str">
        <f t="shared" si="6"/>
        <v>10 MGD AeMBR [high density urban]</v>
      </c>
      <c r="U67" s="3" t="str">
        <f t="shared" si="6"/>
        <v>Unit</v>
      </c>
    </row>
    <row r="68" spans="2:21" ht="25.5" x14ac:dyDescent="0.2">
      <c r="B68" s="3" t="s">
        <v>12</v>
      </c>
      <c r="C68" s="106">
        <f>SUM(E6:E8)</f>
        <v>4.0243399458224867E-2</v>
      </c>
      <c r="D68" s="106">
        <f t="shared" ref="D68:T68" si="7">SUM(F6:F8)</f>
        <v>2.1116954420823515E-2</v>
      </c>
      <c r="E68" s="107">
        <f t="shared" si="7"/>
        <v>5.3657964696107886E-3</v>
      </c>
      <c r="F68" s="107">
        <f t="shared" si="7"/>
        <v>2.5212223339796309E-3</v>
      </c>
      <c r="G68" s="106">
        <f t="shared" si="7"/>
        <v>3.8383080813954168E-2</v>
      </c>
      <c r="H68" s="106">
        <f t="shared" si="7"/>
        <v>1.9674586648227022E-2</v>
      </c>
      <c r="I68" s="107">
        <f t="shared" si="7"/>
        <v>5.3657166202921687E-3</v>
      </c>
      <c r="J68" s="107">
        <f t="shared" si="7"/>
        <v>2.6610661054206021E-3</v>
      </c>
      <c r="K68" s="106">
        <f t="shared" si="7"/>
        <v>4.0243030157357799E-2</v>
      </c>
      <c r="L68" s="106">
        <f t="shared" si="7"/>
        <v>1.9674587935665143E-2</v>
      </c>
      <c r="M68" s="107">
        <f t="shared" si="7"/>
        <v>5.3657953999328122E-3</v>
      </c>
      <c r="N68" s="107">
        <f t="shared" si="7"/>
        <v>2.5709944028634839E-3</v>
      </c>
      <c r="O68" s="106">
        <f t="shared" si="7"/>
        <v>1.7095068109292715E-2</v>
      </c>
      <c r="P68" s="107">
        <f t="shared" si="7"/>
        <v>5.3657932871794744E-3</v>
      </c>
      <c r="Q68" s="107">
        <f t="shared" si="7"/>
        <v>2.6067164707176491E-3</v>
      </c>
      <c r="R68" s="106">
        <f t="shared" si="7"/>
        <v>1.9674585997275163E-2</v>
      </c>
      <c r="S68" s="107">
        <f t="shared" si="7"/>
        <v>5.7228432762248278E-3</v>
      </c>
      <c r="T68" s="107">
        <f t="shared" si="7"/>
        <v>2.7785901837809172E-3</v>
      </c>
      <c r="U68" s="1" t="s">
        <v>162</v>
      </c>
    </row>
    <row r="69" spans="2:21" x14ac:dyDescent="0.2">
      <c r="B69" s="3" t="s">
        <v>55</v>
      </c>
      <c r="C69" s="108">
        <f>SUM(E9:E12)</f>
        <v>0.64971702928815678</v>
      </c>
      <c r="D69" s="108">
        <f t="shared" ref="D69:T69" si="8">SUM(F9:F12)</f>
        <v>0.64971702928815678</v>
      </c>
      <c r="E69" s="108">
        <f t="shared" si="8"/>
        <v>0.64971702928815678</v>
      </c>
      <c r="F69" s="108">
        <f t="shared" si="8"/>
        <v>0.64971702928815678</v>
      </c>
      <c r="G69" s="108">
        <f t="shared" si="8"/>
        <v>0.45242581510486757</v>
      </c>
      <c r="H69" s="108">
        <f t="shared" si="8"/>
        <v>0.45242581510486757</v>
      </c>
      <c r="I69" s="108">
        <f t="shared" si="8"/>
        <v>0.45242581510486757</v>
      </c>
      <c r="J69" s="108">
        <f t="shared" si="8"/>
        <v>0.45242581510486757</v>
      </c>
      <c r="K69" s="108">
        <f t="shared" si="8"/>
        <v>0.14317724041513691</v>
      </c>
      <c r="L69" s="108">
        <f t="shared" si="8"/>
        <v>0.14317724041513691</v>
      </c>
      <c r="M69" s="108">
        <f t="shared" si="8"/>
        <v>0.14317724041513691</v>
      </c>
      <c r="N69" s="108">
        <f t="shared" si="8"/>
        <v>0.14317724041513691</v>
      </c>
      <c r="O69" s="106">
        <f t="shared" si="8"/>
        <v>6.982285088378018E-2</v>
      </c>
      <c r="P69" s="106">
        <f t="shared" si="8"/>
        <v>6.982285088378018E-2</v>
      </c>
      <c r="Q69" s="106">
        <f t="shared" si="8"/>
        <v>6.982285088378018E-2</v>
      </c>
      <c r="R69" s="106">
        <f t="shared" si="8"/>
        <v>5.326314053248031E-2</v>
      </c>
      <c r="S69" s="106">
        <f t="shared" si="8"/>
        <v>5.326314053248031E-2</v>
      </c>
      <c r="T69" s="106">
        <f t="shared" si="8"/>
        <v>5.326314053248031E-2</v>
      </c>
      <c r="U69" s="1" t="s">
        <v>163</v>
      </c>
    </row>
    <row r="70" spans="2:21" x14ac:dyDescent="0.2">
      <c r="B70" s="3" t="s">
        <v>16</v>
      </c>
      <c r="C70" s="109">
        <f>SUM(E13:E22)</f>
        <v>11.056666149795461</v>
      </c>
      <c r="D70" s="109">
        <f t="shared" ref="D70:T70" si="9">SUM(F13:F22)</f>
        <v>11.056666149795461</v>
      </c>
      <c r="E70" s="109">
        <f t="shared" si="9"/>
        <v>11.056666149795461</v>
      </c>
      <c r="F70" s="109">
        <f t="shared" si="9"/>
        <v>11.056666149795461</v>
      </c>
      <c r="G70" s="108">
        <f t="shared" si="9"/>
        <v>7.7261221151015107</v>
      </c>
      <c r="H70" s="108">
        <f t="shared" si="9"/>
        <v>7.7261221151015107</v>
      </c>
      <c r="I70" s="108">
        <f t="shared" si="9"/>
        <v>7.7261221151015107</v>
      </c>
      <c r="J70" s="108">
        <f t="shared" si="9"/>
        <v>7.7261221151015107</v>
      </c>
      <c r="K70" s="108">
        <f t="shared" si="9"/>
        <v>4.3933158404341919</v>
      </c>
      <c r="L70" s="108">
        <f t="shared" si="9"/>
        <v>4.3933158404341919</v>
      </c>
      <c r="M70" s="108">
        <f t="shared" si="9"/>
        <v>4.3933158404341919</v>
      </c>
      <c r="N70" s="108">
        <f t="shared" si="9"/>
        <v>4.3933158404341919</v>
      </c>
      <c r="O70" s="108">
        <f t="shared" si="9"/>
        <v>4.2701210734917261</v>
      </c>
      <c r="P70" s="108">
        <f t="shared" si="9"/>
        <v>4.2701210734917261</v>
      </c>
      <c r="Q70" s="108">
        <f t="shared" si="9"/>
        <v>4.2701210734917261</v>
      </c>
      <c r="R70" s="108">
        <f t="shared" si="9"/>
        <v>4.1507669856367668</v>
      </c>
      <c r="S70" s="108">
        <f t="shared" si="9"/>
        <v>4.1507669856367668</v>
      </c>
      <c r="T70" s="108">
        <f t="shared" si="9"/>
        <v>4.1507669856367668</v>
      </c>
      <c r="U70" s="1" t="s">
        <v>164</v>
      </c>
    </row>
    <row r="71" spans="2:21" ht="25.5" x14ac:dyDescent="0.2">
      <c r="B71" s="3" t="s">
        <v>56</v>
      </c>
      <c r="C71" s="108">
        <f>E23</f>
        <v>0.16058259101324368</v>
      </c>
      <c r="D71" s="108">
        <f t="shared" ref="D71:T71" si="10">F23</f>
        <v>0.16058259101324368</v>
      </c>
      <c r="E71" s="108">
        <f t="shared" si="10"/>
        <v>0.16058259101324368</v>
      </c>
      <c r="F71" s="108">
        <f t="shared" si="10"/>
        <v>0.16058259101324368</v>
      </c>
      <c r="G71" s="108">
        <f t="shared" si="10"/>
        <v>0.15044582401829357</v>
      </c>
      <c r="H71" s="108">
        <f t="shared" si="10"/>
        <v>0.15044582401829357</v>
      </c>
      <c r="I71" s="108">
        <f t="shared" si="10"/>
        <v>0.15044582401829357</v>
      </c>
      <c r="J71" s="108">
        <f t="shared" si="10"/>
        <v>0.15044582401829357</v>
      </c>
      <c r="K71" s="108">
        <f t="shared" si="10"/>
        <v>0.13937168632187238</v>
      </c>
      <c r="L71" s="108">
        <f t="shared" si="10"/>
        <v>0.13937168632187238</v>
      </c>
      <c r="M71" s="108">
        <f t="shared" si="10"/>
        <v>0.13937168632187238</v>
      </c>
      <c r="N71" s="108">
        <f t="shared" si="10"/>
        <v>0.13937168632187238</v>
      </c>
      <c r="O71" s="108">
        <f t="shared" si="10"/>
        <v>0.12431155338540768</v>
      </c>
      <c r="P71" s="108">
        <f t="shared" si="10"/>
        <v>0.12431155338540768</v>
      </c>
      <c r="Q71" s="108">
        <f t="shared" si="10"/>
        <v>0.12431155338540768</v>
      </c>
      <c r="R71" s="108">
        <f t="shared" si="10"/>
        <v>0.12332427641588993</v>
      </c>
      <c r="S71" s="108">
        <f t="shared" si="10"/>
        <v>0.12332427641588993</v>
      </c>
      <c r="T71" s="108">
        <f t="shared" si="10"/>
        <v>0.12332427641588993</v>
      </c>
      <c r="U71" s="1" t="s">
        <v>165</v>
      </c>
    </row>
    <row r="72" spans="2:21" x14ac:dyDescent="0.2">
      <c r="B72" s="3" t="s">
        <v>14</v>
      </c>
      <c r="C72" s="108">
        <f>SUM(E24:E26)</f>
        <v>7.7387529017922256</v>
      </c>
      <c r="D72" s="108">
        <f t="shared" ref="D72:T72" si="11">SUM(F24:F26)</f>
        <v>7.7387529017922256</v>
      </c>
      <c r="E72" s="108">
        <f t="shared" si="11"/>
        <v>7.7387529017922256</v>
      </c>
      <c r="F72" s="108">
        <f t="shared" si="11"/>
        <v>7.7387529017922256</v>
      </c>
      <c r="G72" s="108">
        <f t="shared" si="11"/>
        <v>4.6434759701290886</v>
      </c>
      <c r="H72" s="108">
        <f t="shared" si="11"/>
        <v>4.6434759701290886</v>
      </c>
      <c r="I72" s="108">
        <f t="shared" si="11"/>
        <v>4.6434759701290886</v>
      </c>
      <c r="J72" s="108">
        <f t="shared" si="11"/>
        <v>4.6434759701290886</v>
      </c>
      <c r="K72" s="108">
        <f t="shared" si="11"/>
        <v>1.7936067949404482</v>
      </c>
      <c r="L72" s="108">
        <f t="shared" si="11"/>
        <v>1.7936067949404482</v>
      </c>
      <c r="M72" s="108">
        <f t="shared" si="11"/>
        <v>1.7936067949404482</v>
      </c>
      <c r="N72" s="108">
        <f t="shared" si="11"/>
        <v>1.7936067949404482</v>
      </c>
      <c r="O72" s="108">
        <f t="shared" si="11"/>
        <v>0.65752924985929562</v>
      </c>
      <c r="P72" s="108">
        <f t="shared" si="11"/>
        <v>0.65752924985929562</v>
      </c>
      <c r="Q72" s="108">
        <f t="shared" si="11"/>
        <v>0.65752924985929562</v>
      </c>
      <c r="R72" s="108">
        <f t="shared" si="11"/>
        <v>0.58002149133332936</v>
      </c>
      <c r="S72" s="108">
        <f t="shared" si="11"/>
        <v>0.58002149133332936</v>
      </c>
      <c r="T72" s="108">
        <f t="shared" si="11"/>
        <v>0.58002149133332936</v>
      </c>
      <c r="U72" s="1" t="s">
        <v>166</v>
      </c>
    </row>
    <row r="73" spans="2:21" ht="25.5" x14ac:dyDescent="0.2">
      <c r="B73" s="3" t="s">
        <v>11</v>
      </c>
      <c r="C73" s="109">
        <f>SUM(E27:E30)</f>
        <v>-11.592083284541117</v>
      </c>
      <c r="D73" s="109">
        <f t="shared" ref="D73:T73" si="12">SUM(F27:F30)</f>
        <v>-11.861861860239804</v>
      </c>
      <c r="E73" s="109">
        <f t="shared" si="12"/>
        <v>-12.046571113711265</v>
      </c>
      <c r="F73" s="109">
        <f t="shared" si="12"/>
        <v>-12.084932791728811</v>
      </c>
      <c r="G73" s="109">
        <f t="shared" si="12"/>
        <v>-11.59312030648746</v>
      </c>
      <c r="H73" s="109">
        <f t="shared" si="12"/>
        <v>-11.860709066209202</v>
      </c>
      <c r="I73" s="109">
        <f t="shared" si="12"/>
        <v>-12.047788916193353</v>
      </c>
      <c r="J73" s="109">
        <f t="shared" si="12"/>
        <v>-12.084941414972711</v>
      </c>
      <c r="K73" s="109">
        <f t="shared" si="12"/>
        <v>-11.592825179379785</v>
      </c>
      <c r="L73" s="109">
        <f t="shared" si="12"/>
        <v>-11.860709011456919</v>
      </c>
      <c r="M73" s="109">
        <f t="shared" si="12"/>
        <v>-12.047819583258754</v>
      </c>
      <c r="N73" s="109">
        <f t="shared" si="12"/>
        <v>-12.084853710058791</v>
      </c>
      <c r="O73" s="109">
        <f t="shared" si="12"/>
        <v>-11.861053753846145</v>
      </c>
      <c r="P73" s="109">
        <f t="shared" si="12"/>
        <v>-12.047649176784667</v>
      </c>
      <c r="Q73" s="109">
        <f t="shared" si="12"/>
        <v>-12.084972427464274</v>
      </c>
      <c r="R73" s="109">
        <f t="shared" si="12"/>
        <v>-11.861016911686647</v>
      </c>
      <c r="S73" s="109">
        <f t="shared" si="12"/>
        <v>-12.047643319960692</v>
      </c>
      <c r="T73" s="109">
        <f t="shared" si="12"/>
        <v>-12.084958129969914</v>
      </c>
      <c r="U73" s="1" t="s">
        <v>167</v>
      </c>
    </row>
    <row r="74" spans="2:21" x14ac:dyDescent="0.2">
      <c r="B74" s="43" t="s">
        <v>57</v>
      </c>
      <c r="C74" s="110">
        <f>SUM(C68:C73)</f>
        <v>8.0538787868061963</v>
      </c>
      <c r="D74" s="110">
        <f t="shared" ref="D74:T74" si="13">SUM(D68:D73)</f>
        <v>7.7649737660701081</v>
      </c>
      <c r="E74" s="110">
        <f t="shared" si="13"/>
        <v>7.564513354647433</v>
      </c>
      <c r="F74" s="110">
        <f t="shared" si="13"/>
        <v>7.5233071024942575</v>
      </c>
      <c r="G74" s="110">
        <f t="shared" si="13"/>
        <v>1.4177324986802535</v>
      </c>
      <c r="H74" s="110">
        <f t="shared" si="13"/>
        <v>1.1314352447927849</v>
      </c>
      <c r="I74" s="110">
        <f t="shared" si="13"/>
        <v>0.93004652478069971</v>
      </c>
      <c r="J74" s="110">
        <f t="shared" si="13"/>
        <v>0.89018937548646981</v>
      </c>
      <c r="K74" s="110">
        <f t="shared" si="13"/>
        <v>-5.0831105871107773</v>
      </c>
      <c r="L74" s="110">
        <f t="shared" si="13"/>
        <v>-5.371562861409604</v>
      </c>
      <c r="M74" s="110">
        <f t="shared" si="13"/>
        <v>-5.5729822257471708</v>
      </c>
      <c r="N74" s="110">
        <f t="shared" si="13"/>
        <v>-5.6128111535442775</v>
      </c>
      <c r="O74" s="110">
        <f t="shared" si="13"/>
        <v>-6.7221739581166426</v>
      </c>
      <c r="P74" s="110">
        <f t="shared" si="13"/>
        <v>-6.9204986558772781</v>
      </c>
      <c r="Q74" s="110">
        <f t="shared" si="13"/>
        <v>-6.9605809833733474</v>
      </c>
      <c r="R74" s="110">
        <f t="shared" si="13"/>
        <v>-6.9339664317709069</v>
      </c>
      <c r="S74" s="110">
        <f t="shared" si="13"/>
        <v>-7.1345445827660008</v>
      </c>
      <c r="T74" s="110">
        <f t="shared" si="13"/>
        <v>-7.1748036458676676</v>
      </c>
    </row>
  </sheetData>
  <mergeCells count="30">
    <mergeCell ref="B58:C61"/>
    <mergeCell ref="B48:B53"/>
    <mergeCell ref="C48:C49"/>
    <mergeCell ref="C50:C51"/>
    <mergeCell ref="C52:C53"/>
    <mergeCell ref="B54:C54"/>
    <mergeCell ref="B55:B57"/>
    <mergeCell ref="C55:C57"/>
    <mergeCell ref="B44:B47"/>
    <mergeCell ref="C44:C45"/>
    <mergeCell ref="C46:C47"/>
    <mergeCell ref="B17:B22"/>
    <mergeCell ref="C17:C18"/>
    <mergeCell ref="C19:C20"/>
    <mergeCell ref="C21:C22"/>
    <mergeCell ref="B23:C23"/>
    <mergeCell ref="B24:B26"/>
    <mergeCell ref="C24:C26"/>
    <mergeCell ref="B27:C30"/>
    <mergeCell ref="B37:C39"/>
    <mergeCell ref="B40:B43"/>
    <mergeCell ref="C40:C41"/>
    <mergeCell ref="C42:C43"/>
    <mergeCell ref="B6:C8"/>
    <mergeCell ref="B9:B12"/>
    <mergeCell ref="C9:C10"/>
    <mergeCell ref="C11:C12"/>
    <mergeCell ref="B13:B16"/>
    <mergeCell ref="C13:C14"/>
    <mergeCell ref="C15:C16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0"/>
  <sheetViews>
    <sheetView showGridLines="0" topLeftCell="A7" zoomScale="85" zoomScaleNormal="85" workbookViewId="0">
      <pane xSplit="4" topLeftCell="E1" activePane="topRight" state="frozen"/>
      <selection pane="topRight" activeCell="I113" sqref="I113"/>
    </sheetView>
  </sheetViews>
  <sheetFormatPr defaultRowHeight="12.75" x14ac:dyDescent="0.2"/>
  <cols>
    <col min="1" max="1" width="1.85546875" style="1" customWidth="1"/>
    <col min="2" max="3" width="13.7109375" style="1" customWidth="1"/>
    <col min="4" max="4" width="54.85546875" style="1" customWidth="1"/>
    <col min="5" max="5" width="19.42578125" style="1" customWidth="1"/>
    <col min="6" max="8" width="20.140625" style="1" customWidth="1"/>
    <col min="9" max="9" width="19.42578125" style="1" customWidth="1"/>
    <col min="10" max="12" width="20.140625" style="1" customWidth="1"/>
    <col min="13" max="13" width="19.42578125" style="1" customWidth="1"/>
    <col min="14" max="22" width="20.140625" style="1" customWidth="1"/>
    <col min="23" max="16384" width="9.140625" style="1"/>
  </cols>
  <sheetData>
    <row r="1" spans="1:23" ht="15.75" x14ac:dyDescent="0.25">
      <c r="A1" s="42" t="s">
        <v>168</v>
      </c>
    </row>
    <row r="2" spans="1:23" x14ac:dyDescent="0.2">
      <c r="A2" s="41" t="s">
        <v>52</v>
      </c>
    </row>
    <row r="4" spans="1:23" x14ac:dyDescent="0.2">
      <c r="D4" s="44" t="s">
        <v>53</v>
      </c>
      <c r="E4" s="45">
        <f>F4</f>
        <v>69129.535959999994</v>
      </c>
      <c r="F4" s="46">
        <f>G4</f>
        <v>69129.535959999994</v>
      </c>
      <c r="G4" s="46">
        <f>H4</f>
        <v>69129.535959999994</v>
      </c>
      <c r="H4" s="46">
        <v>69129.535959999994</v>
      </c>
      <c r="I4" s="46">
        <f>J4</f>
        <v>138259.07190000001</v>
      </c>
      <c r="J4" s="46">
        <f>K4</f>
        <v>138259.07190000001</v>
      </c>
      <c r="K4" s="46">
        <f>L4</f>
        <v>138259.07190000001</v>
      </c>
      <c r="L4" s="46">
        <v>138259.07190000001</v>
      </c>
      <c r="M4" s="46">
        <f>N4</f>
        <v>1382590.719</v>
      </c>
      <c r="N4" s="46">
        <f>O4</f>
        <v>1382590.719</v>
      </c>
      <c r="O4" s="46">
        <f>P4</f>
        <v>1382590.719</v>
      </c>
      <c r="P4" s="46">
        <v>1382590.719</v>
      </c>
      <c r="Q4" s="46">
        <f>R4</f>
        <v>6912953.5959999999</v>
      </c>
      <c r="R4" s="46">
        <f>S4</f>
        <v>6912953.5959999999</v>
      </c>
      <c r="S4" s="46">
        <v>6912953.5959999999</v>
      </c>
      <c r="T4" s="46">
        <v>13825907.189999999</v>
      </c>
      <c r="U4" s="46">
        <f>T4</f>
        <v>13825907.189999999</v>
      </c>
      <c r="V4" s="47">
        <f>U4</f>
        <v>13825907.189999999</v>
      </c>
    </row>
    <row r="5" spans="1:23" ht="75" customHeight="1" x14ac:dyDescent="0.2">
      <c r="B5" s="13"/>
      <c r="C5" s="14"/>
      <c r="D5" s="2"/>
      <c r="E5" s="3" t="s">
        <v>141</v>
      </c>
      <c r="F5" s="3" t="s">
        <v>142</v>
      </c>
      <c r="G5" s="3" t="s">
        <v>143</v>
      </c>
      <c r="H5" s="3" t="s">
        <v>144</v>
      </c>
      <c r="I5" s="3" t="s">
        <v>145</v>
      </c>
      <c r="J5" s="3" t="s">
        <v>146</v>
      </c>
      <c r="K5" s="3" t="s">
        <v>147</v>
      </c>
      <c r="L5" s="3" t="s">
        <v>148</v>
      </c>
      <c r="M5" s="3" t="s">
        <v>149</v>
      </c>
      <c r="N5" s="3" t="s">
        <v>150</v>
      </c>
      <c r="O5" s="3" t="s">
        <v>151</v>
      </c>
      <c r="P5" s="3" t="s">
        <v>152</v>
      </c>
      <c r="Q5" s="3" t="s">
        <v>153</v>
      </c>
      <c r="R5" s="3" t="s">
        <v>154</v>
      </c>
      <c r="S5" s="3" t="s">
        <v>155</v>
      </c>
      <c r="T5" s="3" t="s">
        <v>156</v>
      </c>
      <c r="U5" s="3" t="s">
        <v>157</v>
      </c>
      <c r="V5" s="3" t="s">
        <v>158</v>
      </c>
      <c r="W5" s="2" t="s">
        <v>0</v>
      </c>
    </row>
    <row r="6" spans="1:23" ht="12.75" customHeight="1" x14ac:dyDescent="0.2">
      <c r="B6" s="120" t="s">
        <v>12</v>
      </c>
      <c r="C6" s="120"/>
      <c r="D6" s="2" t="s">
        <v>20</v>
      </c>
      <c r="E6" s="21">
        <f>AnMBR_35_CED_Detail_yr!E6/AnMBR_35_CED_Detail_yr!E$4</f>
        <v>3.3068788445545935E-2</v>
      </c>
      <c r="F6" s="21">
        <f>AnMBR_35_CED_Detail_yr!F6/AnMBR_35_CED_Detail_yr!F$4</f>
        <v>1.7609334463121139E-2</v>
      </c>
      <c r="G6" s="48">
        <f>AnMBR_35_CED_Detail_yr!G6/AnMBR_35_CED_Detail_yr!G$4</f>
        <v>4.4091728053312403E-3</v>
      </c>
      <c r="H6" s="48">
        <f>AnMBR_35_CED_Detail_yr!H6/AnMBR_35_CED_Detail_yr!H$4</f>
        <v>2.074800561123281E-3</v>
      </c>
      <c r="I6" s="21">
        <f>AnMBR_35_CED_Detail_yr!I6/AnMBR_35_CED_Detail_yr!I$4</f>
        <v>3.1208440362747728E-2</v>
      </c>
      <c r="J6" s="21">
        <f>AnMBR_35_CED_Detail_yr!J6/AnMBR_35_CED_Detail_yr!J$4</f>
        <v>1.6166966762345233E-2</v>
      </c>
      <c r="K6" s="48">
        <f>AnMBR_35_CED_Detail_yr!K6/AnMBR_35_CED_Detail_yr!K$4</f>
        <v>4.4091139309897246E-3</v>
      </c>
      <c r="L6" s="48">
        <f>AnMBR_35_CED_Detail_yr!L6/AnMBR_35_CED_Detail_yr!L$4</f>
        <v>1.9914608583453106E-3</v>
      </c>
      <c r="M6" s="21">
        <f>AnMBR_35_CED_Detail_yr!M6/AnMBR_35_CED_Detail_yr!M$4</f>
        <v>3.3068354482422936E-2</v>
      </c>
      <c r="N6" s="21">
        <f>AnMBR_35_CED_Detail_yr!N6/AnMBR_35_CED_Detail_yr!N$4</f>
        <v>1.6166968064248954E-2</v>
      </c>
      <c r="O6" s="48">
        <f>AnMBR_35_CED_Detail_yr!O6/AnMBR_35_CED_Detail_yr!O$4</f>
        <v>4.4091717933772701E-3</v>
      </c>
      <c r="P6" s="48">
        <f>AnMBR_35_CED_Detail_yr!P6/AnMBR_35_CED_Detail_yr!P$4</f>
        <v>2.0576081995238677E-3</v>
      </c>
      <c r="Q6" s="21">
        <f>AnMBR_35_CED_Detail_yr!Q6/AnMBR_35_CED_Detail_yr!Q$4</f>
        <v>1.3587448359894935E-2</v>
      </c>
      <c r="R6" s="48">
        <f>AnMBR_35_CED_Detail_yr!R6/AnMBR_35_CED_Detail_yr!R$4</f>
        <v>4.4091717927394582E-3</v>
      </c>
      <c r="S6" s="48">
        <f>AnMBR_35_CED_Detail_yr!S6/AnMBR_35_CED_Detail_yr!S$4</f>
        <v>2.0576154320246648E-3</v>
      </c>
      <c r="T6" s="21">
        <f>AnMBR_35_CED_Detail_yr!T6/AnMBR_35_CED_Detail_yr!T$4</f>
        <v>1.6166968064248954E-2</v>
      </c>
      <c r="U6" s="48">
        <f>AnMBR_35_CED_Detail_yr!U6/AnMBR_35_CED_Detail_yr!U$4</f>
        <v>4.2880007210579288E-3</v>
      </c>
      <c r="V6" s="48">
        <f>AnMBR_35_CED_Detail_yr!V6/AnMBR_35_CED_Detail_yr!V$4</f>
        <v>2.0576154323223112E-3</v>
      </c>
      <c r="W6" s="2" t="s">
        <v>1</v>
      </c>
    </row>
    <row r="7" spans="1:23" x14ac:dyDescent="0.2">
      <c r="B7" s="120"/>
      <c r="C7" s="120"/>
      <c r="D7" s="2" t="s">
        <v>21</v>
      </c>
      <c r="E7" s="48">
        <f>AnMBR_35_CED_Detail_yr!E7/AnMBR_35_CED_Detail_yr!E$4</f>
        <v>4.9071644310803219E-3</v>
      </c>
      <c r="F7" s="48">
        <f>AnMBR_35_CED_Detail_yr!F7/AnMBR_35_CED_Detail_yr!F$4</f>
        <v>2.3990904567327579E-3</v>
      </c>
      <c r="G7" s="49">
        <f>AnMBR_35_CED_Detail_yr!G7/AnMBR_35_CED_Detail_yr!G$4</f>
        <v>6.5429746304346531E-4</v>
      </c>
      <c r="H7" s="49">
        <f>AnMBR_35_CED_Detail_yr!H7/AnMBR_35_CED_Detail_yr!H$4</f>
        <v>3.0533880644321922E-4</v>
      </c>
      <c r="I7" s="48">
        <f>AnMBR_35_CED_Detail_yr!I7/AnMBR_35_CED_Detail_yr!I$4</f>
        <v>4.9072304672399579E-3</v>
      </c>
      <c r="J7" s="48">
        <f>AnMBR_35_CED_Detail_yr!J7/AnMBR_35_CED_Detail_yr!J$4</f>
        <v>2.3990904570798002E-3</v>
      </c>
      <c r="K7" s="49">
        <f>AnMBR_35_CED_Detail_yr!K7/AnMBR_35_CED_Detail_yr!K$4</f>
        <v>6.5427894717409848E-4</v>
      </c>
      <c r="L7" s="49">
        <f>AnMBR_35_CED_Detail_yr!L7/AnMBR_35_CED_Detail_yr!L$4</f>
        <v>4.5798079742498252E-4</v>
      </c>
      <c r="M7" s="48">
        <f>AnMBR_35_CED_Detail_yr!M7/AnMBR_35_CED_Detail_yr!M$4</f>
        <v>4.9072295269761606E-3</v>
      </c>
      <c r="N7" s="48">
        <f>AnMBR_35_CED_Detail_yr!N7/AnMBR_35_CED_Detail_yr!N$4</f>
        <v>2.399090435381405E-3</v>
      </c>
      <c r="O7" s="49">
        <f>AnMBR_35_CED_Detail_yr!O7/AnMBR_35_CED_Detail_yr!O$4</f>
        <v>6.5429739081012881E-4</v>
      </c>
      <c r="P7" s="49">
        <f>AnMBR_35_CED_Detail_yr!P7/AnMBR_35_CED_Detail_yr!P$4</f>
        <v>3.5113789882166858E-4</v>
      </c>
      <c r="Q7" s="48">
        <f>AnMBR_35_CED_Detail_yr!Q7/AnMBR_35_CED_Detail_yr!Q$4</f>
        <v>2.3990903120767889E-3</v>
      </c>
      <c r="R7" s="49">
        <f>AnMBR_35_CED_Detail_yr!R7/AnMBR_35_CED_Detail_yr!R$4</f>
        <v>6.5429630579571445E-4</v>
      </c>
      <c r="S7" s="49">
        <f>AnMBR_35_CED_Detail_yr!S7/AnMBR_35_CED_Detail_yr!S$4</f>
        <v>3.7556595222948755E-4</v>
      </c>
      <c r="T7" s="48">
        <f>AnMBR_35_CED_Detail_yr!T7/AnMBR_35_CED_Detail_yr!T$4</f>
        <v>2.3990903124238316E-3</v>
      </c>
      <c r="U7" s="49">
        <f>AnMBR_35_CED_Detail_yr!U7/AnMBR_35_CED_Detail_yr!U$4</f>
        <v>9.8141842076114789E-4</v>
      </c>
      <c r="V7" s="49">
        <f>AnMBR_35_CED_Detail_yr!V7/AnMBR_35_CED_Detail_yr!V$4</f>
        <v>4.931220719412337E-4</v>
      </c>
      <c r="W7" s="2" t="s">
        <v>1</v>
      </c>
    </row>
    <row r="8" spans="1:23" x14ac:dyDescent="0.2">
      <c r="B8" s="120"/>
      <c r="C8" s="120"/>
      <c r="D8" s="2" t="s">
        <v>3</v>
      </c>
      <c r="E8" s="48">
        <f>AnMBR_35_CED_Detail_yr!E8/AnMBR_35_CED_Detail_yr!E$4</f>
        <v>2.2674465815986076E-3</v>
      </c>
      <c r="F8" s="48">
        <f>AnMBR_35_CED_Detail_yr!F8/AnMBR_35_CED_Detail_yr!F$4</f>
        <v>1.1085295009696172E-3</v>
      </c>
      <c r="G8" s="49">
        <f>AnMBR_35_CED_Detail_yr!G8/AnMBR_35_CED_Detail_yr!G$4</f>
        <v>3.0232620123608309E-4</v>
      </c>
      <c r="H8" s="49">
        <f>AnMBR_35_CED_Detail_yr!H8/AnMBR_35_CED_Detail_yr!H$4</f>
        <v>1.4108296641313084E-4</v>
      </c>
      <c r="I8" s="48">
        <f>AnMBR_35_CED_Detail_yr!I8/AnMBR_35_CED_Detail_yr!I$4</f>
        <v>2.267409983966484E-3</v>
      </c>
      <c r="J8" s="48">
        <f>AnMBR_35_CED_Detail_yr!J8/AnMBR_35_CED_Detail_yr!J$4</f>
        <v>1.1085294288019881E-3</v>
      </c>
      <c r="K8" s="49">
        <f>AnMBR_35_CED_Detail_yr!K8/AnMBR_35_CED_Detail_yr!K$4</f>
        <v>3.0232374212834561E-4</v>
      </c>
      <c r="L8" s="49">
        <f>AnMBR_35_CED_Detail_yr!L8/AnMBR_35_CED_Detail_yr!L$4</f>
        <v>2.1162444965030898E-4</v>
      </c>
      <c r="M8" s="48">
        <f>AnMBR_35_CED_Detail_yr!M8/AnMBR_35_CED_Detail_yr!M$4</f>
        <v>2.2674461479587002E-3</v>
      </c>
      <c r="N8" s="48">
        <f>AnMBR_35_CED_Detail_yr!N8/AnMBR_35_CED_Detail_yr!N$4</f>
        <v>1.1085294360347864E-3</v>
      </c>
      <c r="O8" s="49">
        <f>AnMBR_35_CED_Detail_yr!O8/AnMBR_35_CED_Detail_yr!O$4</f>
        <v>3.0232621574541324E-4</v>
      </c>
      <c r="P8" s="49">
        <f>AnMBR_35_CED_Detail_yr!P8/AnMBR_35_CED_Detail_yr!P$4</f>
        <v>1.6224830451794752E-4</v>
      </c>
      <c r="Q8" s="48">
        <f>AnMBR_35_CED_Detail_yr!Q8/AnMBR_35_CED_Detail_yr!Q$4</f>
        <v>1.1085294373209909E-3</v>
      </c>
      <c r="R8" s="49">
        <f>AnMBR_35_CED_Detail_yr!R8/AnMBR_35_CED_Detail_yr!R$4</f>
        <v>3.0232518864430118E-4</v>
      </c>
      <c r="S8" s="49">
        <f>AnMBR_35_CED_Detail_yr!S8/AnMBR_35_CED_Detail_yr!S$4</f>
        <v>1.7353508646349665E-4</v>
      </c>
      <c r="T8" s="48">
        <f>AnMBR_35_CED_Detail_yr!T8/AnMBR_35_CED_Detail_yr!T$4</f>
        <v>1.1085276206023772E-3</v>
      </c>
      <c r="U8" s="49">
        <f>AnMBR_35_CED_Detail_yr!U8/AnMBR_35_CED_Detail_yr!U$4</f>
        <v>4.5342413440575108E-4</v>
      </c>
      <c r="V8" s="49">
        <f>AnMBR_35_CED_Detail_yr!V8/AnMBR_35_CED_Detail_yr!V$4</f>
        <v>2.2785267951737207E-4</v>
      </c>
      <c r="W8" s="2" t="s">
        <v>1</v>
      </c>
    </row>
    <row r="9" spans="1:23" x14ac:dyDescent="0.2">
      <c r="B9" s="131" t="s">
        <v>19</v>
      </c>
      <c r="C9" s="132" t="s">
        <v>10</v>
      </c>
      <c r="D9" s="2" t="s">
        <v>3</v>
      </c>
      <c r="E9" s="18">
        <f>AnMBR_35_CED_Detail_yr!E9/AnMBR_35_CED_Detail_yr!E$4</f>
        <v>0.63386798987562598</v>
      </c>
      <c r="F9" s="18">
        <f>AnMBR_35_CED_Detail_yr!F9/AnMBR_35_CED_Detail_yr!F$4</f>
        <v>0.63386798987562598</v>
      </c>
      <c r="G9" s="18">
        <f>AnMBR_35_CED_Detail_yr!G9/AnMBR_35_CED_Detail_yr!G$4</f>
        <v>0.63386798987562598</v>
      </c>
      <c r="H9" s="18">
        <f>AnMBR_35_CED_Detail_yr!H9/AnMBR_35_CED_Detail_yr!H$4</f>
        <v>0.63386798987562598</v>
      </c>
      <c r="I9" s="18">
        <f>AnMBR_35_CED_Detail_yr!I9/AnMBR_35_CED_Detail_yr!I$4</f>
        <v>0.43657677699194791</v>
      </c>
      <c r="J9" s="18">
        <f>AnMBR_35_CED_Detail_yr!J9/AnMBR_35_CED_Detail_yr!J$4</f>
        <v>0.43657677699194791</v>
      </c>
      <c r="K9" s="18">
        <f>AnMBR_35_CED_Detail_yr!K9/AnMBR_35_CED_Detail_yr!K$4</f>
        <v>0.43657677699194791</v>
      </c>
      <c r="L9" s="18">
        <f>AnMBR_35_CED_Detail_yr!L9/AnMBR_35_CED_Detail_yr!L$4</f>
        <v>0.43657677699194791</v>
      </c>
      <c r="M9" s="18">
        <f>AnMBR_35_CED_Detail_yr!M9/AnMBR_35_CED_Detail_yr!M$4</f>
        <v>0.12677359799346374</v>
      </c>
      <c r="N9" s="18">
        <f>AnMBR_35_CED_Detail_yr!N9/AnMBR_35_CED_Detail_yr!N$4</f>
        <v>0.12677359799346374</v>
      </c>
      <c r="O9" s="18">
        <f>AnMBR_35_CED_Detail_yr!O9/AnMBR_35_CED_Detail_yr!O$4</f>
        <v>0.12677359799346374</v>
      </c>
      <c r="P9" s="18">
        <f>AnMBR_35_CED_Detail_yr!P9/AnMBR_35_CED_Detail_yr!P$4</f>
        <v>0.12677359799346374</v>
      </c>
      <c r="Q9" s="21">
        <f>AnMBR_35_CED_Detail_yr!Q9/AnMBR_35_CED_Detail_yr!Q$4</f>
        <v>5.3403367297823821E-2</v>
      </c>
      <c r="R9" s="21">
        <f>AnMBR_35_CED_Detail_yr!R9/AnMBR_35_CED_Detail_yr!R$4</f>
        <v>5.3403367297823821E-2</v>
      </c>
      <c r="S9" s="21">
        <f>AnMBR_35_CED_Detail_yr!S9/AnMBR_35_CED_Detail_yr!S$4</f>
        <v>5.3403367297823821E-2</v>
      </c>
      <c r="T9" s="21">
        <f>AnMBR_35_CED_Detail_yr!T9/AnMBR_35_CED_Detail_yr!T$4</f>
        <v>3.6843585957848458E-2</v>
      </c>
      <c r="U9" s="21">
        <f>AnMBR_35_CED_Detail_yr!U9/AnMBR_35_CED_Detail_yr!U$4</f>
        <v>3.6843585957848458E-2</v>
      </c>
      <c r="V9" s="21">
        <f>AnMBR_35_CED_Detail_yr!V9/AnMBR_35_CED_Detail_yr!V$4</f>
        <v>3.6843585957848458E-2</v>
      </c>
      <c r="W9" s="2" t="s">
        <v>1</v>
      </c>
    </row>
    <row r="10" spans="1:23" x14ac:dyDescent="0.2">
      <c r="B10" s="131"/>
      <c r="C10" s="132"/>
      <c r="D10" s="2" t="s">
        <v>4</v>
      </c>
      <c r="E10" s="49">
        <f>AnMBR_35_CED_Detail_yr!E10/AnMBR_35_CED_Detail_yr!E$4</f>
        <v>4.3150875506036016E-7</v>
      </c>
      <c r="F10" s="49">
        <f>AnMBR_35_CED_Detail_yr!F10/AnMBR_35_CED_Detail_yr!F$4</f>
        <v>4.3150875506036016E-7</v>
      </c>
      <c r="G10" s="49">
        <f>AnMBR_35_CED_Detail_yr!G10/AnMBR_35_CED_Detail_yr!G$4</f>
        <v>4.3150875506036016E-7</v>
      </c>
      <c r="H10" s="49">
        <f>AnMBR_35_CED_Detail_yr!H10/AnMBR_35_CED_Detail_yr!H$4</f>
        <v>4.3150875506036016E-7</v>
      </c>
      <c r="I10" s="49">
        <f>AnMBR_35_CED_Detail_yr!I10/AnMBR_35_CED_Detail_yr!I$4</f>
        <v>4.3013452341856779E-7</v>
      </c>
      <c r="J10" s="49">
        <f>AnMBR_35_CED_Detail_yr!J10/AnMBR_35_CED_Detail_yr!J$4</f>
        <v>4.3013452341856779E-7</v>
      </c>
      <c r="K10" s="49">
        <f>AnMBR_35_CED_Detail_yr!K10/AnMBR_35_CED_Detail_yr!K$4</f>
        <v>4.3013452341856779E-7</v>
      </c>
      <c r="L10" s="49">
        <f>AnMBR_35_CED_Detail_yr!L10/AnMBR_35_CED_Detail_yr!L$4</f>
        <v>4.3013452341856779E-7</v>
      </c>
      <c r="M10" s="49">
        <f>AnMBR_35_CED_Detail_yr!M10/AnMBR_35_CED_Detail_yr!M$4</f>
        <v>4.2998986744970334E-7</v>
      </c>
      <c r="N10" s="49">
        <f>AnMBR_35_CED_Detail_yr!N10/AnMBR_35_CED_Detail_yr!N$4</f>
        <v>4.2998986744970334E-7</v>
      </c>
      <c r="O10" s="49">
        <f>AnMBR_35_CED_Detail_yr!O10/AnMBR_35_CED_Detail_yr!O$4</f>
        <v>4.2998986744970334E-7</v>
      </c>
      <c r="P10" s="49">
        <f>AnMBR_35_CED_Detail_yr!P10/AnMBR_35_CED_Detail_yr!P$4</f>
        <v>4.2998986744970334E-7</v>
      </c>
      <c r="Q10" s="49">
        <f>AnMBR_35_CED_Detail_yr!Q10/AnMBR_35_CED_Detail_yr!Q$4</f>
        <v>4.3131636262179822E-7</v>
      </c>
      <c r="R10" s="49">
        <f>AnMBR_35_CED_Detail_yr!R10/AnMBR_35_CED_Detail_yr!R$4</f>
        <v>4.3131636262179822E-7</v>
      </c>
      <c r="S10" s="49">
        <f>AnMBR_35_CED_Detail_yr!S10/AnMBR_35_CED_Detail_yr!S$4</f>
        <v>4.3131636262179822E-7</v>
      </c>
      <c r="T10" s="49">
        <f>AnMBR_35_CED_Detail_yr!T10/AnMBR_35_CED_Detail_yr!T$4</f>
        <v>4.2997467857297259E-7</v>
      </c>
      <c r="U10" s="49">
        <f>AnMBR_35_CED_Detail_yr!U10/AnMBR_35_CED_Detail_yr!U$4</f>
        <v>4.2997467857297259E-7</v>
      </c>
      <c r="V10" s="49">
        <f>AnMBR_35_CED_Detail_yr!V10/AnMBR_35_CED_Detail_yr!V$4</f>
        <v>4.2997467857297259E-7</v>
      </c>
      <c r="W10" s="2" t="s">
        <v>1</v>
      </c>
    </row>
    <row r="11" spans="1:23" ht="15.75" customHeight="1" x14ac:dyDescent="0.2">
      <c r="B11" s="131"/>
      <c r="C11" s="120" t="s">
        <v>13</v>
      </c>
      <c r="D11" s="2" t="s">
        <v>3</v>
      </c>
      <c r="E11" s="21">
        <f>AnMBR_35_CED_Detail_yr!E11/AnMBR_35_CED_Detail_yr!E$4</f>
        <v>1.5846706111753279E-2</v>
      </c>
      <c r="F11" s="21">
        <f>AnMBR_35_CED_Detail_yr!F11/AnMBR_35_CED_Detail_yr!F$4</f>
        <v>1.5846706111753279E-2</v>
      </c>
      <c r="G11" s="21">
        <f>AnMBR_35_CED_Detail_yr!G11/AnMBR_35_CED_Detail_yr!G$4</f>
        <v>1.5846706111753279E-2</v>
      </c>
      <c r="H11" s="21">
        <f>AnMBR_35_CED_Detail_yr!H11/AnMBR_35_CED_Detail_yr!H$4</f>
        <v>1.5846706111753279E-2</v>
      </c>
      <c r="I11" s="21">
        <f>AnMBR_35_CED_Detail_yr!I11/AnMBR_35_CED_Detail_yr!I$4</f>
        <v>1.5846706186373582E-2</v>
      </c>
      <c r="J11" s="21">
        <f>AnMBR_35_CED_Detail_yr!J11/AnMBR_35_CED_Detail_yr!J$4</f>
        <v>1.5846706186373582E-2</v>
      </c>
      <c r="K11" s="21">
        <f>AnMBR_35_CED_Detail_yr!K11/AnMBR_35_CED_Detail_yr!K$4</f>
        <v>1.5846706186373582E-2</v>
      </c>
      <c r="L11" s="21">
        <f>AnMBR_35_CED_Detail_yr!L11/AnMBR_35_CED_Detail_yr!L$4</f>
        <v>1.5846706186373582E-2</v>
      </c>
      <c r="M11" s="21">
        <f>AnMBR_35_CED_Detail_yr!M11/AnMBR_35_CED_Detail_yr!M$4</f>
        <v>1.6401310733809432E-2</v>
      </c>
      <c r="N11" s="21">
        <f>AnMBR_35_CED_Detail_yr!N11/AnMBR_35_CED_Detail_yr!N$4</f>
        <v>1.6401310733809432E-2</v>
      </c>
      <c r="O11" s="21">
        <f>AnMBR_35_CED_Detail_yr!O11/AnMBR_35_CED_Detail_yr!O$4</f>
        <v>1.6401310733809432E-2</v>
      </c>
      <c r="P11" s="21">
        <f>AnMBR_35_CED_Detail_yr!P11/AnMBR_35_CED_Detail_yr!P$4</f>
        <v>1.6401310733809432E-2</v>
      </c>
      <c r="Q11" s="21">
        <f>AnMBR_35_CED_Detail_yr!Q11/AnMBR_35_CED_Detail_yr!Q$4</f>
        <v>1.6417150560025254E-2</v>
      </c>
      <c r="R11" s="21">
        <f>AnMBR_35_CED_Detail_yr!R11/AnMBR_35_CED_Detail_yr!R$4</f>
        <v>1.6417150560025254E-2</v>
      </c>
      <c r="S11" s="21">
        <f>AnMBR_35_CED_Detail_yr!S11/AnMBR_35_CED_Detail_yr!S$4</f>
        <v>1.6417150560025254E-2</v>
      </c>
      <c r="T11" s="21">
        <f>AnMBR_35_CED_Detail_yr!T11/AnMBR_35_CED_Detail_yr!T$4</f>
        <v>1.6417222890384525E-2</v>
      </c>
      <c r="U11" s="21">
        <f>AnMBR_35_CED_Detail_yr!U11/AnMBR_35_CED_Detail_yr!U$4</f>
        <v>1.6417222890384525E-2</v>
      </c>
      <c r="V11" s="21">
        <f>AnMBR_35_CED_Detail_yr!V11/AnMBR_35_CED_Detail_yr!V$4</f>
        <v>1.6417222890384525E-2</v>
      </c>
      <c r="W11" s="2" t="s">
        <v>1</v>
      </c>
    </row>
    <row r="12" spans="1:23" x14ac:dyDescent="0.2">
      <c r="B12" s="131"/>
      <c r="C12" s="120"/>
      <c r="D12" s="2" t="s">
        <v>4</v>
      </c>
      <c r="E12" s="49">
        <f>AnMBR_35_CED_Detail_yr!E12/AnMBR_35_CED_Detail_yr!E$4</f>
        <v>1.9017920223863747E-6</v>
      </c>
      <c r="F12" s="49">
        <f>AnMBR_35_CED_Detail_yr!F12/AnMBR_35_CED_Detail_yr!F$4</f>
        <v>1.9017920223863747E-6</v>
      </c>
      <c r="G12" s="49">
        <f>AnMBR_35_CED_Detail_yr!G12/AnMBR_35_CED_Detail_yr!G$4</f>
        <v>1.9017920223863747E-6</v>
      </c>
      <c r="H12" s="49">
        <f>AnMBR_35_CED_Detail_yr!H12/AnMBR_35_CED_Detail_yr!H$4</f>
        <v>1.9017920223863747E-6</v>
      </c>
      <c r="I12" s="49">
        <f>AnMBR_35_CED_Detail_yr!I12/AnMBR_35_CED_Detail_yr!I$4</f>
        <v>1.90179202266148E-6</v>
      </c>
      <c r="J12" s="49">
        <f>AnMBR_35_CED_Detail_yr!J12/AnMBR_35_CED_Detail_yr!J$4</f>
        <v>1.90179202266148E-6</v>
      </c>
      <c r="K12" s="49">
        <f>AnMBR_35_CED_Detail_yr!K12/AnMBR_35_CED_Detail_yr!K$4</f>
        <v>1.90179202266148E-6</v>
      </c>
      <c r="L12" s="49">
        <f>AnMBR_35_CED_Detail_yr!L12/AnMBR_35_CED_Detail_yr!L$4</f>
        <v>1.90179202266148E-6</v>
      </c>
      <c r="M12" s="49">
        <f>AnMBR_35_CED_Detail_yr!M12/AnMBR_35_CED_Detail_yr!M$4</f>
        <v>1.9016979962817182E-6</v>
      </c>
      <c r="N12" s="49">
        <f>AnMBR_35_CED_Detail_yr!N12/AnMBR_35_CED_Detail_yr!N$4</f>
        <v>1.9016979962817182E-6</v>
      </c>
      <c r="O12" s="49">
        <f>AnMBR_35_CED_Detail_yr!O12/AnMBR_35_CED_Detail_yr!O$4</f>
        <v>1.9016979962817182E-6</v>
      </c>
      <c r="P12" s="49">
        <f>AnMBR_35_CED_Detail_yr!P12/AnMBR_35_CED_Detail_yr!P$4</f>
        <v>1.9016979962817182E-6</v>
      </c>
      <c r="Q12" s="49">
        <f>AnMBR_35_CED_Detail_yr!Q12/AnMBR_35_CED_Detail_yr!Q$4</f>
        <v>1.9017095684841337E-6</v>
      </c>
      <c r="R12" s="49">
        <f>AnMBR_35_CED_Detail_yr!R12/AnMBR_35_CED_Detail_yr!R$4</f>
        <v>1.9017095684841337E-6</v>
      </c>
      <c r="S12" s="49">
        <f>AnMBR_35_CED_Detail_yr!S12/AnMBR_35_CED_Detail_yr!S$4</f>
        <v>1.9017095684841337E-6</v>
      </c>
      <c r="T12" s="49">
        <f>AnMBR_35_CED_Detail_yr!T12/AnMBR_35_CED_Detail_yr!T$4</f>
        <v>1.9017095687592275E-6</v>
      </c>
      <c r="U12" s="49">
        <f>AnMBR_35_CED_Detail_yr!U12/AnMBR_35_CED_Detail_yr!U$4</f>
        <v>1.9017095687592275E-6</v>
      </c>
      <c r="V12" s="49">
        <f>AnMBR_35_CED_Detail_yr!V12/AnMBR_35_CED_Detail_yr!V$4</f>
        <v>1.9017095687592275E-6</v>
      </c>
      <c r="W12" s="2" t="s">
        <v>1</v>
      </c>
    </row>
    <row r="13" spans="1:23" ht="15" customHeight="1" x14ac:dyDescent="0.2">
      <c r="B13" s="145" t="s">
        <v>16</v>
      </c>
      <c r="C13" s="146"/>
      <c r="D13" s="2" t="s">
        <v>78</v>
      </c>
      <c r="E13" s="17">
        <f>AnMBR_35_CED_Detail_yr!E13/AnMBR_35_CED_Detail_yr!E$4</f>
        <v>64.163312228314865</v>
      </c>
      <c r="F13" s="17">
        <f>AnMBR_35_CED_Detail_yr!F13/AnMBR_35_CED_Detail_yr!F$4</f>
        <v>64.163312228314865</v>
      </c>
      <c r="G13" s="17">
        <f>AnMBR_35_CED_Detail_yr!G13/AnMBR_35_CED_Detail_yr!G$4</f>
        <v>64.163312228314865</v>
      </c>
      <c r="H13" s="17">
        <f>AnMBR_35_CED_Detail_yr!H13/AnMBR_35_CED_Detail_yr!H$4</f>
        <v>64.163312228314865</v>
      </c>
      <c r="I13" s="17">
        <f>AnMBR_35_CED_Detail_yr!I13/AnMBR_35_CED_Detail_yr!I$4</f>
        <v>64.163312237596458</v>
      </c>
      <c r="J13" s="17">
        <f>AnMBR_35_CED_Detail_yr!J13/AnMBR_35_CED_Detail_yr!J$4</f>
        <v>64.163312237596458</v>
      </c>
      <c r="K13" s="17">
        <f>AnMBR_35_CED_Detail_yr!K13/AnMBR_35_CED_Detail_yr!K$4</f>
        <v>64.163312237596458</v>
      </c>
      <c r="L13" s="17">
        <f>AnMBR_35_CED_Detail_yr!L13/AnMBR_35_CED_Detail_yr!L$4</f>
        <v>64.163312237596458</v>
      </c>
      <c r="M13" s="17">
        <f>AnMBR_35_CED_Detail_yr!M13/AnMBR_35_CED_Detail_yr!M$4</f>
        <v>64.163312237596472</v>
      </c>
      <c r="N13" s="17">
        <f>AnMBR_35_CED_Detail_yr!N13/AnMBR_35_CED_Detail_yr!N$4</f>
        <v>64.163312237596472</v>
      </c>
      <c r="O13" s="17">
        <f>AnMBR_35_CED_Detail_yr!O13/AnMBR_35_CED_Detail_yr!O$4</f>
        <v>64.163312237596472</v>
      </c>
      <c r="P13" s="17">
        <f>AnMBR_35_CED_Detail_yr!P13/AnMBR_35_CED_Detail_yr!P$4</f>
        <v>64.163312237596472</v>
      </c>
      <c r="Q13" s="17">
        <f>AnMBR_35_CED_Detail_yr!Q13/AnMBR_35_CED_Detail_yr!Q$4</f>
        <v>64.163312228314865</v>
      </c>
      <c r="R13" s="17">
        <f>AnMBR_35_CED_Detail_yr!R13/AnMBR_35_CED_Detail_yr!R$4</f>
        <v>64.163312228314865</v>
      </c>
      <c r="S13" s="17">
        <f>AnMBR_35_CED_Detail_yr!S13/AnMBR_35_CED_Detail_yr!S$4</f>
        <v>64.163312228314865</v>
      </c>
      <c r="T13" s="17">
        <f>AnMBR_35_CED_Detail_yr!T13/AnMBR_35_CED_Detail_yr!T$4</f>
        <v>64.163312237596472</v>
      </c>
      <c r="U13" s="17">
        <f>AnMBR_35_CED_Detail_yr!U13/AnMBR_35_CED_Detail_yr!U$4</f>
        <v>64.163312237596472</v>
      </c>
      <c r="V13" s="17">
        <f>AnMBR_35_CED_Detail_yr!V13/AnMBR_35_CED_Detail_yr!V$4</f>
        <v>64.163312237596472</v>
      </c>
      <c r="W13" s="2" t="s">
        <v>1</v>
      </c>
    </row>
    <row r="14" spans="1:23" x14ac:dyDescent="0.2">
      <c r="B14" s="147"/>
      <c r="C14" s="148"/>
      <c r="D14" s="2" t="s">
        <v>79</v>
      </c>
      <c r="E14" s="18">
        <f>AnMBR_35_CED_Detail_yr!E14/AnMBR_35_CED_Detail_yr!E$4</f>
        <v>0.16231267640061273</v>
      </c>
      <c r="F14" s="18">
        <f>AnMBR_35_CED_Detail_yr!F14/AnMBR_35_CED_Detail_yr!F$4</f>
        <v>0.16231267640061273</v>
      </c>
      <c r="G14" s="18">
        <f>AnMBR_35_CED_Detail_yr!G14/AnMBR_35_CED_Detail_yr!G$4</f>
        <v>0.16231267640061273</v>
      </c>
      <c r="H14" s="18">
        <f>AnMBR_35_CED_Detail_yr!H14/AnMBR_35_CED_Detail_yr!H$4</f>
        <v>0.16231267640061273</v>
      </c>
      <c r="I14" s="18">
        <f>AnMBR_35_CED_Detail_yr!I14/AnMBR_35_CED_Detail_yr!I$4</f>
        <v>0.16231267642409219</v>
      </c>
      <c r="J14" s="18">
        <f>AnMBR_35_CED_Detail_yr!J14/AnMBR_35_CED_Detail_yr!J$4</f>
        <v>0.16231267642409219</v>
      </c>
      <c r="K14" s="18">
        <f>AnMBR_35_CED_Detail_yr!K14/AnMBR_35_CED_Detail_yr!K$4</f>
        <v>0.16231267642409219</v>
      </c>
      <c r="L14" s="18">
        <f>AnMBR_35_CED_Detail_yr!L14/AnMBR_35_CED_Detail_yr!L$4</f>
        <v>0.16231267642409219</v>
      </c>
      <c r="M14" s="18">
        <f>AnMBR_35_CED_Detail_yr!M14/AnMBR_35_CED_Detail_yr!M$4</f>
        <v>0.16231267642409219</v>
      </c>
      <c r="N14" s="18">
        <f>AnMBR_35_CED_Detail_yr!N14/AnMBR_35_CED_Detail_yr!N$4</f>
        <v>0.16231267642409219</v>
      </c>
      <c r="O14" s="18">
        <f>AnMBR_35_CED_Detail_yr!O14/AnMBR_35_CED_Detail_yr!O$4</f>
        <v>0.16231267642409219</v>
      </c>
      <c r="P14" s="18">
        <f>AnMBR_35_CED_Detail_yr!P14/AnMBR_35_CED_Detail_yr!P$4</f>
        <v>0.16231267642409219</v>
      </c>
      <c r="Q14" s="18">
        <f>AnMBR_35_CED_Detail_yr!Q14/AnMBR_35_CED_Detail_yr!Q$4</f>
        <v>0.16231267640061273</v>
      </c>
      <c r="R14" s="18">
        <f>AnMBR_35_CED_Detail_yr!R14/AnMBR_35_CED_Detail_yr!R$4</f>
        <v>0.16231267640061273</v>
      </c>
      <c r="S14" s="18">
        <f>AnMBR_35_CED_Detail_yr!S14/AnMBR_35_CED_Detail_yr!S$4</f>
        <v>0.16231267640061273</v>
      </c>
      <c r="T14" s="18">
        <f>AnMBR_35_CED_Detail_yr!T14/AnMBR_35_CED_Detail_yr!T$4</f>
        <v>0.16231267642409222</v>
      </c>
      <c r="U14" s="18">
        <f>AnMBR_35_CED_Detail_yr!U14/AnMBR_35_CED_Detail_yr!U$4</f>
        <v>0.16231267642409222</v>
      </c>
      <c r="V14" s="18">
        <f>AnMBR_35_CED_Detail_yr!V14/AnMBR_35_CED_Detail_yr!V$4</f>
        <v>0.16231267642409222</v>
      </c>
      <c r="W14" s="2" t="s">
        <v>1</v>
      </c>
    </row>
    <row r="15" spans="1:23" x14ac:dyDescent="0.2">
      <c r="B15" s="147"/>
      <c r="C15" s="148"/>
      <c r="D15" s="2" t="s">
        <v>80</v>
      </c>
      <c r="E15" s="18">
        <f>AnMBR_35_CED_Detail_yr!E15/AnMBR_35_CED_Detail_yr!E$4</f>
        <v>3.420245727337297</v>
      </c>
      <c r="F15" s="18">
        <f>AnMBR_35_CED_Detail_yr!F15/AnMBR_35_CED_Detail_yr!F$4</f>
        <v>3.420245727337297</v>
      </c>
      <c r="G15" s="18">
        <f>AnMBR_35_CED_Detail_yr!G15/AnMBR_35_CED_Detail_yr!G$4</f>
        <v>3.420245727337297</v>
      </c>
      <c r="H15" s="18">
        <f>AnMBR_35_CED_Detail_yr!H15/AnMBR_35_CED_Detail_yr!H$4</f>
        <v>3.420245727337297</v>
      </c>
      <c r="I15" s="18">
        <f>AnMBR_35_CED_Detail_yr!I15/AnMBR_35_CED_Detail_yr!I$4</f>
        <v>2.621129991832384</v>
      </c>
      <c r="J15" s="18">
        <f>AnMBR_35_CED_Detail_yr!J15/AnMBR_35_CED_Detail_yr!J$4</f>
        <v>2.621129991832384</v>
      </c>
      <c r="K15" s="18">
        <f>AnMBR_35_CED_Detail_yr!K15/AnMBR_35_CED_Detail_yr!K$4</f>
        <v>2.621129991832384</v>
      </c>
      <c r="L15" s="18">
        <f>AnMBR_35_CED_Detail_yr!L15/AnMBR_35_CED_Detail_yr!L$4</f>
        <v>2.621129991832384</v>
      </c>
      <c r="M15" s="18">
        <f>AnMBR_35_CED_Detail_yr!M15/AnMBR_35_CED_Detail_yr!M$4</f>
        <v>0.69584366998777747</v>
      </c>
      <c r="N15" s="18">
        <f>AnMBR_35_CED_Detail_yr!N15/AnMBR_35_CED_Detail_yr!N$4</f>
        <v>0.69584366998777747</v>
      </c>
      <c r="O15" s="18">
        <f>AnMBR_35_CED_Detail_yr!O15/AnMBR_35_CED_Detail_yr!O$4</f>
        <v>0.69584366998777747</v>
      </c>
      <c r="P15" s="18">
        <f>AnMBR_35_CED_Detail_yr!P15/AnMBR_35_CED_Detail_yr!P$4</f>
        <v>0.69584366998777747</v>
      </c>
      <c r="Q15" s="18">
        <f>AnMBR_35_CED_Detail_yr!Q15/AnMBR_35_CED_Detail_yr!Q$4</f>
        <v>0.29531226727476501</v>
      </c>
      <c r="R15" s="18">
        <f>AnMBR_35_CED_Detail_yr!R15/AnMBR_35_CED_Detail_yr!R$4</f>
        <v>0.29531226727476501</v>
      </c>
      <c r="S15" s="18">
        <f>AnMBR_35_CED_Detail_yr!S15/AnMBR_35_CED_Detail_yr!S$4</f>
        <v>0.29531226727476501</v>
      </c>
      <c r="T15" s="18">
        <f>AnMBR_35_CED_Detail_yr!T15/AnMBR_35_CED_Detail_yr!T$4</f>
        <v>0.14765613365874186</v>
      </c>
      <c r="U15" s="18">
        <f>AnMBR_35_CED_Detail_yr!U15/AnMBR_35_CED_Detail_yr!U$4</f>
        <v>0.14765613365874186</v>
      </c>
      <c r="V15" s="18">
        <f>AnMBR_35_CED_Detail_yr!V15/AnMBR_35_CED_Detail_yr!V$4</f>
        <v>0.14765613365874186</v>
      </c>
      <c r="W15" s="2" t="s">
        <v>1</v>
      </c>
    </row>
    <row r="16" spans="1:23" ht="14.25" customHeight="1" x14ac:dyDescent="0.2">
      <c r="B16" s="147"/>
      <c r="C16" s="148"/>
      <c r="D16" s="2" t="s">
        <v>81</v>
      </c>
      <c r="E16" s="18">
        <f>AnMBR_35_CED_Detail_yr!E16/AnMBR_35_CED_Detail_yr!E$4</f>
        <v>-4.0867481037840312</v>
      </c>
      <c r="F16" s="18">
        <f>AnMBR_35_CED_Detail_yr!F16/AnMBR_35_CED_Detail_yr!F$4</f>
        <v>-4.0867481037840312</v>
      </c>
      <c r="G16" s="18">
        <f>AnMBR_35_CED_Detail_yr!G16/AnMBR_35_CED_Detail_yr!G$4</f>
        <v>-4.0867481037840312</v>
      </c>
      <c r="H16" s="18">
        <f>AnMBR_35_CED_Detail_yr!H16/AnMBR_35_CED_Detail_yr!H$4</f>
        <v>-4.0867481037840312</v>
      </c>
      <c r="I16" s="18">
        <f>AnMBR_35_CED_Detail_yr!I16/AnMBR_35_CED_Detail_yr!I$4</f>
        <v>-4.0867481043752036</v>
      </c>
      <c r="J16" s="18">
        <f>AnMBR_35_CED_Detail_yr!J16/AnMBR_35_CED_Detail_yr!J$4</f>
        <v>-4.0867481043752036</v>
      </c>
      <c r="K16" s="18">
        <f>AnMBR_35_CED_Detail_yr!K16/AnMBR_35_CED_Detail_yr!K$4</f>
        <v>-4.0867481043752036</v>
      </c>
      <c r="L16" s="18">
        <f>AnMBR_35_CED_Detail_yr!L16/AnMBR_35_CED_Detail_yr!L$4</f>
        <v>-4.0867481043752036</v>
      </c>
      <c r="M16" s="18">
        <f>AnMBR_35_CED_Detail_yr!M16/AnMBR_35_CED_Detail_yr!M$4</f>
        <v>-4.086531120421907</v>
      </c>
      <c r="N16" s="18">
        <f>AnMBR_35_CED_Detail_yr!N16/AnMBR_35_CED_Detail_yr!N$4</f>
        <v>-4.086531120421907</v>
      </c>
      <c r="O16" s="18">
        <f>AnMBR_35_CED_Detail_yr!O16/AnMBR_35_CED_Detail_yr!O$4</f>
        <v>-4.086531120421907</v>
      </c>
      <c r="P16" s="18">
        <f>AnMBR_35_CED_Detail_yr!P16/AnMBR_35_CED_Detail_yr!P$4</f>
        <v>-4.086531120421907</v>
      </c>
      <c r="Q16" s="18">
        <f>AnMBR_35_CED_Detail_yr!Q16/AnMBR_35_CED_Detail_yr!Q$4</f>
        <v>-4.0867481037840312</v>
      </c>
      <c r="R16" s="18">
        <f>AnMBR_35_CED_Detail_yr!R16/AnMBR_35_CED_Detail_yr!R$4</f>
        <v>-4.0867481037840312</v>
      </c>
      <c r="S16" s="18">
        <f>AnMBR_35_CED_Detail_yr!S16/AnMBR_35_CED_Detail_yr!S$4</f>
        <v>-4.0867481037840312</v>
      </c>
      <c r="T16" s="18">
        <f>AnMBR_35_CED_Detail_yr!T16/AnMBR_35_CED_Detail_yr!T$4</f>
        <v>-4.0867481043752036</v>
      </c>
      <c r="U16" s="18">
        <f>AnMBR_35_CED_Detail_yr!U16/AnMBR_35_CED_Detail_yr!U$4</f>
        <v>-4.0867481043752036</v>
      </c>
      <c r="V16" s="18">
        <f>AnMBR_35_CED_Detail_yr!V16/AnMBR_35_CED_Detail_yr!V$4</f>
        <v>-4.0867481043752036</v>
      </c>
      <c r="W16" s="2" t="s">
        <v>1</v>
      </c>
    </row>
    <row r="17" spans="1:23" x14ac:dyDescent="0.2">
      <c r="B17" s="147"/>
      <c r="C17" s="148"/>
      <c r="D17" s="2" t="s">
        <v>82</v>
      </c>
      <c r="E17" s="18">
        <f>AnMBR_35_CED_Detail_yr!E17/AnMBR_35_CED_Detail_yr!E$4</f>
        <v>0.55097288692981994</v>
      </c>
      <c r="F17" s="18">
        <f>AnMBR_35_CED_Detail_yr!F17/AnMBR_35_CED_Detail_yr!F$4</f>
        <v>0.55097288692981994</v>
      </c>
      <c r="G17" s="18">
        <f>AnMBR_35_CED_Detail_yr!G17/AnMBR_35_CED_Detail_yr!G$4</f>
        <v>0.55097288692981994</v>
      </c>
      <c r="H17" s="18">
        <f>AnMBR_35_CED_Detail_yr!H17/AnMBR_35_CED_Detail_yr!H$4</f>
        <v>0.55097288692981994</v>
      </c>
      <c r="I17" s="18">
        <f>AnMBR_35_CED_Detail_yr!I17/AnMBR_35_CED_Detail_yr!I$4</f>
        <v>0.55092732037932901</v>
      </c>
      <c r="J17" s="18">
        <f>AnMBR_35_CED_Detail_yr!J17/AnMBR_35_CED_Detail_yr!J$4</f>
        <v>0.55092732037932901</v>
      </c>
      <c r="K17" s="18">
        <f>AnMBR_35_CED_Detail_yr!K17/AnMBR_35_CED_Detail_yr!K$4</f>
        <v>0.55092732037932901</v>
      </c>
      <c r="L17" s="18">
        <f>AnMBR_35_CED_Detail_yr!L17/AnMBR_35_CED_Detail_yr!L$4</f>
        <v>0.55092732037932901</v>
      </c>
      <c r="M17" s="18">
        <f>AnMBR_35_CED_Detail_yr!M17/AnMBR_35_CED_Detail_yr!M$4</f>
        <v>0.55088537014835837</v>
      </c>
      <c r="N17" s="18">
        <f>AnMBR_35_CED_Detail_yr!N17/AnMBR_35_CED_Detail_yr!N$4</f>
        <v>0.55088537014835837</v>
      </c>
      <c r="O17" s="18">
        <f>AnMBR_35_CED_Detail_yr!O17/AnMBR_35_CED_Detail_yr!O$4</f>
        <v>0.55088537014835837</v>
      </c>
      <c r="P17" s="18">
        <f>AnMBR_35_CED_Detail_yr!P17/AnMBR_35_CED_Detail_yr!P$4</f>
        <v>0.55088537014835837</v>
      </c>
      <c r="Q17" s="18">
        <f>AnMBR_35_CED_Detail_yr!Q17/AnMBR_35_CED_Detail_yr!Q$4</f>
        <v>0.55088175366944847</v>
      </c>
      <c r="R17" s="18">
        <f>AnMBR_35_CED_Detail_yr!R17/AnMBR_35_CED_Detail_yr!R$4</f>
        <v>0.55088175366944847</v>
      </c>
      <c r="S17" s="18">
        <f>AnMBR_35_CED_Detail_yr!S17/AnMBR_35_CED_Detail_yr!S$4</f>
        <v>0.55088175366944847</v>
      </c>
      <c r="T17" s="18">
        <f>AnMBR_35_CED_Detail_yr!T17/AnMBR_35_CED_Detail_yr!T$4</f>
        <v>0.55088103046929249</v>
      </c>
      <c r="U17" s="18">
        <f>AnMBR_35_CED_Detail_yr!U17/AnMBR_35_CED_Detail_yr!U$4</f>
        <v>0.55088103046929249</v>
      </c>
      <c r="V17" s="18">
        <f>AnMBR_35_CED_Detail_yr!V17/AnMBR_35_CED_Detail_yr!V$4</f>
        <v>0.55088103046929249</v>
      </c>
      <c r="W17" s="2" t="s">
        <v>1</v>
      </c>
    </row>
    <row r="18" spans="1:23" x14ac:dyDescent="0.2">
      <c r="B18" s="147"/>
      <c r="C18" s="148"/>
      <c r="D18" s="2" t="s">
        <v>83</v>
      </c>
      <c r="E18" s="17">
        <f>AnMBR_35_CED_Detail_yr!E18/AnMBR_35_CED_Detail_yr!E$4</f>
        <v>-50.535562715500113</v>
      </c>
      <c r="F18" s="17">
        <f>AnMBR_35_CED_Detail_yr!F18/AnMBR_35_CED_Detail_yr!F$4</f>
        <v>-50.535562715500113</v>
      </c>
      <c r="G18" s="17">
        <f>AnMBR_35_CED_Detail_yr!G18/AnMBR_35_CED_Detail_yr!G$4</f>
        <v>-50.535562715500113</v>
      </c>
      <c r="H18" s="17">
        <f>AnMBR_35_CED_Detail_yr!H18/AnMBR_35_CED_Detail_yr!H$4</f>
        <v>-50.535562715500113</v>
      </c>
      <c r="I18" s="17">
        <f>AnMBR_35_CED_Detail_yr!I18/AnMBR_35_CED_Detail_yr!I$4</f>
        <v>-50.535562722810376</v>
      </c>
      <c r="J18" s="17">
        <f>AnMBR_35_CED_Detail_yr!J18/AnMBR_35_CED_Detail_yr!J$4</f>
        <v>-50.535562722810376</v>
      </c>
      <c r="K18" s="17">
        <f>AnMBR_35_CED_Detail_yr!K18/AnMBR_35_CED_Detail_yr!K$4</f>
        <v>-50.535562722810376</v>
      </c>
      <c r="L18" s="17">
        <f>AnMBR_35_CED_Detail_yr!L18/AnMBR_35_CED_Detail_yr!L$4</f>
        <v>-50.535562722810376</v>
      </c>
      <c r="M18" s="17">
        <f>AnMBR_35_CED_Detail_yr!M18/AnMBR_35_CED_Detail_yr!M$4</f>
        <v>-50.535562722810376</v>
      </c>
      <c r="N18" s="17">
        <f>AnMBR_35_CED_Detail_yr!N18/AnMBR_35_CED_Detail_yr!N$4</f>
        <v>-50.535562722810376</v>
      </c>
      <c r="O18" s="17">
        <f>AnMBR_35_CED_Detail_yr!O18/AnMBR_35_CED_Detail_yr!O$4</f>
        <v>-50.535562722810376</v>
      </c>
      <c r="P18" s="17">
        <f>AnMBR_35_CED_Detail_yr!P18/AnMBR_35_CED_Detail_yr!P$4</f>
        <v>-50.535562722810376</v>
      </c>
      <c r="Q18" s="17">
        <f>AnMBR_35_CED_Detail_yr!Q18/AnMBR_35_CED_Detail_yr!Q$4</f>
        <v>-50.535562715500106</v>
      </c>
      <c r="R18" s="17">
        <f>AnMBR_35_CED_Detail_yr!R18/AnMBR_35_CED_Detail_yr!R$4</f>
        <v>-50.535562715500106</v>
      </c>
      <c r="S18" s="17">
        <f>AnMBR_35_CED_Detail_yr!S18/AnMBR_35_CED_Detail_yr!S$4</f>
        <v>-50.535562715500106</v>
      </c>
      <c r="T18" s="17">
        <f>AnMBR_35_CED_Detail_yr!T18/AnMBR_35_CED_Detail_yr!T$4</f>
        <v>-50.535562722810383</v>
      </c>
      <c r="U18" s="17">
        <f>AnMBR_35_CED_Detail_yr!U18/AnMBR_35_CED_Detail_yr!U$4</f>
        <v>-50.535562722810383</v>
      </c>
      <c r="V18" s="17">
        <f>AnMBR_35_CED_Detail_yr!V18/AnMBR_35_CED_Detail_yr!V$4</f>
        <v>-50.535562722810383</v>
      </c>
      <c r="W18" s="2" t="s">
        <v>1</v>
      </c>
    </row>
    <row r="19" spans="1:23" x14ac:dyDescent="0.2">
      <c r="B19" s="147"/>
      <c r="C19" s="148"/>
      <c r="D19" s="2" t="s">
        <v>84</v>
      </c>
      <c r="E19" s="21">
        <f>AnMBR_35_CED_Detail_yr!E19/AnMBR_35_CED_Detail_yr!E$4</f>
        <v>2.5280192839876835E-2</v>
      </c>
      <c r="F19" s="21">
        <f>AnMBR_35_CED_Detail_yr!F19/AnMBR_35_CED_Detail_yr!F$4</f>
        <v>2.5280192839876835E-2</v>
      </c>
      <c r="G19" s="21">
        <f>AnMBR_35_CED_Detail_yr!G19/AnMBR_35_CED_Detail_yr!G$4</f>
        <v>2.5280192839876835E-2</v>
      </c>
      <c r="H19" s="21">
        <f>AnMBR_35_CED_Detail_yr!H19/AnMBR_35_CED_Detail_yr!H$4</f>
        <v>2.5280192839876835E-2</v>
      </c>
      <c r="I19" s="21">
        <f>AnMBR_35_CED_Detail_yr!I19/AnMBR_35_CED_Detail_yr!I$4</f>
        <v>2.5280200076332204E-2</v>
      </c>
      <c r="J19" s="21">
        <f>AnMBR_35_CED_Detail_yr!J19/AnMBR_35_CED_Detail_yr!J$4</f>
        <v>2.5280200076332204E-2</v>
      </c>
      <c r="K19" s="21">
        <f>AnMBR_35_CED_Detail_yr!K19/AnMBR_35_CED_Detail_yr!K$4</f>
        <v>2.5280200076332204E-2</v>
      </c>
      <c r="L19" s="21">
        <f>AnMBR_35_CED_Detail_yr!L19/AnMBR_35_CED_Detail_yr!L$4</f>
        <v>2.5280200076332204E-2</v>
      </c>
      <c r="M19" s="21">
        <f>AnMBR_35_CED_Detail_yr!M19/AnMBR_35_CED_Detail_yr!M$4</f>
        <v>2.5280221774727534E-2</v>
      </c>
      <c r="N19" s="21">
        <f>AnMBR_35_CED_Detail_yr!N19/AnMBR_35_CED_Detail_yr!N$4</f>
        <v>2.5280221774727534E-2</v>
      </c>
      <c r="O19" s="21">
        <f>AnMBR_35_CED_Detail_yr!O19/AnMBR_35_CED_Detail_yr!O$4</f>
        <v>2.5280221774727534E-2</v>
      </c>
      <c r="P19" s="21">
        <f>AnMBR_35_CED_Detail_yr!P19/AnMBR_35_CED_Detail_yr!P$4</f>
        <v>2.5280221774727534E-2</v>
      </c>
      <c r="Q19" s="21">
        <f>AnMBR_35_CED_Detail_yr!Q19/AnMBR_35_CED_Detail_yr!Q$4</f>
        <v>2.5280077115101759E-2</v>
      </c>
      <c r="R19" s="21">
        <f>AnMBR_35_CED_Detail_yr!R19/AnMBR_35_CED_Detail_yr!R$4</f>
        <v>2.5280077115101759E-2</v>
      </c>
      <c r="S19" s="21">
        <f>AnMBR_35_CED_Detail_yr!S19/AnMBR_35_CED_Detail_yr!S$4</f>
        <v>2.5280077115101759E-2</v>
      </c>
      <c r="T19" s="21">
        <f>AnMBR_35_CED_Detail_yr!T19/AnMBR_35_CED_Detail_yr!T$4</f>
        <v>2.5280221774727538E-2</v>
      </c>
      <c r="U19" s="21">
        <f>AnMBR_35_CED_Detail_yr!U19/AnMBR_35_CED_Detail_yr!U$4</f>
        <v>2.5280221774727538E-2</v>
      </c>
      <c r="V19" s="21">
        <f>AnMBR_35_CED_Detail_yr!V19/AnMBR_35_CED_Detail_yr!V$4</f>
        <v>2.5280221774727538E-2</v>
      </c>
      <c r="W19" s="2" t="s">
        <v>1</v>
      </c>
    </row>
    <row r="20" spans="1:23" x14ac:dyDescent="0.2">
      <c r="B20" s="147"/>
      <c r="C20" s="148"/>
      <c r="D20" s="2" t="s">
        <v>17</v>
      </c>
      <c r="E20" s="18">
        <f>AnMBR_35_CED_Detail_yr!E20/AnMBR_35_CED_Detail_yr!E$4</f>
        <v>0.28498383109933434</v>
      </c>
      <c r="F20" s="18">
        <f>AnMBR_35_CED_Detail_yr!F20/AnMBR_35_CED_Detail_yr!F$4</f>
        <v>0.28498383109933434</v>
      </c>
      <c r="G20" s="18">
        <f>AnMBR_35_CED_Detail_yr!G20/AnMBR_35_CED_Detail_yr!G$4</f>
        <v>0.28498383109933434</v>
      </c>
      <c r="H20" s="18">
        <f>AnMBR_35_CED_Detail_yr!H20/AnMBR_35_CED_Detail_yr!H$4</f>
        <v>0.28498383109933434</v>
      </c>
      <c r="I20" s="18">
        <f>AnMBR_35_CED_Detail_yr!I20/AnMBR_35_CED_Detail_yr!I$4</f>
        <v>0.28506845488234467</v>
      </c>
      <c r="J20" s="18">
        <f>AnMBR_35_CED_Detail_yr!J20/AnMBR_35_CED_Detail_yr!J$4</f>
        <v>0.28506845488234467</v>
      </c>
      <c r="K20" s="18">
        <f>AnMBR_35_CED_Detail_yr!K20/AnMBR_35_CED_Detail_yr!K$4</f>
        <v>0.28506845488234467</v>
      </c>
      <c r="L20" s="18">
        <f>AnMBR_35_CED_Detail_yr!L20/AnMBR_35_CED_Detail_yr!L$4</f>
        <v>0.28506845488234467</v>
      </c>
      <c r="M20" s="18">
        <f>AnMBR_35_CED_Detail_yr!M20/AnMBR_35_CED_Detail_yr!M$4</f>
        <v>0.21100893850279057</v>
      </c>
      <c r="N20" s="18">
        <f>AnMBR_35_CED_Detail_yr!N20/AnMBR_35_CED_Detail_yr!N$4</f>
        <v>0.21100893850279057</v>
      </c>
      <c r="O20" s="18">
        <f>AnMBR_35_CED_Detail_yr!O20/AnMBR_35_CED_Detail_yr!O$4</f>
        <v>0.21100893850279057</v>
      </c>
      <c r="P20" s="18">
        <f>AnMBR_35_CED_Detail_yr!P20/AnMBR_35_CED_Detail_yr!P$4</f>
        <v>0.21100893850279057</v>
      </c>
      <c r="Q20" s="18">
        <f>AnMBR_35_CED_Detail_yr!Q20/AnMBR_35_CED_Detail_yr!Q$4</f>
        <v>0.17584379572623995</v>
      </c>
      <c r="R20" s="18">
        <f>AnMBR_35_CED_Detail_yr!R20/AnMBR_35_CED_Detail_yr!R$4</f>
        <v>0.17584379572623995</v>
      </c>
      <c r="S20" s="18">
        <f>AnMBR_35_CED_Detail_yr!S20/AnMBR_35_CED_Detail_yr!S$4</f>
        <v>0.17584379572623995</v>
      </c>
      <c r="T20" s="18">
        <f>AnMBR_35_CED_Detail_yr!T20/AnMBR_35_CED_Detail_yr!T$4</f>
        <v>0.15825362993775458</v>
      </c>
      <c r="U20" s="18">
        <f>AnMBR_35_CED_Detail_yr!U20/AnMBR_35_CED_Detail_yr!U$4</f>
        <v>0.15825362993775458</v>
      </c>
      <c r="V20" s="18">
        <f>AnMBR_35_CED_Detail_yr!V20/AnMBR_35_CED_Detail_yr!V$4</f>
        <v>0.15825362993775458</v>
      </c>
      <c r="W20" s="2" t="s">
        <v>1</v>
      </c>
    </row>
    <row r="21" spans="1:23" ht="15" customHeight="1" x14ac:dyDescent="0.2">
      <c r="B21" s="127" t="s">
        <v>15</v>
      </c>
      <c r="C21" s="128"/>
      <c r="D21" s="2" t="s">
        <v>4</v>
      </c>
      <c r="E21" s="18">
        <f>AnMBR_35_CED_Detail_yr!E21/AnMBR_35_CED_Detail_yr!E$4</f>
        <v>0.38707086628619691</v>
      </c>
      <c r="F21" s="18">
        <f>AnMBR_35_CED_Detail_yr!F21/AnMBR_35_CED_Detail_yr!F$4</f>
        <v>0.38707086628619691</v>
      </c>
      <c r="G21" s="18">
        <f>AnMBR_35_CED_Detail_yr!G21/AnMBR_35_CED_Detail_yr!G$4</f>
        <v>0.38707086628619691</v>
      </c>
      <c r="H21" s="18">
        <f>AnMBR_35_CED_Detail_yr!H21/AnMBR_35_CED_Detail_yr!H$4</f>
        <v>0.38707086628619691</v>
      </c>
      <c r="I21" s="18">
        <f>AnMBR_35_CED_Detail_yr!I21/AnMBR_35_CED_Detail_yr!I$4</f>
        <v>0.19887671472211005</v>
      </c>
      <c r="J21" s="18">
        <f>AnMBR_35_CED_Detail_yr!J21/AnMBR_35_CED_Detail_yr!J$4</f>
        <v>0.19887671472211005</v>
      </c>
      <c r="K21" s="18">
        <f>AnMBR_35_CED_Detail_yr!K21/AnMBR_35_CED_Detail_yr!K$4</f>
        <v>0.19887671472211005</v>
      </c>
      <c r="L21" s="18">
        <f>AnMBR_35_CED_Detail_yr!L21/AnMBR_35_CED_Detail_yr!L$4</f>
        <v>0.19887671472211005</v>
      </c>
      <c r="M21" s="18">
        <f>AnMBR_35_CED_Detail_yr!M21/AnMBR_35_CED_Detail_yr!M$4</f>
        <v>0.37503589664990367</v>
      </c>
      <c r="N21" s="18">
        <f>AnMBR_35_CED_Detail_yr!N21/AnMBR_35_CED_Detail_yr!N$4</f>
        <v>0.37503589664990367</v>
      </c>
      <c r="O21" s="18">
        <f>AnMBR_35_CED_Detail_yr!O21/AnMBR_35_CED_Detail_yr!O$4</f>
        <v>0.37503589664990367</v>
      </c>
      <c r="P21" s="18">
        <f>AnMBR_35_CED_Detail_yr!P21/AnMBR_35_CED_Detail_yr!P$4</f>
        <v>0.37503589664990367</v>
      </c>
      <c r="Q21" s="18">
        <f>AnMBR_35_CED_Detail_yr!Q21/AnMBR_35_CED_Detail_yr!Q$4</f>
        <v>0.31258051569307832</v>
      </c>
      <c r="R21" s="18">
        <f>AnMBR_35_CED_Detail_yr!R21/AnMBR_35_CED_Detail_yr!R$4</f>
        <v>0.31258051569307832</v>
      </c>
      <c r="S21" s="18">
        <f>AnMBR_35_CED_Detail_yr!S21/AnMBR_35_CED_Detail_yr!S$4</f>
        <v>0.31258051569307832</v>
      </c>
      <c r="T21" s="18">
        <f>AnMBR_35_CED_Detail_yr!T21/AnMBR_35_CED_Detail_yr!T$4</f>
        <v>0.28127668646530241</v>
      </c>
      <c r="U21" s="18">
        <f>AnMBR_35_CED_Detail_yr!U21/AnMBR_35_CED_Detail_yr!U$4</f>
        <v>0.28127668646530241</v>
      </c>
      <c r="V21" s="18">
        <f>AnMBR_35_CED_Detail_yr!V21/AnMBR_35_CED_Detail_yr!V$4</f>
        <v>0.28127668646530241</v>
      </c>
      <c r="W21" s="2" t="s">
        <v>1</v>
      </c>
    </row>
    <row r="22" spans="1:23" x14ac:dyDescent="0.2">
      <c r="B22" s="130" t="s">
        <v>14</v>
      </c>
      <c r="C22" s="120" t="s">
        <v>7</v>
      </c>
      <c r="D22" s="2" t="s">
        <v>3</v>
      </c>
      <c r="E22" s="18">
        <f>AnMBR_35_CED_Detail_yr!E22/AnMBR_35_CED_Detail_yr!E$4</f>
        <v>7.2440092797637234</v>
      </c>
      <c r="F22" s="18">
        <f>AnMBR_35_CED_Detail_yr!F22/AnMBR_35_CED_Detail_yr!F$4</f>
        <v>7.2440092797637234</v>
      </c>
      <c r="G22" s="18">
        <f>AnMBR_35_CED_Detail_yr!G22/AnMBR_35_CED_Detail_yr!G$4</f>
        <v>7.2440092797637234</v>
      </c>
      <c r="H22" s="18">
        <f>AnMBR_35_CED_Detail_yr!H22/AnMBR_35_CED_Detail_yr!H$4</f>
        <v>7.2440092797637234</v>
      </c>
      <c r="I22" s="18">
        <f>AnMBR_35_CED_Detail_yr!I22/AnMBR_35_CED_Detail_yr!I$4</f>
        <v>4.1580201002347392</v>
      </c>
      <c r="J22" s="18">
        <f>AnMBR_35_CED_Detail_yr!J22/AnMBR_35_CED_Detail_yr!J$4</f>
        <v>4.1580201002347392</v>
      </c>
      <c r="K22" s="18">
        <f>AnMBR_35_CED_Detail_yr!K22/AnMBR_35_CED_Detail_yr!K$4</f>
        <v>4.1580201002347392</v>
      </c>
      <c r="L22" s="18">
        <f>AnMBR_35_CED_Detail_yr!L22/AnMBR_35_CED_Detail_yr!L$4</f>
        <v>4.1580201002347392</v>
      </c>
      <c r="M22" s="18">
        <f>AnMBR_35_CED_Detail_yr!M22/AnMBR_35_CED_Detail_yr!M$4</f>
        <v>0.65763858205097636</v>
      </c>
      <c r="N22" s="18">
        <f>AnMBR_35_CED_Detail_yr!N22/AnMBR_35_CED_Detail_yr!N$4</f>
        <v>0.65763858205097636</v>
      </c>
      <c r="O22" s="18">
        <f>AnMBR_35_CED_Detail_yr!O22/AnMBR_35_CED_Detail_yr!O$4</f>
        <v>0.65763858205097636</v>
      </c>
      <c r="P22" s="18">
        <f>AnMBR_35_CED_Detail_yr!P22/AnMBR_35_CED_Detail_yr!P$4</f>
        <v>0.65763858205097636</v>
      </c>
      <c r="Q22" s="18">
        <f>AnMBR_35_CED_Detail_yr!Q22/AnMBR_35_CED_Detail_yr!Q$4</f>
        <v>0.18121053217033631</v>
      </c>
      <c r="R22" s="18">
        <f>AnMBR_35_CED_Detail_yr!R22/AnMBR_35_CED_Detail_yr!R$4</f>
        <v>0.18121053217033631</v>
      </c>
      <c r="S22" s="18">
        <f>AnMBR_35_CED_Detail_yr!S22/AnMBR_35_CED_Detail_yr!S$4</f>
        <v>0.18121053217033631</v>
      </c>
      <c r="T22" s="18">
        <f>AnMBR_35_CED_Detail_yr!T22/AnMBR_35_CED_Detail_yr!T$4</f>
        <v>0.10379572061918348</v>
      </c>
      <c r="U22" s="18">
        <f>AnMBR_35_CED_Detail_yr!U22/AnMBR_35_CED_Detail_yr!U$4</f>
        <v>0.10379572061918348</v>
      </c>
      <c r="V22" s="18">
        <f>AnMBR_35_CED_Detail_yr!V22/AnMBR_35_CED_Detail_yr!V$4</f>
        <v>0.10379572061918348</v>
      </c>
      <c r="W22" s="2" t="s">
        <v>1</v>
      </c>
    </row>
    <row r="23" spans="1:23" x14ac:dyDescent="0.2">
      <c r="B23" s="130"/>
      <c r="C23" s="120"/>
      <c r="D23" s="2" t="s">
        <v>17</v>
      </c>
      <c r="E23" s="18">
        <f>AnMBR_35_CED_Detail_yr!E23/AnMBR_35_CED_Detail_yr!E$4</f>
        <v>0.47575756936991892</v>
      </c>
      <c r="F23" s="18">
        <f>AnMBR_35_CED_Detail_yr!F23/AnMBR_35_CED_Detail_yr!F$4</f>
        <v>0.47575756936991892</v>
      </c>
      <c r="G23" s="18">
        <f>AnMBR_35_CED_Detail_yr!G23/AnMBR_35_CED_Detail_yr!G$4</f>
        <v>0.47575756936991892</v>
      </c>
      <c r="H23" s="18">
        <f>AnMBR_35_CED_Detail_yr!H23/AnMBR_35_CED_Detail_yr!H$4</f>
        <v>0.47575756936991892</v>
      </c>
      <c r="I23" s="18">
        <f>AnMBR_35_CED_Detail_yr!I23/AnMBR_35_CED_Detail_yr!I$4</f>
        <v>0.47584146990068138</v>
      </c>
      <c r="J23" s="18">
        <f>AnMBR_35_CED_Detail_yr!J23/AnMBR_35_CED_Detail_yr!J$4</f>
        <v>0.47584146990068138</v>
      </c>
      <c r="K23" s="18">
        <f>AnMBR_35_CED_Detail_yr!K23/AnMBR_35_CED_Detail_yr!K$4</f>
        <v>0.47584146990068138</v>
      </c>
      <c r="L23" s="18">
        <f>AnMBR_35_CED_Detail_yr!L23/AnMBR_35_CED_Detail_yr!L$4</f>
        <v>0.47584146990068138</v>
      </c>
      <c r="M23" s="18">
        <f>AnMBR_35_CED_Detail_yr!M23/AnMBR_35_CED_Detail_yr!M$4</f>
        <v>1.1347248165637367</v>
      </c>
      <c r="N23" s="18">
        <f>AnMBR_35_CED_Detail_yr!N23/AnMBR_35_CED_Detail_yr!N$4</f>
        <v>1.1347248165637367</v>
      </c>
      <c r="O23" s="18">
        <f>AnMBR_35_CED_Detail_yr!O23/AnMBR_35_CED_Detail_yr!O$4</f>
        <v>1.1347248165637367</v>
      </c>
      <c r="P23" s="18">
        <f>AnMBR_35_CED_Detail_yr!P23/AnMBR_35_CED_Detail_yr!P$4</f>
        <v>1.1347248165637367</v>
      </c>
      <c r="Q23" s="18">
        <f>AnMBR_35_CED_Detail_yr!Q23/AnMBR_35_CED_Detail_yr!Q$4</f>
        <v>0.47582411111558692</v>
      </c>
      <c r="R23" s="18">
        <f>AnMBR_35_CED_Detail_yr!R23/AnMBR_35_CED_Detail_yr!R$4</f>
        <v>0.47582411111558692</v>
      </c>
      <c r="S23" s="18">
        <f>AnMBR_35_CED_Detail_yr!S23/AnMBR_35_CED_Detail_yr!S$4</f>
        <v>0.47582411111558692</v>
      </c>
      <c r="T23" s="18">
        <f>AnMBR_35_CED_Detail_yr!T23/AnMBR_35_CED_Detail_yr!T$4</f>
        <v>0.47582483446426205</v>
      </c>
      <c r="U23" s="18">
        <f>AnMBR_35_CED_Detail_yr!U23/AnMBR_35_CED_Detail_yr!U$4</f>
        <v>0.47582483446426205</v>
      </c>
      <c r="V23" s="18">
        <f>AnMBR_35_CED_Detail_yr!V23/AnMBR_35_CED_Detail_yr!V$4</f>
        <v>0.47582483446426205</v>
      </c>
      <c r="W23" s="2" t="s">
        <v>1</v>
      </c>
    </row>
    <row r="24" spans="1:23" x14ac:dyDescent="0.2">
      <c r="B24" s="130"/>
      <c r="C24" s="120"/>
      <c r="D24" s="2" t="s">
        <v>4</v>
      </c>
      <c r="E24" s="21">
        <f>AnMBR_35_CED_Detail_yr!E24/AnMBR_35_CED_Detail_yr!E$4</f>
        <v>1.8986052658583479E-2</v>
      </c>
      <c r="F24" s="21">
        <f>AnMBR_35_CED_Detail_yr!F24/AnMBR_35_CED_Detail_yr!F$4</f>
        <v>1.8986052658583479E-2</v>
      </c>
      <c r="G24" s="21">
        <f>AnMBR_35_CED_Detail_yr!G24/AnMBR_35_CED_Detail_yr!G$4</f>
        <v>1.8986052658583479E-2</v>
      </c>
      <c r="H24" s="21">
        <f>AnMBR_35_CED_Detail_yr!H24/AnMBR_35_CED_Detail_yr!H$4</f>
        <v>1.8986052658583479E-2</v>
      </c>
      <c r="I24" s="48">
        <f>AnMBR_35_CED_Detail_yr!I24/AnMBR_35_CED_Detail_yr!I$4</f>
        <v>9.6143999936686968E-3</v>
      </c>
      <c r="J24" s="48">
        <f>AnMBR_35_CED_Detail_yr!J24/AnMBR_35_CED_Detail_yr!J$4</f>
        <v>9.6143999936686968E-3</v>
      </c>
      <c r="K24" s="48">
        <f>AnMBR_35_CED_Detail_yr!K24/AnMBR_35_CED_Detail_yr!K$4</f>
        <v>9.6143999936686968E-3</v>
      </c>
      <c r="L24" s="48">
        <f>AnMBR_35_CED_Detail_yr!L24/AnMBR_35_CED_Detail_yr!L$4</f>
        <v>9.6143999936686968E-3</v>
      </c>
      <c r="M24" s="48">
        <f>AnMBR_35_CED_Detail_yr!M24/AnMBR_35_CED_Detail_yr!M$4</f>
        <v>1.2433963257350638E-3</v>
      </c>
      <c r="N24" s="48">
        <f>AnMBR_35_CED_Detail_yr!N24/AnMBR_35_CED_Detail_yr!N$4</f>
        <v>1.2433963257350638E-3</v>
      </c>
      <c r="O24" s="48">
        <f>AnMBR_35_CED_Detail_yr!O24/AnMBR_35_CED_Detail_yr!O$4</f>
        <v>1.2433963257350638E-3</v>
      </c>
      <c r="P24" s="48">
        <f>AnMBR_35_CED_Detail_yr!P24/AnMBR_35_CED_Detail_yr!P$4</f>
        <v>1.2433963257350638E-3</v>
      </c>
      <c r="Q24" s="49">
        <f>AnMBR_35_CED_Detail_yr!Q24/AnMBR_35_CED_Detail_yr!Q$4</f>
        <v>4.9460657337240433E-4</v>
      </c>
      <c r="R24" s="49">
        <f>AnMBR_35_CED_Detail_yr!R24/AnMBR_35_CED_Detail_yr!R$4</f>
        <v>4.9460657337240433E-4</v>
      </c>
      <c r="S24" s="49">
        <f>AnMBR_35_CED_Detail_yr!S24/AnMBR_35_CED_Detail_yr!S$4</f>
        <v>4.9460657337240433E-4</v>
      </c>
      <c r="T24" s="49">
        <f>AnMBR_35_CED_Detail_yr!T24/AnMBR_35_CED_Detail_yr!T$4</f>
        <v>4.009362498837952E-4</v>
      </c>
      <c r="U24" s="49">
        <f>AnMBR_35_CED_Detail_yr!U24/AnMBR_35_CED_Detail_yr!U$4</f>
        <v>4.009362498837952E-4</v>
      </c>
      <c r="V24" s="49">
        <f>AnMBR_35_CED_Detail_yr!V24/AnMBR_35_CED_Detail_yr!V$4</f>
        <v>4.009362498837952E-4</v>
      </c>
      <c r="W24" s="2" t="s">
        <v>1</v>
      </c>
    </row>
    <row r="25" spans="1:23" ht="12.75" customHeight="1" x14ac:dyDescent="0.2">
      <c r="B25" s="121" t="s">
        <v>11</v>
      </c>
      <c r="C25" s="122"/>
      <c r="D25" s="2" t="s">
        <v>3</v>
      </c>
      <c r="E25" s="18">
        <f>AnMBR_35_CED_Detail_yr!E25/AnMBR_35_CED_Detail_yr!E$4</f>
        <v>0.42319248341154353</v>
      </c>
      <c r="F25" s="18">
        <f>AnMBR_35_CED_Detail_yr!F25/AnMBR_35_CED_Detail_yr!F$4</f>
        <v>0.20561833379331135</v>
      </c>
      <c r="G25" s="21">
        <f>AnMBR_35_CED_Detail_yr!G25/AnMBR_35_CED_Detail_yr!G$4</f>
        <v>5.7381985064897292E-2</v>
      </c>
      <c r="H25" s="21">
        <f>AnMBR_35_CED_Detail_yr!H25/AnMBR_35_CED_Detail_yr!H$4</f>
        <v>2.630004635141775E-2</v>
      </c>
      <c r="I25" s="18">
        <f>AnMBR_35_CED_Detail_yr!I25/AnMBR_35_CED_Detail_yr!I$4</f>
        <v>0.42199690189009575</v>
      </c>
      <c r="J25" s="18">
        <f>AnMBR_35_CED_Detail_yr!J25/AnMBR_35_CED_Detail_yr!J$4</f>
        <v>0.2068146386855646</v>
      </c>
      <c r="K25" s="21">
        <f>AnMBR_35_CED_Detail_yr!K25/AnMBR_35_CED_Detail_yr!K$4</f>
        <v>5.6186548146501765E-2</v>
      </c>
      <c r="L25" s="21">
        <f>AnMBR_35_CED_Detail_yr!L25/AnMBR_35_CED_Detail_yr!L$4</f>
        <v>2.6300046355222203E-2</v>
      </c>
      <c r="M25" s="18">
        <f>AnMBR_35_CED_Detail_yr!M25/AnMBR_35_CED_Detail_yr!M$4</f>
        <v>0.4222363075185665</v>
      </c>
      <c r="N25" s="18">
        <f>AnMBR_35_CED_Detail_yr!N25/AnMBR_35_CED_Detail_yr!N$4</f>
        <v>0.2068146386855646</v>
      </c>
      <c r="O25" s="21">
        <f>AnMBR_35_CED_Detail_yr!O25/AnMBR_35_CED_Detail_yr!O$4</f>
        <v>5.6305889320814977E-2</v>
      </c>
      <c r="P25" s="21">
        <f>AnMBR_35_CED_Detail_yr!P25/AnMBR_35_CED_Detail_yr!P$4</f>
        <v>2.6300118683206641E-2</v>
      </c>
      <c r="Q25" s="18">
        <f>AnMBR_35_CED_Detail_yr!Q25/AnMBR_35_CED_Detail_yr!Q$4</f>
        <v>0.2064558918529156</v>
      </c>
      <c r="R25" s="21">
        <f>AnMBR_35_CED_Detail_yr!R25/AnMBR_35_CED_Detail_yr!R$4</f>
        <v>5.6305889312669992E-2</v>
      </c>
      <c r="S25" s="21">
        <f>AnMBR_35_CED_Detail_yr!S25/AnMBR_35_CED_Detail_yr!S$4</f>
        <v>2.6276178116558559E-2</v>
      </c>
      <c r="T25" s="18">
        <f>AnMBR_35_CED_Detail_yr!T25/AnMBR_35_CED_Detail_yr!T$4</f>
        <v>0.2064435961254272</v>
      </c>
      <c r="U25" s="21">
        <f>AnMBR_35_CED_Detail_yr!U25/AnMBR_35_CED_Detail_yr!U$4</f>
        <v>5.6305889320814977E-2</v>
      </c>
      <c r="V25" s="21">
        <f>AnMBR_35_CED_Detail_yr!V25/AnMBR_35_CED_Detail_yr!V$4</f>
        <v>2.62760334643907E-2</v>
      </c>
      <c r="W25" s="2" t="s">
        <v>1</v>
      </c>
    </row>
    <row r="26" spans="1:23" x14ac:dyDescent="0.2">
      <c r="B26" s="123"/>
      <c r="C26" s="124"/>
      <c r="D26" s="2" t="s">
        <v>20</v>
      </c>
      <c r="E26" s="21">
        <f>AnMBR_35_CED_Detail_yr!E26/AnMBR_35_CED_Detail_yr!E$4</f>
        <v>8.423155976874E-2</v>
      </c>
      <c r="F26" s="21">
        <f>AnMBR_35_CED_Detail_yr!F26/AnMBR_35_CED_Detail_yr!F$4</f>
        <v>4.1288806302006022E-2</v>
      </c>
      <c r="G26" s="21">
        <f>AnMBR_35_CED_Detail_yr!G26/AnMBR_35_CED_Detail_yr!G$4</f>
        <v>1.1258848901435617E-2</v>
      </c>
      <c r="H26" s="48">
        <f>AnMBR_35_CED_Detail_yr!H26/AnMBR_35_CED_Detail_yr!H$4</f>
        <v>5.2676471054384898E-3</v>
      </c>
      <c r="I26" s="21">
        <f>AnMBR_35_CED_Detail_yr!I26/AnMBR_35_CED_Detail_yr!I$4</f>
        <v>8.4375656799125384E-2</v>
      </c>
      <c r="J26" s="21">
        <f>AnMBR_35_CED_Detail_yr!J26/AnMBR_35_CED_Detail_yr!J$4</f>
        <v>4.1230831667401054E-2</v>
      </c>
      <c r="K26" s="21">
        <f>AnMBR_35_CED_Detail_yr!K26/AnMBR_35_CED_Detail_yr!K$4</f>
        <v>1.1221976096600717E-2</v>
      </c>
      <c r="L26" s="48">
        <f>AnMBR_35_CED_Detail_yr!L26/AnMBR_35_CED_Detail_yr!L$4</f>
        <v>5.2445600135697127E-3</v>
      </c>
      <c r="M26" s="21">
        <f>AnMBR_35_CED_Detail_yr!M26/AnMBR_35_CED_Detail_yr!M$4</f>
        <v>8.443134934713821E-2</v>
      </c>
      <c r="N26" s="21">
        <f>AnMBR_35_CED_Detail_yr!N26/AnMBR_35_CED_Detail_yr!N$4</f>
        <v>4.1230856837539645E-2</v>
      </c>
      <c r="O26" s="21">
        <f>AnMBR_35_CED_Detail_yr!O26/AnMBR_35_CED_Detail_yr!O$4</f>
        <v>1.1071967856888239E-2</v>
      </c>
      <c r="P26" s="48">
        <f>AnMBR_35_CED_Detail_yr!P26/AnMBR_35_CED_Detail_yr!P$4</f>
        <v>5.2516553888425173E-3</v>
      </c>
      <c r="Q26" s="21">
        <f>AnMBR_35_CED_Detail_yr!Q26/AnMBR_35_CED_Detail_yr!Q$4</f>
        <v>4.1259354057437539E-2</v>
      </c>
      <c r="R26" s="21">
        <f>AnMBR_35_CED_Detail_yr!R26/AnMBR_35_CED_Detail_yr!R$4</f>
        <v>1.1256838183468692E-2</v>
      </c>
      <c r="S26" s="48">
        <f>AnMBR_35_CED_Detail_yr!S26/AnMBR_35_CED_Detail_yr!S$4</f>
        <v>5.2519374672220787E-3</v>
      </c>
      <c r="T26" s="21">
        <f>AnMBR_35_CED_Detail_yr!T26/AnMBR_35_CED_Detail_yr!T$4</f>
        <v>4.1293999167948993E-2</v>
      </c>
      <c r="U26" s="21">
        <f>AnMBR_35_CED_Detail_yr!U26/AnMBR_35_CED_Detail_yr!U$4</f>
        <v>1.1248231154949623E-2</v>
      </c>
      <c r="V26" s="48">
        <f>AnMBR_35_CED_Detail_yr!V26/AnMBR_35_CED_Detail_yr!V$4</f>
        <v>5.2518579071989275E-3</v>
      </c>
      <c r="W26" s="2" t="s">
        <v>1</v>
      </c>
    </row>
    <row r="27" spans="1:23" x14ac:dyDescent="0.2">
      <c r="B27" s="123"/>
      <c r="C27" s="124"/>
      <c r="D27" s="4" t="s">
        <v>21</v>
      </c>
      <c r="E27" s="21">
        <f>AnMBR_35_CED_Detail_yr!E27/AnMBR_35_CED_Detail_yr!E$4</f>
        <v>1.8120663947821473E-2</v>
      </c>
      <c r="F27" s="48">
        <f>AnMBR_35_CED_Detail_yr!F27/AnMBR_35_CED_Detail_yr!F$4</f>
        <v>8.8589913341000828E-3</v>
      </c>
      <c r="G27" s="48">
        <f>AnMBR_35_CED_Detail_yr!G27/AnMBR_35_CED_Detail_yr!G$4</f>
        <v>2.4160439916252551E-3</v>
      </c>
      <c r="H27" s="48">
        <f>AnMBR_35_CED_Detail_yr!H27/AnMBR_35_CED_Detail_yr!H$4</f>
        <v>1.1275064835542983E-3</v>
      </c>
      <c r="I27" s="21">
        <f>AnMBR_35_CED_Detail_yr!I27/AnMBR_35_CED_Detail_yr!I$4</f>
        <v>1.8120662648539013E-2</v>
      </c>
      <c r="J27" s="48">
        <f>AnMBR_35_CED_Detail_yr!J27/AnMBR_35_CED_Detail_yr!J$4</f>
        <v>8.8589912630536033E-3</v>
      </c>
      <c r="K27" s="48">
        <f>AnMBR_35_CED_Detail_yr!K27/AnMBR_35_CED_Detail_yr!K$4</f>
        <v>2.4160873887654091E-3</v>
      </c>
      <c r="L27" s="48">
        <f>AnMBR_35_CED_Detail_yr!L27/AnMBR_35_CED_Detail_yr!L$4</f>
        <v>1.1275064837173985E-3</v>
      </c>
      <c r="M27" s="21">
        <f>AnMBR_35_CED_Detail_yr!M27/AnMBR_35_CED_Detail_yr!M$4</f>
        <v>1.8120691579732787E-2</v>
      </c>
      <c r="N27" s="48">
        <f>AnMBR_35_CED_Detail_yr!N27/AnMBR_35_CED_Detail_yr!N$4</f>
        <v>8.8590208451992357E-3</v>
      </c>
      <c r="O27" s="48">
        <f>AnMBR_35_CED_Detail_yr!O27/AnMBR_35_CED_Detail_yr!O$4</f>
        <v>2.4160873887654095E-3</v>
      </c>
      <c r="P27" s="48">
        <f>AnMBR_35_CED_Detail_yr!P27/AnMBR_35_CED_Detail_yr!P$4</f>
        <v>1.2080436943827048E-3</v>
      </c>
      <c r="Q27" s="48">
        <f>AnMBR_35_CED_Detail_yr!Q27/AnMBR_35_CED_Detail_yr!Q$4</f>
        <v>8.8589919127239573E-3</v>
      </c>
      <c r="R27" s="48">
        <f>AnMBR_35_CED_Detail_yr!R27/AnMBR_35_CED_Detail_yr!R$4</f>
        <v>2.4160873884159079E-3</v>
      </c>
      <c r="S27" s="48">
        <f>AnMBR_35_CED_Detail_yr!S27/AnMBR_35_CED_Detail_yr!S$4</f>
        <v>1.1274486211667607E-3</v>
      </c>
      <c r="T27" s="48">
        <f>AnMBR_35_CED_Detail_yr!T27/AnMBR_35_CED_Detail_yr!T$4</f>
        <v>8.8590208451992374E-3</v>
      </c>
      <c r="U27" s="48">
        <f>AnMBR_35_CED_Detail_yr!U27/AnMBR_35_CED_Detail_yr!U$4</f>
        <v>2.4160873887654095E-3</v>
      </c>
      <c r="V27" s="48">
        <f>AnMBR_35_CED_Detail_yr!V27/AnMBR_35_CED_Detail_yr!V$4</f>
        <v>1.1275064837173987E-3</v>
      </c>
      <c r="W27" s="4" t="s">
        <v>1</v>
      </c>
    </row>
    <row r="28" spans="1:23" x14ac:dyDescent="0.2">
      <c r="B28" s="125"/>
      <c r="C28" s="126"/>
      <c r="D28" s="2" t="s">
        <v>22</v>
      </c>
      <c r="E28" s="17">
        <f>AnMBR_35_CED_Detail_yr!E28/AnMBR_35_CED_Detail_yr!E$4</f>
        <v>-12.316501017635359</v>
      </c>
      <c r="F28" s="17">
        <f>AnMBR_35_CED_Detail_yr!F28/AnMBR_35_CED_Detail_yr!F$4</f>
        <v>-12.316501017635359</v>
      </c>
      <c r="G28" s="17">
        <f>AnMBR_35_CED_Detail_yr!G28/AnMBR_35_CED_Detail_yr!G$4</f>
        <v>-12.316501017635359</v>
      </c>
      <c r="H28" s="17">
        <f>AnMBR_35_CED_Detail_yr!H28/AnMBR_35_CED_Detail_yr!H$4</f>
        <v>-12.316501017635359</v>
      </c>
      <c r="I28" s="17">
        <f>AnMBR_35_CED_Detail_yr!I28/AnMBR_35_CED_Detail_yr!I$4</f>
        <v>-12.32722002670987</v>
      </c>
      <c r="J28" s="17">
        <f>AnMBR_35_CED_Detail_yr!J28/AnMBR_35_CED_Detail_yr!J$4</f>
        <v>-12.32722002670987</v>
      </c>
      <c r="K28" s="17">
        <f>AnMBR_35_CED_Detail_yr!K28/AnMBR_35_CED_Detail_yr!K$4</f>
        <v>-12.32722002670987</v>
      </c>
      <c r="L28" s="17">
        <f>AnMBR_35_CED_Detail_yr!L28/AnMBR_35_CED_Detail_yr!L$4</f>
        <v>-12.32722002670987</v>
      </c>
      <c r="M28" s="17">
        <f>AnMBR_35_CED_Detail_yr!M28/AnMBR_35_CED_Detail_yr!M$4</f>
        <v>-12.370182849462624</v>
      </c>
      <c r="N28" s="17">
        <f>AnMBR_35_CED_Detail_yr!N28/AnMBR_35_CED_Detail_yr!N$4</f>
        <v>-12.370182849462624</v>
      </c>
      <c r="O28" s="17">
        <f>AnMBR_35_CED_Detail_yr!O28/AnMBR_35_CED_Detail_yr!O$4</f>
        <v>-12.370182849462624</v>
      </c>
      <c r="P28" s="17">
        <f>AnMBR_35_CED_Detail_yr!P28/AnMBR_35_CED_Detail_yr!P$4</f>
        <v>-12.370182849462624</v>
      </c>
      <c r="Q28" s="17">
        <f>AnMBR_35_CED_Detail_yr!Q28/AnMBR_35_CED_Detail_yr!Q$4</f>
        <v>-12.382623260993752</v>
      </c>
      <c r="R28" s="17">
        <f>AnMBR_35_CED_Detail_yr!R28/AnMBR_35_CED_Detail_yr!R$4</f>
        <v>-12.382623260993752</v>
      </c>
      <c r="S28" s="17">
        <f>AnMBR_35_CED_Detail_yr!S28/AnMBR_35_CED_Detail_yr!S$4</f>
        <v>-12.382623260993752</v>
      </c>
      <c r="T28" s="17">
        <f>AnMBR_35_CED_Detail_yr!T28/AnMBR_35_CED_Detail_yr!T$4</f>
        <v>-12.378862207594496</v>
      </c>
      <c r="U28" s="17">
        <f>AnMBR_35_CED_Detail_yr!U28/AnMBR_35_CED_Detail_yr!U$4</f>
        <v>-12.378862207594496</v>
      </c>
      <c r="V28" s="17">
        <f>AnMBR_35_CED_Detail_yr!V28/AnMBR_35_CED_Detail_yr!V$4</f>
        <v>-12.378862207594496</v>
      </c>
      <c r="W28" s="2" t="s">
        <v>1</v>
      </c>
    </row>
    <row r="29" spans="1:23" x14ac:dyDescent="0.2">
      <c r="D29" s="15" t="s">
        <v>23</v>
      </c>
      <c r="E29" s="112">
        <f t="shared" ref="E29:V29" si="0">SUM(E6:E28)</f>
        <v>11.009624609955205</v>
      </c>
      <c r="F29" s="112">
        <f t="shared" si="0"/>
        <v>10.720719589219117</v>
      </c>
      <c r="G29" s="112">
        <f t="shared" si="0"/>
        <v>10.520259177796456</v>
      </c>
      <c r="H29" s="112">
        <f t="shared" si="0"/>
        <v>10.479052925643272</v>
      </c>
      <c r="I29" s="50">
        <f t="shared" si="0"/>
        <v>6.7161548294032762</v>
      </c>
      <c r="J29" s="50">
        <f t="shared" si="0"/>
        <v>6.4298575755158147</v>
      </c>
      <c r="K29" s="50">
        <f t="shared" si="0"/>
        <v>6.2284688555037313</v>
      </c>
      <c r="L29" s="51">
        <f t="shared" si="0"/>
        <v>6.1886117062094961</v>
      </c>
      <c r="M29" s="50">
        <f t="shared" si="0"/>
        <v>1.6932177323475983</v>
      </c>
      <c r="N29" s="50">
        <f t="shared" si="0"/>
        <v>1.404765458048761</v>
      </c>
      <c r="O29" s="50">
        <f t="shared" si="0"/>
        <v>1.2033460937111951</v>
      </c>
      <c r="P29" s="50">
        <f t="shared" si="0"/>
        <v>1.1635171659140955</v>
      </c>
      <c r="Q29" s="50">
        <f t="shared" si="0"/>
        <v>-0.31838935940833046</v>
      </c>
      <c r="R29" s="50">
        <f t="shared" si="0"/>
        <v>-0.51671405716895435</v>
      </c>
      <c r="S29" s="50">
        <f t="shared" si="0"/>
        <v>-0.5567963846650219</v>
      </c>
      <c r="T29" s="50">
        <f t="shared" si="0"/>
        <v>-0.60264458445203672</v>
      </c>
      <c r="U29" s="50">
        <f t="shared" si="0"/>
        <v>-0.80322273544713063</v>
      </c>
      <c r="V29" s="50">
        <f t="shared" si="0"/>
        <v>-0.84348179854880279</v>
      </c>
      <c r="W29" s="15" t="str">
        <f>W28</f>
        <v>MJ</v>
      </c>
    </row>
    <row r="32" spans="1:23" ht="15.75" x14ac:dyDescent="0.25">
      <c r="A32" s="42" t="s">
        <v>25</v>
      </c>
    </row>
    <row r="34" spans="2:23" ht="75" customHeight="1" x14ac:dyDescent="0.2">
      <c r="B34" s="13"/>
      <c r="C34" s="2"/>
      <c r="D34" s="2"/>
      <c r="E34" s="3" t="str">
        <f>E5</f>
        <v>0.05 MGD AnMBR [semi rural single family]</v>
      </c>
      <c r="F34" s="3" t="str">
        <f t="shared" ref="F34:V34" si="1">F5</f>
        <v>0.05 MGD AnMBR [single family]</v>
      </c>
      <c r="G34" s="3" t="str">
        <f t="shared" si="1"/>
        <v>0.05 MGD AnMBR [multi family]</v>
      </c>
      <c r="H34" s="3" t="str">
        <f t="shared" si="1"/>
        <v>0.05 MGD AnMBR [high density urban]</v>
      </c>
      <c r="I34" s="3" t="str">
        <f t="shared" si="1"/>
        <v>0.1 MGD AnMBR [semi rural single family]</v>
      </c>
      <c r="J34" s="3" t="str">
        <f t="shared" si="1"/>
        <v>0.1 MGD AnMBR [single family]</v>
      </c>
      <c r="K34" s="3" t="str">
        <f t="shared" si="1"/>
        <v>0.1 MGD AnMBR [multi family]</v>
      </c>
      <c r="L34" s="3" t="str">
        <f t="shared" si="1"/>
        <v>0.1 MGD AnMBR [high density urban]</v>
      </c>
      <c r="M34" s="3" t="str">
        <f t="shared" si="1"/>
        <v>1 MGD AnMBR [semi rural single family]</v>
      </c>
      <c r="N34" s="3" t="str">
        <f t="shared" si="1"/>
        <v>1 MGD AnMBR [single family]</v>
      </c>
      <c r="O34" s="3" t="str">
        <f t="shared" si="1"/>
        <v>1 MGD AnMBR [multi family]</v>
      </c>
      <c r="P34" s="3" t="str">
        <f t="shared" si="1"/>
        <v>1 MGD AnMBR [high density urban]</v>
      </c>
      <c r="Q34" s="3" t="str">
        <f t="shared" si="1"/>
        <v>5 MGD AnMBR [single family]</v>
      </c>
      <c r="R34" s="3" t="str">
        <f t="shared" si="1"/>
        <v>5 MGD AnMBR [multi family]</v>
      </c>
      <c r="S34" s="3" t="str">
        <f t="shared" si="1"/>
        <v>5 MGD AnMBR [high density urban]</v>
      </c>
      <c r="T34" s="3" t="str">
        <f t="shared" si="1"/>
        <v>10 MGD AnMBR [single family]</v>
      </c>
      <c r="U34" s="3" t="str">
        <f t="shared" si="1"/>
        <v>10 MGD AnMBR [multi family]</v>
      </c>
      <c r="V34" s="3" t="str">
        <f t="shared" si="1"/>
        <v>10 MGD AnMBR [high density urban]</v>
      </c>
      <c r="W34" s="2" t="s">
        <v>0</v>
      </c>
    </row>
    <row r="35" spans="2:23" ht="12.75" customHeight="1" x14ac:dyDescent="0.2">
      <c r="B35" s="134" t="str">
        <f>B6</f>
        <v>Wastewater collection</v>
      </c>
      <c r="C35" s="135"/>
      <c r="D35" s="82" t="str">
        <f t="shared" ref="D35:D37" si="2">D6</f>
        <v>Pipe infrastructure</v>
      </c>
      <c r="E35" s="5">
        <f>E6/$E$29</f>
        <v>3.003625429303396E-3</v>
      </c>
      <c r="F35" s="5">
        <f t="shared" ref="F35:V50" si="3">F6/$E$29</f>
        <v>1.5994491262852227E-3</v>
      </c>
      <c r="G35" s="5">
        <f t="shared" si="3"/>
        <v>4.0048348254711108E-4</v>
      </c>
      <c r="H35" s="5">
        <f t="shared" si="3"/>
        <v>1.8845334283670211E-4</v>
      </c>
      <c r="I35" s="5">
        <f t="shared" si="3"/>
        <v>2.8346507231979735E-3</v>
      </c>
      <c r="J35" s="5">
        <f t="shared" si="3"/>
        <v>1.4684394186997636E-3</v>
      </c>
      <c r="K35" s="5">
        <f t="shared" si="3"/>
        <v>4.0047813501314867E-4</v>
      </c>
      <c r="L35" s="5">
        <f t="shared" si="3"/>
        <v>1.8088362945132362E-4</v>
      </c>
      <c r="M35" s="5">
        <f t="shared" si="3"/>
        <v>3.0035860125986148E-3</v>
      </c>
      <c r="N35" s="5">
        <f t="shared" si="3"/>
        <v>1.4684395369511814E-3</v>
      </c>
      <c r="O35" s="5">
        <f t="shared" si="3"/>
        <v>4.0048339063171836E-4</v>
      </c>
      <c r="P35" s="5">
        <f t="shared" si="3"/>
        <v>1.8689176719643302E-4</v>
      </c>
      <c r="Q35" s="5">
        <f t="shared" si="3"/>
        <v>1.2341427470296117E-3</v>
      </c>
      <c r="R35" s="5">
        <f t="shared" si="3"/>
        <v>4.0048339057378613E-4</v>
      </c>
      <c r="S35" s="5">
        <f t="shared" si="3"/>
        <v>1.8689242412171913E-4</v>
      </c>
      <c r="T35" s="5">
        <f t="shared" si="3"/>
        <v>1.4684395369511814E-3</v>
      </c>
      <c r="U35" s="5">
        <f t="shared" si="3"/>
        <v>3.8947746839439017E-4</v>
      </c>
      <c r="V35" s="5">
        <f t="shared" si="3"/>
        <v>1.8689242414875426E-4</v>
      </c>
      <c r="W35" s="2" t="s">
        <v>24</v>
      </c>
    </row>
    <row r="36" spans="2:23" x14ac:dyDescent="0.2">
      <c r="B36" s="136"/>
      <c r="C36" s="137"/>
      <c r="D36" s="82" t="str">
        <f t="shared" si="2"/>
        <v>Pipe installation</v>
      </c>
      <c r="E36" s="5">
        <f t="shared" ref="E36:T51" si="4">E7/$E$29</f>
        <v>4.4571587178759292E-4</v>
      </c>
      <c r="F36" s="5">
        <f t="shared" si="4"/>
        <v>2.1790847024551904E-4</v>
      </c>
      <c r="G36" s="5">
        <f t="shared" si="4"/>
        <v>5.9429588766526292E-5</v>
      </c>
      <c r="H36" s="5">
        <f t="shared" si="4"/>
        <v>2.7733807215109175E-5</v>
      </c>
      <c r="I36" s="5">
        <f t="shared" si="4"/>
        <v>4.4572186982676096E-4</v>
      </c>
      <c r="J36" s="5">
        <f t="shared" si="4"/>
        <v>2.1790847027704075E-4</v>
      </c>
      <c r="K36" s="5">
        <f t="shared" si="4"/>
        <v>5.942790697718081E-5</v>
      </c>
      <c r="L36" s="5">
        <f t="shared" si="4"/>
        <v>4.1598220979384141E-5</v>
      </c>
      <c r="M36" s="5">
        <f t="shared" si="4"/>
        <v>4.4572178442295926E-4</v>
      </c>
      <c r="N36" s="5">
        <f t="shared" si="4"/>
        <v>2.1790846830618379E-4</v>
      </c>
      <c r="O36" s="5">
        <f t="shared" si="4"/>
        <v>5.9429582205599916E-5</v>
      </c>
      <c r="P36" s="5">
        <f t="shared" si="4"/>
        <v>3.1893721290384416E-5</v>
      </c>
      <c r="Q36" s="5">
        <f t="shared" si="4"/>
        <v>2.179084571064726E-4</v>
      </c>
      <c r="R36" s="5">
        <f t="shared" si="4"/>
        <v>5.9429483654154903E-5</v>
      </c>
      <c r="S36" s="5">
        <f t="shared" si="4"/>
        <v>3.4112512055124066E-5</v>
      </c>
      <c r="T36" s="5">
        <f t="shared" si="4"/>
        <v>2.1790845713799434E-4</v>
      </c>
      <c r="U36" s="5">
        <f t="shared" si="3"/>
        <v>8.9141860465771232E-5</v>
      </c>
      <c r="V36" s="5">
        <f t="shared" si="3"/>
        <v>4.4790089527243207E-5</v>
      </c>
      <c r="W36" s="2" t="s">
        <v>24</v>
      </c>
    </row>
    <row r="37" spans="2:23" x14ac:dyDescent="0.2">
      <c r="B37" s="138"/>
      <c r="C37" s="139"/>
      <c r="D37" s="82" t="str">
        <f t="shared" si="2"/>
        <v>Operation</v>
      </c>
      <c r="E37" s="5">
        <f t="shared" si="4"/>
        <v>2.0595130732689289E-4</v>
      </c>
      <c r="F37" s="5">
        <f t="shared" si="3"/>
        <v>1.0068731135185611E-4</v>
      </c>
      <c r="G37" s="5">
        <f t="shared" si="3"/>
        <v>2.7460173434315955E-5</v>
      </c>
      <c r="H37" s="5">
        <f t="shared" si="3"/>
        <v>1.2814511975781604E-5</v>
      </c>
      <c r="I37" s="5">
        <f t="shared" si="3"/>
        <v>2.0594798317793956E-4</v>
      </c>
      <c r="J37" s="5">
        <f t="shared" si="3"/>
        <v>1.0068730479689792E-4</v>
      </c>
      <c r="K37" s="5">
        <f t="shared" si="3"/>
        <v>2.7459950074499012E-5</v>
      </c>
      <c r="L37" s="5">
        <f t="shared" si="3"/>
        <v>1.9221767966452947E-5</v>
      </c>
      <c r="M37" s="5">
        <f t="shared" si="3"/>
        <v>2.0595126793954564E-4</v>
      </c>
      <c r="N37" s="5">
        <f t="shared" si="3"/>
        <v>1.0068730545385024E-4</v>
      </c>
      <c r="O37" s="5">
        <f t="shared" si="3"/>
        <v>2.7460174752192874E-5</v>
      </c>
      <c r="P37" s="5">
        <f t="shared" si="3"/>
        <v>1.4736951555209079E-5</v>
      </c>
      <c r="Q37" s="5">
        <f t="shared" si="3"/>
        <v>1.0068730557067569E-4</v>
      </c>
      <c r="R37" s="5">
        <f t="shared" si="3"/>
        <v>2.7460081460991E-5</v>
      </c>
      <c r="S37" s="5">
        <f t="shared" si="3"/>
        <v>1.5762125650186242E-5</v>
      </c>
      <c r="T37" s="5">
        <f t="shared" si="3"/>
        <v>1.006871405588176E-4</v>
      </c>
      <c r="U37" s="5">
        <f t="shared" si="3"/>
        <v>4.1184341017018197E-5</v>
      </c>
      <c r="V37" s="5">
        <f t="shared" si="3"/>
        <v>2.069577188956483E-5</v>
      </c>
      <c r="W37" s="2" t="s">
        <v>24</v>
      </c>
    </row>
    <row r="38" spans="2:23" ht="25.5" customHeight="1" x14ac:dyDescent="0.2">
      <c r="B38" s="140" t="str">
        <f t="shared" ref="B38:D39" si="5">B9</f>
        <v>Pre Treatment</v>
      </c>
      <c r="C38" s="140" t="str">
        <f t="shared" si="5"/>
        <v>Preliminary treatment</v>
      </c>
      <c r="D38" s="82" t="str">
        <f t="shared" si="5"/>
        <v>Operation</v>
      </c>
      <c r="E38" s="5">
        <f t="shared" si="4"/>
        <v>5.7573987518381428E-2</v>
      </c>
      <c r="F38" s="5">
        <f t="shared" si="3"/>
        <v>5.7573987518381428E-2</v>
      </c>
      <c r="G38" s="5">
        <f t="shared" si="3"/>
        <v>5.7573987518381428E-2</v>
      </c>
      <c r="H38" s="5">
        <f t="shared" si="3"/>
        <v>5.7573987518381428E-2</v>
      </c>
      <c r="I38" s="5">
        <f t="shared" si="3"/>
        <v>3.9654101975210236E-2</v>
      </c>
      <c r="J38" s="5">
        <f t="shared" si="3"/>
        <v>3.9654101975210236E-2</v>
      </c>
      <c r="K38" s="5">
        <f t="shared" si="3"/>
        <v>3.9654101975210236E-2</v>
      </c>
      <c r="L38" s="5">
        <f t="shared" si="3"/>
        <v>3.9654101975210236E-2</v>
      </c>
      <c r="M38" s="5">
        <f t="shared" si="3"/>
        <v>1.1514797505341968E-2</v>
      </c>
      <c r="N38" s="5">
        <f t="shared" si="3"/>
        <v>1.1514797505341968E-2</v>
      </c>
      <c r="O38" s="5">
        <f t="shared" si="3"/>
        <v>1.1514797505341968E-2</v>
      </c>
      <c r="P38" s="5">
        <f t="shared" si="3"/>
        <v>1.1514797505341968E-2</v>
      </c>
      <c r="Q38" s="5">
        <f t="shared" si="3"/>
        <v>4.8506074629951533E-3</v>
      </c>
      <c r="R38" s="5">
        <f t="shared" si="3"/>
        <v>4.8506074629951533E-3</v>
      </c>
      <c r="S38" s="5">
        <f t="shared" si="3"/>
        <v>4.8506074629951533E-3</v>
      </c>
      <c r="T38" s="5">
        <f t="shared" si="3"/>
        <v>3.3464888461804117E-3</v>
      </c>
      <c r="U38" s="5">
        <f t="shared" si="3"/>
        <v>3.3464888461804117E-3</v>
      </c>
      <c r="V38" s="5">
        <f t="shared" si="3"/>
        <v>3.3464888461804117E-3</v>
      </c>
      <c r="W38" s="2" t="s">
        <v>24</v>
      </c>
    </row>
    <row r="39" spans="2:23" x14ac:dyDescent="0.2">
      <c r="B39" s="141"/>
      <c r="C39" s="142"/>
      <c r="D39" s="82" t="str">
        <f t="shared" si="5"/>
        <v>Infrastructure</v>
      </c>
      <c r="E39" s="5">
        <f t="shared" si="4"/>
        <v>3.9193775478064718E-8</v>
      </c>
      <c r="F39" s="5">
        <f t="shared" si="3"/>
        <v>3.9193775478064718E-8</v>
      </c>
      <c r="G39" s="5">
        <f t="shared" si="3"/>
        <v>3.9193775478064718E-8</v>
      </c>
      <c r="H39" s="5">
        <f t="shared" si="3"/>
        <v>3.9193775478064718E-8</v>
      </c>
      <c r="I39" s="5">
        <f t="shared" si="3"/>
        <v>3.9068954542703329E-8</v>
      </c>
      <c r="J39" s="5">
        <f t="shared" si="3"/>
        <v>3.9068954542703329E-8</v>
      </c>
      <c r="K39" s="5">
        <f t="shared" si="3"/>
        <v>3.9068954542703329E-8</v>
      </c>
      <c r="L39" s="5">
        <f t="shared" si="3"/>
        <v>3.9068954542703329E-8</v>
      </c>
      <c r="M39" s="5">
        <f t="shared" si="3"/>
        <v>3.9055815496279019E-8</v>
      </c>
      <c r="N39" s="5">
        <f t="shared" si="3"/>
        <v>3.9055815496279019E-8</v>
      </c>
      <c r="O39" s="5">
        <f t="shared" si="3"/>
        <v>3.9055815496279019E-8</v>
      </c>
      <c r="P39" s="5">
        <f t="shared" si="3"/>
        <v>3.9055815496279019E-8</v>
      </c>
      <c r="Q39" s="5">
        <f t="shared" si="3"/>
        <v>3.9176300546322906E-8</v>
      </c>
      <c r="R39" s="5">
        <f t="shared" si="3"/>
        <v>3.9176300546322906E-8</v>
      </c>
      <c r="S39" s="5">
        <f t="shared" si="3"/>
        <v>3.9176300546322906E-8</v>
      </c>
      <c r="T39" s="5">
        <f t="shared" si="3"/>
        <v>3.9054435896404469E-8</v>
      </c>
      <c r="U39" s="5">
        <f t="shared" si="3"/>
        <v>3.9054435896404469E-8</v>
      </c>
      <c r="V39" s="5">
        <f t="shared" si="3"/>
        <v>3.9054435896404469E-8</v>
      </c>
      <c r="W39" s="2" t="s">
        <v>24</v>
      </c>
    </row>
    <row r="40" spans="2:23" ht="15.75" customHeight="1" x14ac:dyDescent="0.2">
      <c r="B40" s="141"/>
      <c r="C40" s="140" t="str">
        <f t="shared" ref="C40:D41" si="6">C11</f>
        <v>Fine screening</v>
      </c>
      <c r="D40" s="82" t="str">
        <f t="shared" si="6"/>
        <v>Operation</v>
      </c>
      <c r="E40" s="5">
        <f t="shared" si="4"/>
        <v>1.4393502660775784E-3</v>
      </c>
      <c r="F40" s="5">
        <f t="shared" si="3"/>
        <v>1.4393502660775784E-3</v>
      </c>
      <c r="G40" s="5">
        <f t="shared" si="3"/>
        <v>1.4393502660775784E-3</v>
      </c>
      <c r="H40" s="5">
        <f t="shared" si="3"/>
        <v>1.4393502660775784E-3</v>
      </c>
      <c r="I40" s="5">
        <f t="shared" si="3"/>
        <v>1.439350272855312E-3</v>
      </c>
      <c r="J40" s="5">
        <f t="shared" si="3"/>
        <v>1.439350272855312E-3</v>
      </c>
      <c r="K40" s="5">
        <f t="shared" si="3"/>
        <v>1.439350272855312E-3</v>
      </c>
      <c r="L40" s="5">
        <f t="shared" si="3"/>
        <v>1.439350272855312E-3</v>
      </c>
      <c r="M40" s="5">
        <f t="shared" si="3"/>
        <v>1.4897247921585733E-3</v>
      </c>
      <c r="N40" s="5">
        <f t="shared" si="3"/>
        <v>1.4897247921585733E-3</v>
      </c>
      <c r="O40" s="5">
        <f t="shared" si="3"/>
        <v>1.4897247921585733E-3</v>
      </c>
      <c r="P40" s="5">
        <f t="shared" si="3"/>
        <v>1.4897247921585733E-3</v>
      </c>
      <c r="Q40" s="5">
        <f t="shared" si="3"/>
        <v>1.4911635175263302E-3</v>
      </c>
      <c r="R40" s="5">
        <f t="shared" si="3"/>
        <v>1.4911635175263302E-3</v>
      </c>
      <c r="S40" s="5">
        <f t="shared" si="3"/>
        <v>1.4911635175263302E-3</v>
      </c>
      <c r="T40" s="5">
        <f t="shared" si="3"/>
        <v>1.491170087265248E-3</v>
      </c>
      <c r="U40" s="5">
        <f t="shared" si="3"/>
        <v>1.491170087265248E-3</v>
      </c>
      <c r="V40" s="5">
        <f t="shared" si="3"/>
        <v>1.491170087265248E-3</v>
      </c>
      <c r="W40" s="2" t="s">
        <v>24</v>
      </c>
    </row>
    <row r="41" spans="2:23" x14ac:dyDescent="0.2">
      <c r="B41" s="142"/>
      <c r="C41" s="142"/>
      <c r="D41" s="82" t="str">
        <f t="shared" si="6"/>
        <v>Infrastructure</v>
      </c>
      <c r="E41" s="5">
        <f t="shared" si="4"/>
        <v>1.7273904331549343E-7</v>
      </c>
      <c r="F41" s="5">
        <f t="shared" si="3"/>
        <v>1.7273904331549343E-7</v>
      </c>
      <c r="G41" s="5">
        <f t="shared" si="3"/>
        <v>1.7273904331549343E-7</v>
      </c>
      <c r="H41" s="5">
        <f t="shared" si="3"/>
        <v>1.7273904331549343E-7</v>
      </c>
      <c r="I41" s="5">
        <f t="shared" si="3"/>
        <v>1.7273904334048114E-7</v>
      </c>
      <c r="J41" s="5">
        <f t="shared" si="3"/>
        <v>1.7273904334048114E-7</v>
      </c>
      <c r="K41" s="5">
        <f t="shared" si="3"/>
        <v>1.7273904334048114E-7</v>
      </c>
      <c r="L41" s="5">
        <f t="shared" si="3"/>
        <v>1.7273904334048114E-7</v>
      </c>
      <c r="M41" s="5">
        <f t="shared" si="3"/>
        <v>1.7273050296030535E-7</v>
      </c>
      <c r="N41" s="5">
        <f t="shared" si="3"/>
        <v>1.7273050296030535E-7</v>
      </c>
      <c r="O41" s="5">
        <f t="shared" si="3"/>
        <v>1.7273050296030535E-7</v>
      </c>
      <c r="P41" s="5">
        <f t="shared" si="3"/>
        <v>1.7273050296030535E-7</v>
      </c>
      <c r="Q41" s="5">
        <f t="shared" si="3"/>
        <v>1.7273155405903265E-7</v>
      </c>
      <c r="R41" s="5">
        <f t="shared" si="3"/>
        <v>1.7273155405903265E-7</v>
      </c>
      <c r="S41" s="5">
        <f t="shared" si="3"/>
        <v>1.7273155405903265E-7</v>
      </c>
      <c r="T41" s="5">
        <f t="shared" si="3"/>
        <v>1.727315540840193E-7</v>
      </c>
      <c r="U41" s="5">
        <f t="shared" si="3"/>
        <v>1.727315540840193E-7</v>
      </c>
      <c r="V41" s="5">
        <f t="shared" si="3"/>
        <v>1.727315540840193E-7</v>
      </c>
      <c r="W41" s="2" t="s">
        <v>24</v>
      </c>
    </row>
    <row r="42" spans="2:23" x14ac:dyDescent="0.2">
      <c r="B42" s="134" t="str">
        <f t="shared" ref="B42:D49" si="7">B13</f>
        <v>MBR operation</v>
      </c>
      <c r="C42" s="135"/>
      <c r="D42" s="82" t="str">
        <f t="shared" si="7"/>
        <v>Heating of influent</v>
      </c>
      <c r="E42" s="5">
        <f t="shared" si="4"/>
        <v>5.8279291530336677</v>
      </c>
      <c r="F42" s="5">
        <f t="shared" si="3"/>
        <v>5.8279291530336677</v>
      </c>
      <c r="G42" s="5">
        <f t="shared" si="3"/>
        <v>5.8279291530336677</v>
      </c>
      <c r="H42" s="5">
        <f t="shared" si="3"/>
        <v>5.8279291530336677</v>
      </c>
      <c r="I42" s="5">
        <f t="shared" si="3"/>
        <v>5.8279291538767115</v>
      </c>
      <c r="J42" s="5">
        <f t="shared" si="3"/>
        <v>5.8279291538767115</v>
      </c>
      <c r="K42" s="5">
        <f t="shared" si="3"/>
        <v>5.8279291538767115</v>
      </c>
      <c r="L42" s="5">
        <f t="shared" si="3"/>
        <v>5.8279291538767115</v>
      </c>
      <c r="M42" s="5">
        <f t="shared" si="3"/>
        <v>5.8279291538767124</v>
      </c>
      <c r="N42" s="5">
        <f t="shared" si="3"/>
        <v>5.8279291538767124</v>
      </c>
      <c r="O42" s="5">
        <f t="shared" si="3"/>
        <v>5.8279291538767124</v>
      </c>
      <c r="P42" s="5">
        <f t="shared" si="3"/>
        <v>5.8279291538767124</v>
      </c>
      <c r="Q42" s="5">
        <f t="shared" si="3"/>
        <v>5.8279291530336677</v>
      </c>
      <c r="R42" s="5">
        <f t="shared" si="3"/>
        <v>5.8279291530336677</v>
      </c>
      <c r="S42" s="5">
        <f t="shared" si="3"/>
        <v>5.8279291530336677</v>
      </c>
      <c r="T42" s="5">
        <f t="shared" si="3"/>
        <v>5.8279291538767124</v>
      </c>
      <c r="U42" s="5">
        <f t="shared" si="3"/>
        <v>5.8279291538767124</v>
      </c>
      <c r="V42" s="5">
        <f t="shared" si="3"/>
        <v>5.8279291538767124</v>
      </c>
      <c r="W42" s="2" t="s">
        <v>24</v>
      </c>
    </row>
    <row r="43" spans="2:23" x14ac:dyDescent="0.2">
      <c r="B43" s="136"/>
      <c r="C43" s="137"/>
      <c r="D43" s="82" t="str">
        <f t="shared" si="7"/>
        <v>Grinder pump</v>
      </c>
      <c r="E43" s="5">
        <f t="shared" si="4"/>
        <v>1.4742798428735267E-2</v>
      </c>
      <c r="F43" s="5">
        <f t="shared" si="3"/>
        <v>1.4742798428735267E-2</v>
      </c>
      <c r="G43" s="5">
        <f t="shared" si="3"/>
        <v>1.4742798428735267E-2</v>
      </c>
      <c r="H43" s="5">
        <f t="shared" si="3"/>
        <v>1.4742798428735267E-2</v>
      </c>
      <c r="I43" s="5">
        <f t="shared" si="3"/>
        <v>1.4742798430867898E-2</v>
      </c>
      <c r="J43" s="5">
        <f t="shared" si="3"/>
        <v>1.4742798430867898E-2</v>
      </c>
      <c r="K43" s="5">
        <f t="shared" si="3"/>
        <v>1.4742798430867898E-2</v>
      </c>
      <c r="L43" s="5">
        <f t="shared" si="3"/>
        <v>1.4742798430867898E-2</v>
      </c>
      <c r="M43" s="5">
        <f t="shared" si="3"/>
        <v>1.4742798430867898E-2</v>
      </c>
      <c r="N43" s="5">
        <f t="shared" si="3"/>
        <v>1.4742798430867898E-2</v>
      </c>
      <c r="O43" s="5">
        <f t="shared" si="3"/>
        <v>1.4742798430867898E-2</v>
      </c>
      <c r="P43" s="5">
        <f t="shared" si="3"/>
        <v>1.4742798430867898E-2</v>
      </c>
      <c r="Q43" s="5">
        <f t="shared" si="3"/>
        <v>1.4742798428735267E-2</v>
      </c>
      <c r="R43" s="5">
        <f t="shared" si="3"/>
        <v>1.4742798428735267E-2</v>
      </c>
      <c r="S43" s="5">
        <f t="shared" si="3"/>
        <v>1.4742798428735267E-2</v>
      </c>
      <c r="T43" s="5">
        <f t="shared" si="3"/>
        <v>1.47427984308679E-2</v>
      </c>
      <c r="U43" s="5">
        <f t="shared" si="3"/>
        <v>1.47427984308679E-2</v>
      </c>
      <c r="V43" s="5">
        <f t="shared" si="3"/>
        <v>1.47427984308679E-2</v>
      </c>
      <c r="W43" s="2" t="s">
        <v>24</v>
      </c>
    </row>
    <row r="44" spans="2:23" x14ac:dyDescent="0.2">
      <c r="B44" s="136"/>
      <c r="C44" s="137"/>
      <c r="D44" s="82" t="str">
        <f t="shared" si="7"/>
        <v>Heat loss control</v>
      </c>
      <c r="E44" s="5">
        <f t="shared" si="4"/>
        <v>0.31065961361158645</v>
      </c>
      <c r="F44" s="5">
        <f t="shared" si="3"/>
        <v>0.31065961361158645</v>
      </c>
      <c r="G44" s="5">
        <f t="shared" si="3"/>
        <v>0.31065961361158645</v>
      </c>
      <c r="H44" s="5">
        <f t="shared" si="3"/>
        <v>0.31065961361158645</v>
      </c>
      <c r="I44" s="5">
        <f t="shared" si="3"/>
        <v>0.23807623644699805</v>
      </c>
      <c r="J44" s="5">
        <f t="shared" si="3"/>
        <v>0.23807623644699805</v>
      </c>
      <c r="K44" s="5">
        <f t="shared" si="3"/>
        <v>0.23807623644699805</v>
      </c>
      <c r="L44" s="5">
        <f t="shared" si="3"/>
        <v>0.23807623644699805</v>
      </c>
      <c r="M44" s="5">
        <f t="shared" si="3"/>
        <v>6.3203214881511621E-2</v>
      </c>
      <c r="N44" s="5">
        <f t="shared" si="3"/>
        <v>6.3203214881511621E-2</v>
      </c>
      <c r="O44" s="5">
        <f t="shared" si="3"/>
        <v>6.3203214881511621E-2</v>
      </c>
      <c r="P44" s="5">
        <f t="shared" si="3"/>
        <v>6.3203214881511621E-2</v>
      </c>
      <c r="Q44" s="5">
        <f t="shared" si="3"/>
        <v>2.6823100490432301E-2</v>
      </c>
      <c r="R44" s="5">
        <f t="shared" si="3"/>
        <v>2.6823100490432301E-2</v>
      </c>
      <c r="S44" s="5">
        <f t="shared" si="3"/>
        <v>2.6823100490432301E-2</v>
      </c>
      <c r="T44" s="5">
        <f t="shared" si="3"/>
        <v>1.3411550247156213E-2</v>
      </c>
      <c r="U44" s="5">
        <f t="shared" si="3"/>
        <v>1.3411550247156213E-2</v>
      </c>
      <c r="V44" s="5">
        <f t="shared" si="3"/>
        <v>1.3411550247156213E-2</v>
      </c>
      <c r="W44" s="2" t="s">
        <v>24</v>
      </c>
    </row>
    <row r="45" spans="2:23" ht="15.75" customHeight="1" x14ac:dyDescent="0.2">
      <c r="B45" s="136"/>
      <c r="C45" s="137"/>
      <c r="D45" s="82" t="str">
        <f t="shared" si="7"/>
        <v>Recovery of methane</v>
      </c>
      <c r="E45" s="5">
        <f t="shared" si="4"/>
        <v>-0.37119777000286469</v>
      </c>
      <c r="F45" s="5">
        <f t="shared" si="3"/>
        <v>-0.37119777000286469</v>
      </c>
      <c r="G45" s="5">
        <f t="shared" si="3"/>
        <v>-0.37119777000286469</v>
      </c>
      <c r="H45" s="5">
        <f t="shared" si="3"/>
        <v>-0.37119777000286469</v>
      </c>
      <c r="I45" s="5">
        <f t="shared" si="3"/>
        <v>-0.37119777005656068</v>
      </c>
      <c r="J45" s="5">
        <f t="shared" si="3"/>
        <v>-0.37119777005656068</v>
      </c>
      <c r="K45" s="5">
        <f t="shared" si="3"/>
        <v>-0.37119777005656068</v>
      </c>
      <c r="L45" s="5">
        <f t="shared" si="3"/>
        <v>-0.37119777005656068</v>
      </c>
      <c r="M45" s="5">
        <f t="shared" si="3"/>
        <v>-0.37117806148692423</v>
      </c>
      <c r="N45" s="5">
        <f t="shared" si="3"/>
        <v>-0.37117806148692423</v>
      </c>
      <c r="O45" s="5">
        <f t="shared" si="3"/>
        <v>-0.37117806148692423</v>
      </c>
      <c r="P45" s="5">
        <f t="shared" si="3"/>
        <v>-0.37117806148692423</v>
      </c>
      <c r="Q45" s="5">
        <f t="shared" si="3"/>
        <v>-0.37119777000286469</v>
      </c>
      <c r="R45" s="5">
        <f t="shared" si="3"/>
        <v>-0.37119777000286469</v>
      </c>
      <c r="S45" s="5">
        <f t="shared" si="3"/>
        <v>-0.37119777000286469</v>
      </c>
      <c r="T45" s="5">
        <f t="shared" si="3"/>
        <v>-0.37119777005656068</v>
      </c>
      <c r="U45" s="5">
        <f t="shared" si="3"/>
        <v>-0.37119777005656068</v>
      </c>
      <c r="V45" s="5">
        <f t="shared" si="3"/>
        <v>-0.37119777005656068</v>
      </c>
      <c r="W45" s="2" t="s">
        <v>24</v>
      </c>
    </row>
    <row r="46" spans="2:23" x14ac:dyDescent="0.2">
      <c r="B46" s="136"/>
      <c r="C46" s="137"/>
      <c r="D46" s="82" t="str">
        <f t="shared" si="7"/>
        <v>Effluent pumping out</v>
      </c>
      <c r="E46" s="5">
        <f t="shared" si="4"/>
        <v>5.0044656966016364E-2</v>
      </c>
      <c r="F46" s="5">
        <f t="shared" si="3"/>
        <v>5.0044656966016364E-2</v>
      </c>
      <c r="G46" s="5">
        <f t="shared" si="3"/>
        <v>5.0044656966016364E-2</v>
      </c>
      <c r="H46" s="5">
        <f t="shared" si="3"/>
        <v>5.0044656966016364E-2</v>
      </c>
      <c r="I46" s="5">
        <f t="shared" si="3"/>
        <v>5.0040518173631948E-2</v>
      </c>
      <c r="J46" s="5">
        <f t="shared" si="3"/>
        <v>5.0040518173631948E-2</v>
      </c>
      <c r="K46" s="5">
        <f t="shared" si="3"/>
        <v>5.0040518173631948E-2</v>
      </c>
      <c r="L46" s="5">
        <f t="shared" si="3"/>
        <v>5.0040518173631948E-2</v>
      </c>
      <c r="M46" s="5">
        <f t="shared" si="3"/>
        <v>5.0036707850168907E-2</v>
      </c>
      <c r="N46" s="5">
        <f t="shared" si="3"/>
        <v>5.0036707850168907E-2</v>
      </c>
      <c r="O46" s="5">
        <f t="shared" si="3"/>
        <v>5.0036707850168907E-2</v>
      </c>
      <c r="P46" s="5">
        <f t="shared" si="3"/>
        <v>5.0036707850168907E-2</v>
      </c>
      <c r="Q46" s="5">
        <f t="shared" si="3"/>
        <v>5.0036379366770238E-2</v>
      </c>
      <c r="R46" s="5">
        <f t="shared" si="3"/>
        <v>5.0036379366770238E-2</v>
      </c>
      <c r="S46" s="5">
        <f t="shared" si="3"/>
        <v>5.0036379366770238E-2</v>
      </c>
      <c r="T46" s="5">
        <f t="shared" si="3"/>
        <v>5.003631367877618E-2</v>
      </c>
      <c r="U46" s="5">
        <f t="shared" si="3"/>
        <v>5.003631367877618E-2</v>
      </c>
      <c r="V46" s="5">
        <f t="shared" si="3"/>
        <v>5.003631367877618E-2</v>
      </c>
      <c r="W46" s="2" t="s">
        <v>24</v>
      </c>
    </row>
    <row r="47" spans="2:23" x14ac:dyDescent="0.2">
      <c r="B47" s="136"/>
      <c r="C47" s="137"/>
      <c r="D47" s="82" t="str">
        <f t="shared" si="7"/>
        <v>Heat recovery from discharge water</v>
      </c>
      <c r="E47" s="5">
        <f t="shared" si="4"/>
        <v>-4.5901258676707712</v>
      </c>
      <c r="F47" s="5">
        <f t="shared" si="3"/>
        <v>-4.5901258676707712</v>
      </c>
      <c r="G47" s="5">
        <f t="shared" si="3"/>
        <v>-4.5901258676707712</v>
      </c>
      <c r="H47" s="5">
        <f t="shared" si="3"/>
        <v>-4.5901258676707712</v>
      </c>
      <c r="I47" s="5">
        <f t="shared" si="3"/>
        <v>-4.5901258683347601</v>
      </c>
      <c r="J47" s="5">
        <f t="shared" si="3"/>
        <v>-4.5901258683347601</v>
      </c>
      <c r="K47" s="5">
        <f t="shared" si="3"/>
        <v>-4.5901258683347601</v>
      </c>
      <c r="L47" s="5">
        <f t="shared" si="3"/>
        <v>-4.5901258683347601</v>
      </c>
      <c r="M47" s="5">
        <f t="shared" si="3"/>
        <v>-4.5901258683347601</v>
      </c>
      <c r="N47" s="5">
        <f t="shared" si="3"/>
        <v>-4.5901258683347601</v>
      </c>
      <c r="O47" s="5">
        <f t="shared" si="3"/>
        <v>-4.5901258683347601</v>
      </c>
      <c r="P47" s="5">
        <f t="shared" si="3"/>
        <v>-4.5901258683347601</v>
      </c>
      <c r="Q47" s="5">
        <f t="shared" si="3"/>
        <v>-4.5901258676707704</v>
      </c>
      <c r="R47" s="5">
        <f t="shared" si="3"/>
        <v>-4.5901258676707704</v>
      </c>
      <c r="S47" s="5">
        <f t="shared" si="3"/>
        <v>-4.5901258676707704</v>
      </c>
      <c r="T47" s="5">
        <f t="shared" si="3"/>
        <v>-4.5901258683347601</v>
      </c>
      <c r="U47" s="5">
        <f t="shared" si="3"/>
        <v>-4.5901258683347601</v>
      </c>
      <c r="V47" s="5">
        <f t="shared" si="3"/>
        <v>-4.5901258683347601</v>
      </c>
      <c r="W47" s="2" t="s">
        <v>24</v>
      </c>
    </row>
    <row r="48" spans="2:23" x14ac:dyDescent="0.2">
      <c r="B48" s="136"/>
      <c r="C48" s="137"/>
      <c r="D48" s="82" t="str">
        <f t="shared" si="7"/>
        <v>Biogas recirculation pump</v>
      </c>
      <c r="E48" s="5">
        <f t="shared" si="4"/>
        <v>2.2961902640184291E-3</v>
      </c>
      <c r="F48" s="5">
        <f t="shared" si="3"/>
        <v>2.2961902640184291E-3</v>
      </c>
      <c r="G48" s="5">
        <f t="shared" si="3"/>
        <v>2.2961902640184291E-3</v>
      </c>
      <c r="H48" s="5">
        <f t="shared" si="3"/>
        <v>2.2961902640184291E-3</v>
      </c>
      <c r="I48" s="5">
        <f t="shared" si="3"/>
        <v>2.2961909213029073E-3</v>
      </c>
      <c r="J48" s="5">
        <f t="shared" si="3"/>
        <v>2.2961909213029073E-3</v>
      </c>
      <c r="K48" s="5">
        <f t="shared" si="3"/>
        <v>2.2961909213029073E-3</v>
      </c>
      <c r="L48" s="5">
        <f t="shared" si="3"/>
        <v>2.2961909213029073E-3</v>
      </c>
      <c r="M48" s="5">
        <f t="shared" si="3"/>
        <v>2.296192892159871E-3</v>
      </c>
      <c r="N48" s="5">
        <f t="shared" si="3"/>
        <v>2.296192892159871E-3</v>
      </c>
      <c r="O48" s="5">
        <f t="shared" si="3"/>
        <v>2.296192892159871E-3</v>
      </c>
      <c r="P48" s="5">
        <f t="shared" si="3"/>
        <v>2.296192892159871E-3</v>
      </c>
      <c r="Q48" s="5">
        <f t="shared" si="3"/>
        <v>2.2961797527812911E-3</v>
      </c>
      <c r="R48" s="5">
        <f t="shared" si="3"/>
        <v>2.2961797527812911E-3</v>
      </c>
      <c r="S48" s="5">
        <f t="shared" si="3"/>
        <v>2.2961797527812911E-3</v>
      </c>
      <c r="T48" s="5">
        <f t="shared" si="3"/>
        <v>2.2961928921598714E-3</v>
      </c>
      <c r="U48" s="5">
        <f t="shared" si="3"/>
        <v>2.2961928921598714E-3</v>
      </c>
      <c r="V48" s="5">
        <f t="shared" si="3"/>
        <v>2.2961928921598714E-3</v>
      </c>
      <c r="W48" s="2" t="s">
        <v>24</v>
      </c>
    </row>
    <row r="49" spans="2:23" x14ac:dyDescent="0.2">
      <c r="B49" s="138"/>
      <c r="C49" s="139"/>
      <c r="D49" s="82" t="str">
        <f t="shared" si="7"/>
        <v xml:space="preserve">Sodium hypochlorite, 15% </v>
      </c>
      <c r="E49" s="5">
        <f t="shared" si="4"/>
        <v>2.5884972575871853E-2</v>
      </c>
      <c r="F49" s="5">
        <f t="shared" si="3"/>
        <v>2.5884972575871853E-2</v>
      </c>
      <c r="G49" s="5">
        <f t="shared" si="3"/>
        <v>2.5884972575871853E-2</v>
      </c>
      <c r="H49" s="5">
        <f t="shared" si="3"/>
        <v>2.5884972575871853E-2</v>
      </c>
      <c r="I49" s="5">
        <f t="shared" si="3"/>
        <v>2.5892658921774492E-2</v>
      </c>
      <c r="J49" s="5">
        <f t="shared" si="3"/>
        <v>2.5892658921774492E-2</v>
      </c>
      <c r="K49" s="5">
        <f t="shared" si="3"/>
        <v>2.5892658921774492E-2</v>
      </c>
      <c r="L49" s="5">
        <f t="shared" si="3"/>
        <v>2.5892658921774492E-2</v>
      </c>
      <c r="M49" s="5">
        <f t="shared" si="3"/>
        <v>1.9165861323917482E-2</v>
      </c>
      <c r="N49" s="5">
        <f t="shared" si="3"/>
        <v>1.9165861323917482E-2</v>
      </c>
      <c r="O49" s="5">
        <f t="shared" si="3"/>
        <v>1.9165861323917482E-2</v>
      </c>
      <c r="P49" s="5">
        <f t="shared" si="3"/>
        <v>1.9165861323917482E-2</v>
      </c>
      <c r="Q49" s="5">
        <f t="shared" si="3"/>
        <v>1.5971824831087989E-2</v>
      </c>
      <c r="R49" s="5">
        <f t="shared" si="3"/>
        <v>1.5971824831087989E-2</v>
      </c>
      <c r="S49" s="5">
        <f t="shared" si="3"/>
        <v>1.5971824831087989E-2</v>
      </c>
      <c r="T49" s="5">
        <f t="shared" si="3"/>
        <v>1.4374116788201597E-2</v>
      </c>
      <c r="U49" s="5">
        <f t="shared" si="3"/>
        <v>1.4374116788201597E-2</v>
      </c>
      <c r="V49" s="5">
        <f t="shared" si="3"/>
        <v>1.4374116788201597E-2</v>
      </c>
      <c r="W49" s="2" t="s">
        <v>24</v>
      </c>
    </row>
    <row r="50" spans="2:23" x14ac:dyDescent="0.2">
      <c r="B50" s="143" t="str">
        <f t="shared" ref="B50:D53" si="8">B21</f>
        <v>MBR</v>
      </c>
      <c r="C50" s="144"/>
      <c r="D50" s="82" t="str">
        <f t="shared" si="8"/>
        <v>Infrastructure</v>
      </c>
      <c r="E50" s="5">
        <f t="shared" si="4"/>
        <v>3.5157499006478098E-2</v>
      </c>
      <c r="F50" s="5">
        <f t="shared" si="3"/>
        <v>3.5157499006478098E-2</v>
      </c>
      <c r="G50" s="5">
        <f t="shared" si="3"/>
        <v>3.5157499006478098E-2</v>
      </c>
      <c r="H50" s="5">
        <f t="shared" si="3"/>
        <v>3.5157499006478098E-2</v>
      </c>
      <c r="I50" s="5">
        <f t="shared" si="3"/>
        <v>1.8063896069833323E-2</v>
      </c>
      <c r="J50" s="5">
        <f t="shared" si="3"/>
        <v>1.8063896069833323E-2</v>
      </c>
      <c r="K50" s="5">
        <f t="shared" si="3"/>
        <v>1.8063896069833323E-2</v>
      </c>
      <c r="L50" s="5">
        <f t="shared" si="3"/>
        <v>1.8063896069833323E-2</v>
      </c>
      <c r="M50" s="5">
        <f t="shared" si="3"/>
        <v>3.4064367309198346E-2</v>
      </c>
      <c r="N50" s="5">
        <f t="shared" si="3"/>
        <v>3.4064367309198346E-2</v>
      </c>
      <c r="O50" s="5">
        <f t="shared" si="3"/>
        <v>3.4064367309198346E-2</v>
      </c>
      <c r="P50" s="5">
        <f t="shared" si="3"/>
        <v>3.4064367309198346E-2</v>
      </c>
      <c r="Q50" s="5">
        <f t="shared" si="3"/>
        <v>2.8391568901489559E-2</v>
      </c>
      <c r="R50" s="5">
        <f t="shared" si="3"/>
        <v>2.8391568901489559E-2</v>
      </c>
      <c r="S50" s="5">
        <f t="shared" si="3"/>
        <v>2.8391568901489559E-2</v>
      </c>
      <c r="T50" s="5">
        <f t="shared" si="3"/>
        <v>2.5548254044099224E-2</v>
      </c>
      <c r="U50" s="5">
        <f t="shared" ref="F50:V57" si="9">U21/$E$29</f>
        <v>2.5548254044099224E-2</v>
      </c>
      <c r="V50" s="5">
        <f t="shared" si="9"/>
        <v>2.5548254044099224E-2</v>
      </c>
      <c r="W50" s="2" t="s">
        <v>24</v>
      </c>
    </row>
    <row r="51" spans="2:23" x14ac:dyDescent="0.2">
      <c r="B51" s="140" t="str">
        <f t="shared" si="8"/>
        <v>Post treatment</v>
      </c>
      <c r="C51" s="140" t="str">
        <f t="shared" si="8"/>
        <v>Chlorination</v>
      </c>
      <c r="D51" s="82" t="str">
        <f t="shared" si="8"/>
        <v>Operation</v>
      </c>
      <c r="E51" s="5">
        <f t="shared" si="4"/>
        <v>0.65797059721850015</v>
      </c>
      <c r="F51" s="5">
        <f t="shared" si="9"/>
        <v>0.65797059721850015</v>
      </c>
      <c r="G51" s="5">
        <f t="shared" si="9"/>
        <v>0.65797059721850015</v>
      </c>
      <c r="H51" s="5">
        <f t="shared" si="9"/>
        <v>0.65797059721850015</v>
      </c>
      <c r="I51" s="5">
        <f t="shared" si="9"/>
        <v>0.37767137822982111</v>
      </c>
      <c r="J51" s="5">
        <f t="shared" si="9"/>
        <v>0.37767137822982111</v>
      </c>
      <c r="K51" s="5">
        <f t="shared" si="9"/>
        <v>0.37767137822982111</v>
      </c>
      <c r="L51" s="5">
        <f t="shared" si="9"/>
        <v>0.37767137822982111</v>
      </c>
      <c r="M51" s="5">
        <f t="shared" si="9"/>
        <v>5.9733061330385549E-2</v>
      </c>
      <c r="N51" s="5">
        <f t="shared" si="9"/>
        <v>5.9733061330385549E-2</v>
      </c>
      <c r="O51" s="5">
        <f t="shared" si="9"/>
        <v>5.9733061330385549E-2</v>
      </c>
      <c r="P51" s="5">
        <f t="shared" si="9"/>
        <v>5.9733061330385549E-2</v>
      </c>
      <c r="Q51" s="5">
        <f t="shared" si="9"/>
        <v>1.6459283453359598E-2</v>
      </c>
      <c r="R51" s="5">
        <f t="shared" si="9"/>
        <v>1.6459283453359598E-2</v>
      </c>
      <c r="S51" s="5">
        <f t="shared" si="9"/>
        <v>1.6459283453359598E-2</v>
      </c>
      <c r="T51" s="5">
        <f t="shared" si="9"/>
        <v>9.4277256760715109E-3</v>
      </c>
      <c r="U51" s="5">
        <f t="shared" si="9"/>
        <v>9.4277256760715109E-3</v>
      </c>
      <c r="V51" s="5">
        <f t="shared" si="9"/>
        <v>9.4277256760715109E-3</v>
      </c>
      <c r="W51" s="2" t="s">
        <v>24</v>
      </c>
    </row>
    <row r="52" spans="2:23" ht="15" customHeight="1" x14ac:dyDescent="0.2">
      <c r="B52" s="141"/>
      <c r="C52" s="141"/>
      <c r="D52" s="82" t="str">
        <f t="shared" si="8"/>
        <v xml:space="preserve">Sodium hypochlorite, 15% </v>
      </c>
      <c r="E52" s="5">
        <f t="shared" ref="E52:E57" si="10">E23/$E$29</f>
        <v>4.321287838821733E-2</v>
      </c>
      <c r="F52" s="5">
        <f t="shared" si="9"/>
        <v>4.321287838821733E-2</v>
      </c>
      <c r="G52" s="5">
        <f t="shared" si="9"/>
        <v>4.321287838821733E-2</v>
      </c>
      <c r="H52" s="5">
        <f t="shared" si="9"/>
        <v>4.321287838821733E-2</v>
      </c>
      <c r="I52" s="5">
        <f t="shared" si="9"/>
        <v>4.3220499041394425E-2</v>
      </c>
      <c r="J52" s="5">
        <f t="shared" si="9"/>
        <v>4.3220499041394425E-2</v>
      </c>
      <c r="K52" s="5">
        <f t="shared" si="9"/>
        <v>4.3220499041394425E-2</v>
      </c>
      <c r="L52" s="5">
        <f t="shared" si="9"/>
        <v>4.3220499041394425E-2</v>
      </c>
      <c r="M52" s="5">
        <f t="shared" si="9"/>
        <v>0.10306662186626121</v>
      </c>
      <c r="N52" s="5">
        <f t="shared" si="9"/>
        <v>0.10306662186626121</v>
      </c>
      <c r="O52" s="5">
        <f t="shared" si="9"/>
        <v>0.10306662186626121</v>
      </c>
      <c r="P52" s="5">
        <f t="shared" si="9"/>
        <v>0.10306662186626121</v>
      </c>
      <c r="Q52" s="5">
        <f t="shared" si="9"/>
        <v>4.3218922349571635E-2</v>
      </c>
      <c r="R52" s="5">
        <f t="shared" si="9"/>
        <v>4.3218922349571635E-2</v>
      </c>
      <c r="S52" s="5">
        <f t="shared" si="9"/>
        <v>4.3218922349571635E-2</v>
      </c>
      <c r="T52" s="5">
        <f t="shared" si="9"/>
        <v>4.3218988051055632E-2</v>
      </c>
      <c r="U52" s="5">
        <f t="shared" si="9"/>
        <v>4.3218988051055632E-2</v>
      </c>
      <c r="V52" s="5">
        <f t="shared" si="9"/>
        <v>4.3218988051055632E-2</v>
      </c>
      <c r="W52" s="2" t="s">
        <v>24</v>
      </c>
    </row>
    <row r="53" spans="2:23" x14ac:dyDescent="0.2">
      <c r="B53" s="142"/>
      <c r="C53" s="142"/>
      <c r="D53" s="82" t="str">
        <f t="shared" si="8"/>
        <v>Infrastructure</v>
      </c>
      <c r="E53" s="5">
        <f t="shared" si="10"/>
        <v>1.7244959143671228E-3</v>
      </c>
      <c r="F53" s="5">
        <f t="shared" si="9"/>
        <v>1.7244959143671228E-3</v>
      </c>
      <c r="G53" s="5">
        <f t="shared" si="9"/>
        <v>1.7244959143671228E-3</v>
      </c>
      <c r="H53" s="5">
        <f t="shared" si="9"/>
        <v>1.7244959143671228E-3</v>
      </c>
      <c r="I53" s="5">
        <f t="shared" si="9"/>
        <v>8.7327228078013593E-4</v>
      </c>
      <c r="J53" s="5">
        <f t="shared" si="9"/>
        <v>8.7327228078013593E-4</v>
      </c>
      <c r="K53" s="5">
        <f t="shared" si="9"/>
        <v>8.7327228078013593E-4</v>
      </c>
      <c r="L53" s="5">
        <f t="shared" si="9"/>
        <v>8.7327228078013593E-4</v>
      </c>
      <c r="M53" s="5">
        <f t="shared" si="9"/>
        <v>1.1293721355501538E-4</v>
      </c>
      <c r="N53" s="5">
        <f t="shared" si="9"/>
        <v>1.1293721355501538E-4</v>
      </c>
      <c r="O53" s="5">
        <f t="shared" si="9"/>
        <v>1.1293721355501538E-4</v>
      </c>
      <c r="P53" s="5">
        <f t="shared" si="9"/>
        <v>1.1293721355501538E-4</v>
      </c>
      <c r="Q53" s="5">
        <f t="shared" si="9"/>
        <v>4.4924926225474342E-5</v>
      </c>
      <c r="R53" s="5">
        <f t="shared" si="9"/>
        <v>4.4924926225474342E-5</v>
      </c>
      <c r="S53" s="5">
        <f t="shared" si="9"/>
        <v>4.4924926225474342E-5</v>
      </c>
      <c r="T53" s="5">
        <f t="shared" si="9"/>
        <v>3.6416886505036478E-5</v>
      </c>
      <c r="U53" s="5">
        <f t="shared" si="9"/>
        <v>3.6416886505036478E-5</v>
      </c>
      <c r="V53" s="5">
        <f t="shared" si="9"/>
        <v>3.6416886505036478E-5</v>
      </c>
      <c r="W53" s="2" t="s">
        <v>24</v>
      </c>
    </row>
    <row r="54" spans="2:23" ht="25.5" customHeight="1" x14ac:dyDescent="0.2">
      <c r="B54" s="134" t="str">
        <f t="shared" ref="B54:D57" si="11">B25</f>
        <v>Recycled water delivery</v>
      </c>
      <c r="C54" s="135"/>
      <c r="D54" s="83" t="str">
        <f t="shared" si="11"/>
        <v>Operation</v>
      </c>
      <c r="E54" s="5">
        <f t="shared" si="10"/>
        <v>3.8438411699240067E-2</v>
      </c>
      <c r="F54" s="5">
        <f t="shared" si="9"/>
        <v>1.8676234756213723E-2</v>
      </c>
      <c r="G54" s="5">
        <f t="shared" si="9"/>
        <v>5.211983795797263E-3</v>
      </c>
      <c r="H54" s="5">
        <f t="shared" si="9"/>
        <v>2.3888231691057411E-3</v>
      </c>
      <c r="I54" s="5">
        <f t="shared" si="9"/>
        <v>3.8329817486103437E-2</v>
      </c>
      <c r="J54" s="5">
        <f t="shared" si="9"/>
        <v>1.8784894672844443E-2</v>
      </c>
      <c r="K54" s="5">
        <f t="shared" si="9"/>
        <v>5.1034027169006603E-3</v>
      </c>
      <c r="L54" s="5">
        <f t="shared" si="9"/>
        <v>2.388823169451298E-3</v>
      </c>
      <c r="M54" s="5">
        <f t="shared" si="9"/>
        <v>3.835156260793568E-2</v>
      </c>
      <c r="N54" s="5">
        <f t="shared" si="9"/>
        <v>1.8784894672844443E-2</v>
      </c>
      <c r="O54" s="5">
        <f t="shared" si="9"/>
        <v>5.1142424302007211E-3</v>
      </c>
      <c r="P54" s="5">
        <f t="shared" si="9"/>
        <v>2.3888297389745108E-3</v>
      </c>
      <c r="Q54" s="5">
        <f t="shared" si="9"/>
        <v>1.8752309834999505E-2</v>
      </c>
      <c r="R54" s="5">
        <f t="shared" si="9"/>
        <v>5.1142424294609154E-3</v>
      </c>
      <c r="S54" s="5">
        <f t="shared" si="9"/>
        <v>2.3866552264460422E-3</v>
      </c>
      <c r="T54" s="5">
        <f t="shared" si="9"/>
        <v>1.8751193018766075E-2</v>
      </c>
      <c r="U54" s="5">
        <f t="shared" si="9"/>
        <v>5.1142424302007211E-3</v>
      </c>
      <c r="V54" s="5">
        <f t="shared" si="9"/>
        <v>2.3866420877448617E-3</v>
      </c>
      <c r="W54" s="2" t="s">
        <v>24</v>
      </c>
    </row>
    <row r="55" spans="2:23" x14ac:dyDescent="0.2">
      <c r="B55" s="136"/>
      <c r="C55" s="137"/>
      <c r="D55" s="83" t="str">
        <f t="shared" si="11"/>
        <v>Pipe infrastructure</v>
      </c>
      <c r="E55" s="5">
        <f t="shared" si="10"/>
        <v>7.6507204153514474E-3</v>
      </c>
      <c r="F55" s="5">
        <f t="shared" si="9"/>
        <v>3.7502465129166662E-3</v>
      </c>
      <c r="G55" s="5">
        <f t="shared" si="9"/>
        <v>1.0226369472447823E-3</v>
      </c>
      <c r="H55" s="5">
        <f t="shared" si="9"/>
        <v>4.7845837547225167E-4</v>
      </c>
      <c r="I55" s="5">
        <f t="shared" si="9"/>
        <v>7.6638086936071008E-3</v>
      </c>
      <c r="J55" s="5">
        <f t="shared" si="9"/>
        <v>3.7449806989894099E-3</v>
      </c>
      <c r="K55" s="5">
        <f t="shared" si="9"/>
        <v>1.0192878044591545E-3</v>
      </c>
      <c r="L55" s="5">
        <f t="shared" si="9"/>
        <v>4.7636138373214265E-4</v>
      </c>
      <c r="M55" s="5">
        <f t="shared" si="9"/>
        <v>7.6688672264804622E-3</v>
      </c>
      <c r="N55" s="5">
        <f t="shared" si="9"/>
        <v>3.7449829851834886E-3</v>
      </c>
      <c r="O55" s="5">
        <f t="shared" si="9"/>
        <v>1.0056626133171391E-3</v>
      </c>
      <c r="P55" s="5">
        <f t="shared" si="9"/>
        <v>4.7700585395925543E-4</v>
      </c>
      <c r="Q55" s="5">
        <f t="shared" si="9"/>
        <v>3.7475713767869704E-3</v>
      </c>
      <c r="R55" s="5">
        <f t="shared" si="9"/>
        <v>1.0224543144995107E-3</v>
      </c>
      <c r="S55" s="5">
        <f t="shared" si="9"/>
        <v>4.770314750307774E-4</v>
      </c>
      <c r="T55" s="5">
        <f t="shared" si="9"/>
        <v>3.7507181789477022E-3</v>
      </c>
      <c r="U55" s="5">
        <f t="shared" si="9"/>
        <v>1.021672541385168E-3</v>
      </c>
      <c r="V55" s="5">
        <f t="shared" si="9"/>
        <v>4.7702424862424949E-4</v>
      </c>
      <c r="W55" s="2" t="s">
        <v>24</v>
      </c>
    </row>
    <row r="56" spans="2:23" ht="12.75" customHeight="1" x14ac:dyDescent="0.2">
      <c r="B56" s="136"/>
      <c r="C56" s="137"/>
      <c r="D56" s="83" t="str">
        <f t="shared" si="11"/>
        <v>Pipe installation</v>
      </c>
      <c r="E56" s="5">
        <f t="shared" si="10"/>
        <v>1.6458929881620369E-3</v>
      </c>
      <c r="F56" s="5">
        <f t="shared" si="9"/>
        <v>8.0465880063608519E-4</v>
      </c>
      <c r="G56" s="5">
        <f t="shared" si="9"/>
        <v>2.1944835334717969E-4</v>
      </c>
      <c r="H56" s="5">
        <f t="shared" si="9"/>
        <v>1.0241098343487351E-4</v>
      </c>
      <c r="I56" s="5">
        <f t="shared" si="9"/>
        <v>1.6458928701487071E-3</v>
      </c>
      <c r="J56" s="5">
        <f t="shared" si="9"/>
        <v>8.0465879418296059E-4</v>
      </c>
      <c r="K56" s="5">
        <f t="shared" si="9"/>
        <v>2.1945229509285144E-4</v>
      </c>
      <c r="L56" s="5">
        <f t="shared" si="9"/>
        <v>1.0241098344968785E-4</v>
      </c>
      <c r="M56" s="5">
        <f t="shared" si="9"/>
        <v>1.6458954979579922E-3</v>
      </c>
      <c r="N56" s="5">
        <f t="shared" si="9"/>
        <v>8.0466148111795431E-4</v>
      </c>
      <c r="O56" s="5">
        <f t="shared" si="9"/>
        <v>2.1945229509285149E-4</v>
      </c>
      <c r="P56" s="5">
        <f t="shared" si="9"/>
        <v>1.0972614754642575E-4</v>
      </c>
      <c r="Q56" s="5">
        <f t="shared" si="9"/>
        <v>8.0465885319227083E-4</v>
      </c>
      <c r="R56" s="5">
        <f t="shared" si="9"/>
        <v>2.1945229506110638E-4</v>
      </c>
      <c r="S56" s="5">
        <f t="shared" si="9"/>
        <v>1.0240572781630453E-4</v>
      </c>
      <c r="T56" s="5">
        <f t="shared" si="9"/>
        <v>8.0466148111795453E-4</v>
      </c>
      <c r="U56" s="5">
        <f t="shared" si="9"/>
        <v>2.1945229509285149E-4</v>
      </c>
      <c r="V56" s="5">
        <f t="shared" si="9"/>
        <v>1.0241098344968786E-4</v>
      </c>
      <c r="W56" s="2" t="s">
        <v>24</v>
      </c>
    </row>
    <row r="57" spans="2:23" x14ac:dyDescent="0.2">
      <c r="B57" s="138"/>
      <c r="C57" s="139"/>
      <c r="D57" s="81" t="str">
        <f t="shared" si="11"/>
        <v>Displaced drinking water</v>
      </c>
      <c r="E57" s="5">
        <f t="shared" si="10"/>
        <v>-1.1187030851622715</v>
      </c>
      <c r="F57" s="5">
        <f t="shared" si="9"/>
        <v>-1.1187030851622715</v>
      </c>
      <c r="G57" s="5">
        <f t="shared" si="9"/>
        <v>-1.1187030851622715</v>
      </c>
      <c r="H57" s="5">
        <f t="shared" si="9"/>
        <v>-1.1187030851622715</v>
      </c>
      <c r="I57" s="5">
        <f t="shared" si="9"/>
        <v>-1.1196766886641403</v>
      </c>
      <c r="J57" s="5">
        <f t="shared" si="9"/>
        <v>-1.1196766886641403</v>
      </c>
      <c r="K57" s="5">
        <f t="shared" si="9"/>
        <v>-1.1196766886641403</v>
      </c>
      <c r="L57" s="5">
        <f t="shared" si="9"/>
        <v>-1.1196766886641403</v>
      </c>
      <c r="M57" s="5">
        <f t="shared" si="9"/>
        <v>-1.1235789854521621</v>
      </c>
      <c r="N57" s="5">
        <f t="shared" si="9"/>
        <v>-1.1235789854521621</v>
      </c>
      <c r="O57" s="5">
        <f t="shared" si="9"/>
        <v>-1.1235789854521621</v>
      </c>
      <c r="P57" s="5">
        <f t="shared" si="9"/>
        <v>-1.1235789854521621</v>
      </c>
      <c r="Q57" s="5">
        <f t="shared" si="9"/>
        <v>-1.1247089432819575</v>
      </c>
      <c r="R57" s="5">
        <f t="shared" si="9"/>
        <v>-1.1247089432819575</v>
      </c>
      <c r="S57" s="5">
        <f t="shared" si="9"/>
        <v>-1.1247089432819575</v>
      </c>
      <c r="T57" s="5">
        <f t="shared" si="9"/>
        <v>-1.1243673282376212</v>
      </c>
      <c r="U57" s="5">
        <f t="shared" si="9"/>
        <v>-1.1243673282376212</v>
      </c>
      <c r="V57" s="5">
        <f t="shared" si="9"/>
        <v>-1.1243673282376212</v>
      </c>
      <c r="W57" s="2" t="s">
        <v>24</v>
      </c>
    </row>
    <row r="63" spans="2:23" ht="26.25" customHeight="1" x14ac:dyDescent="0.2">
      <c r="D63" s="3"/>
      <c r="E63" s="3" t="str">
        <f>E5</f>
        <v>0.05 MGD AnMBR [semi rural single family]</v>
      </c>
      <c r="F63" s="3" t="str">
        <f t="shared" ref="F63:V63" si="12">F5</f>
        <v>0.05 MGD AnMBR [single family]</v>
      </c>
      <c r="G63" s="3" t="str">
        <f t="shared" si="12"/>
        <v>0.05 MGD AnMBR [multi family]</v>
      </c>
      <c r="H63" s="3" t="str">
        <f t="shared" si="12"/>
        <v>0.05 MGD AnMBR [high density urban]</v>
      </c>
      <c r="I63" s="3" t="str">
        <f t="shared" si="12"/>
        <v>0.1 MGD AnMBR [semi rural single family]</v>
      </c>
      <c r="J63" s="3" t="str">
        <f t="shared" si="12"/>
        <v>0.1 MGD AnMBR [single family]</v>
      </c>
      <c r="K63" s="3" t="str">
        <f t="shared" si="12"/>
        <v>0.1 MGD AnMBR [multi family]</v>
      </c>
      <c r="L63" s="3" t="str">
        <f t="shared" si="12"/>
        <v>0.1 MGD AnMBR [high density urban]</v>
      </c>
      <c r="M63" s="3" t="str">
        <f t="shared" si="12"/>
        <v>1 MGD AnMBR [semi rural single family]</v>
      </c>
      <c r="N63" s="3" t="str">
        <f t="shared" si="12"/>
        <v>1 MGD AnMBR [single family]</v>
      </c>
      <c r="O63" s="3" t="str">
        <f t="shared" si="12"/>
        <v>1 MGD AnMBR [multi family]</v>
      </c>
      <c r="P63" s="3" t="str">
        <f t="shared" si="12"/>
        <v>1 MGD AnMBR [high density urban]</v>
      </c>
      <c r="Q63" s="3" t="str">
        <f t="shared" si="12"/>
        <v>5 MGD AnMBR [single family]</v>
      </c>
      <c r="R63" s="3" t="str">
        <f t="shared" si="12"/>
        <v>5 MGD AnMBR [multi family]</v>
      </c>
      <c r="S63" s="3" t="str">
        <f t="shared" si="12"/>
        <v>5 MGD AnMBR [high density urban]</v>
      </c>
      <c r="T63" s="3" t="str">
        <f t="shared" si="12"/>
        <v>10 MGD AnMBR [single family]</v>
      </c>
      <c r="U63" s="3" t="str">
        <f t="shared" si="12"/>
        <v>10 MGD AnMBR [multi family]</v>
      </c>
      <c r="V63" s="3" t="str">
        <f t="shared" si="12"/>
        <v>10 MGD AnMBR [high density urban]</v>
      </c>
      <c r="W63" s="1" t="s">
        <v>0</v>
      </c>
    </row>
    <row r="64" spans="2:23" x14ac:dyDescent="0.2">
      <c r="D64" s="3" t="s">
        <v>12</v>
      </c>
      <c r="E64" s="106">
        <f>SUM(E6:E8)</f>
        <v>4.0243399458224867E-2</v>
      </c>
      <c r="F64" s="106">
        <f t="shared" ref="F64:V64" si="13">SUM(F6:F8)</f>
        <v>2.1116954420823515E-2</v>
      </c>
      <c r="G64" s="107">
        <f t="shared" si="13"/>
        <v>5.3657964696107886E-3</v>
      </c>
      <c r="H64" s="107">
        <f t="shared" si="13"/>
        <v>2.5212223339796309E-3</v>
      </c>
      <c r="I64" s="106">
        <f t="shared" si="13"/>
        <v>3.8383080813954168E-2</v>
      </c>
      <c r="J64" s="106">
        <f t="shared" si="13"/>
        <v>1.9674586648227022E-2</v>
      </c>
      <c r="K64" s="107">
        <f t="shared" si="13"/>
        <v>5.3657166202921687E-3</v>
      </c>
      <c r="L64" s="107">
        <f t="shared" si="13"/>
        <v>2.6610661054206021E-3</v>
      </c>
      <c r="M64" s="106">
        <f t="shared" si="13"/>
        <v>4.0243030157357799E-2</v>
      </c>
      <c r="N64" s="106">
        <f t="shared" si="13"/>
        <v>1.9674587935665143E-2</v>
      </c>
      <c r="O64" s="107">
        <f t="shared" si="13"/>
        <v>5.3657953999328122E-3</v>
      </c>
      <c r="P64" s="107">
        <f t="shared" si="13"/>
        <v>2.5709944028634839E-3</v>
      </c>
      <c r="Q64" s="106">
        <f t="shared" si="13"/>
        <v>1.7095068109292715E-2</v>
      </c>
      <c r="R64" s="107">
        <f t="shared" si="13"/>
        <v>5.3657932871794744E-3</v>
      </c>
      <c r="S64" s="107">
        <f t="shared" si="13"/>
        <v>2.6067164707176491E-3</v>
      </c>
      <c r="T64" s="106">
        <f t="shared" si="13"/>
        <v>1.9674585997275163E-2</v>
      </c>
      <c r="U64" s="107">
        <f t="shared" si="13"/>
        <v>5.7228432762248278E-3</v>
      </c>
      <c r="V64" s="107">
        <f t="shared" si="13"/>
        <v>2.7785901837809172E-3</v>
      </c>
      <c r="W64" s="1" t="s">
        <v>160</v>
      </c>
    </row>
    <row r="65" spans="4:23" x14ac:dyDescent="0.2">
      <c r="D65" s="3" t="s">
        <v>55</v>
      </c>
      <c r="E65" s="108">
        <f>SUM(E9:E12)</f>
        <v>0.64971702928815678</v>
      </c>
      <c r="F65" s="108">
        <f t="shared" ref="F65:V65" si="14">SUM(F9:F12)</f>
        <v>0.64971702928815678</v>
      </c>
      <c r="G65" s="108">
        <f t="shared" si="14"/>
        <v>0.64971702928815678</v>
      </c>
      <c r="H65" s="108">
        <f t="shared" si="14"/>
        <v>0.64971702928815678</v>
      </c>
      <c r="I65" s="108">
        <f t="shared" si="14"/>
        <v>0.45242581510486757</v>
      </c>
      <c r="J65" s="108">
        <f t="shared" si="14"/>
        <v>0.45242581510486757</v>
      </c>
      <c r="K65" s="108">
        <f t="shared" si="14"/>
        <v>0.45242581510486757</v>
      </c>
      <c r="L65" s="108">
        <f t="shared" si="14"/>
        <v>0.45242581510486757</v>
      </c>
      <c r="M65" s="108">
        <f t="shared" si="14"/>
        <v>0.14317724041513691</v>
      </c>
      <c r="N65" s="108">
        <f t="shared" si="14"/>
        <v>0.14317724041513691</v>
      </c>
      <c r="O65" s="108">
        <f t="shared" si="14"/>
        <v>0.14317724041513691</v>
      </c>
      <c r="P65" s="108">
        <f t="shared" si="14"/>
        <v>0.14317724041513691</v>
      </c>
      <c r="Q65" s="106">
        <f t="shared" si="14"/>
        <v>6.982285088378018E-2</v>
      </c>
      <c r="R65" s="106">
        <f t="shared" si="14"/>
        <v>6.982285088378018E-2</v>
      </c>
      <c r="S65" s="106">
        <f t="shared" si="14"/>
        <v>6.982285088378018E-2</v>
      </c>
      <c r="T65" s="106">
        <f t="shared" si="14"/>
        <v>5.326314053248031E-2</v>
      </c>
      <c r="U65" s="106">
        <f t="shared" si="14"/>
        <v>5.326314053248031E-2</v>
      </c>
      <c r="V65" s="106">
        <f t="shared" si="14"/>
        <v>5.326314053248031E-2</v>
      </c>
      <c r="W65" s="1" t="s">
        <v>160</v>
      </c>
    </row>
    <row r="66" spans="4:23" x14ac:dyDescent="0.2">
      <c r="D66" s="3" t="s">
        <v>16</v>
      </c>
      <c r="E66" s="109">
        <f>SUM(E13:E20)</f>
        <v>13.984796723637663</v>
      </c>
      <c r="F66" s="109">
        <f t="shared" ref="F66:V66" si="15">SUM(F13:F20)</f>
        <v>13.984796723637663</v>
      </c>
      <c r="G66" s="109">
        <f t="shared" si="15"/>
        <v>13.984796723637663</v>
      </c>
      <c r="H66" s="109">
        <f t="shared" si="15"/>
        <v>13.984796723637663</v>
      </c>
      <c r="I66" s="109">
        <f t="shared" si="15"/>
        <v>13.185720054005369</v>
      </c>
      <c r="J66" s="109">
        <f t="shared" si="15"/>
        <v>13.185720054005369</v>
      </c>
      <c r="K66" s="109">
        <f t="shared" si="15"/>
        <v>13.185720054005369</v>
      </c>
      <c r="L66" s="109">
        <f t="shared" si="15"/>
        <v>13.185720054005369</v>
      </c>
      <c r="M66" s="109">
        <f t="shared" si="15"/>
        <v>11.186549271201935</v>
      </c>
      <c r="N66" s="109">
        <f t="shared" si="15"/>
        <v>11.186549271201935</v>
      </c>
      <c r="O66" s="109">
        <f t="shared" si="15"/>
        <v>11.186549271201935</v>
      </c>
      <c r="P66" s="109">
        <f t="shared" si="15"/>
        <v>11.186549271201935</v>
      </c>
      <c r="Q66" s="109">
        <f t="shared" si="15"/>
        <v>10.750631979216903</v>
      </c>
      <c r="R66" s="109">
        <f t="shared" si="15"/>
        <v>10.750631979216903</v>
      </c>
      <c r="S66" s="109">
        <f t="shared" si="15"/>
        <v>10.750631979216903</v>
      </c>
      <c r="T66" s="109">
        <f t="shared" si="15"/>
        <v>10.585385102675493</v>
      </c>
      <c r="U66" s="109">
        <f t="shared" si="15"/>
        <v>10.585385102675493</v>
      </c>
      <c r="V66" s="109">
        <f t="shared" si="15"/>
        <v>10.585385102675493</v>
      </c>
      <c r="W66" s="1" t="s">
        <v>160</v>
      </c>
    </row>
    <row r="67" spans="4:23" x14ac:dyDescent="0.2">
      <c r="D67" s="3" t="s">
        <v>56</v>
      </c>
      <c r="E67" s="108">
        <f>E21</f>
        <v>0.38707086628619691</v>
      </c>
      <c r="F67" s="108">
        <f t="shared" ref="F67:V67" si="16">F21</f>
        <v>0.38707086628619691</v>
      </c>
      <c r="G67" s="108">
        <f t="shared" si="16"/>
        <v>0.38707086628619691</v>
      </c>
      <c r="H67" s="108">
        <f t="shared" si="16"/>
        <v>0.38707086628619691</v>
      </c>
      <c r="I67" s="108">
        <f t="shared" si="16"/>
        <v>0.19887671472211005</v>
      </c>
      <c r="J67" s="108">
        <f t="shared" si="16"/>
        <v>0.19887671472211005</v>
      </c>
      <c r="K67" s="108">
        <f t="shared" si="16"/>
        <v>0.19887671472211005</v>
      </c>
      <c r="L67" s="108">
        <f t="shared" si="16"/>
        <v>0.19887671472211005</v>
      </c>
      <c r="M67" s="108">
        <f t="shared" si="16"/>
        <v>0.37503589664990367</v>
      </c>
      <c r="N67" s="108">
        <f t="shared" si="16"/>
        <v>0.37503589664990367</v>
      </c>
      <c r="O67" s="108">
        <f t="shared" si="16"/>
        <v>0.37503589664990367</v>
      </c>
      <c r="P67" s="108">
        <f t="shared" si="16"/>
        <v>0.37503589664990367</v>
      </c>
      <c r="Q67" s="108">
        <f t="shared" si="16"/>
        <v>0.31258051569307832</v>
      </c>
      <c r="R67" s="108">
        <f t="shared" si="16"/>
        <v>0.31258051569307832</v>
      </c>
      <c r="S67" s="108">
        <f t="shared" si="16"/>
        <v>0.31258051569307832</v>
      </c>
      <c r="T67" s="108">
        <f t="shared" si="16"/>
        <v>0.28127668646530241</v>
      </c>
      <c r="U67" s="108">
        <f t="shared" si="16"/>
        <v>0.28127668646530241</v>
      </c>
      <c r="V67" s="108">
        <f t="shared" si="16"/>
        <v>0.28127668646530241</v>
      </c>
      <c r="W67" s="1" t="s">
        <v>160</v>
      </c>
    </row>
    <row r="68" spans="4:23" x14ac:dyDescent="0.2">
      <c r="D68" s="3" t="s">
        <v>14</v>
      </c>
      <c r="E68" s="108">
        <f>SUM(E22:E24)</f>
        <v>7.7387529017922256</v>
      </c>
      <c r="F68" s="108">
        <f t="shared" ref="F68:V68" si="17">SUM(F22:F24)</f>
        <v>7.7387529017922256</v>
      </c>
      <c r="G68" s="108">
        <f t="shared" si="17"/>
        <v>7.7387529017922256</v>
      </c>
      <c r="H68" s="108">
        <f t="shared" si="17"/>
        <v>7.7387529017922256</v>
      </c>
      <c r="I68" s="108">
        <f t="shared" si="17"/>
        <v>4.6434759701290886</v>
      </c>
      <c r="J68" s="108">
        <f t="shared" si="17"/>
        <v>4.6434759701290886</v>
      </c>
      <c r="K68" s="108">
        <f t="shared" si="17"/>
        <v>4.6434759701290886</v>
      </c>
      <c r="L68" s="108">
        <f t="shared" si="17"/>
        <v>4.6434759701290886</v>
      </c>
      <c r="M68" s="108">
        <f t="shared" si="17"/>
        <v>1.7936067949404482</v>
      </c>
      <c r="N68" s="108">
        <f t="shared" si="17"/>
        <v>1.7936067949404482</v>
      </c>
      <c r="O68" s="108">
        <f t="shared" si="17"/>
        <v>1.7936067949404482</v>
      </c>
      <c r="P68" s="108">
        <f t="shared" si="17"/>
        <v>1.7936067949404482</v>
      </c>
      <c r="Q68" s="108">
        <f t="shared" si="17"/>
        <v>0.65752924985929562</v>
      </c>
      <c r="R68" s="108">
        <f t="shared" si="17"/>
        <v>0.65752924985929562</v>
      </c>
      <c r="S68" s="108">
        <f t="shared" si="17"/>
        <v>0.65752924985929562</v>
      </c>
      <c r="T68" s="108">
        <f t="shared" si="17"/>
        <v>0.58002149133332936</v>
      </c>
      <c r="U68" s="108">
        <f t="shared" si="17"/>
        <v>0.58002149133332936</v>
      </c>
      <c r="V68" s="108">
        <f t="shared" si="17"/>
        <v>0.58002149133332936</v>
      </c>
      <c r="W68" s="1" t="s">
        <v>160</v>
      </c>
    </row>
    <row r="69" spans="4:23" x14ac:dyDescent="0.2">
      <c r="D69" s="3" t="s">
        <v>11</v>
      </c>
      <c r="E69" s="109">
        <f>SUM(E25:E28)</f>
        <v>-11.790956310507253</v>
      </c>
      <c r="F69" s="109">
        <f t="shared" ref="F69:V69" si="18">SUM(F25:F28)</f>
        <v>-12.060734886205941</v>
      </c>
      <c r="G69" s="109">
        <f t="shared" si="18"/>
        <v>-12.245444139677401</v>
      </c>
      <c r="H69" s="109">
        <f t="shared" si="18"/>
        <v>-12.283805817694947</v>
      </c>
      <c r="I69" s="109">
        <f t="shared" si="18"/>
        <v>-11.80272680537211</v>
      </c>
      <c r="J69" s="109">
        <f t="shared" si="18"/>
        <v>-12.070315565093852</v>
      </c>
      <c r="K69" s="109">
        <f t="shared" si="18"/>
        <v>-12.257395415078003</v>
      </c>
      <c r="L69" s="109">
        <f t="shared" si="18"/>
        <v>-12.294547913857361</v>
      </c>
      <c r="M69" s="109">
        <f t="shared" si="18"/>
        <v>-11.845394501017187</v>
      </c>
      <c r="N69" s="109">
        <f t="shared" si="18"/>
        <v>-12.113278333094321</v>
      </c>
      <c r="O69" s="109">
        <f t="shared" si="18"/>
        <v>-12.300388904896156</v>
      </c>
      <c r="P69" s="109">
        <f t="shared" si="18"/>
        <v>-12.337423031696193</v>
      </c>
      <c r="Q69" s="109">
        <f t="shared" si="18"/>
        <v>-12.126049023170674</v>
      </c>
      <c r="R69" s="109">
        <f t="shared" si="18"/>
        <v>-12.312644446109196</v>
      </c>
      <c r="S69" s="109">
        <f t="shared" si="18"/>
        <v>-12.349967696788804</v>
      </c>
      <c r="T69" s="109">
        <f t="shared" si="18"/>
        <v>-12.122265591455921</v>
      </c>
      <c r="U69" s="109">
        <f t="shared" si="18"/>
        <v>-12.308891999729966</v>
      </c>
      <c r="V69" s="109">
        <f t="shared" si="18"/>
        <v>-12.346206809739188</v>
      </c>
      <c r="W69" s="1" t="s">
        <v>160</v>
      </c>
    </row>
    <row r="70" spans="4:23" x14ac:dyDescent="0.2">
      <c r="D70" s="43" t="s">
        <v>57</v>
      </c>
      <c r="E70" s="113">
        <f>SUM(E64:E69)</f>
        <v>11.009624609955212</v>
      </c>
      <c r="F70" s="113">
        <f t="shared" ref="F70:V70" si="19">SUM(F64:F69)</f>
        <v>10.720719589219124</v>
      </c>
      <c r="G70" s="113">
        <f t="shared" si="19"/>
        <v>10.520259177796452</v>
      </c>
      <c r="H70" s="113">
        <f t="shared" si="19"/>
        <v>10.479052925643273</v>
      </c>
      <c r="I70" s="110">
        <f t="shared" si="19"/>
        <v>6.7161548294032798</v>
      </c>
      <c r="J70" s="110">
        <f t="shared" si="19"/>
        <v>6.4298575755158094</v>
      </c>
      <c r="K70" s="110">
        <f t="shared" si="19"/>
        <v>6.228468855503726</v>
      </c>
      <c r="L70" s="110">
        <f t="shared" si="19"/>
        <v>6.1886117062094961</v>
      </c>
      <c r="M70" s="110">
        <f t="shared" si="19"/>
        <v>1.693217732347593</v>
      </c>
      <c r="N70" s="110">
        <f t="shared" si="19"/>
        <v>1.4047654580487681</v>
      </c>
      <c r="O70" s="110">
        <f t="shared" si="19"/>
        <v>1.2033460937112004</v>
      </c>
      <c r="P70" s="110">
        <f t="shared" si="19"/>
        <v>1.1635171659140937</v>
      </c>
      <c r="Q70" s="110">
        <f t="shared" si="19"/>
        <v>-0.31838935940832336</v>
      </c>
      <c r="R70" s="110">
        <f t="shared" si="19"/>
        <v>-0.51671405716895968</v>
      </c>
      <c r="S70" s="110">
        <f t="shared" si="19"/>
        <v>-0.55679638466502901</v>
      </c>
      <c r="T70" s="110">
        <f t="shared" si="19"/>
        <v>-0.60264458445204028</v>
      </c>
      <c r="U70" s="110">
        <f t="shared" si="19"/>
        <v>-0.80322273544713418</v>
      </c>
      <c r="V70" s="110">
        <f t="shared" si="19"/>
        <v>-0.84348179854880101</v>
      </c>
    </row>
  </sheetData>
  <mergeCells count="18">
    <mergeCell ref="B42:C49"/>
    <mergeCell ref="B50:C50"/>
    <mergeCell ref="B51:B53"/>
    <mergeCell ref="C51:C53"/>
    <mergeCell ref="B54:C57"/>
    <mergeCell ref="B22:B24"/>
    <mergeCell ref="C22:C24"/>
    <mergeCell ref="B25:C28"/>
    <mergeCell ref="B35:C37"/>
    <mergeCell ref="B38:B41"/>
    <mergeCell ref="C38:C39"/>
    <mergeCell ref="C40:C41"/>
    <mergeCell ref="B21:C21"/>
    <mergeCell ref="B6:C8"/>
    <mergeCell ref="B9:B12"/>
    <mergeCell ref="C9:C10"/>
    <mergeCell ref="C11:C12"/>
    <mergeCell ref="B13:C20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8"/>
  <sheetViews>
    <sheetView showGridLines="0" zoomScale="85" zoomScaleNormal="85" workbookViewId="0">
      <pane ySplit="5" topLeftCell="A6" activePane="bottomLeft" state="frozen"/>
      <selection pane="bottomLeft" activeCell="M90" sqref="M90"/>
    </sheetView>
  </sheetViews>
  <sheetFormatPr defaultRowHeight="12.75" x14ac:dyDescent="0.2"/>
  <cols>
    <col min="1" max="1" width="1.85546875" style="1" customWidth="1"/>
    <col min="2" max="3" width="13.7109375" style="1" customWidth="1"/>
    <col min="4" max="4" width="54.85546875" style="1" customWidth="1"/>
    <col min="5" max="5" width="19.42578125" style="1" customWidth="1"/>
    <col min="6" max="8" width="20.140625" style="1" customWidth="1"/>
    <col min="9" max="9" width="19.42578125" style="1" customWidth="1"/>
    <col min="10" max="12" width="20.140625" style="1" customWidth="1"/>
    <col min="13" max="13" width="19.42578125" style="1" customWidth="1"/>
    <col min="14" max="22" width="20.140625" style="1" customWidth="1"/>
    <col min="23" max="16384" width="9.140625" style="1"/>
  </cols>
  <sheetData>
    <row r="1" spans="1:23" ht="15.75" x14ac:dyDescent="0.25">
      <c r="A1" s="42" t="s">
        <v>170</v>
      </c>
    </row>
    <row r="2" spans="1:23" x14ac:dyDescent="0.2">
      <c r="A2" s="41" t="s">
        <v>52</v>
      </c>
    </row>
    <row r="4" spans="1:23" x14ac:dyDescent="0.2">
      <c r="D4" s="44" t="s">
        <v>53</v>
      </c>
      <c r="E4" s="45">
        <f>F4</f>
        <v>69129.535959999994</v>
      </c>
      <c r="F4" s="46">
        <f>G4</f>
        <v>69129.535959999994</v>
      </c>
      <c r="G4" s="46">
        <f>H4</f>
        <v>69129.535959999994</v>
      </c>
      <c r="H4" s="46">
        <v>69129.535959999994</v>
      </c>
      <c r="I4" s="46">
        <f>J4</f>
        <v>138259.07190000001</v>
      </c>
      <c r="J4" s="46">
        <f>K4</f>
        <v>138259.07190000001</v>
      </c>
      <c r="K4" s="46">
        <f>L4</f>
        <v>138259.07190000001</v>
      </c>
      <c r="L4" s="46">
        <v>138259.07190000001</v>
      </c>
      <c r="M4" s="46">
        <f>N4</f>
        <v>1382590.719</v>
      </c>
      <c r="N4" s="46">
        <f>O4</f>
        <v>1382590.719</v>
      </c>
      <c r="O4" s="46">
        <f>P4</f>
        <v>1382590.719</v>
      </c>
      <c r="P4" s="46">
        <v>1382590.719</v>
      </c>
      <c r="Q4" s="46">
        <f>R4</f>
        <v>6912953.5959999999</v>
      </c>
      <c r="R4" s="46">
        <f>S4</f>
        <v>6912953.5959999999</v>
      </c>
      <c r="S4" s="46">
        <v>6912953.5959999999</v>
      </c>
      <c r="T4" s="46">
        <v>13825907.189999999</v>
      </c>
      <c r="U4" s="46">
        <f>T4</f>
        <v>13825907.189999999</v>
      </c>
      <c r="V4" s="47">
        <f>U4</f>
        <v>13825907.189999999</v>
      </c>
    </row>
    <row r="5" spans="1:23" ht="75" customHeight="1" x14ac:dyDescent="0.2">
      <c r="B5" s="13"/>
      <c r="C5" s="14"/>
      <c r="D5" s="2"/>
      <c r="E5" s="3" t="str">
        <f>AnMBR_35_CED_Detail_yr!E5</f>
        <v>0.05 MGD AnMBR [semi rural single family]</v>
      </c>
      <c r="F5" s="3" t="str">
        <f>AnMBR_35_CED_Detail_yr!F5</f>
        <v>0.05 MGD AnMBR [single family]</v>
      </c>
      <c r="G5" s="3" t="str">
        <f>AnMBR_35_CED_Detail_yr!G5</f>
        <v>0.05 MGD AnMBR [multi family]</v>
      </c>
      <c r="H5" s="3" t="str">
        <f>AnMBR_35_CED_Detail_yr!H5</f>
        <v>0.05 MGD AnMBR [high density urban]</v>
      </c>
      <c r="I5" s="3" t="str">
        <f>AnMBR_35_CED_Detail_yr!I5</f>
        <v>0.1 MGD AnMBR [semi rural single family]</v>
      </c>
      <c r="J5" s="3" t="str">
        <f>AnMBR_35_CED_Detail_yr!J5</f>
        <v>0.1 MGD AnMBR [single family]</v>
      </c>
      <c r="K5" s="3" t="str">
        <f>AnMBR_35_CED_Detail_yr!K5</f>
        <v>0.1 MGD AnMBR [multi family]</v>
      </c>
      <c r="L5" s="3" t="str">
        <f>AnMBR_35_CED_Detail_yr!L5</f>
        <v>0.1 MGD AnMBR [high density urban]</v>
      </c>
      <c r="M5" s="3" t="str">
        <f>AnMBR_35_CED_Detail_yr!M5</f>
        <v>1 MGD AnMBR [semi rural single family]</v>
      </c>
      <c r="N5" s="3" t="str">
        <f>AnMBR_35_CED_Detail_yr!N5</f>
        <v>1 MGD AnMBR [single family]</v>
      </c>
      <c r="O5" s="3" t="str">
        <f>AnMBR_35_CED_Detail_yr!O5</f>
        <v>1 MGD AnMBR [multi family]</v>
      </c>
      <c r="P5" s="3" t="str">
        <f>AnMBR_35_CED_Detail_yr!P5</f>
        <v>1 MGD AnMBR [high density urban]</v>
      </c>
      <c r="Q5" s="3" t="str">
        <f>AnMBR_35_CED_Detail_yr!Q5</f>
        <v>5 MGD AnMBR [single family]</v>
      </c>
      <c r="R5" s="3" t="str">
        <f>AnMBR_35_CED_Detail_yr!R5</f>
        <v>5 MGD AnMBR [multi family]</v>
      </c>
      <c r="S5" s="3" t="str">
        <f>AnMBR_35_CED_Detail_yr!S5</f>
        <v>5 MGD AnMBR [high density urban]</v>
      </c>
      <c r="T5" s="3" t="str">
        <f>AnMBR_35_CED_Detail_yr!T5</f>
        <v>10 MGD AnMBR [single family]</v>
      </c>
      <c r="U5" s="3" t="str">
        <f>AnMBR_35_CED_Detail_yr!U5</f>
        <v>10 MGD AnMBR [multi family]</v>
      </c>
      <c r="V5" s="3" t="str">
        <f>AnMBR_35_CED_Detail_yr!V5</f>
        <v>10 MGD AnMBR [high density urban]</v>
      </c>
      <c r="W5" s="2" t="s">
        <v>0</v>
      </c>
    </row>
    <row r="6" spans="1:23" ht="12.75" customHeight="1" x14ac:dyDescent="0.2">
      <c r="B6" s="120" t="s">
        <v>12</v>
      </c>
      <c r="C6" s="120"/>
      <c r="D6" s="2" t="s">
        <v>20</v>
      </c>
      <c r="E6" s="21">
        <f>AnMBR_20_CED_Detail_yr!E6/AnMBR_20_CED_Detail_yr!E$4</f>
        <v>3.3068788445545935E-2</v>
      </c>
      <c r="F6" s="21">
        <f>AnMBR_20_CED_Detail_yr!F6/AnMBR_20_CED_Detail_yr!F$4</f>
        <v>1.7609334463121139E-2</v>
      </c>
      <c r="G6" s="48">
        <f>AnMBR_20_CED_Detail_yr!G6/AnMBR_20_CED_Detail_yr!G$4</f>
        <v>4.4091728053312403E-3</v>
      </c>
      <c r="H6" s="48">
        <f>AnMBR_20_CED_Detail_yr!H6/AnMBR_20_CED_Detail_yr!H$4</f>
        <v>2.074800561123281E-3</v>
      </c>
      <c r="I6" s="21">
        <f>AnMBR_20_CED_Detail_yr!I6/AnMBR_20_CED_Detail_yr!I$4</f>
        <v>3.1208440362747728E-2</v>
      </c>
      <c r="J6" s="21">
        <f>AnMBR_20_CED_Detail_yr!J6/AnMBR_20_CED_Detail_yr!J$4</f>
        <v>1.6166966762345233E-2</v>
      </c>
      <c r="K6" s="48">
        <f>AnMBR_20_CED_Detail_yr!K6/AnMBR_20_CED_Detail_yr!K$4</f>
        <v>4.4091139309897246E-3</v>
      </c>
      <c r="L6" s="48">
        <f>AnMBR_20_CED_Detail_yr!L6/AnMBR_20_CED_Detail_yr!L$4</f>
        <v>1.9914608583453106E-3</v>
      </c>
      <c r="M6" s="21">
        <f>AnMBR_20_CED_Detail_yr!M6/AnMBR_20_CED_Detail_yr!M$4</f>
        <v>3.3068354482422936E-2</v>
      </c>
      <c r="N6" s="21">
        <f>AnMBR_20_CED_Detail_yr!N6/AnMBR_20_CED_Detail_yr!N$4</f>
        <v>1.6166968064248954E-2</v>
      </c>
      <c r="O6" s="48">
        <f>AnMBR_20_CED_Detail_yr!O6/AnMBR_20_CED_Detail_yr!O$4</f>
        <v>4.4091717933772701E-3</v>
      </c>
      <c r="P6" s="48">
        <f>AnMBR_20_CED_Detail_yr!P6/AnMBR_20_CED_Detail_yr!P$4</f>
        <v>2.0576081995238677E-3</v>
      </c>
      <c r="Q6" s="21">
        <f>AnMBR_20_CED_Detail_yr!Q6/AnMBR_20_CED_Detail_yr!Q$4</f>
        <v>1.3587448359894935E-2</v>
      </c>
      <c r="R6" s="48">
        <f>AnMBR_20_CED_Detail_yr!R6/AnMBR_20_CED_Detail_yr!R$4</f>
        <v>4.4091717927394582E-3</v>
      </c>
      <c r="S6" s="48">
        <f>AnMBR_20_CED_Detail_yr!S6/AnMBR_20_CED_Detail_yr!S$4</f>
        <v>2.0576154320246648E-3</v>
      </c>
      <c r="T6" s="21">
        <f>AnMBR_20_CED_Detail_yr!T6/AnMBR_20_CED_Detail_yr!T$4</f>
        <v>1.6166968064248954E-2</v>
      </c>
      <c r="U6" s="48">
        <f>AnMBR_20_CED_Detail_yr!U6/AnMBR_20_CED_Detail_yr!U$4</f>
        <v>4.2880007210579288E-3</v>
      </c>
      <c r="V6" s="48">
        <f>AnMBR_20_CED_Detail_yr!V6/AnMBR_20_CED_Detail_yr!V$4</f>
        <v>2.0576154323223112E-3</v>
      </c>
      <c r="W6" s="2" t="s">
        <v>1</v>
      </c>
    </row>
    <row r="7" spans="1:23" x14ac:dyDescent="0.2">
      <c r="B7" s="120"/>
      <c r="C7" s="120"/>
      <c r="D7" s="2" t="s">
        <v>21</v>
      </c>
      <c r="E7" s="48">
        <f>AnMBR_20_CED_Detail_yr!E7/AnMBR_20_CED_Detail_yr!E$4</f>
        <v>4.9071644310803219E-3</v>
      </c>
      <c r="F7" s="48">
        <f>AnMBR_20_CED_Detail_yr!F7/AnMBR_20_CED_Detail_yr!F$4</f>
        <v>2.3990904567327579E-3</v>
      </c>
      <c r="G7" s="49">
        <f>AnMBR_20_CED_Detail_yr!G7/AnMBR_20_CED_Detail_yr!G$4</f>
        <v>6.5429746304346531E-4</v>
      </c>
      <c r="H7" s="49">
        <f>AnMBR_20_CED_Detail_yr!H7/AnMBR_20_CED_Detail_yr!H$4</f>
        <v>3.0533880644321922E-4</v>
      </c>
      <c r="I7" s="48">
        <f>AnMBR_20_CED_Detail_yr!I7/AnMBR_20_CED_Detail_yr!I$4</f>
        <v>4.9072304672399579E-3</v>
      </c>
      <c r="J7" s="48">
        <f>AnMBR_20_CED_Detail_yr!J7/AnMBR_20_CED_Detail_yr!J$4</f>
        <v>2.3990904570798002E-3</v>
      </c>
      <c r="K7" s="49">
        <f>AnMBR_20_CED_Detail_yr!K7/AnMBR_20_CED_Detail_yr!K$4</f>
        <v>6.5427894717409848E-4</v>
      </c>
      <c r="L7" s="49">
        <f>AnMBR_20_CED_Detail_yr!L7/AnMBR_20_CED_Detail_yr!L$4</f>
        <v>4.5798079742498252E-4</v>
      </c>
      <c r="M7" s="48">
        <f>AnMBR_20_CED_Detail_yr!M7/AnMBR_20_CED_Detail_yr!M$4</f>
        <v>4.9072295269761606E-3</v>
      </c>
      <c r="N7" s="48">
        <f>AnMBR_20_CED_Detail_yr!N7/AnMBR_20_CED_Detail_yr!N$4</f>
        <v>2.399090435381405E-3</v>
      </c>
      <c r="O7" s="49">
        <f>AnMBR_20_CED_Detail_yr!O7/AnMBR_20_CED_Detail_yr!O$4</f>
        <v>6.5429739081012881E-4</v>
      </c>
      <c r="P7" s="49">
        <f>AnMBR_20_CED_Detail_yr!P7/AnMBR_20_CED_Detail_yr!P$4</f>
        <v>3.5113789882166858E-4</v>
      </c>
      <c r="Q7" s="48">
        <f>AnMBR_20_CED_Detail_yr!Q7/AnMBR_20_CED_Detail_yr!Q$4</f>
        <v>2.3990903120767889E-3</v>
      </c>
      <c r="R7" s="49">
        <f>AnMBR_20_CED_Detail_yr!R7/AnMBR_20_CED_Detail_yr!R$4</f>
        <v>6.5429630579571445E-4</v>
      </c>
      <c r="S7" s="49">
        <f>AnMBR_20_CED_Detail_yr!S7/AnMBR_20_CED_Detail_yr!S$4</f>
        <v>3.7556595222948755E-4</v>
      </c>
      <c r="T7" s="48">
        <f>AnMBR_20_CED_Detail_yr!T7/AnMBR_20_CED_Detail_yr!T$4</f>
        <v>2.3990903124238316E-3</v>
      </c>
      <c r="U7" s="49">
        <f>AnMBR_20_CED_Detail_yr!U7/AnMBR_20_CED_Detail_yr!U$4</f>
        <v>9.8141842076114789E-4</v>
      </c>
      <c r="V7" s="49">
        <f>AnMBR_20_CED_Detail_yr!V7/AnMBR_20_CED_Detail_yr!V$4</f>
        <v>4.931220719412337E-4</v>
      </c>
      <c r="W7" s="2" t="s">
        <v>1</v>
      </c>
    </row>
    <row r="8" spans="1:23" x14ac:dyDescent="0.2">
      <c r="B8" s="120"/>
      <c r="C8" s="120"/>
      <c r="D8" s="2" t="s">
        <v>3</v>
      </c>
      <c r="E8" s="48">
        <f>AnMBR_20_CED_Detail_yr!E8/AnMBR_20_CED_Detail_yr!E$4</f>
        <v>2.2674465815986076E-3</v>
      </c>
      <c r="F8" s="48">
        <f>AnMBR_20_CED_Detail_yr!F8/AnMBR_20_CED_Detail_yr!F$4</f>
        <v>1.1085295009696172E-3</v>
      </c>
      <c r="G8" s="49">
        <f>AnMBR_20_CED_Detail_yr!G8/AnMBR_20_CED_Detail_yr!G$4</f>
        <v>3.0232620123608309E-4</v>
      </c>
      <c r="H8" s="49">
        <f>AnMBR_20_CED_Detail_yr!H8/AnMBR_20_CED_Detail_yr!H$4</f>
        <v>1.4108296641313084E-4</v>
      </c>
      <c r="I8" s="48">
        <f>AnMBR_20_CED_Detail_yr!I8/AnMBR_20_CED_Detail_yr!I$4</f>
        <v>2.267409983966484E-3</v>
      </c>
      <c r="J8" s="48">
        <f>AnMBR_20_CED_Detail_yr!J8/AnMBR_20_CED_Detail_yr!J$4</f>
        <v>1.1085294288019881E-3</v>
      </c>
      <c r="K8" s="49">
        <f>AnMBR_20_CED_Detail_yr!K8/AnMBR_20_CED_Detail_yr!K$4</f>
        <v>3.0232374212834561E-4</v>
      </c>
      <c r="L8" s="49">
        <f>AnMBR_20_CED_Detail_yr!L8/AnMBR_20_CED_Detail_yr!L$4</f>
        <v>2.1162444965030898E-4</v>
      </c>
      <c r="M8" s="48">
        <f>AnMBR_20_CED_Detail_yr!M8/AnMBR_20_CED_Detail_yr!M$4</f>
        <v>2.2674461479587002E-3</v>
      </c>
      <c r="N8" s="48">
        <f>AnMBR_20_CED_Detail_yr!N8/AnMBR_20_CED_Detail_yr!N$4</f>
        <v>1.1085294360347864E-3</v>
      </c>
      <c r="O8" s="49">
        <f>AnMBR_20_CED_Detail_yr!O8/AnMBR_20_CED_Detail_yr!O$4</f>
        <v>3.0232621574541324E-4</v>
      </c>
      <c r="P8" s="49">
        <f>AnMBR_20_CED_Detail_yr!P8/AnMBR_20_CED_Detail_yr!P$4</f>
        <v>1.6224830451794752E-4</v>
      </c>
      <c r="Q8" s="48">
        <f>AnMBR_20_CED_Detail_yr!Q8/AnMBR_20_CED_Detail_yr!Q$4</f>
        <v>1.1085294373209909E-3</v>
      </c>
      <c r="R8" s="49">
        <f>AnMBR_20_CED_Detail_yr!R8/AnMBR_20_CED_Detail_yr!R$4</f>
        <v>3.0232518864430118E-4</v>
      </c>
      <c r="S8" s="49">
        <f>AnMBR_20_CED_Detail_yr!S8/AnMBR_20_CED_Detail_yr!S$4</f>
        <v>1.7353508646349665E-4</v>
      </c>
      <c r="T8" s="48">
        <f>AnMBR_20_CED_Detail_yr!T8/AnMBR_20_CED_Detail_yr!T$4</f>
        <v>1.1085276206023772E-3</v>
      </c>
      <c r="U8" s="49">
        <f>AnMBR_20_CED_Detail_yr!U8/AnMBR_20_CED_Detail_yr!U$4</f>
        <v>4.5342413440575108E-4</v>
      </c>
      <c r="V8" s="49">
        <f>AnMBR_20_CED_Detail_yr!V8/AnMBR_20_CED_Detail_yr!V$4</f>
        <v>2.2785267951737207E-4</v>
      </c>
      <c r="W8" s="2" t="s">
        <v>1</v>
      </c>
    </row>
    <row r="9" spans="1:23" x14ac:dyDescent="0.2">
      <c r="B9" s="131" t="s">
        <v>19</v>
      </c>
      <c r="C9" s="132" t="s">
        <v>10</v>
      </c>
      <c r="D9" s="2" t="s">
        <v>3</v>
      </c>
      <c r="E9" s="18">
        <f>AnMBR_20_CED_Detail_yr!E9/AnMBR_20_CED_Detail_yr!E$4</f>
        <v>0.63386798987562598</v>
      </c>
      <c r="F9" s="18">
        <f>AnMBR_20_CED_Detail_yr!F9/AnMBR_20_CED_Detail_yr!F$4</f>
        <v>0.63386798987562598</v>
      </c>
      <c r="G9" s="18">
        <f>AnMBR_20_CED_Detail_yr!G9/AnMBR_20_CED_Detail_yr!G$4</f>
        <v>0.63386798987562598</v>
      </c>
      <c r="H9" s="18">
        <f>AnMBR_20_CED_Detail_yr!H9/AnMBR_20_CED_Detail_yr!H$4</f>
        <v>0.63386798987562598</v>
      </c>
      <c r="I9" s="18">
        <f>AnMBR_20_CED_Detail_yr!I9/AnMBR_20_CED_Detail_yr!I$4</f>
        <v>0.43657677699194791</v>
      </c>
      <c r="J9" s="18">
        <f>AnMBR_20_CED_Detail_yr!J9/AnMBR_20_CED_Detail_yr!J$4</f>
        <v>0.43657677699194791</v>
      </c>
      <c r="K9" s="18">
        <f>AnMBR_20_CED_Detail_yr!K9/AnMBR_20_CED_Detail_yr!K$4</f>
        <v>0.43657677699194791</v>
      </c>
      <c r="L9" s="18">
        <f>AnMBR_20_CED_Detail_yr!L9/AnMBR_20_CED_Detail_yr!L$4</f>
        <v>0.43657677699194791</v>
      </c>
      <c r="M9" s="18">
        <f>AnMBR_20_CED_Detail_yr!M9/AnMBR_20_CED_Detail_yr!M$4</f>
        <v>0.12677359799346374</v>
      </c>
      <c r="N9" s="18">
        <f>AnMBR_20_CED_Detail_yr!N9/AnMBR_20_CED_Detail_yr!N$4</f>
        <v>0.12677359799346374</v>
      </c>
      <c r="O9" s="18">
        <f>AnMBR_20_CED_Detail_yr!O9/AnMBR_20_CED_Detail_yr!O$4</f>
        <v>0.12677359799346374</v>
      </c>
      <c r="P9" s="18">
        <f>AnMBR_20_CED_Detail_yr!P9/AnMBR_20_CED_Detail_yr!P$4</f>
        <v>0.12677359799346374</v>
      </c>
      <c r="Q9" s="21">
        <f>AnMBR_20_CED_Detail_yr!Q9/AnMBR_20_CED_Detail_yr!Q$4</f>
        <v>5.3403367297823821E-2</v>
      </c>
      <c r="R9" s="21">
        <f>AnMBR_20_CED_Detail_yr!R9/AnMBR_20_CED_Detail_yr!R$4</f>
        <v>5.3403367297823821E-2</v>
      </c>
      <c r="S9" s="21">
        <f>AnMBR_20_CED_Detail_yr!S9/AnMBR_20_CED_Detail_yr!S$4</f>
        <v>5.3403367297823821E-2</v>
      </c>
      <c r="T9" s="21">
        <f>AnMBR_20_CED_Detail_yr!T9/AnMBR_20_CED_Detail_yr!T$4</f>
        <v>3.6843585957848458E-2</v>
      </c>
      <c r="U9" s="21">
        <f>AnMBR_20_CED_Detail_yr!U9/AnMBR_20_CED_Detail_yr!U$4</f>
        <v>3.6843585957848458E-2</v>
      </c>
      <c r="V9" s="21">
        <f>AnMBR_20_CED_Detail_yr!V9/AnMBR_20_CED_Detail_yr!V$4</f>
        <v>3.6843585957848458E-2</v>
      </c>
      <c r="W9" s="2" t="s">
        <v>1</v>
      </c>
    </row>
    <row r="10" spans="1:23" x14ac:dyDescent="0.2">
      <c r="B10" s="131"/>
      <c r="C10" s="132"/>
      <c r="D10" s="2" t="s">
        <v>4</v>
      </c>
      <c r="E10" s="49">
        <f>AnMBR_20_CED_Detail_yr!E10/AnMBR_20_CED_Detail_yr!E$4</f>
        <v>4.3150875506036016E-7</v>
      </c>
      <c r="F10" s="49">
        <f>AnMBR_20_CED_Detail_yr!F10/AnMBR_20_CED_Detail_yr!F$4</f>
        <v>4.3150875506036016E-7</v>
      </c>
      <c r="G10" s="49">
        <f>AnMBR_20_CED_Detail_yr!G10/AnMBR_20_CED_Detail_yr!G$4</f>
        <v>4.3150875506036016E-7</v>
      </c>
      <c r="H10" s="49">
        <f>AnMBR_20_CED_Detail_yr!H10/AnMBR_20_CED_Detail_yr!H$4</f>
        <v>4.3150875506036016E-7</v>
      </c>
      <c r="I10" s="49">
        <f>AnMBR_20_CED_Detail_yr!I10/AnMBR_20_CED_Detail_yr!I$4</f>
        <v>4.3013452341856779E-7</v>
      </c>
      <c r="J10" s="49">
        <f>AnMBR_20_CED_Detail_yr!J10/AnMBR_20_CED_Detail_yr!J$4</f>
        <v>4.3013452341856779E-7</v>
      </c>
      <c r="K10" s="49">
        <f>AnMBR_20_CED_Detail_yr!K10/AnMBR_20_CED_Detail_yr!K$4</f>
        <v>4.3013452341856779E-7</v>
      </c>
      <c r="L10" s="49">
        <f>AnMBR_20_CED_Detail_yr!L10/AnMBR_20_CED_Detail_yr!L$4</f>
        <v>4.3013452341856779E-7</v>
      </c>
      <c r="M10" s="49">
        <f>AnMBR_20_CED_Detail_yr!M10/AnMBR_20_CED_Detail_yr!M$4</f>
        <v>4.2998986744970334E-7</v>
      </c>
      <c r="N10" s="49">
        <f>AnMBR_20_CED_Detail_yr!N10/AnMBR_20_CED_Detail_yr!N$4</f>
        <v>4.2998986744970334E-7</v>
      </c>
      <c r="O10" s="49">
        <f>AnMBR_20_CED_Detail_yr!O10/AnMBR_20_CED_Detail_yr!O$4</f>
        <v>4.2998986744970334E-7</v>
      </c>
      <c r="P10" s="49">
        <f>AnMBR_20_CED_Detail_yr!P10/AnMBR_20_CED_Detail_yr!P$4</f>
        <v>4.2998986744970334E-7</v>
      </c>
      <c r="Q10" s="49">
        <f>AnMBR_20_CED_Detail_yr!Q10/AnMBR_20_CED_Detail_yr!Q$4</f>
        <v>4.3131636262179822E-7</v>
      </c>
      <c r="R10" s="49">
        <f>AnMBR_20_CED_Detail_yr!R10/AnMBR_20_CED_Detail_yr!R$4</f>
        <v>4.3131636262179822E-7</v>
      </c>
      <c r="S10" s="49">
        <f>AnMBR_20_CED_Detail_yr!S10/AnMBR_20_CED_Detail_yr!S$4</f>
        <v>4.3131636262179822E-7</v>
      </c>
      <c r="T10" s="49">
        <f>AnMBR_20_CED_Detail_yr!T10/AnMBR_20_CED_Detail_yr!T$4</f>
        <v>4.2997467857297259E-7</v>
      </c>
      <c r="U10" s="49">
        <f>AnMBR_20_CED_Detail_yr!U10/AnMBR_20_CED_Detail_yr!U$4</f>
        <v>4.2997467857297259E-7</v>
      </c>
      <c r="V10" s="49">
        <f>AnMBR_20_CED_Detail_yr!V10/AnMBR_20_CED_Detail_yr!V$4</f>
        <v>4.2997467857297259E-7</v>
      </c>
      <c r="W10" s="2" t="s">
        <v>1</v>
      </c>
    </row>
    <row r="11" spans="1:23" ht="15.75" customHeight="1" x14ac:dyDescent="0.2">
      <c r="B11" s="131"/>
      <c r="C11" s="120" t="s">
        <v>13</v>
      </c>
      <c r="D11" s="2" t="s">
        <v>3</v>
      </c>
      <c r="E11" s="21">
        <f>AnMBR_20_CED_Detail_yr!E11/AnMBR_20_CED_Detail_yr!E$4</f>
        <v>1.5846706111753279E-2</v>
      </c>
      <c r="F11" s="21">
        <f>AnMBR_20_CED_Detail_yr!F11/AnMBR_20_CED_Detail_yr!F$4</f>
        <v>1.5846706111753279E-2</v>
      </c>
      <c r="G11" s="21">
        <f>AnMBR_20_CED_Detail_yr!G11/AnMBR_20_CED_Detail_yr!G$4</f>
        <v>1.5846706111753279E-2</v>
      </c>
      <c r="H11" s="21">
        <f>AnMBR_20_CED_Detail_yr!H11/AnMBR_20_CED_Detail_yr!H$4</f>
        <v>1.5846706111753279E-2</v>
      </c>
      <c r="I11" s="21">
        <f>AnMBR_20_CED_Detail_yr!I11/AnMBR_20_CED_Detail_yr!I$4</f>
        <v>1.5846706186373582E-2</v>
      </c>
      <c r="J11" s="21">
        <f>AnMBR_20_CED_Detail_yr!J11/AnMBR_20_CED_Detail_yr!J$4</f>
        <v>1.5846706186373582E-2</v>
      </c>
      <c r="K11" s="21">
        <f>AnMBR_20_CED_Detail_yr!K11/AnMBR_20_CED_Detail_yr!K$4</f>
        <v>1.5846706186373582E-2</v>
      </c>
      <c r="L11" s="21">
        <f>AnMBR_20_CED_Detail_yr!L11/AnMBR_20_CED_Detail_yr!L$4</f>
        <v>1.5846706186373582E-2</v>
      </c>
      <c r="M11" s="21">
        <f>AnMBR_20_CED_Detail_yr!M11/AnMBR_20_CED_Detail_yr!M$4</f>
        <v>1.6401310733809432E-2</v>
      </c>
      <c r="N11" s="21">
        <f>AnMBR_20_CED_Detail_yr!N11/AnMBR_20_CED_Detail_yr!N$4</f>
        <v>1.6401310733809432E-2</v>
      </c>
      <c r="O11" s="21">
        <f>AnMBR_20_CED_Detail_yr!O11/AnMBR_20_CED_Detail_yr!O$4</f>
        <v>1.6401310733809432E-2</v>
      </c>
      <c r="P11" s="21">
        <f>AnMBR_20_CED_Detail_yr!P11/AnMBR_20_CED_Detail_yr!P$4</f>
        <v>1.6401310733809432E-2</v>
      </c>
      <c r="Q11" s="21">
        <f>AnMBR_20_CED_Detail_yr!Q11/AnMBR_20_CED_Detail_yr!Q$4</f>
        <v>1.6417150560025254E-2</v>
      </c>
      <c r="R11" s="21">
        <f>AnMBR_20_CED_Detail_yr!R11/AnMBR_20_CED_Detail_yr!R$4</f>
        <v>1.6417150560025254E-2</v>
      </c>
      <c r="S11" s="21">
        <f>AnMBR_20_CED_Detail_yr!S11/AnMBR_20_CED_Detail_yr!S$4</f>
        <v>1.6417150560025254E-2</v>
      </c>
      <c r="T11" s="21">
        <f>AnMBR_20_CED_Detail_yr!T11/AnMBR_20_CED_Detail_yr!T$4</f>
        <v>1.6417222890384525E-2</v>
      </c>
      <c r="U11" s="21">
        <f>AnMBR_20_CED_Detail_yr!U11/AnMBR_20_CED_Detail_yr!U$4</f>
        <v>1.6417222890384525E-2</v>
      </c>
      <c r="V11" s="21">
        <f>AnMBR_20_CED_Detail_yr!V11/AnMBR_20_CED_Detail_yr!V$4</f>
        <v>1.6417222890384525E-2</v>
      </c>
      <c r="W11" s="2" t="s">
        <v>1</v>
      </c>
    </row>
    <row r="12" spans="1:23" x14ac:dyDescent="0.2">
      <c r="B12" s="131"/>
      <c r="C12" s="120"/>
      <c r="D12" s="2" t="s">
        <v>4</v>
      </c>
      <c r="E12" s="49">
        <f>AnMBR_20_CED_Detail_yr!E12/AnMBR_20_CED_Detail_yr!E$4</f>
        <v>1.9017920223863747E-6</v>
      </c>
      <c r="F12" s="49">
        <f>AnMBR_20_CED_Detail_yr!F12/AnMBR_20_CED_Detail_yr!F$4</f>
        <v>1.9017920223863747E-6</v>
      </c>
      <c r="G12" s="49">
        <f>AnMBR_20_CED_Detail_yr!G12/AnMBR_20_CED_Detail_yr!G$4</f>
        <v>1.9017920223863747E-6</v>
      </c>
      <c r="H12" s="49">
        <f>AnMBR_20_CED_Detail_yr!H12/AnMBR_20_CED_Detail_yr!H$4</f>
        <v>1.9017920223863747E-6</v>
      </c>
      <c r="I12" s="49">
        <f>AnMBR_20_CED_Detail_yr!I12/AnMBR_20_CED_Detail_yr!I$4</f>
        <v>1.90179202266148E-6</v>
      </c>
      <c r="J12" s="49">
        <f>AnMBR_20_CED_Detail_yr!J12/AnMBR_20_CED_Detail_yr!J$4</f>
        <v>1.90179202266148E-6</v>
      </c>
      <c r="K12" s="49">
        <f>AnMBR_20_CED_Detail_yr!K12/AnMBR_20_CED_Detail_yr!K$4</f>
        <v>1.90179202266148E-6</v>
      </c>
      <c r="L12" s="49">
        <f>AnMBR_20_CED_Detail_yr!L12/AnMBR_20_CED_Detail_yr!L$4</f>
        <v>1.90179202266148E-6</v>
      </c>
      <c r="M12" s="49">
        <f>AnMBR_20_CED_Detail_yr!M12/AnMBR_20_CED_Detail_yr!M$4</f>
        <v>1.9016979962817182E-6</v>
      </c>
      <c r="N12" s="49">
        <f>AnMBR_20_CED_Detail_yr!N12/AnMBR_20_CED_Detail_yr!N$4</f>
        <v>1.9016979962817182E-6</v>
      </c>
      <c r="O12" s="49">
        <f>AnMBR_20_CED_Detail_yr!O12/AnMBR_20_CED_Detail_yr!O$4</f>
        <v>1.9016979962817182E-6</v>
      </c>
      <c r="P12" s="49">
        <f>AnMBR_20_CED_Detail_yr!P12/AnMBR_20_CED_Detail_yr!P$4</f>
        <v>1.9016979962817182E-6</v>
      </c>
      <c r="Q12" s="49">
        <f>AnMBR_20_CED_Detail_yr!Q12/AnMBR_20_CED_Detail_yr!Q$4</f>
        <v>1.9017095684841337E-6</v>
      </c>
      <c r="R12" s="49">
        <f>AnMBR_20_CED_Detail_yr!R12/AnMBR_20_CED_Detail_yr!R$4</f>
        <v>1.9017095684841337E-6</v>
      </c>
      <c r="S12" s="49">
        <f>AnMBR_20_CED_Detail_yr!S12/AnMBR_20_CED_Detail_yr!S$4</f>
        <v>1.9017095684841337E-6</v>
      </c>
      <c r="T12" s="49">
        <f>AnMBR_20_CED_Detail_yr!T12/AnMBR_20_CED_Detail_yr!T$4</f>
        <v>1.9017095687592275E-6</v>
      </c>
      <c r="U12" s="49">
        <f>AnMBR_20_CED_Detail_yr!U12/AnMBR_20_CED_Detail_yr!U$4</f>
        <v>1.9017095687592275E-6</v>
      </c>
      <c r="V12" s="49">
        <f>AnMBR_20_CED_Detail_yr!V12/AnMBR_20_CED_Detail_yr!V$4</f>
        <v>1.9017095687592275E-6</v>
      </c>
      <c r="W12" s="2" t="s">
        <v>1</v>
      </c>
    </row>
    <row r="13" spans="1:23" ht="15" customHeight="1" x14ac:dyDescent="0.2">
      <c r="B13" s="145" t="s">
        <v>16</v>
      </c>
      <c r="C13" s="146"/>
      <c r="D13" s="2" t="s">
        <v>78</v>
      </c>
      <c r="E13" s="116">
        <f>AnMBR_20_CED_Detail_yr!E13/AnMBR_20_CED_Detail_yr!E$4</f>
        <v>0</v>
      </c>
      <c r="F13" s="116">
        <f>AnMBR_20_CED_Detail_yr!F13/AnMBR_20_CED_Detail_yr!F$4</f>
        <v>0</v>
      </c>
      <c r="G13" s="116">
        <f>AnMBR_20_CED_Detail_yr!G13/AnMBR_20_CED_Detail_yr!G$4</f>
        <v>0</v>
      </c>
      <c r="H13" s="116">
        <f>AnMBR_20_CED_Detail_yr!H13/AnMBR_20_CED_Detail_yr!H$4</f>
        <v>0</v>
      </c>
      <c r="I13" s="116">
        <f>AnMBR_20_CED_Detail_yr!I13/AnMBR_20_CED_Detail_yr!I$4</f>
        <v>0</v>
      </c>
      <c r="J13" s="116">
        <f>AnMBR_20_CED_Detail_yr!J13/AnMBR_20_CED_Detail_yr!J$4</f>
        <v>0</v>
      </c>
      <c r="K13" s="116">
        <f>AnMBR_20_CED_Detail_yr!K13/AnMBR_20_CED_Detail_yr!K$4</f>
        <v>0</v>
      </c>
      <c r="L13" s="116">
        <f>AnMBR_20_CED_Detail_yr!L13/AnMBR_20_CED_Detail_yr!L$4</f>
        <v>0</v>
      </c>
      <c r="M13" s="116">
        <f>AnMBR_20_CED_Detail_yr!M13/AnMBR_20_CED_Detail_yr!M$4</f>
        <v>0</v>
      </c>
      <c r="N13" s="116">
        <f>AnMBR_20_CED_Detail_yr!N13/AnMBR_20_CED_Detail_yr!N$4</f>
        <v>0</v>
      </c>
      <c r="O13" s="116">
        <f>AnMBR_20_CED_Detail_yr!O13/AnMBR_20_CED_Detail_yr!O$4</f>
        <v>0</v>
      </c>
      <c r="P13" s="116">
        <f>AnMBR_20_CED_Detail_yr!P13/AnMBR_20_CED_Detail_yr!P$4</f>
        <v>0</v>
      </c>
      <c r="Q13" s="116">
        <f>AnMBR_20_CED_Detail_yr!Q13/AnMBR_20_CED_Detail_yr!Q$4</f>
        <v>0</v>
      </c>
      <c r="R13" s="116">
        <f>AnMBR_20_CED_Detail_yr!R13/AnMBR_20_CED_Detail_yr!R$4</f>
        <v>0</v>
      </c>
      <c r="S13" s="116">
        <f>AnMBR_20_CED_Detail_yr!S13/AnMBR_20_CED_Detail_yr!S$4</f>
        <v>0</v>
      </c>
      <c r="T13" s="116">
        <f>AnMBR_20_CED_Detail_yr!T13/AnMBR_20_CED_Detail_yr!T$4</f>
        <v>0</v>
      </c>
      <c r="U13" s="116">
        <f>AnMBR_20_CED_Detail_yr!U13/AnMBR_20_CED_Detail_yr!U$4</f>
        <v>0</v>
      </c>
      <c r="V13" s="116">
        <f>AnMBR_20_CED_Detail_yr!V13/AnMBR_20_CED_Detail_yr!V$4</f>
        <v>0</v>
      </c>
      <c r="W13" s="2" t="s">
        <v>1</v>
      </c>
    </row>
    <row r="14" spans="1:23" x14ac:dyDescent="0.2">
      <c r="B14" s="147"/>
      <c r="C14" s="148"/>
      <c r="D14" s="2" t="s">
        <v>79</v>
      </c>
      <c r="E14" s="18">
        <f>AnMBR_20_CED_Detail_yr!E14/AnMBR_20_CED_Detail_yr!E$4</f>
        <v>0.16231267640061273</v>
      </c>
      <c r="F14" s="18">
        <f>AnMBR_20_CED_Detail_yr!F14/AnMBR_20_CED_Detail_yr!F$4</f>
        <v>0.16231267640061273</v>
      </c>
      <c r="G14" s="18">
        <f>AnMBR_20_CED_Detail_yr!G14/AnMBR_20_CED_Detail_yr!G$4</f>
        <v>0.16231267640061273</v>
      </c>
      <c r="H14" s="18">
        <f>AnMBR_20_CED_Detail_yr!H14/AnMBR_20_CED_Detail_yr!H$4</f>
        <v>0.16231267640061273</v>
      </c>
      <c r="I14" s="18">
        <f>AnMBR_20_CED_Detail_yr!I14/AnMBR_20_CED_Detail_yr!I$4</f>
        <v>0.16231267642409219</v>
      </c>
      <c r="J14" s="18">
        <f>AnMBR_20_CED_Detail_yr!J14/AnMBR_20_CED_Detail_yr!J$4</f>
        <v>0.16231267642409219</v>
      </c>
      <c r="K14" s="18">
        <f>AnMBR_20_CED_Detail_yr!K14/AnMBR_20_CED_Detail_yr!K$4</f>
        <v>0.16231267642409219</v>
      </c>
      <c r="L14" s="18">
        <f>AnMBR_20_CED_Detail_yr!L14/AnMBR_20_CED_Detail_yr!L$4</f>
        <v>0.16231267642409219</v>
      </c>
      <c r="M14" s="18">
        <f>AnMBR_20_CED_Detail_yr!M14/AnMBR_20_CED_Detail_yr!M$4</f>
        <v>0.16231267642409219</v>
      </c>
      <c r="N14" s="18">
        <f>AnMBR_20_CED_Detail_yr!N14/AnMBR_20_CED_Detail_yr!N$4</f>
        <v>0.16231267642409219</v>
      </c>
      <c r="O14" s="18">
        <f>AnMBR_20_CED_Detail_yr!O14/AnMBR_20_CED_Detail_yr!O$4</f>
        <v>0.16231267642409219</v>
      </c>
      <c r="P14" s="18">
        <f>AnMBR_20_CED_Detail_yr!P14/AnMBR_20_CED_Detail_yr!P$4</f>
        <v>0.16231267642409219</v>
      </c>
      <c r="Q14" s="18">
        <f>AnMBR_20_CED_Detail_yr!Q14/AnMBR_20_CED_Detail_yr!Q$4</f>
        <v>0.16231267640061273</v>
      </c>
      <c r="R14" s="18">
        <f>AnMBR_20_CED_Detail_yr!R14/AnMBR_20_CED_Detail_yr!R$4</f>
        <v>0.16231267640061273</v>
      </c>
      <c r="S14" s="18">
        <f>AnMBR_20_CED_Detail_yr!S14/AnMBR_20_CED_Detail_yr!S$4</f>
        <v>0.16231267640061273</v>
      </c>
      <c r="T14" s="18">
        <f>AnMBR_20_CED_Detail_yr!T14/AnMBR_20_CED_Detail_yr!T$4</f>
        <v>0.16231267642409222</v>
      </c>
      <c r="U14" s="18">
        <f>AnMBR_20_CED_Detail_yr!U14/AnMBR_20_CED_Detail_yr!U$4</f>
        <v>0.16231267642409222</v>
      </c>
      <c r="V14" s="18">
        <f>AnMBR_20_CED_Detail_yr!V14/AnMBR_20_CED_Detail_yr!V$4</f>
        <v>0.16231267642409222</v>
      </c>
      <c r="W14" s="2" t="s">
        <v>1</v>
      </c>
    </row>
    <row r="15" spans="1:23" x14ac:dyDescent="0.2">
      <c r="B15" s="147"/>
      <c r="C15" s="148"/>
      <c r="D15" s="2" t="s">
        <v>80</v>
      </c>
      <c r="E15" s="116">
        <f>AnMBR_20_CED_Detail_yr!E15/AnMBR_20_CED_Detail_yr!E$4</f>
        <v>0</v>
      </c>
      <c r="F15" s="116">
        <f>AnMBR_20_CED_Detail_yr!F15/AnMBR_20_CED_Detail_yr!F$4</f>
        <v>0</v>
      </c>
      <c r="G15" s="116">
        <f>AnMBR_20_CED_Detail_yr!G15/AnMBR_20_CED_Detail_yr!G$4</f>
        <v>0</v>
      </c>
      <c r="H15" s="116">
        <f>AnMBR_20_CED_Detail_yr!H15/AnMBR_20_CED_Detail_yr!H$4</f>
        <v>0</v>
      </c>
      <c r="I15" s="116">
        <f>AnMBR_20_CED_Detail_yr!I15/AnMBR_20_CED_Detail_yr!I$4</f>
        <v>0</v>
      </c>
      <c r="J15" s="116">
        <f>AnMBR_20_CED_Detail_yr!J15/AnMBR_20_CED_Detail_yr!J$4</f>
        <v>0</v>
      </c>
      <c r="K15" s="116">
        <f>AnMBR_20_CED_Detail_yr!K15/AnMBR_20_CED_Detail_yr!K$4</f>
        <v>0</v>
      </c>
      <c r="L15" s="116">
        <f>AnMBR_20_CED_Detail_yr!L15/AnMBR_20_CED_Detail_yr!L$4</f>
        <v>0</v>
      </c>
      <c r="M15" s="116">
        <f>AnMBR_20_CED_Detail_yr!M15/AnMBR_20_CED_Detail_yr!M$4</f>
        <v>0</v>
      </c>
      <c r="N15" s="116">
        <f>AnMBR_20_CED_Detail_yr!N15/AnMBR_20_CED_Detail_yr!N$4</f>
        <v>0</v>
      </c>
      <c r="O15" s="116">
        <f>AnMBR_20_CED_Detail_yr!O15/AnMBR_20_CED_Detail_yr!O$4</f>
        <v>0</v>
      </c>
      <c r="P15" s="116">
        <f>AnMBR_20_CED_Detail_yr!P15/AnMBR_20_CED_Detail_yr!P$4</f>
        <v>0</v>
      </c>
      <c r="Q15" s="116">
        <f>AnMBR_20_CED_Detail_yr!Q15/AnMBR_20_CED_Detail_yr!Q$4</f>
        <v>0</v>
      </c>
      <c r="R15" s="116">
        <f>AnMBR_20_CED_Detail_yr!R15/AnMBR_20_CED_Detail_yr!R$4</f>
        <v>0</v>
      </c>
      <c r="S15" s="116">
        <f>AnMBR_20_CED_Detail_yr!S15/AnMBR_20_CED_Detail_yr!S$4</f>
        <v>0</v>
      </c>
      <c r="T15" s="116">
        <f>AnMBR_20_CED_Detail_yr!T15/AnMBR_20_CED_Detail_yr!T$4</f>
        <v>0</v>
      </c>
      <c r="U15" s="116">
        <f>AnMBR_20_CED_Detail_yr!U15/AnMBR_20_CED_Detail_yr!U$4</f>
        <v>0</v>
      </c>
      <c r="V15" s="116">
        <f>AnMBR_20_CED_Detail_yr!V15/AnMBR_20_CED_Detail_yr!V$4</f>
        <v>0</v>
      </c>
      <c r="W15" s="2" t="s">
        <v>1</v>
      </c>
    </row>
    <row r="16" spans="1:23" ht="14.25" customHeight="1" x14ac:dyDescent="0.2">
      <c r="B16" s="147"/>
      <c r="C16" s="148"/>
      <c r="D16" s="2" t="s">
        <v>81</v>
      </c>
      <c r="E16" s="18">
        <f>AnMBR_20_CED_Detail_yr!E16/AnMBR_20_CED_Detail_yr!E$4</f>
        <v>-3.6326730175840751</v>
      </c>
      <c r="F16" s="18">
        <f>AnMBR_20_CED_Detail_yr!F16/AnMBR_20_CED_Detail_yr!F$4</f>
        <v>-3.6326730175840751</v>
      </c>
      <c r="G16" s="18">
        <f>AnMBR_20_CED_Detail_yr!G16/AnMBR_20_CED_Detail_yr!G$4</f>
        <v>-3.6326730175840751</v>
      </c>
      <c r="H16" s="18">
        <f>AnMBR_20_CED_Detail_yr!H16/AnMBR_20_CED_Detail_yr!H$4</f>
        <v>-3.6326730175840751</v>
      </c>
      <c r="I16" s="18">
        <f>AnMBR_20_CED_Detail_yr!I16/AnMBR_20_CED_Detail_yr!I$4</f>
        <v>-3.6326657853111191</v>
      </c>
      <c r="J16" s="18">
        <f>AnMBR_20_CED_Detail_yr!J16/AnMBR_20_CED_Detail_yr!J$4</f>
        <v>-3.6326657853111191</v>
      </c>
      <c r="K16" s="18">
        <f>AnMBR_20_CED_Detail_yr!K16/AnMBR_20_CED_Detail_yr!K$4</f>
        <v>-3.6326657853111191</v>
      </c>
      <c r="L16" s="18">
        <f>AnMBR_20_CED_Detail_yr!L16/AnMBR_20_CED_Detail_yr!L$4</f>
        <v>-3.6326657853111191</v>
      </c>
      <c r="M16" s="18">
        <f>AnMBR_20_CED_Detail_yr!M16/AnMBR_20_CED_Detail_yr!M$4</f>
        <v>-3.6326657853111191</v>
      </c>
      <c r="N16" s="18">
        <f>AnMBR_20_CED_Detail_yr!N16/AnMBR_20_CED_Detail_yr!N$4</f>
        <v>-3.6326657853111191</v>
      </c>
      <c r="O16" s="18">
        <f>AnMBR_20_CED_Detail_yr!O16/AnMBR_20_CED_Detail_yr!O$4</f>
        <v>-3.6326657853111191</v>
      </c>
      <c r="P16" s="18">
        <f>AnMBR_20_CED_Detail_yr!P16/AnMBR_20_CED_Detail_yr!P$4</f>
        <v>-3.6326657853111191</v>
      </c>
      <c r="Q16" s="18">
        <f>AnMBR_20_CED_Detail_yr!Q16/AnMBR_20_CED_Detail_yr!Q$4</f>
        <v>-3.6326730175840747</v>
      </c>
      <c r="R16" s="18">
        <f>AnMBR_20_CED_Detail_yr!R16/AnMBR_20_CED_Detail_yr!R$4</f>
        <v>-3.6326730175840747</v>
      </c>
      <c r="S16" s="18">
        <f>AnMBR_20_CED_Detail_yr!S16/AnMBR_20_CED_Detail_yr!S$4</f>
        <v>-3.6326730175840747</v>
      </c>
      <c r="T16" s="18">
        <f>AnMBR_20_CED_Detail_yr!T16/AnMBR_20_CED_Detail_yr!T$4</f>
        <v>-3.6326657853111195</v>
      </c>
      <c r="U16" s="18">
        <f>AnMBR_20_CED_Detail_yr!U16/AnMBR_20_CED_Detail_yr!U$4</f>
        <v>-3.6326657853111195</v>
      </c>
      <c r="V16" s="18">
        <f>AnMBR_20_CED_Detail_yr!V16/AnMBR_20_CED_Detail_yr!V$4</f>
        <v>-3.6326657853111195</v>
      </c>
      <c r="W16" s="2" t="s">
        <v>1</v>
      </c>
    </row>
    <row r="17" spans="1:23" x14ac:dyDescent="0.2">
      <c r="B17" s="147"/>
      <c r="C17" s="148"/>
      <c r="D17" s="2" t="s">
        <v>82</v>
      </c>
      <c r="E17" s="18">
        <f>AnMBR_20_CED_Detail_yr!E17/AnMBR_20_CED_Detail_yr!E$4</f>
        <v>0.55097288692981994</v>
      </c>
      <c r="F17" s="18">
        <f>AnMBR_20_CED_Detail_yr!F17/AnMBR_20_CED_Detail_yr!F$4</f>
        <v>0.55097288692981994</v>
      </c>
      <c r="G17" s="18">
        <f>AnMBR_20_CED_Detail_yr!G17/AnMBR_20_CED_Detail_yr!G$4</f>
        <v>0.55097288692981994</v>
      </c>
      <c r="H17" s="18">
        <f>AnMBR_20_CED_Detail_yr!H17/AnMBR_20_CED_Detail_yr!H$4</f>
        <v>0.55097288692981994</v>
      </c>
      <c r="I17" s="18">
        <f>AnMBR_20_CED_Detail_yr!I17/AnMBR_20_CED_Detail_yr!I$4</f>
        <v>0.55092732037932901</v>
      </c>
      <c r="J17" s="18">
        <f>AnMBR_20_CED_Detail_yr!J17/AnMBR_20_CED_Detail_yr!J$4</f>
        <v>0.55092732037932901</v>
      </c>
      <c r="K17" s="18">
        <f>AnMBR_20_CED_Detail_yr!K17/AnMBR_20_CED_Detail_yr!K$4</f>
        <v>0.55092732037932901</v>
      </c>
      <c r="L17" s="18">
        <f>AnMBR_20_CED_Detail_yr!L17/AnMBR_20_CED_Detail_yr!L$4</f>
        <v>0.55092732037932901</v>
      </c>
      <c r="M17" s="18">
        <f>AnMBR_20_CED_Detail_yr!M17/AnMBR_20_CED_Detail_yr!M$4</f>
        <v>0.55088537014835837</v>
      </c>
      <c r="N17" s="18">
        <f>AnMBR_20_CED_Detail_yr!N17/AnMBR_20_CED_Detail_yr!N$4</f>
        <v>0.55088537014835837</v>
      </c>
      <c r="O17" s="18">
        <f>AnMBR_20_CED_Detail_yr!O17/AnMBR_20_CED_Detail_yr!O$4</f>
        <v>0.55088537014835837</v>
      </c>
      <c r="P17" s="18">
        <f>AnMBR_20_CED_Detail_yr!P17/AnMBR_20_CED_Detail_yr!P$4</f>
        <v>0.55088537014835837</v>
      </c>
      <c r="Q17" s="18">
        <f>AnMBR_20_CED_Detail_yr!Q17/AnMBR_20_CED_Detail_yr!Q$4</f>
        <v>0.55088175366944847</v>
      </c>
      <c r="R17" s="18">
        <f>AnMBR_20_CED_Detail_yr!R17/AnMBR_20_CED_Detail_yr!R$4</f>
        <v>0.55088175366944847</v>
      </c>
      <c r="S17" s="18">
        <f>AnMBR_20_CED_Detail_yr!S17/AnMBR_20_CED_Detail_yr!S$4</f>
        <v>0.55088175366944847</v>
      </c>
      <c r="T17" s="18">
        <f>AnMBR_20_CED_Detail_yr!T17/AnMBR_20_CED_Detail_yr!T$4</f>
        <v>0.55088103046929249</v>
      </c>
      <c r="U17" s="18">
        <f>AnMBR_20_CED_Detail_yr!U17/AnMBR_20_CED_Detail_yr!U$4</f>
        <v>0.55088103046929249</v>
      </c>
      <c r="V17" s="18">
        <f>AnMBR_20_CED_Detail_yr!V17/AnMBR_20_CED_Detail_yr!V$4</f>
        <v>0.55088103046929249</v>
      </c>
      <c r="W17" s="2" t="s">
        <v>1</v>
      </c>
    </row>
    <row r="18" spans="1:23" x14ac:dyDescent="0.2">
      <c r="B18" s="147"/>
      <c r="C18" s="148"/>
      <c r="D18" s="2" t="s">
        <v>83</v>
      </c>
      <c r="E18" s="116">
        <f>AnMBR_20_CED_Detail_yr!E18/AnMBR_20_CED_Detail_yr!E$4</f>
        <v>0</v>
      </c>
      <c r="F18" s="116">
        <f>AnMBR_20_CED_Detail_yr!F18/AnMBR_20_CED_Detail_yr!F$4</f>
        <v>0</v>
      </c>
      <c r="G18" s="116">
        <f>AnMBR_20_CED_Detail_yr!G18/AnMBR_20_CED_Detail_yr!G$4</f>
        <v>0</v>
      </c>
      <c r="H18" s="116">
        <f>AnMBR_20_CED_Detail_yr!H18/AnMBR_20_CED_Detail_yr!H$4</f>
        <v>0</v>
      </c>
      <c r="I18" s="116">
        <f>AnMBR_20_CED_Detail_yr!I18/AnMBR_20_CED_Detail_yr!I$4</f>
        <v>0</v>
      </c>
      <c r="J18" s="116">
        <f>AnMBR_20_CED_Detail_yr!J18/AnMBR_20_CED_Detail_yr!J$4</f>
        <v>0</v>
      </c>
      <c r="K18" s="116">
        <f>AnMBR_20_CED_Detail_yr!K18/AnMBR_20_CED_Detail_yr!K$4</f>
        <v>0</v>
      </c>
      <c r="L18" s="116">
        <f>AnMBR_20_CED_Detail_yr!L18/AnMBR_20_CED_Detail_yr!L$4</f>
        <v>0</v>
      </c>
      <c r="M18" s="116">
        <f>AnMBR_20_CED_Detail_yr!M18/AnMBR_20_CED_Detail_yr!M$4</f>
        <v>0</v>
      </c>
      <c r="N18" s="116">
        <f>AnMBR_20_CED_Detail_yr!N18/AnMBR_20_CED_Detail_yr!N$4</f>
        <v>0</v>
      </c>
      <c r="O18" s="116">
        <f>AnMBR_20_CED_Detail_yr!O18/AnMBR_20_CED_Detail_yr!O$4</f>
        <v>0</v>
      </c>
      <c r="P18" s="116">
        <f>AnMBR_20_CED_Detail_yr!P18/AnMBR_20_CED_Detail_yr!P$4</f>
        <v>0</v>
      </c>
      <c r="Q18" s="116">
        <f>AnMBR_20_CED_Detail_yr!Q18/AnMBR_20_CED_Detail_yr!Q$4</f>
        <v>0</v>
      </c>
      <c r="R18" s="116">
        <f>AnMBR_20_CED_Detail_yr!R18/AnMBR_20_CED_Detail_yr!R$4</f>
        <v>0</v>
      </c>
      <c r="S18" s="116">
        <f>AnMBR_20_CED_Detail_yr!S18/AnMBR_20_CED_Detail_yr!S$4</f>
        <v>0</v>
      </c>
      <c r="T18" s="116">
        <f>AnMBR_20_CED_Detail_yr!T18/AnMBR_20_CED_Detail_yr!T$4</f>
        <v>0</v>
      </c>
      <c r="U18" s="116">
        <f>AnMBR_20_CED_Detail_yr!U18/AnMBR_20_CED_Detail_yr!U$4</f>
        <v>0</v>
      </c>
      <c r="V18" s="116">
        <f>AnMBR_20_CED_Detail_yr!V18/AnMBR_20_CED_Detail_yr!V$4</f>
        <v>0</v>
      </c>
      <c r="W18" s="2" t="s">
        <v>1</v>
      </c>
    </row>
    <row r="19" spans="1:23" x14ac:dyDescent="0.2">
      <c r="B19" s="147"/>
      <c r="C19" s="148"/>
      <c r="D19" s="2" t="s">
        <v>84</v>
      </c>
      <c r="E19" s="21">
        <f>AnMBR_20_CED_Detail_yr!E19/AnMBR_20_CED_Detail_yr!E$4</f>
        <v>2.5280192839876835E-2</v>
      </c>
      <c r="F19" s="21">
        <f>AnMBR_20_CED_Detail_yr!F19/AnMBR_20_CED_Detail_yr!F$4</f>
        <v>2.5280192839876835E-2</v>
      </c>
      <c r="G19" s="21">
        <f>AnMBR_20_CED_Detail_yr!G19/AnMBR_20_CED_Detail_yr!G$4</f>
        <v>2.5280192839876835E-2</v>
      </c>
      <c r="H19" s="21">
        <f>AnMBR_20_CED_Detail_yr!H19/AnMBR_20_CED_Detail_yr!H$4</f>
        <v>2.5280192839876835E-2</v>
      </c>
      <c r="I19" s="21">
        <f>AnMBR_20_CED_Detail_yr!I19/AnMBR_20_CED_Detail_yr!I$4</f>
        <v>2.5280200076332204E-2</v>
      </c>
      <c r="J19" s="21">
        <f>AnMBR_20_CED_Detail_yr!J19/AnMBR_20_CED_Detail_yr!J$4</f>
        <v>2.5280200076332204E-2</v>
      </c>
      <c r="K19" s="21">
        <f>AnMBR_20_CED_Detail_yr!K19/AnMBR_20_CED_Detail_yr!K$4</f>
        <v>2.5280200076332204E-2</v>
      </c>
      <c r="L19" s="21">
        <f>AnMBR_20_CED_Detail_yr!L19/AnMBR_20_CED_Detail_yr!L$4</f>
        <v>2.5280200076332204E-2</v>
      </c>
      <c r="M19" s="21">
        <f>AnMBR_20_CED_Detail_yr!M19/AnMBR_20_CED_Detail_yr!M$4</f>
        <v>2.5280221774727534E-2</v>
      </c>
      <c r="N19" s="21">
        <f>AnMBR_20_CED_Detail_yr!N19/AnMBR_20_CED_Detail_yr!N$4</f>
        <v>2.5280221774727534E-2</v>
      </c>
      <c r="O19" s="21">
        <f>AnMBR_20_CED_Detail_yr!O19/AnMBR_20_CED_Detail_yr!O$4</f>
        <v>2.5280221774727534E-2</v>
      </c>
      <c r="P19" s="21">
        <f>AnMBR_20_CED_Detail_yr!P19/AnMBR_20_CED_Detail_yr!P$4</f>
        <v>2.5280221774727534E-2</v>
      </c>
      <c r="Q19" s="21">
        <f>AnMBR_20_CED_Detail_yr!Q19/AnMBR_20_CED_Detail_yr!Q$4</f>
        <v>2.5280077115101759E-2</v>
      </c>
      <c r="R19" s="21">
        <f>AnMBR_20_CED_Detail_yr!R19/AnMBR_20_CED_Detail_yr!R$4</f>
        <v>2.5280077115101759E-2</v>
      </c>
      <c r="S19" s="21">
        <f>AnMBR_20_CED_Detail_yr!S19/AnMBR_20_CED_Detail_yr!S$4</f>
        <v>2.5280077115101759E-2</v>
      </c>
      <c r="T19" s="21">
        <f>AnMBR_20_CED_Detail_yr!T19/AnMBR_20_CED_Detail_yr!T$4</f>
        <v>2.5280221774727538E-2</v>
      </c>
      <c r="U19" s="21">
        <f>AnMBR_20_CED_Detail_yr!U19/AnMBR_20_CED_Detail_yr!U$4</f>
        <v>2.5280221774727538E-2</v>
      </c>
      <c r="V19" s="21">
        <f>AnMBR_20_CED_Detail_yr!V19/AnMBR_20_CED_Detail_yr!V$4</f>
        <v>2.5280221774727538E-2</v>
      </c>
      <c r="W19" s="2" t="s">
        <v>1</v>
      </c>
    </row>
    <row r="20" spans="1:23" x14ac:dyDescent="0.2">
      <c r="B20" s="147"/>
      <c r="C20" s="148"/>
      <c r="D20" s="2" t="s">
        <v>17</v>
      </c>
      <c r="E20" s="18">
        <f>AnMBR_20_CED_Detail_yr!E20/AnMBR_20_CED_Detail_yr!E$4</f>
        <v>0.28498383109933434</v>
      </c>
      <c r="F20" s="18">
        <f>AnMBR_20_CED_Detail_yr!F20/AnMBR_20_CED_Detail_yr!F$4</f>
        <v>0.28498383109933434</v>
      </c>
      <c r="G20" s="18">
        <f>AnMBR_20_CED_Detail_yr!G20/AnMBR_20_CED_Detail_yr!G$4</f>
        <v>0.28498383109933434</v>
      </c>
      <c r="H20" s="18">
        <f>AnMBR_20_CED_Detail_yr!H20/AnMBR_20_CED_Detail_yr!H$4</f>
        <v>0.28498383109933434</v>
      </c>
      <c r="I20" s="18">
        <f>AnMBR_20_CED_Detail_yr!I20/AnMBR_20_CED_Detail_yr!I$4</f>
        <v>0.28506845488234467</v>
      </c>
      <c r="J20" s="18">
        <f>AnMBR_20_CED_Detail_yr!J20/AnMBR_20_CED_Detail_yr!J$4</f>
        <v>0.28506845488234467</v>
      </c>
      <c r="K20" s="18">
        <f>AnMBR_20_CED_Detail_yr!K20/AnMBR_20_CED_Detail_yr!K$4</f>
        <v>0.28506845488234467</v>
      </c>
      <c r="L20" s="18">
        <f>AnMBR_20_CED_Detail_yr!L20/AnMBR_20_CED_Detail_yr!L$4</f>
        <v>0.28506845488234467</v>
      </c>
      <c r="M20" s="18">
        <f>AnMBR_20_CED_Detail_yr!M20/AnMBR_20_CED_Detail_yr!M$4</f>
        <v>0.21100893850279057</v>
      </c>
      <c r="N20" s="18">
        <f>AnMBR_20_CED_Detail_yr!N20/AnMBR_20_CED_Detail_yr!N$4</f>
        <v>0.21100893850279057</v>
      </c>
      <c r="O20" s="18">
        <f>AnMBR_20_CED_Detail_yr!O20/AnMBR_20_CED_Detail_yr!O$4</f>
        <v>0.21100893850279057</v>
      </c>
      <c r="P20" s="18">
        <f>AnMBR_20_CED_Detail_yr!P20/AnMBR_20_CED_Detail_yr!P$4</f>
        <v>0.21100893850279057</v>
      </c>
      <c r="Q20" s="18">
        <f>AnMBR_20_CED_Detail_yr!Q20/AnMBR_20_CED_Detail_yr!Q$4</f>
        <v>0.17584379572623995</v>
      </c>
      <c r="R20" s="18">
        <f>AnMBR_20_CED_Detail_yr!R20/AnMBR_20_CED_Detail_yr!R$4</f>
        <v>0.17584379572623995</v>
      </c>
      <c r="S20" s="18">
        <f>AnMBR_20_CED_Detail_yr!S20/AnMBR_20_CED_Detail_yr!S$4</f>
        <v>0.17584379572623995</v>
      </c>
      <c r="T20" s="18">
        <f>AnMBR_20_CED_Detail_yr!T20/AnMBR_20_CED_Detail_yr!T$4</f>
        <v>0.15825362993775458</v>
      </c>
      <c r="U20" s="18">
        <f>AnMBR_20_CED_Detail_yr!U20/AnMBR_20_CED_Detail_yr!U$4</f>
        <v>0.15825362993775458</v>
      </c>
      <c r="V20" s="18">
        <f>AnMBR_20_CED_Detail_yr!V20/AnMBR_20_CED_Detail_yr!V$4</f>
        <v>0.15825362993775458</v>
      </c>
      <c r="W20" s="2" t="s">
        <v>1</v>
      </c>
    </row>
    <row r="21" spans="1:23" ht="15" customHeight="1" x14ac:dyDescent="0.2">
      <c r="B21" s="127" t="s">
        <v>15</v>
      </c>
      <c r="C21" s="128"/>
      <c r="D21" s="2" t="s">
        <v>4</v>
      </c>
      <c r="E21" s="18">
        <f>AnMBR_20_CED_Detail_yr!E21/AnMBR_20_CED_Detail_yr!E$4</f>
        <v>0.38707086628619691</v>
      </c>
      <c r="F21" s="18">
        <f>AnMBR_20_CED_Detail_yr!F21/AnMBR_20_CED_Detail_yr!F$4</f>
        <v>0.38707086628619691</v>
      </c>
      <c r="G21" s="18">
        <f>AnMBR_20_CED_Detail_yr!G21/AnMBR_20_CED_Detail_yr!G$4</f>
        <v>0.38707086628619691</v>
      </c>
      <c r="H21" s="18">
        <f>AnMBR_20_CED_Detail_yr!H21/AnMBR_20_CED_Detail_yr!H$4</f>
        <v>0.38707086628619691</v>
      </c>
      <c r="I21" s="18">
        <f>AnMBR_20_CED_Detail_yr!I21/AnMBR_20_CED_Detail_yr!I$4</f>
        <v>0.19887671472211005</v>
      </c>
      <c r="J21" s="18">
        <f>AnMBR_20_CED_Detail_yr!J21/AnMBR_20_CED_Detail_yr!J$4</f>
        <v>0.19887671472211005</v>
      </c>
      <c r="K21" s="18">
        <f>AnMBR_20_CED_Detail_yr!K21/AnMBR_20_CED_Detail_yr!K$4</f>
        <v>0.19887671472211005</v>
      </c>
      <c r="L21" s="18">
        <f>AnMBR_20_CED_Detail_yr!L21/AnMBR_20_CED_Detail_yr!L$4</f>
        <v>0.19887671472211005</v>
      </c>
      <c r="M21" s="18">
        <f>AnMBR_20_CED_Detail_yr!M21/AnMBR_20_CED_Detail_yr!M$4</f>
        <v>0.37503589664990367</v>
      </c>
      <c r="N21" s="18">
        <f>AnMBR_20_CED_Detail_yr!N21/AnMBR_20_CED_Detail_yr!N$4</f>
        <v>0.37503589664990367</v>
      </c>
      <c r="O21" s="18">
        <f>AnMBR_20_CED_Detail_yr!O21/AnMBR_20_CED_Detail_yr!O$4</f>
        <v>0.37503589664990367</v>
      </c>
      <c r="P21" s="18">
        <f>AnMBR_20_CED_Detail_yr!P21/AnMBR_20_CED_Detail_yr!P$4</f>
        <v>0.37503589664990367</v>
      </c>
      <c r="Q21" s="18">
        <f>AnMBR_20_CED_Detail_yr!Q21/AnMBR_20_CED_Detail_yr!Q$4</f>
        <v>0.31258051569307832</v>
      </c>
      <c r="R21" s="18">
        <f>AnMBR_20_CED_Detail_yr!R21/AnMBR_20_CED_Detail_yr!R$4</f>
        <v>0.31258051569307832</v>
      </c>
      <c r="S21" s="18">
        <f>AnMBR_20_CED_Detail_yr!S21/AnMBR_20_CED_Detail_yr!S$4</f>
        <v>0.31258051569307832</v>
      </c>
      <c r="T21" s="18">
        <f>AnMBR_20_CED_Detail_yr!T21/AnMBR_20_CED_Detail_yr!T$4</f>
        <v>0.28127668646530241</v>
      </c>
      <c r="U21" s="18">
        <f>AnMBR_20_CED_Detail_yr!U21/AnMBR_20_CED_Detail_yr!U$4</f>
        <v>0.28127668646530241</v>
      </c>
      <c r="V21" s="18">
        <f>AnMBR_20_CED_Detail_yr!V21/AnMBR_20_CED_Detail_yr!V$4</f>
        <v>0.28127668646530241</v>
      </c>
      <c r="W21" s="2" t="s">
        <v>1</v>
      </c>
    </row>
    <row r="22" spans="1:23" x14ac:dyDescent="0.2">
      <c r="B22" s="130" t="s">
        <v>14</v>
      </c>
      <c r="C22" s="120" t="s">
        <v>7</v>
      </c>
      <c r="D22" s="2" t="s">
        <v>3</v>
      </c>
      <c r="E22" s="18">
        <f>AnMBR_20_CED_Detail_yr!E22/AnMBR_20_CED_Detail_yr!E$4</f>
        <v>7.2440092797637234</v>
      </c>
      <c r="F22" s="18">
        <f>AnMBR_20_CED_Detail_yr!F22/AnMBR_20_CED_Detail_yr!F$4</f>
        <v>7.2440092797637234</v>
      </c>
      <c r="G22" s="18">
        <f>AnMBR_20_CED_Detail_yr!G22/AnMBR_20_CED_Detail_yr!G$4</f>
        <v>7.2440092797637234</v>
      </c>
      <c r="H22" s="18">
        <f>AnMBR_20_CED_Detail_yr!H22/AnMBR_20_CED_Detail_yr!H$4</f>
        <v>7.2440092797637234</v>
      </c>
      <c r="I22" s="18">
        <f>AnMBR_20_CED_Detail_yr!I22/AnMBR_20_CED_Detail_yr!I$4</f>
        <v>4.1580201002347392</v>
      </c>
      <c r="J22" s="18">
        <f>AnMBR_20_CED_Detail_yr!J22/AnMBR_20_CED_Detail_yr!J$4</f>
        <v>4.1580201002347392</v>
      </c>
      <c r="K22" s="18">
        <f>AnMBR_20_CED_Detail_yr!K22/AnMBR_20_CED_Detail_yr!K$4</f>
        <v>4.1580201002347392</v>
      </c>
      <c r="L22" s="18">
        <f>AnMBR_20_CED_Detail_yr!L22/AnMBR_20_CED_Detail_yr!L$4</f>
        <v>4.1580201002347392</v>
      </c>
      <c r="M22" s="18">
        <f>AnMBR_20_CED_Detail_yr!M22/AnMBR_20_CED_Detail_yr!M$4</f>
        <v>0.65763858205097636</v>
      </c>
      <c r="N22" s="18">
        <f>AnMBR_20_CED_Detail_yr!N22/AnMBR_20_CED_Detail_yr!N$4</f>
        <v>0.65763858205097636</v>
      </c>
      <c r="O22" s="18">
        <f>AnMBR_20_CED_Detail_yr!O22/AnMBR_20_CED_Detail_yr!O$4</f>
        <v>0.65763858205097636</v>
      </c>
      <c r="P22" s="18">
        <f>AnMBR_20_CED_Detail_yr!P22/AnMBR_20_CED_Detail_yr!P$4</f>
        <v>0.65763858205097636</v>
      </c>
      <c r="Q22" s="18">
        <f>AnMBR_20_CED_Detail_yr!Q22/AnMBR_20_CED_Detail_yr!Q$4</f>
        <v>0.18121053217033631</v>
      </c>
      <c r="R22" s="18">
        <f>AnMBR_20_CED_Detail_yr!R22/AnMBR_20_CED_Detail_yr!R$4</f>
        <v>0.18121053217033631</v>
      </c>
      <c r="S22" s="18">
        <f>AnMBR_20_CED_Detail_yr!S22/AnMBR_20_CED_Detail_yr!S$4</f>
        <v>0.18121053217033631</v>
      </c>
      <c r="T22" s="18">
        <f>AnMBR_20_CED_Detail_yr!T22/AnMBR_20_CED_Detail_yr!T$4</f>
        <v>0.10379572061918348</v>
      </c>
      <c r="U22" s="18">
        <f>AnMBR_20_CED_Detail_yr!U22/AnMBR_20_CED_Detail_yr!U$4</f>
        <v>0.10379572061918348</v>
      </c>
      <c r="V22" s="18">
        <f>AnMBR_20_CED_Detail_yr!V22/AnMBR_20_CED_Detail_yr!V$4</f>
        <v>0.10379572061918348</v>
      </c>
      <c r="W22" s="2" t="s">
        <v>1</v>
      </c>
    </row>
    <row r="23" spans="1:23" x14ac:dyDescent="0.2">
      <c r="B23" s="130"/>
      <c r="C23" s="120"/>
      <c r="D23" s="2" t="s">
        <v>17</v>
      </c>
      <c r="E23" s="18">
        <f>AnMBR_20_CED_Detail_yr!E23/AnMBR_20_CED_Detail_yr!E$4</f>
        <v>0.47575756936991892</v>
      </c>
      <c r="F23" s="18">
        <f>AnMBR_20_CED_Detail_yr!F23/AnMBR_20_CED_Detail_yr!F$4</f>
        <v>0.47575756936991892</v>
      </c>
      <c r="G23" s="18">
        <f>AnMBR_20_CED_Detail_yr!G23/AnMBR_20_CED_Detail_yr!G$4</f>
        <v>0.47575756936991892</v>
      </c>
      <c r="H23" s="18">
        <f>AnMBR_20_CED_Detail_yr!H23/AnMBR_20_CED_Detail_yr!H$4</f>
        <v>0.47575756936991892</v>
      </c>
      <c r="I23" s="18">
        <f>AnMBR_20_CED_Detail_yr!I23/AnMBR_20_CED_Detail_yr!I$4</f>
        <v>0.47584146990068138</v>
      </c>
      <c r="J23" s="18">
        <f>AnMBR_20_CED_Detail_yr!J23/AnMBR_20_CED_Detail_yr!J$4</f>
        <v>0.47584146990068138</v>
      </c>
      <c r="K23" s="18">
        <f>AnMBR_20_CED_Detail_yr!K23/AnMBR_20_CED_Detail_yr!K$4</f>
        <v>0.47584146990068138</v>
      </c>
      <c r="L23" s="18">
        <f>AnMBR_20_CED_Detail_yr!L23/AnMBR_20_CED_Detail_yr!L$4</f>
        <v>0.47584146990068138</v>
      </c>
      <c r="M23" s="18">
        <f>AnMBR_20_CED_Detail_yr!M23/AnMBR_20_CED_Detail_yr!M$4</f>
        <v>1.1347248165637367</v>
      </c>
      <c r="N23" s="18">
        <f>AnMBR_20_CED_Detail_yr!N23/AnMBR_20_CED_Detail_yr!N$4</f>
        <v>1.1347248165637367</v>
      </c>
      <c r="O23" s="18">
        <f>AnMBR_20_CED_Detail_yr!O23/AnMBR_20_CED_Detail_yr!O$4</f>
        <v>1.1347248165637367</v>
      </c>
      <c r="P23" s="18">
        <f>AnMBR_20_CED_Detail_yr!P23/AnMBR_20_CED_Detail_yr!P$4</f>
        <v>1.1347248165637367</v>
      </c>
      <c r="Q23" s="18">
        <f>AnMBR_20_CED_Detail_yr!Q23/AnMBR_20_CED_Detail_yr!Q$4</f>
        <v>0.47582411111558692</v>
      </c>
      <c r="R23" s="18">
        <f>AnMBR_20_CED_Detail_yr!R23/AnMBR_20_CED_Detail_yr!R$4</f>
        <v>0.47582411111558692</v>
      </c>
      <c r="S23" s="18">
        <f>AnMBR_20_CED_Detail_yr!S23/AnMBR_20_CED_Detail_yr!S$4</f>
        <v>0.47582411111558692</v>
      </c>
      <c r="T23" s="18">
        <f>AnMBR_20_CED_Detail_yr!T23/AnMBR_20_CED_Detail_yr!T$4</f>
        <v>0.47582483446426205</v>
      </c>
      <c r="U23" s="18">
        <f>AnMBR_20_CED_Detail_yr!U23/AnMBR_20_CED_Detail_yr!U$4</f>
        <v>0.47582483446426205</v>
      </c>
      <c r="V23" s="18">
        <f>AnMBR_20_CED_Detail_yr!V23/AnMBR_20_CED_Detail_yr!V$4</f>
        <v>0.47582483446426205</v>
      </c>
      <c r="W23" s="2" t="s">
        <v>1</v>
      </c>
    </row>
    <row r="24" spans="1:23" x14ac:dyDescent="0.2">
      <c r="B24" s="130"/>
      <c r="C24" s="120"/>
      <c r="D24" s="2" t="s">
        <v>4</v>
      </c>
      <c r="E24" s="21">
        <f>AnMBR_20_CED_Detail_yr!E24/AnMBR_20_CED_Detail_yr!E$4</f>
        <v>1.8986052658583479E-2</v>
      </c>
      <c r="F24" s="21">
        <f>AnMBR_20_CED_Detail_yr!F24/AnMBR_20_CED_Detail_yr!F$4</f>
        <v>1.8986052658583479E-2</v>
      </c>
      <c r="G24" s="21">
        <f>AnMBR_20_CED_Detail_yr!G24/AnMBR_20_CED_Detail_yr!G$4</f>
        <v>1.8986052658583479E-2</v>
      </c>
      <c r="H24" s="21">
        <f>AnMBR_20_CED_Detail_yr!H24/AnMBR_20_CED_Detail_yr!H$4</f>
        <v>1.8986052658583479E-2</v>
      </c>
      <c r="I24" s="48">
        <f>AnMBR_20_CED_Detail_yr!I24/AnMBR_20_CED_Detail_yr!I$4</f>
        <v>9.6143999936686968E-3</v>
      </c>
      <c r="J24" s="48">
        <f>AnMBR_20_CED_Detail_yr!J24/AnMBR_20_CED_Detail_yr!J$4</f>
        <v>9.6143999936686968E-3</v>
      </c>
      <c r="K24" s="48">
        <f>AnMBR_20_CED_Detail_yr!K24/AnMBR_20_CED_Detail_yr!K$4</f>
        <v>9.6143999936686968E-3</v>
      </c>
      <c r="L24" s="48">
        <f>AnMBR_20_CED_Detail_yr!L24/AnMBR_20_CED_Detail_yr!L$4</f>
        <v>9.6143999936686968E-3</v>
      </c>
      <c r="M24" s="48">
        <f>AnMBR_20_CED_Detail_yr!M24/AnMBR_20_CED_Detail_yr!M$4</f>
        <v>1.2433963257350638E-3</v>
      </c>
      <c r="N24" s="48">
        <f>AnMBR_20_CED_Detail_yr!N24/AnMBR_20_CED_Detail_yr!N$4</f>
        <v>1.2433963257350638E-3</v>
      </c>
      <c r="O24" s="48">
        <f>AnMBR_20_CED_Detail_yr!O24/AnMBR_20_CED_Detail_yr!O$4</f>
        <v>1.2433963257350638E-3</v>
      </c>
      <c r="P24" s="48">
        <f>AnMBR_20_CED_Detail_yr!P24/AnMBR_20_CED_Detail_yr!P$4</f>
        <v>1.2433963257350638E-3</v>
      </c>
      <c r="Q24" s="49">
        <f>AnMBR_20_CED_Detail_yr!Q24/AnMBR_20_CED_Detail_yr!Q$4</f>
        <v>4.9460657337240433E-4</v>
      </c>
      <c r="R24" s="49">
        <f>AnMBR_20_CED_Detail_yr!R24/AnMBR_20_CED_Detail_yr!R$4</f>
        <v>4.9460657337240433E-4</v>
      </c>
      <c r="S24" s="49">
        <f>AnMBR_20_CED_Detail_yr!S24/AnMBR_20_CED_Detail_yr!S$4</f>
        <v>4.9460657337240433E-4</v>
      </c>
      <c r="T24" s="49">
        <f>AnMBR_20_CED_Detail_yr!T24/AnMBR_20_CED_Detail_yr!T$4</f>
        <v>4.009362498837952E-4</v>
      </c>
      <c r="U24" s="49">
        <f>AnMBR_20_CED_Detail_yr!U24/AnMBR_20_CED_Detail_yr!U$4</f>
        <v>4.009362498837952E-4</v>
      </c>
      <c r="V24" s="49">
        <f>AnMBR_20_CED_Detail_yr!V24/AnMBR_20_CED_Detail_yr!V$4</f>
        <v>4.009362498837952E-4</v>
      </c>
      <c r="W24" s="2" t="s">
        <v>1</v>
      </c>
    </row>
    <row r="25" spans="1:23" ht="12.75" customHeight="1" x14ac:dyDescent="0.2">
      <c r="B25" s="121" t="s">
        <v>11</v>
      </c>
      <c r="C25" s="122"/>
      <c r="D25" s="2" t="s">
        <v>3</v>
      </c>
      <c r="E25" s="18">
        <f>AnMBR_20_CED_Detail_yr!E25/AnMBR_20_CED_Detail_yr!E$4</f>
        <v>0.42319248341154353</v>
      </c>
      <c r="F25" s="18">
        <f>AnMBR_20_CED_Detail_yr!F25/AnMBR_20_CED_Detail_yr!F$4</f>
        <v>0.20561833379331135</v>
      </c>
      <c r="G25" s="21">
        <f>AnMBR_20_CED_Detail_yr!G25/AnMBR_20_CED_Detail_yr!G$4</f>
        <v>5.7381985064897292E-2</v>
      </c>
      <c r="H25" s="21">
        <f>AnMBR_20_CED_Detail_yr!H25/AnMBR_20_CED_Detail_yr!H$4</f>
        <v>2.630004635141775E-2</v>
      </c>
      <c r="I25" s="18">
        <f>AnMBR_20_CED_Detail_yr!I25/AnMBR_20_CED_Detail_yr!I$4</f>
        <v>0.42199690189009575</v>
      </c>
      <c r="J25" s="18">
        <f>AnMBR_20_CED_Detail_yr!J25/AnMBR_20_CED_Detail_yr!J$4</f>
        <v>0.2068146386855646</v>
      </c>
      <c r="K25" s="21">
        <f>AnMBR_20_CED_Detail_yr!K25/AnMBR_20_CED_Detail_yr!K$4</f>
        <v>5.6186548146501765E-2</v>
      </c>
      <c r="L25" s="21">
        <f>AnMBR_20_CED_Detail_yr!L25/AnMBR_20_CED_Detail_yr!L$4</f>
        <v>2.6300046355222203E-2</v>
      </c>
      <c r="M25" s="18">
        <f>AnMBR_20_CED_Detail_yr!M25/AnMBR_20_CED_Detail_yr!M$4</f>
        <v>0.4222363075185665</v>
      </c>
      <c r="N25" s="18">
        <f>AnMBR_20_CED_Detail_yr!N25/AnMBR_20_CED_Detail_yr!N$4</f>
        <v>0.2068146386855646</v>
      </c>
      <c r="O25" s="21">
        <f>AnMBR_20_CED_Detail_yr!O25/AnMBR_20_CED_Detail_yr!O$4</f>
        <v>5.6305889320814977E-2</v>
      </c>
      <c r="P25" s="21">
        <f>AnMBR_20_CED_Detail_yr!P25/AnMBR_20_CED_Detail_yr!P$4</f>
        <v>2.6300118683206641E-2</v>
      </c>
      <c r="Q25" s="18">
        <f>AnMBR_20_CED_Detail_yr!Q25/AnMBR_20_CED_Detail_yr!Q$4</f>
        <v>0.2064558918529156</v>
      </c>
      <c r="R25" s="21">
        <f>AnMBR_20_CED_Detail_yr!R25/AnMBR_20_CED_Detail_yr!R$4</f>
        <v>5.6305889312669992E-2</v>
      </c>
      <c r="S25" s="21">
        <f>AnMBR_20_CED_Detail_yr!S25/AnMBR_20_CED_Detail_yr!S$4</f>
        <v>2.6276178116558559E-2</v>
      </c>
      <c r="T25" s="18">
        <f>AnMBR_20_CED_Detail_yr!T25/AnMBR_20_CED_Detail_yr!T$4</f>
        <v>0.2064435961254272</v>
      </c>
      <c r="U25" s="21">
        <f>AnMBR_20_CED_Detail_yr!U25/AnMBR_20_CED_Detail_yr!U$4</f>
        <v>5.6305889320814977E-2</v>
      </c>
      <c r="V25" s="21">
        <f>AnMBR_20_CED_Detail_yr!V25/AnMBR_20_CED_Detail_yr!V$4</f>
        <v>2.62760334643907E-2</v>
      </c>
      <c r="W25" s="2" t="s">
        <v>1</v>
      </c>
    </row>
    <row r="26" spans="1:23" x14ac:dyDescent="0.2">
      <c r="B26" s="123"/>
      <c r="C26" s="124"/>
      <c r="D26" s="2" t="s">
        <v>20</v>
      </c>
      <c r="E26" s="21">
        <f>AnMBR_20_CED_Detail_yr!E26/AnMBR_20_CED_Detail_yr!E$4</f>
        <v>8.423155976874E-2</v>
      </c>
      <c r="F26" s="21">
        <f>AnMBR_20_CED_Detail_yr!F26/AnMBR_20_CED_Detail_yr!F$4</f>
        <v>4.1288806302006022E-2</v>
      </c>
      <c r="G26" s="21">
        <f>AnMBR_20_CED_Detail_yr!G26/AnMBR_20_CED_Detail_yr!G$4</f>
        <v>1.1258848901435617E-2</v>
      </c>
      <c r="H26" s="48">
        <f>AnMBR_20_CED_Detail_yr!H26/AnMBR_20_CED_Detail_yr!H$4</f>
        <v>5.2676471054384898E-3</v>
      </c>
      <c r="I26" s="21">
        <f>AnMBR_20_CED_Detail_yr!I26/AnMBR_20_CED_Detail_yr!I$4</f>
        <v>8.4375656799125384E-2</v>
      </c>
      <c r="J26" s="21">
        <f>AnMBR_20_CED_Detail_yr!J26/AnMBR_20_CED_Detail_yr!J$4</f>
        <v>4.1230831667401054E-2</v>
      </c>
      <c r="K26" s="21">
        <f>AnMBR_20_CED_Detail_yr!K26/AnMBR_20_CED_Detail_yr!K$4</f>
        <v>1.1221976096600717E-2</v>
      </c>
      <c r="L26" s="48">
        <f>AnMBR_20_CED_Detail_yr!L26/AnMBR_20_CED_Detail_yr!L$4</f>
        <v>5.2445600135697127E-3</v>
      </c>
      <c r="M26" s="21">
        <f>AnMBR_20_CED_Detail_yr!M26/AnMBR_20_CED_Detail_yr!M$4</f>
        <v>8.443134934713821E-2</v>
      </c>
      <c r="N26" s="21">
        <f>AnMBR_20_CED_Detail_yr!N26/AnMBR_20_CED_Detail_yr!N$4</f>
        <v>4.1230856837539645E-2</v>
      </c>
      <c r="O26" s="21">
        <f>AnMBR_20_CED_Detail_yr!O26/AnMBR_20_CED_Detail_yr!O$4</f>
        <v>1.1071967856888239E-2</v>
      </c>
      <c r="P26" s="48">
        <f>AnMBR_20_CED_Detail_yr!P26/AnMBR_20_CED_Detail_yr!P$4</f>
        <v>5.2516553888425173E-3</v>
      </c>
      <c r="Q26" s="21">
        <f>AnMBR_20_CED_Detail_yr!Q26/AnMBR_20_CED_Detail_yr!Q$4</f>
        <v>4.1259354057437539E-2</v>
      </c>
      <c r="R26" s="21">
        <f>AnMBR_20_CED_Detail_yr!R26/AnMBR_20_CED_Detail_yr!R$4</f>
        <v>1.1256838183468692E-2</v>
      </c>
      <c r="S26" s="48">
        <f>AnMBR_20_CED_Detail_yr!S26/AnMBR_20_CED_Detail_yr!S$4</f>
        <v>5.2519374672220787E-3</v>
      </c>
      <c r="T26" s="21">
        <f>AnMBR_20_CED_Detail_yr!T26/AnMBR_20_CED_Detail_yr!T$4</f>
        <v>4.1293999167948993E-2</v>
      </c>
      <c r="U26" s="21">
        <f>AnMBR_20_CED_Detail_yr!U26/AnMBR_20_CED_Detail_yr!U$4</f>
        <v>1.1248231154949623E-2</v>
      </c>
      <c r="V26" s="48">
        <f>AnMBR_20_CED_Detail_yr!V26/AnMBR_20_CED_Detail_yr!V$4</f>
        <v>5.2518579071989275E-3</v>
      </c>
      <c r="W26" s="2" t="s">
        <v>1</v>
      </c>
    </row>
    <row r="27" spans="1:23" x14ac:dyDescent="0.2">
      <c r="B27" s="123"/>
      <c r="C27" s="124"/>
      <c r="D27" s="4" t="s">
        <v>21</v>
      </c>
      <c r="E27" s="21">
        <f>AnMBR_20_CED_Detail_yr!E27/AnMBR_20_CED_Detail_yr!E$4</f>
        <v>1.8120663947821473E-2</v>
      </c>
      <c r="F27" s="48">
        <f>AnMBR_20_CED_Detail_yr!F27/AnMBR_20_CED_Detail_yr!F$4</f>
        <v>8.8589913341000828E-3</v>
      </c>
      <c r="G27" s="48">
        <f>AnMBR_20_CED_Detail_yr!G27/AnMBR_20_CED_Detail_yr!G$4</f>
        <v>2.4160439916252551E-3</v>
      </c>
      <c r="H27" s="48">
        <f>AnMBR_20_CED_Detail_yr!H27/AnMBR_20_CED_Detail_yr!H$4</f>
        <v>1.1275064835542983E-3</v>
      </c>
      <c r="I27" s="21">
        <f>AnMBR_20_CED_Detail_yr!I27/AnMBR_20_CED_Detail_yr!I$4</f>
        <v>1.8120662648539013E-2</v>
      </c>
      <c r="J27" s="48">
        <f>AnMBR_20_CED_Detail_yr!J27/AnMBR_20_CED_Detail_yr!J$4</f>
        <v>8.8589912630536033E-3</v>
      </c>
      <c r="K27" s="48">
        <f>AnMBR_20_CED_Detail_yr!K27/AnMBR_20_CED_Detail_yr!K$4</f>
        <v>2.4160873887654091E-3</v>
      </c>
      <c r="L27" s="48">
        <f>AnMBR_20_CED_Detail_yr!L27/AnMBR_20_CED_Detail_yr!L$4</f>
        <v>1.1275064837173985E-3</v>
      </c>
      <c r="M27" s="21">
        <f>AnMBR_20_CED_Detail_yr!M27/AnMBR_20_CED_Detail_yr!M$4</f>
        <v>1.8120691579732787E-2</v>
      </c>
      <c r="N27" s="48">
        <f>AnMBR_20_CED_Detail_yr!N27/AnMBR_20_CED_Detail_yr!N$4</f>
        <v>8.8590208451992357E-3</v>
      </c>
      <c r="O27" s="48">
        <f>AnMBR_20_CED_Detail_yr!O27/AnMBR_20_CED_Detail_yr!O$4</f>
        <v>2.4160873887654095E-3</v>
      </c>
      <c r="P27" s="48">
        <f>AnMBR_20_CED_Detail_yr!P27/AnMBR_20_CED_Detail_yr!P$4</f>
        <v>1.2080436943827048E-3</v>
      </c>
      <c r="Q27" s="48">
        <f>AnMBR_20_CED_Detail_yr!Q27/AnMBR_20_CED_Detail_yr!Q$4</f>
        <v>8.8589919127239573E-3</v>
      </c>
      <c r="R27" s="48">
        <f>AnMBR_20_CED_Detail_yr!R27/AnMBR_20_CED_Detail_yr!R$4</f>
        <v>2.4160873884159079E-3</v>
      </c>
      <c r="S27" s="48">
        <f>AnMBR_20_CED_Detail_yr!S27/AnMBR_20_CED_Detail_yr!S$4</f>
        <v>1.1274486211667607E-3</v>
      </c>
      <c r="T27" s="48">
        <f>AnMBR_20_CED_Detail_yr!T27/AnMBR_20_CED_Detail_yr!T$4</f>
        <v>8.8590208451992374E-3</v>
      </c>
      <c r="U27" s="48">
        <f>AnMBR_20_CED_Detail_yr!U27/AnMBR_20_CED_Detail_yr!U$4</f>
        <v>2.4160873887654095E-3</v>
      </c>
      <c r="V27" s="48">
        <f>AnMBR_20_CED_Detail_yr!V27/AnMBR_20_CED_Detail_yr!V$4</f>
        <v>1.1275064837173987E-3</v>
      </c>
      <c r="W27" s="4" t="s">
        <v>1</v>
      </c>
    </row>
    <row r="28" spans="1:23" x14ac:dyDescent="0.2">
      <c r="B28" s="125"/>
      <c r="C28" s="126"/>
      <c r="D28" s="2" t="s">
        <v>22</v>
      </c>
      <c r="E28" s="17">
        <f>AnMBR_20_CED_Detail_yr!E28/AnMBR_20_CED_Detail_yr!E$4</f>
        <v>-12.316501017635359</v>
      </c>
      <c r="F28" s="17">
        <f>AnMBR_20_CED_Detail_yr!F28/AnMBR_20_CED_Detail_yr!F$4</f>
        <v>-12.316501017635359</v>
      </c>
      <c r="G28" s="17">
        <f>AnMBR_20_CED_Detail_yr!G28/AnMBR_20_CED_Detail_yr!G$4</f>
        <v>-12.316501017635359</v>
      </c>
      <c r="H28" s="17">
        <f>AnMBR_20_CED_Detail_yr!H28/AnMBR_20_CED_Detail_yr!H$4</f>
        <v>-12.316501017635359</v>
      </c>
      <c r="I28" s="17">
        <f>AnMBR_20_CED_Detail_yr!I28/AnMBR_20_CED_Detail_yr!I$4</f>
        <v>-12.32722002670987</v>
      </c>
      <c r="J28" s="17">
        <f>AnMBR_20_CED_Detail_yr!J28/AnMBR_20_CED_Detail_yr!J$4</f>
        <v>-12.32722002670987</v>
      </c>
      <c r="K28" s="17">
        <f>AnMBR_20_CED_Detail_yr!K28/AnMBR_20_CED_Detail_yr!K$4</f>
        <v>-12.32722002670987</v>
      </c>
      <c r="L28" s="17">
        <f>AnMBR_20_CED_Detail_yr!L28/AnMBR_20_CED_Detail_yr!L$4</f>
        <v>-12.32722002670987</v>
      </c>
      <c r="M28" s="17">
        <f>AnMBR_20_CED_Detail_yr!M28/AnMBR_20_CED_Detail_yr!M$4</f>
        <v>-12.370182849462624</v>
      </c>
      <c r="N28" s="17">
        <f>AnMBR_20_CED_Detail_yr!N28/AnMBR_20_CED_Detail_yr!N$4</f>
        <v>-12.370182849462624</v>
      </c>
      <c r="O28" s="17">
        <f>AnMBR_20_CED_Detail_yr!O28/AnMBR_20_CED_Detail_yr!O$4</f>
        <v>-12.370182849462624</v>
      </c>
      <c r="P28" s="17">
        <f>AnMBR_20_CED_Detail_yr!P28/AnMBR_20_CED_Detail_yr!P$4</f>
        <v>-12.370182849462624</v>
      </c>
      <c r="Q28" s="17">
        <f>AnMBR_20_CED_Detail_yr!Q28/AnMBR_20_CED_Detail_yr!Q$4</f>
        <v>-12.382623260993752</v>
      </c>
      <c r="R28" s="17">
        <f>AnMBR_20_CED_Detail_yr!R28/AnMBR_20_CED_Detail_yr!R$4</f>
        <v>-12.382623260993752</v>
      </c>
      <c r="S28" s="17">
        <f>AnMBR_20_CED_Detail_yr!S28/AnMBR_20_CED_Detail_yr!S$4</f>
        <v>-12.382623260993752</v>
      </c>
      <c r="T28" s="17">
        <f>AnMBR_20_CED_Detail_yr!T28/AnMBR_20_CED_Detail_yr!T$4</f>
        <v>-12.378862207594496</v>
      </c>
      <c r="U28" s="17">
        <f>AnMBR_20_CED_Detail_yr!U28/AnMBR_20_CED_Detail_yr!U$4</f>
        <v>-12.378862207594496</v>
      </c>
      <c r="V28" s="17">
        <f>AnMBR_20_CED_Detail_yr!V28/AnMBR_20_CED_Detail_yr!V$4</f>
        <v>-12.378862207594496</v>
      </c>
      <c r="W28" s="2" t="s">
        <v>1</v>
      </c>
    </row>
    <row r="29" spans="1:23" x14ac:dyDescent="0.2">
      <c r="D29" s="15" t="s">
        <v>23</v>
      </c>
      <c r="E29" s="50">
        <f t="shared" ref="E29:V29" si="0">SUM(E6:E28)</f>
        <v>-5.5842955439968796</v>
      </c>
      <c r="F29" s="50">
        <f t="shared" si="0"/>
        <v>-5.8732005647329695</v>
      </c>
      <c r="G29" s="50">
        <f t="shared" si="0"/>
        <v>-6.073660976155641</v>
      </c>
      <c r="H29" s="50">
        <f t="shared" si="0"/>
        <v>-6.114867228308821</v>
      </c>
      <c r="I29" s="50">
        <f t="shared" si="0"/>
        <v>-9.0786423581511109</v>
      </c>
      <c r="J29" s="50">
        <f t="shared" si="0"/>
        <v>-9.3649396120385777</v>
      </c>
      <c r="K29" s="50">
        <f t="shared" si="0"/>
        <v>-9.5663283320506647</v>
      </c>
      <c r="L29" s="51">
        <f t="shared" si="0"/>
        <v>-9.6061854813448946</v>
      </c>
      <c r="M29" s="112">
        <f t="shared" si="0"/>
        <v>-12.176510117315491</v>
      </c>
      <c r="N29" s="112">
        <f t="shared" si="0"/>
        <v>-12.464962391614318</v>
      </c>
      <c r="O29" s="112">
        <f t="shared" si="0"/>
        <v>-12.666381755951885</v>
      </c>
      <c r="P29" s="112">
        <f t="shared" si="0"/>
        <v>-12.70621068374899</v>
      </c>
      <c r="Q29" s="112">
        <f t="shared" si="0"/>
        <v>-13.7873760532979</v>
      </c>
      <c r="R29" s="112">
        <f t="shared" si="0"/>
        <v>-13.985700751058536</v>
      </c>
      <c r="S29" s="112">
        <f t="shared" si="0"/>
        <v>-14.025783078554603</v>
      </c>
      <c r="T29" s="112">
        <f t="shared" si="0"/>
        <v>-13.923967913832787</v>
      </c>
      <c r="U29" s="112">
        <f t="shared" si="0"/>
        <v>-14.124546064827882</v>
      </c>
      <c r="V29" s="112">
        <f t="shared" si="0"/>
        <v>-14.164805127929549</v>
      </c>
      <c r="W29" s="15" t="str">
        <f>W28</f>
        <v>MJ</v>
      </c>
    </row>
    <row r="32" spans="1:23" ht="15.75" x14ac:dyDescent="0.25">
      <c r="A32" s="42" t="s">
        <v>25</v>
      </c>
    </row>
    <row r="34" spans="2:23" ht="75" customHeight="1" x14ac:dyDescent="0.2">
      <c r="B34" s="13"/>
      <c r="C34" s="2"/>
      <c r="D34" s="2"/>
      <c r="E34" s="3" t="str">
        <f>E5</f>
        <v>0.05 MGD AnMBR [semi rural single family]</v>
      </c>
      <c r="F34" s="3" t="str">
        <f t="shared" ref="F34:V34" si="1">F5</f>
        <v>0.05 MGD AnMBR [single family]</v>
      </c>
      <c r="G34" s="3" t="str">
        <f t="shared" si="1"/>
        <v>0.05 MGD AnMBR [multi family]</v>
      </c>
      <c r="H34" s="3" t="str">
        <f t="shared" si="1"/>
        <v>0.05 MGD AnMBR [high density urban]</v>
      </c>
      <c r="I34" s="3" t="str">
        <f t="shared" si="1"/>
        <v>0.1 MGD AnMBR [semi rural single family]</v>
      </c>
      <c r="J34" s="3" t="str">
        <f t="shared" si="1"/>
        <v>0.1 MGD AnMBR [single family]</v>
      </c>
      <c r="K34" s="3" t="str">
        <f t="shared" si="1"/>
        <v>0.1 MGD AnMBR [multi family]</v>
      </c>
      <c r="L34" s="3" t="str">
        <f t="shared" si="1"/>
        <v>0.1 MGD AnMBR [high density urban]</v>
      </c>
      <c r="M34" s="3" t="str">
        <f t="shared" si="1"/>
        <v>1 MGD AnMBR [semi rural single family]</v>
      </c>
      <c r="N34" s="3" t="str">
        <f t="shared" si="1"/>
        <v>1 MGD AnMBR [single family]</v>
      </c>
      <c r="O34" s="3" t="str">
        <f t="shared" si="1"/>
        <v>1 MGD AnMBR [multi family]</v>
      </c>
      <c r="P34" s="3" t="str">
        <f t="shared" si="1"/>
        <v>1 MGD AnMBR [high density urban]</v>
      </c>
      <c r="Q34" s="3" t="str">
        <f t="shared" si="1"/>
        <v>5 MGD AnMBR [single family]</v>
      </c>
      <c r="R34" s="3" t="str">
        <f t="shared" si="1"/>
        <v>5 MGD AnMBR [multi family]</v>
      </c>
      <c r="S34" s="3" t="str">
        <f t="shared" si="1"/>
        <v>5 MGD AnMBR [high density urban]</v>
      </c>
      <c r="T34" s="3" t="str">
        <f t="shared" si="1"/>
        <v>10 MGD AnMBR [single family]</v>
      </c>
      <c r="U34" s="3" t="str">
        <f t="shared" si="1"/>
        <v>10 MGD AnMBR [multi family]</v>
      </c>
      <c r="V34" s="3" t="str">
        <f t="shared" si="1"/>
        <v>10 MGD AnMBR [high density urban]</v>
      </c>
      <c r="W34" s="2" t="s">
        <v>0</v>
      </c>
    </row>
    <row r="35" spans="2:23" ht="12.75" customHeight="1" x14ac:dyDescent="0.2">
      <c r="B35" s="134" t="str">
        <f>B6</f>
        <v>Wastewater collection</v>
      </c>
      <c r="C35" s="135"/>
      <c r="D35" s="82" t="str">
        <f t="shared" ref="D35:D37" si="2">D6</f>
        <v>Pipe infrastructure</v>
      </c>
      <c r="E35" s="5">
        <f>E6/$E$29</f>
        <v>-5.9217475481029829E-3</v>
      </c>
      <c r="F35" s="5">
        <f t="shared" ref="F35:V50" si="3">F6/$E$29</f>
        <v>-3.1533672106683506E-3</v>
      </c>
      <c r="G35" s="5">
        <f t="shared" si="3"/>
        <v>-7.8956652107553711E-4</v>
      </c>
      <c r="H35" s="5">
        <f t="shared" si="3"/>
        <v>-3.7154204049133694E-4</v>
      </c>
      <c r="I35" s="5">
        <f t="shared" si="3"/>
        <v>-5.5886082885238438E-3</v>
      </c>
      <c r="J35" s="5">
        <f t="shared" si="3"/>
        <v>-2.8950772098236691E-3</v>
      </c>
      <c r="K35" s="5">
        <f t="shared" si="3"/>
        <v>-7.8955597823426882E-4</v>
      </c>
      <c r="L35" s="5">
        <f t="shared" si="3"/>
        <v>-3.5661809849697729E-4</v>
      </c>
      <c r="M35" s="5">
        <f t="shared" si="3"/>
        <v>-5.9216698367570162E-3</v>
      </c>
      <c r="N35" s="5">
        <f t="shared" si="3"/>
        <v>-2.8950774429602768E-3</v>
      </c>
      <c r="O35" s="5">
        <f t="shared" si="3"/>
        <v>-7.8956633986127975E-4</v>
      </c>
      <c r="P35" s="5">
        <f t="shared" si="3"/>
        <v>-3.6846334211945454E-4</v>
      </c>
      <c r="Q35" s="5">
        <f t="shared" si="3"/>
        <v>-2.4331535200534738E-3</v>
      </c>
      <c r="R35" s="5">
        <f t="shared" si="3"/>
        <v>-7.8956633974706448E-4</v>
      </c>
      <c r="S35" s="5">
        <f t="shared" si="3"/>
        <v>-3.6846463726953032E-4</v>
      </c>
      <c r="T35" s="5">
        <f t="shared" si="3"/>
        <v>-2.8950774429602768E-3</v>
      </c>
      <c r="U35" s="5">
        <f t="shared" si="3"/>
        <v>-7.6786779769697747E-4</v>
      </c>
      <c r="V35" s="5">
        <f t="shared" si="3"/>
        <v>-3.6846463732283094E-4</v>
      </c>
      <c r="W35" s="2" t="s">
        <v>24</v>
      </c>
    </row>
    <row r="36" spans="2:23" x14ac:dyDescent="0.2">
      <c r="B36" s="136"/>
      <c r="C36" s="137"/>
      <c r="D36" s="82" t="str">
        <f t="shared" si="2"/>
        <v>Pipe installation</v>
      </c>
      <c r="E36" s="5">
        <f t="shared" ref="E36:T51" si="4">E7/$E$29</f>
        <v>-8.7874368260389189E-4</v>
      </c>
      <c r="F36" s="5">
        <f t="shared" si="4"/>
        <v>-4.2961380496986433E-4</v>
      </c>
      <c r="G36" s="5">
        <f t="shared" si="4"/>
        <v>-1.171674131299937E-4</v>
      </c>
      <c r="H36" s="5">
        <f t="shared" si="4"/>
        <v>-5.4678124400392562E-5</v>
      </c>
      <c r="I36" s="5">
        <f t="shared" si="4"/>
        <v>-8.7875550793783345E-4</v>
      </c>
      <c r="J36" s="5">
        <f t="shared" si="4"/>
        <v>-4.2961380503201048E-4</v>
      </c>
      <c r="K36" s="5">
        <f t="shared" si="4"/>
        <v>-1.1716409742629913E-4</v>
      </c>
      <c r="L36" s="5">
        <f t="shared" si="4"/>
        <v>-8.2012277791656662E-5</v>
      </c>
      <c r="M36" s="5">
        <f t="shared" si="4"/>
        <v>-8.7875533956139457E-4</v>
      </c>
      <c r="N36" s="5">
        <f t="shared" si="4"/>
        <v>-4.2961380114640033E-4</v>
      </c>
      <c r="O36" s="5">
        <f t="shared" si="4"/>
        <v>-1.1716740019490888E-4</v>
      </c>
      <c r="P36" s="5">
        <f t="shared" si="4"/>
        <v>-6.287953351594043E-5</v>
      </c>
      <c r="Q36" s="5">
        <f t="shared" si="4"/>
        <v>-4.2961377906579676E-4</v>
      </c>
      <c r="R36" s="5">
        <f t="shared" si="4"/>
        <v>-1.1716720589745349E-4</v>
      </c>
      <c r="S36" s="5">
        <f t="shared" si="4"/>
        <v>-6.7253953389558897E-5</v>
      </c>
      <c r="T36" s="5">
        <f t="shared" si="4"/>
        <v>-4.2961377912794296E-4</v>
      </c>
      <c r="U36" s="5">
        <f t="shared" si="3"/>
        <v>-1.7574614613944872E-4</v>
      </c>
      <c r="V36" s="5">
        <f t="shared" si="3"/>
        <v>-8.830515291608091E-5</v>
      </c>
      <c r="W36" s="2" t="s">
        <v>24</v>
      </c>
    </row>
    <row r="37" spans="2:23" x14ac:dyDescent="0.2">
      <c r="B37" s="138"/>
      <c r="C37" s="139"/>
      <c r="D37" s="82" t="str">
        <f t="shared" si="2"/>
        <v>Operation</v>
      </c>
      <c r="E37" s="5">
        <f t="shared" si="4"/>
        <v>-4.0603986012812554E-4</v>
      </c>
      <c r="F37" s="5">
        <f t="shared" si="3"/>
        <v>-1.9850838699991209E-4</v>
      </c>
      <c r="G37" s="5">
        <f t="shared" si="3"/>
        <v>-5.4138646290145569E-5</v>
      </c>
      <c r="H37" s="5">
        <f t="shared" si="3"/>
        <v>-2.5264237055790339E-5</v>
      </c>
      <c r="I37" s="5">
        <f t="shared" si="3"/>
        <v>-4.060333064577771E-4</v>
      </c>
      <c r="J37" s="5">
        <f t="shared" si="3"/>
        <v>-1.9850837407659375E-4</v>
      </c>
      <c r="K37" s="5">
        <f t="shared" si="3"/>
        <v>-5.4138205928829065E-5</v>
      </c>
      <c r="L37" s="5">
        <f t="shared" si="3"/>
        <v>-3.7896355589167443E-5</v>
      </c>
      <c r="M37" s="5">
        <f t="shared" si="3"/>
        <v>-4.0603978247465893E-4</v>
      </c>
      <c r="N37" s="5">
        <f t="shared" si="3"/>
        <v>-1.9850837537179709E-4</v>
      </c>
      <c r="O37" s="5">
        <f t="shared" si="3"/>
        <v>-5.4138648888383796E-5</v>
      </c>
      <c r="P37" s="5">
        <f t="shared" si="3"/>
        <v>-2.9054390699712254E-5</v>
      </c>
      <c r="Q37" s="5">
        <f t="shared" si="3"/>
        <v>-1.9850837560212237E-4</v>
      </c>
      <c r="R37" s="5">
        <f t="shared" si="3"/>
        <v>-5.4138464961672899E-5</v>
      </c>
      <c r="S37" s="5">
        <f t="shared" si="3"/>
        <v>-3.1075555564040115E-5</v>
      </c>
      <c r="T37" s="5">
        <f t="shared" si="3"/>
        <v>-1.9850805027574962E-4</v>
      </c>
      <c r="U37" s="5">
        <f t="shared" si="3"/>
        <v>-8.1196299664544481E-5</v>
      </c>
      <c r="V37" s="5">
        <f t="shared" si="3"/>
        <v>-4.0802403404725565E-5</v>
      </c>
      <c r="W37" s="2" t="s">
        <v>24</v>
      </c>
    </row>
    <row r="38" spans="2:23" ht="25.5" customHeight="1" x14ac:dyDescent="0.2">
      <c r="B38" s="140" t="str">
        <f t="shared" ref="B38:D39" si="5">B9</f>
        <v>Pre Treatment</v>
      </c>
      <c r="C38" s="140" t="str">
        <f t="shared" si="5"/>
        <v>Preliminary treatment</v>
      </c>
      <c r="D38" s="82" t="str">
        <f t="shared" si="5"/>
        <v>Operation</v>
      </c>
      <c r="E38" s="5">
        <f t="shared" si="4"/>
        <v>-0.11350903348176734</v>
      </c>
      <c r="F38" s="5">
        <f t="shared" si="3"/>
        <v>-0.11350903348176734</v>
      </c>
      <c r="G38" s="5">
        <f t="shared" si="3"/>
        <v>-0.11350903348176734</v>
      </c>
      <c r="H38" s="5">
        <f t="shared" si="3"/>
        <v>-0.11350903348176734</v>
      </c>
      <c r="I38" s="5">
        <f t="shared" si="3"/>
        <v>-7.8179382439969206E-2</v>
      </c>
      <c r="J38" s="5">
        <f t="shared" si="3"/>
        <v>-7.8179382439969206E-2</v>
      </c>
      <c r="K38" s="5">
        <f t="shared" si="3"/>
        <v>-7.8179382439969206E-2</v>
      </c>
      <c r="L38" s="5">
        <f t="shared" si="3"/>
        <v>-7.8179382439969206E-2</v>
      </c>
      <c r="M38" s="5">
        <f t="shared" si="3"/>
        <v>-2.2701806699637419E-2</v>
      </c>
      <c r="N38" s="5">
        <f t="shared" si="3"/>
        <v>-2.2701806699637419E-2</v>
      </c>
      <c r="O38" s="5">
        <f t="shared" si="3"/>
        <v>-2.2701806699637419E-2</v>
      </c>
      <c r="P38" s="5">
        <f t="shared" si="3"/>
        <v>-2.2701806699637419E-2</v>
      </c>
      <c r="Q38" s="5">
        <f t="shared" si="3"/>
        <v>-9.5631341280338344E-3</v>
      </c>
      <c r="R38" s="5">
        <f t="shared" si="3"/>
        <v>-9.5631341280338344E-3</v>
      </c>
      <c r="S38" s="5">
        <f t="shared" si="3"/>
        <v>-9.5631341280338344E-3</v>
      </c>
      <c r="T38" s="5">
        <f t="shared" si="3"/>
        <v>-6.5977141910863457E-3</v>
      </c>
      <c r="U38" s="5">
        <f t="shared" si="3"/>
        <v>-6.5977141910863457E-3</v>
      </c>
      <c r="V38" s="5">
        <f t="shared" si="3"/>
        <v>-6.5977141910863457E-3</v>
      </c>
      <c r="W38" s="2" t="s">
        <v>24</v>
      </c>
    </row>
    <row r="39" spans="2:23" x14ac:dyDescent="0.2">
      <c r="B39" s="141"/>
      <c r="C39" s="142"/>
      <c r="D39" s="82" t="str">
        <f t="shared" si="5"/>
        <v>Infrastructure</v>
      </c>
      <c r="E39" s="5">
        <f t="shared" si="4"/>
        <v>-7.7271833422969934E-8</v>
      </c>
      <c r="F39" s="5">
        <f t="shared" si="3"/>
        <v>-7.7271833422969934E-8</v>
      </c>
      <c r="G39" s="5">
        <f t="shared" si="3"/>
        <v>-7.7271833422969934E-8</v>
      </c>
      <c r="H39" s="5">
        <f t="shared" si="3"/>
        <v>-7.7271833422969934E-8</v>
      </c>
      <c r="I39" s="5">
        <f t="shared" si="3"/>
        <v>-7.7025744792637738E-8</v>
      </c>
      <c r="J39" s="5">
        <f t="shared" si="3"/>
        <v>-7.7025744792637738E-8</v>
      </c>
      <c r="K39" s="5">
        <f t="shared" si="3"/>
        <v>-7.7025744792637738E-8</v>
      </c>
      <c r="L39" s="5">
        <f t="shared" si="3"/>
        <v>-7.7025744792637738E-8</v>
      </c>
      <c r="M39" s="5">
        <f t="shared" si="3"/>
        <v>-7.699984072511038E-8</v>
      </c>
      <c r="N39" s="5">
        <f t="shared" si="3"/>
        <v>-7.699984072511038E-8</v>
      </c>
      <c r="O39" s="5">
        <f t="shared" si="3"/>
        <v>-7.699984072511038E-8</v>
      </c>
      <c r="P39" s="5">
        <f t="shared" si="3"/>
        <v>-7.699984072511038E-8</v>
      </c>
      <c r="Q39" s="5">
        <f t="shared" si="3"/>
        <v>-7.7237381013163512E-8</v>
      </c>
      <c r="R39" s="5">
        <f t="shared" si="3"/>
        <v>-7.7237381013163512E-8</v>
      </c>
      <c r="S39" s="5">
        <f t="shared" si="3"/>
        <v>-7.7237381013163512E-8</v>
      </c>
      <c r="T39" s="5">
        <f t="shared" si="3"/>
        <v>-7.6997120798020004E-8</v>
      </c>
      <c r="U39" s="5">
        <f t="shared" si="3"/>
        <v>-7.6997120798020004E-8</v>
      </c>
      <c r="V39" s="5">
        <f t="shared" si="3"/>
        <v>-7.6997120798020004E-8</v>
      </c>
      <c r="W39" s="2" t="s">
        <v>24</v>
      </c>
    </row>
    <row r="40" spans="2:23" ht="15.75" customHeight="1" x14ac:dyDescent="0.2">
      <c r="B40" s="141"/>
      <c r="C40" s="140" t="str">
        <f t="shared" ref="C40:D41" si="6">C11</f>
        <v>Fine screening</v>
      </c>
      <c r="D40" s="82" t="str">
        <f t="shared" si="6"/>
        <v>Operation</v>
      </c>
      <c r="E40" s="5">
        <f t="shared" si="4"/>
        <v>-2.8377269768231545E-3</v>
      </c>
      <c r="F40" s="5">
        <f t="shared" si="3"/>
        <v>-2.8377269768231545E-3</v>
      </c>
      <c r="G40" s="5">
        <f t="shared" si="3"/>
        <v>-2.8377269768231545E-3</v>
      </c>
      <c r="H40" s="5">
        <f t="shared" si="3"/>
        <v>-2.8377269768231545E-3</v>
      </c>
      <c r="I40" s="5">
        <f t="shared" si="3"/>
        <v>-2.8377269901856822E-3</v>
      </c>
      <c r="J40" s="5">
        <f t="shared" si="3"/>
        <v>-2.8377269901856822E-3</v>
      </c>
      <c r="K40" s="5">
        <f t="shared" si="3"/>
        <v>-2.8377269901856822E-3</v>
      </c>
      <c r="L40" s="5">
        <f t="shared" si="3"/>
        <v>-2.8377269901856822E-3</v>
      </c>
      <c r="M40" s="5">
        <f t="shared" si="3"/>
        <v>-2.9370420323546181E-3</v>
      </c>
      <c r="N40" s="5">
        <f t="shared" si="3"/>
        <v>-2.9370420323546181E-3</v>
      </c>
      <c r="O40" s="5">
        <f t="shared" si="3"/>
        <v>-2.9370420323546181E-3</v>
      </c>
      <c r="P40" s="5">
        <f t="shared" si="3"/>
        <v>-2.9370420323546181E-3</v>
      </c>
      <c r="Q40" s="5">
        <f t="shared" si="3"/>
        <v>-2.939878527323594E-3</v>
      </c>
      <c r="R40" s="5">
        <f t="shared" si="3"/>
        <v>-2.939878527323594E-3</v>
      </c>
      <c r="S40" s="5">
        <f t="shared" si="3"/>
        <v>-2.939878527323594E-3</v>
      </c>
      <c r="T40" s="5">
        <f t="shared" si="3"/>
        <v>-2.9398914797826286E-3</v>
      </c>
      <c r="U40" s="5">
        <f t="shared" si="3"/>
        <v>-2.9398914797826286E-3</v>
      </c>
      <c r="V40" s="5">
        <f t="shared" si="3"/>
        <v>-2.9398914797826286E-3</v>
      </c>
      <c r="W40" s="2" t="s">
        <v>24</v>
      </c>
    </row>
    <row r="41" spans="2:23" x14ac:dyDescent="0.2">
      <c r="B41" s="142"/>
      <c r="C41" s="142"/>
      <c r="D41" s="82" t="str">
        <f t="shared" si="6"/>
        <v>Infrastructure</v>
      </c>
      <c r="E41" s="5">
        <f t="shared" si="4"/>
        <v>-3.4056077573308275E-7</v>
      </c>
      <c r="F41" s="5">
        <f t="shared" si="3"/>
        <v>-3.4056077573308275E-7</v>
      </c>
      <c r="G41" s="5">
        <f t="shared" si="3"/>
        <v>-3.4056077573308275E-7</v>
      </c>
      <c r="H41" s="5">
        <f t="shared" si="3"/>
        <v>-3.4056077573308275E-7</v>
      </c>
      <c r="I41" s="5">
        <f t="shared" si="3"/>
        <v>-3.4056077578234687E-7</v>
      </c>
      <c r="J41" s="5">
        <f t="shared" si="3"/>
        <v>-3.4056077578234687E-7</v>
      </c>
      <c r="K41" s="5">
        <f t="shared" si="3"/>
        <v>-3.4056077578234687E-7</v>
      </c>
      <c r="L41" s="5">
        <f t="shared" si="3"/>
        <v>-3.4056077578234687E-7</v>
      </c>
      <c r="M41" s="5">
        <f t="shared" si="3"/>
        <v>-3.405439381384541E-7</v>
      </c>
      <c r="N41" s="5">
        <f t="shared" si="3"/>
        <v>-3.405439381384541E-7</v>
      </c>
      <c r="O41" s="5">
        <f t="shared" si="3"/>
        <v>-3.405439381384541E-7</v>
      </c>
      <c r="P41" s="5">
        <f t="shared" si="3"/>
        <v>-3.405439381384541E-7</v>
      </c>
      <c r="Q41" s="5">
        <f t="shared" si="3"/>
        <v>-3.4054601041459425E-7</v>
      </c>
      <c r="R41" s="5">
        <f t="shared" si="3"/>
        <v>-3.4054601041459425E-7</v>
      </c>
      <c r="S41" s="5">
        <f t="shared" si="3"/>
        <v>-3.4054601041459425E-7</v>
      </c>
      <c r="T41" s="5">
        <f t="shared" si="3"/>
        <v>-3.4054601046385631E-7</v>
      </c>
      <c r="U41" s="5">
        <f t="shared" si="3"/>
        <v>-3.4054601046385631E-7</v>
      </c>
      <c r="V41" s="5">
        <f t="shared" si="3"/>
        <v>-3.4054601046385631E-7</v>
      </c>
      <c r="W41" s="2" t="s">
        <v>24</v>
      </c>
    </row>
    <row r="42" spans="2:23" x14ac:dyDescent="0.2">
      <c r="B42" s="134" t="str">
        <f t="shared" ref="B42:D49" si="7">B13</f>
        <v>MBR operation</v>
      </c>
      <c r="C42" s="135"/>
      <c r="D42" s="82" t="str">
        <f t="shared" si="7"/>
        <v>Heating of influent</v>
      </c>
      <c r="E42" s="5">
        <f t="shared" si="4"/>
        <v>0</v>
      </c>
      <c r="F42" s="5">
        <f t="shared" si="3"/>
        <v>0</v>
      </c>
      <c r="G42" s="5">
        <f t="shared" si="3"/>
        <v>0</v>
      </c>
      <c r="H42" s="5">
        <f t="shared" si="3"/>
        <v>0</v>
      </c>
      <c r="I42" s="5">
        <f t="shared" si="3"/>
        <v>0</v>
      </c>
      <c r="J42" s="5">
        <f t="shared" si="3"/>
        <v>0</v>
      </c>
      <c r="K42" s="5">
        <f t="shared" si="3"/>
        <v>0</v>
      </c>
      <c r="L42" s="5">
        <f t="shared" si="3"/>
        <v>0</v>
      </c>
      <c r="M42" s="5">
        <f t="shared" si="3"/>
        <v>0</v>
      </c>
      <c r="N42" s="5">
        <f t="shared" si="3"/>
        <v>0</v>
      </c>
      <c r="O42" s="5">
        <f t="shared" si="3"/>
        <v>0</v>
      </c>
      <c r="P42" s="5">
        <f t="shared" si="3"/>
        <v>0</v>
      </c>
      <c r="Q42" s="5">
        <f t="shared" si="3"/>
        <v>0</v>
      </c>
      <c r="R42" s="5">
        <f t="shared" si="3"/>
        <v>0</v>
      </c>
      <c r="S42" s="5">
        <f t="shared" si="3"/>
        <v>0</v>
      </c>
      <c r="T42" s="5">
        <f t="shared" si="3"/>
        <v>0</v>
      </c>
      <c r="U42" s="5">
        <f t="shared" si="3"/>
        <v>0</v>
      </c>
      <c r="V42" s="5">
        <f t="shared" si="3"/>
        <v>0</v>
      </c>
      <c r="W42" s="2" t="s">
        <v>24</v>
      </c>
    </row>
    <row r="43" spans="2:23" x14ac:dyDescent="0.2">
      <c r="B43" s="136"/>
      <c r="C43" s="137"/>
      <c r="D43" s="82" t="str">
        <f t="shared" si="7"/>
        <v>Grinder pump</v>
      </c>
      <c r="E43" s="5">
        <f t="shared" si="4"/>
        <v>-2.9065918005557377E-2</v>
      </c>
      <c r="F43" s="5">
        <f t="shared" si="3"/>
        <v>-2.9065918005557377E-2</v>
      </c>
      <c r="G43" s="5">
        <f t="shared" si="3"/>
        <v>-2.9065918005557377E-2</v>
      </c>
      <c r="H43" s="5">
        <f t="shared" si="3"/>
        <v>-2.9065918005557377E-2</v>
      </c>
      <c r="I43" s="5">
        <f t="shared" si="3"/>
        <v>-2.906591800976193E-2</v>
      </c>
      <c r="J43" s="5">
        <f t="shared" si="3"/>
        <v>-2.906591800976193E-2</v>
      </c>
      <c r="K43" s="5">
        <f t="shared" si="3"/>
        <v>-2.906591800976193E-2</v>
      </c>
      <c r="L43" s="5">
        <f t="shared" si="3"/>
        <v>-2.906591800976193E-2</v>
      </c>
      <c r="M43" s="5">
        <f t="shared" si="3"/>
        <v>-2.906591800976193E-2</v>
      </c>
      <c r="N43" s="5">
        <f t="shared" si="3"/>
        <v>-2.906591800976193E-2</v>
      </c>
      <c r="O43" s="5">
        <f t="shared" si="3"/>
        <v>-2.906591800976193E-2</v>
      </c>
      <c r="P43" s="5">
        <f t="shared" si="3"/>
        <v>-2.906591800976193E-2</v>
      </c>
      <c r="Q43" s="5">
        <f t="shared" si="3"/>
        <v>-2.9065918005557377E-2</v>
      </c>
      <c r="R43" s="5">
        <f t="shared" si="3"/>
        <v>-2.9065918005557377E-2</v>
      </c>
      <c r="S43" s="5">
        <f t="shared" si="3"/>
        <v>-2.9065918005557377E-2</v>
      </c>
      <c r="T43" s="5">
        <f t="shared" si="3"/>
        <v>-2.9065918009761934E-2</v>
      </c>
      <c r="U43" s="5">
        <f t="shared" si="3"/>
        <v>-2.9065918009761934E-2</v>
      </c>
      <c r="V43" s="5">
        <f t="shared" si="3"/>
        <v>-2.9065918009761934E-2</v>
      </c>
      <c r="W43" s="2" t="s">
        <v>24</v>
      </c>
    </row>
    <row r="44" spans="2:23" x14ac:dyDescent="0.2">
      <c r="B44" s="136"/>
      <c r="C44" s="137"/>
      <c r="D44" s="82" t="str">
        <f t="shared" si="7"/>
        <v>Heat loss control</v>
      </c>
      <c r="E44" s="5">
        <f t="shared" si="4"/>
        <v>0</v>
      </c>
      <c r="F44" s="5">
        <f t="shared" si="3"/>
        <v>0</v>
      </c>
      <c r="G44" s="5">
        <f t="shared" si="3"/>
        <v>0</v>
      </c>
      <c r="H44" s="5">
        <f t="shared" si="3"/>
        <v>0</v>
      </c>
      <c r="I44" s="5">
        <f t="shared" si="3"/>
        <v>0</v>
      </c>
      <c r="J44" s="5">
        <f t="shared" si="3"/>
        <v>0</v>
      </c>
      <c r="K44" s="5">
        <f t="shared" si="3"/>
        <v>0</v>
      </c>
      <c r="L44" s="5">
        <f t="shared" si="3"/>
        <v>0</v>
      </c>
      <c r="M44" s="5">
        <f t="shared" si="3"/>
        <v>0</v>
      </c>
      <c r="N44" s="5">
        <f t="shared" si="3"/>
        <v>0</v>
      </c>
      <c r="O44" s="5">
        <f t="shared" si="3"/>
        <v>0</v>
      </c>
      <c r="P44" s="5">
        <f t="shared" si="3"/>
        <v>0</v>
      </c>
      <c r="Q44" s="5">
        <f t="shared" si="3"/>
        <v>0</v>
      </c>
      <c r="R44" s="5">
        <f t="shared" si="3"/>
        <v>0</v>
      </c>
      <c r="S44" s="5">
        <f t="shared" si="3"/>
        <v>0</v>
      </c>
      <c r="T44" s="5">
        <f t="shared" si="3"/>
        <v>0</v>
      </c>
      <c r="U44" s="5">
        <f t="shared" si="3"/>
        <v>0</v>
      </c>
      <c r="V44" s="5">
        <f t="shared" si="3"/>
        <v>0</v>
      </c>
      <c r="W44" s="2" t="s">
        <v>24</v>
      </c>
    </row>
    <row r="45" spans="2:23" ht="15.75" customHeight="1" x14ac:dyDescent="0.2">
      <c r="B45" s="136"/>
      <c r="C45" s="137"/>
      <c r="D45" s="82" t="str">
        <f t="shared" si="7"/>
        <v>Recovery of methane</v>
      </c>
      <c r="E45" s="5">
        <f t="shared" si="4"/>
        <v>0.65051589568700396</v>
      </c>
      <c r="F45" s="5">
        <f t="shared" si="3"/>
        <v>0.65051589568700396</v>
      </c>
      <c r="G45" s="5">
        <f t="shared" si="3"/>
        <v>0.65051589568700396</v>
      </c>
      <c r="H45" s="5">
        <f t="shared" si="3"/>
        <v>0.65051589568700396</v>
      </c>
      <c r="I45" s="5">
        <f t="shared" si="3"/>
        <v>0.65051460057772847</v>
      </c>
      <c r="J45" s="5">
        <f t="shared" si="3"/>
        <v>0.65051460057772847</v>
      </c>
      <c r="K45" s="5">
        <f t="shared" si="3"/>
        <v>0.65051460057772847</v>
      </c>
      <c r="L45" s="5">
        <f t="shared" si="3"/>
        <v>0.65051460057772847</v>
      </c>
      <c r="M45" s="5">
        <f t="shared" si="3"/>
        <v>0.65051460057772847</v>
      </c>
      <c r="N45" s="5">
        <f t="shared" si="3"/>
        <v>0.65051460057772847</v>
      </c>
      <c r="O45" s="5">
        <f t="shared" si="3"/>
        <v>0.65051460057772847</v>
      </c>
      <c r="P45" s="5">
        <f t="shared" si="3"/>
        <v>0.65051460057772847</v>
      </c>
      <c r="Q45" s="5">
        <f t="shared" si="3"/>
        <v>0.65051589568700385</v>
      </c>
      <c r="R45" s="5">
        <f t="shared" si="3"/>
        <v>0.65051589568700385</v>
      </c>
      <c r="S45" s="5">
        <f t="shared" si="3"/>
        <v>0.65051589568700385</v>
      </c>
      <c r="T45" s="5">
        <f t="shared" si="3"/>
        <v>0.65051460057772859</v>
      </c>
      <c r="U45" s="5">
        <f t="shared" si="3"/>
        <v>0.65051460057772859</v>
      </c>
      <c r="V45" s="5">
        <f t="shared" si="3"/>
        <v>0.65051460057772859</v>
      </c>
      <c r="W45" s="2" t="s">
        <v>24</v>
      </c>
    </row>
    <row r="46" spans="2:23" x14ac:dyDescent="0.2">
      <c r="B46" s="136"/>
      <c r="C46" s="137"/>
      <c r="D46" s="82" t="str">
        <f t="shared" si="7"/>
        <v>Effluent pumping out</v>
      </c>
      <c r="E46" s="5">
        <f t="shared" si="4"/>
        <v>-9.8664707587354697E-2</v>
      </c>
      <c r="F46" s="5">
        <f t="shared" si="3"/>
        <v>-9.8664707587354697E-2</v>
      </c>
      <c r="G46" s="5">
        <f t="shared" si="3"/>
        <v>-9.8664707587354697E-2</v>
      </c>
      <c r="H46" s="5">
        <f t="shared" si="3"/>
        <v>-9.8664707587354697E-2</v>
      </c>
      <c r="I46" s="5">
        <f t="shared" si="3"/>
        <v>-9.8656547820355989E-2</v>
      </c>
      <c r="J46" s="5">
        <f t="shared" si="3"/>
        <v>-9.8656547820355989E-2</v>
      </c>
      <c r="K46" s="5">
        <f t="shared" si="3"/>
        <v>-9.8656547820355989E-2</v>
      </c>
      <c r="L46" s="5">
        <f t="shared" si="3"/>
        <v>-9.8656547820355989E-2</v>
      </c>
      <c r="M46" s="5">
        <f t="shared" si="3"/>
        <v>-9.8649035640773056E-2</v>
      </c>
      <c r="N46" s="5">
        <f t="shared" si="3"/>
        <v>-9.8649035640773056E-2</v>
      </c>
      <c r="O46" s="5">
        <f t="shared" si="3"/>
        <v>-9.8649035640773056E-2</v>
      </c>
      <c r="P46" s="5">
        <f t="shared" si="3"/>
        <v>-9.8649035640773056E-2</v>
      </c>
      <c r="Q46" s="5">
        <f t="shared" si="3"/>
        <v>-9.8648388024814807E-2</v>
      </c>
      <c r="R46" s="5">
        <f t="shared" si="3"/>
        <v>-9.8648388024814807E-2</v>
      </c>
      <c r="S46" s="5">
        <f t="shared" si="3"/>
        <v>-9.8648388024814807E-2</v>
      </c>
      <c r="T46" s="5">
        <f t="shared" si="3"/>
        <v>-9.8648258518747256E-2</v>
      </c>
      <c r="U46" s="5">
        <f t="shared" si="3"/>
        <v>-9.8648258518747256E-2</v>
      </c>
      <c r="V46" s="5">
        <f t="shared" si="3"/>
        <v>-9.8648258518747256E-2</v>
      </c>
      <c r="W46" s="2" t="s">
        <v>24</v>
      </c>
    </row>
    <row r="47" spans="2:23" x14ac:dyDescent="0.2">
      <c r="B47" s="136"/>
      <c r="C47" s="137"/>
      <c r="D47" s="82" t="str">
        <f t="shared" si="7"/>
        <v>Heat recovery from discharge water</v>
      </c>
      <c r="E47" s="5">
        <f t="shared" si="4"/>
        <v>0</v>
      </c>
      <c r="F47" s="5">
        <f t="shared" si="3"/>
        <v>0</v>
      </c>
      <c r="G47" s="5">
        <f t="shared" si="3"/>
        <v>0</v>
      </c>
      <c r="H47" s="5">
        <f t="shared" si="3"/>
        <v>0</v>
      </c>
      <c r="I47" s="5">
        <f t="shared" si="3"/>
        <v>0</v>
      </c>
      <c r="J47" s="5">
        <f t="shared" si="3"/>
        <v>0</v>
      </c>
      <c r="K47" s="5">
        <f t="shared" si="3"/>
        <v>0</v>
      </c>
      <c r="L47" s="5">
        <f t="shared" si="3"/>
        <v>0</v>
      </c>
      <c r="M47" s="5">
        <f t="shared" si="3"/>
        <v>0</v>
      </c>
      <c r="N47" s="5">
        <f t="shared" si="3"/>
        <v>0</v>
      </c>
      <c r="O47" s="5">
        <f t="shared" si="3"/>
        <v>0</v>
      </c>
      <c r="P47" s="5">
        <f t="shared" si="3"/>
        <v>0</v>
      </c>
      <c r="Q47" s="5">
        <f t="shared" si="3"/>
        <v>0</v>
      </c>
      <c r="R47" s="5">
        <f t="shared" si="3"/>
        <v>0</v>
      </c>
      <c r="S47" s="5">
        <f t="shared" si="3"/>
        <v>0</v>
      </c>
      <c r="T47" s="5">
        <f t="shared" si="3"/>
        <v>0</v>
      </c>
      <c r="U47" s="5">
        <f t="shared" si="3"/>
        <v>0</v>
      </c>
      <c r="V47" s="5">
        <f t="shared" si="3"/>
        <v>0</v>
      </c>
      <c r="W47" s="2" t="s">
        <v>24</v>
      </c>
    </row>
    <row r="48" spans="2:23" x14ac:dyDescent="0.2">
      <c r="B48" s="136"/>
      <c r="C48" s="137"/>
      <c r="D48" s="82" t="str">
        <f t="shared" si="7"/>
        <v>Biogas recirculation pump</v>
      </c>
      <c r="E48" s="5">
        <f t="shared" si="4"/>
        <v>-4.5270155636825231E-3</v>
      </c>
      <c r="F48" s="5">
        <f t="shared" si="3"/>
        <v>-4.5270155636825231E-3</v>
      </c>
      <c r="G48" s="5">
        <f t="shared" si="3"/>
        <v>-4.5270155636825231E-3</v>
      </c>
      <c r="H48" s="5">
        <f t="shared" si="3"/>
        <v>-4.5270155636825231E-3</v>
      </c>
      <c r="I48" s="5">
        <f t="shared" si="3"/>
        <v>-4.527016859540758E-3</v>
      </c>
      <c r="J48" s="5">
        <f t="shared" si="3"/>
        <v>-4.527016859540758E-3</v>
      </c>
      <c r="K48" s="5">
        <f t="shared" si="3"/>
        <v>-4.527016859540758E-3</v>
      </c>
      <c r="L48" s="5">
        <f t="shared" si="3"/>
        <v>-4.527016859540758E-3</v>
      </c>
      <c r="M48" s="5">
        <f t="shared" si="3"/>
        <v>-4.5270207451508877E-3</v>
      </c>
      <c r="N48" s="5">
        <f t="shared" si="3"/>
        <v>-4.5270207451508877E-3</v>
      </c>
      <c r="O48" s="5">
        <f t="shared" si="3"/>
        <v>-4.5270207451508877E-3</v>
      </c>
      <c r="P48" s="5">
        <f t="shared" si="3"/>
        <v>-4.5270207451508877E-3</v>
      </c>
      <c r="Q48" s="5">
        <f t="shared" si="3"/>
        <v>-4.526994840428504E-3</v>
      </c>
      <c r="R48" s="5">
        <f t="shared" si="3"/>
        <v>-4.526994840428504E-3</v>
      </c>
      <c r="S48" s="5">
        <f t="shared" si="3"/>
        <v>-4.526994840428504E-3</v>
      </c>
      <c r="T48" s="5">
        <f t="shared" si="3"/>
        <v>-4.5270207451508877E-3</v>
      </c>
      <c r="U48" s="5">
        <f t="shared" si="3"/>
        <v>-4.5270207451508877E-3</v>
      </c>
      <c r="V48" s="5">
        <f t="shared" si="3"/>
        <v>-4.5270207451508877E-3</v>
      </c>
      <c r="W48" s="2" t="s">
        <v>24</v>
      </c>
    </row>
    <row r="49" spans="2:23" x14ac:dyDescent="0.2">
      <c r="B49" s="138"/>
      <c r="C49" s="139"/>
      <c r="D49" s="82" t="str">
        <f t="shared" si="7"/>
        <v xml:space="preserve">Sodium hypochlorite, 15% </v>
      </c>
      <c r="E49" s="5">
        <f t="shared" si="4"/>
        <v>-5.1033085346940871E-2</v>
      </c>
      <c r="F49" s="5">
        <f t="shared" si="3"/>
        <v>-5.1033085346940871E-2</v>
      </c>
      <c r="G49" s="5">
        <f t="shared" si="3"/>
        <v>-5.1033085346940871E-2</v>
      </c>
      <c r="H49" s="5">
        <f t="shared" si="3"/>
        <v>-5.1033085346940871E-2</v>
      </c>
      <c r="I49" s="5">
        <f t="shared" si="3"/>
        <v>-5.104823923382662E-2</v>
      </c>
      <c r="J49" s="5">
        <f t="shared" si="3"/>
        <v>-5.104823923382662E-2</v>
      </c>
      <c r="K49" s="5">
        <f t="shared" si="3"/>
        <v>-5.104823923382662E-2</v>
      </c>
      <c r="L49" s="5">
        <f t="shared" si="3"/>
        <v>-5.104823923382662E-2</v>
      </c>
      <c r="M49" s="5">
        <f t="shared" si="3"/>
        <v>-3.7786133781838475E-2</v>
      </c>
      <c r="N49" s="5">
        <f t="shared" si="3"/>
        <v>-3.7786133781838475E-2</v>
      </c>
      <c r="O49" s="5">
        <f t="shared" si="3"/>
        <v>-3.7786133781838475E-2</v>
      </c>
      <c r="P49" s="5">
        <f t="shared" si="3"/>
        <v>-3.7786133781838475E-2</v>
      </c>
      <c r="Q49" s="5">
        <f t="shared" si="3"/>
        <v>-3.148898448171715E-2</v>
      </c>
      <c r="R49" s="5">
        <f t="shared" si="3"/>
        <v>-3.148898448171715E-2</v>
      </c>
      <c r="S49" s="5">
        <f t="shared" si="3"/>
        <v>-3.148898448171715E-2</v>
      </c>
      <c r="T49" s="5">
        <f t="shared" si="3"/>
        <v>-2.8339049874943904E-2</v>
      </c>
      <c r="U49" s="5">
        <f t="shared" si="3"/>
        <v>-2.8339049874943904E-2</v>
      </c>
      <c r="V49" s="5">
        <f t="shared" si="3"/>
        <v>-2.8339049874943904E-2</v>
      </c>
      <c r="W49" s="2" t="s">
        <v>24</v>
      </c>
    </row>
    <row r="50" spans="2:23" x14ac:dyDescent="0.2">
      <c r="B50" s="143" t="str">
        <f t="shared" ref="B50:D53" si="8">B21</f>
        <v>MBR</v>
      </c>
      <c r="C50" s="144"/>
      <c r="D50" s="82" t="str">
        <f t="shared" si="8"/>
        <v>Infrastructure</v>
      </c>
      <c r="E50" s="5">
        <f t="shared" si="4"/>
        <v>-6.9314179959959005E-2</v>
      </c>
      <c r="F50" s="5">
        <f t="shared" si="3"/>
        <v>-6.9314179959959005E-2</v>
      </c>
      <c r="G50" s="5">
        <f t="shared" si="3"/>
        <v>-6.9314179959959005E-2</v>
      </c>
      <c r="H50" s="5">
        <f t="shared" si="3"/>
        <v>-6.9314179959959005E-2</v>
      </c>
      <c r="I50" s="5">
        <f t="shared" si="3"/>
        <v>-3.5613572590351639E-2</v>
      </c>
      <c r="J50" s="5">
        <f t="shared" si="3"/>
        <v>-3.5613572590351639E-2</v>
      </c>
      <c r="K50" s="5">
        <f t="shared" si="3"/>
        <v>-3.5613572590351639E-2</v>
      </c>
      <c r="L50" s="5">
        <f t="shared" si="3"/>
        <v>-3.5613572590351639E-2</v>
      </c>
      <c r="M50" s="5">
        <f t="shared" si="3"/>
        <v>-6.7159034419850397E-2</v>
      </c>
      <c r="N50" s="5">
        <f t="shared" si="3"/>
        <v>-6.7159034419850397E-2</v>
      </c>
      <c r="O50" s="5">
        <f t="shared" si="3"/>
        <v>-6.7159034419850397E-2</v>
      </c>
      <c r="P50" s="5">
        <f t="shared" si="3"/>
        <v>-6.7159034419850397E-2</v>
      </c>
      <c r="Q50" s="5">
        <f t="shared" si="3"/>
        <v>-5.5974923467133203E-2</v>
      </c>
      <c r="R50" s="5">
        <f t="shared" si="3"/>
        <v>-5.5974923467133203E-2</v>
      </c>
      <c r="S50" s="5">
        <f t="shared" si="3"/>
        <v>-5.5974923467133203E-2</v>
      </c>
      <c r="T50" s="5">
        <f t="shared" si="3"/>
        <v>-5.0369233549552188E-2</v>
      </c>
      <c r="U50" s="5">
        <f t="shared" ref="F50:V57" si="9">U21/$E$29</f>
        <v>-5.0369233549552188E-2</v>
      </c>
      <c r="V50" s="5">
        <f t="shared" si="9"/>
        <v>-5.0369233549552188E-2</v>
      </c>
      <c r="W50" s="2" t="s">
        <v>24</v>
      </c>
    </row>
    <row r="51" spans="2:23" x14ac:dyDescent="0.2">
      <c r="B51" s="140" t="str">
        <f t="shared" si="8"/>
        <v>Post treatment</v>
      </c>
      <c r="C51" s="140" t="str">
        <f t="shared" si="8"/>
        <v>Chlorination</v>
      </c>
      <c r="D51" s="82" t="str">
        <f t="shared" si="8"/>
        <v>Operation</v>
      </c>
      <c r="E51" s="5">
        <f t="shared" si="4"/>
        <v>-1.2972109414142732</v>
      </c>
      <c r="F51" s="5">
        <f t="shared" si="9"/>
        <v>-1.2972109414142732</v>
      </c>
      <c r="G51" s="5">
        <f t="shared" si="9"/>
        <v>-1.2972109414142732</v>
      </c>
      <c r="H51" s="5">
        <f t="shared" si="9"/>
        <v>-1.2972109414142732</v>
      </c>
      <c r="I51" s="5">
        <f t="shared" si="9"/>
        <v>-0.74459169782025825</v>
      </c>
      <c r="J51" s="5">
        <f t="shared" si="9"/>
        <v>-0.74459169782025825</v>
      </c>
      <c r="K51" s="5">
        <f t="shared" si="9"/>
        <v>-0.74459169782025825</v>
      </c>
      <c r="L51" s="5">
        <f t="shared" si="9"/>
        <v>-0.74459169782025825</v>
      </c>
      <c r="M51" s="5">
        <f t="shared" si="9"/>
        <v>-0.11776571939462233</v>
      </c>
      <c r="N51" s="5">
        <f t="shared" si="9"/>
        <v>-0.11776571939462233</v>
      </c>
      <c r="O51" s="5">
        <f t="shared" si="9"/>
        <v>-0.11776571939462233</v>
      </c>
      <c r="P51" s="5">
        <f t="shared" si="9"/>
        <v>-0.11776571939462233</v>
      </c>
      <c r="Q51" s="5">
        <f t="shared" si="9"/>
        <v>-3.2450025386843592E-2</v>
      </c>
      <c r="R51" s="5">
        <f t="shared" si="9"/>
        <v>-3.2450025386843592E-2</v>
      </c>
      <c r="S51" s="5">
        <f t="shared" si="9"/>
        <v>-3.2450025386843592E-2</v>
      </c>
      <c r="T51" s="5">
        <f t="shared" si="9"/>
        <v>-1.8587075093252171E-2</v>
      </c>
      <c r="U51" s="5">
        <f t="shared" si="9"/>
        <v>-1.8587075093252171E-2</v>
      </c>
      <c r="V51" s="5">
        <f t="shared" si="9"/>
        <v>-1.8587075093252171E-2</v>
      </c>
      <c r="W51" s="2" t="s">
        <v>24</v>
      </c>
    </row>
    <row r="52" spans="2:23" ht="15" customHeight="1" x14ac:dyDescent="0.2">
      <c r="B52" s="141"/>
      <c r="C52" s="141"/>
      <c r="D52" s="82" t="str">
        <f t="shared" si="8"/>
        <v xml:space="preserve">Sodium hypochlorite, 15% </v>
      </c>
      <c r="E52" s="5">
        <f t="shared" ref="E52:E57" si="10">E23/$E$29</f>
        <v>-8.5195628637771248E-2</v>
      </c>
      <c r="F52" s="5">
        <f t="shared" si="9"/>
        <v>-8.5195628637771248E-2</v>
      </c>
      <c r="G52" s="5">
        <f t="shared" si="9"/>
        <v>-8.5195628637771248E-2</v>
      </c>
      <c r="H52" s="5">
        <f t="shared" si="9"/>
        <v>-8.5195628637771248E-2</v>
      </c>
      <c r="I52" s="5">
        <f t="shared" si="9"/>
        <v>-8.5210653009261159E-2</v>
      </c>
      <c r="J52" s="5">
        <f t="shared" si="9"/>
        <v>-8.5210653009261159E-2</v>
      </c>
      <c r="K52" s="5">
        <f t="shared" si="9"/>
        <v>-8.5210653009261159E-2</v>
      </c>
      <c r="L52" s="5">
        <f t="shared" si="9"/>
        <v>-8.5210653009261159E-2</v>
      </c>
      <c r="M52" s="5">
        <f t="shared" si="9"/>
        <v>-0.20319927690495651</v>
      </c>
      <c r="N52" s="5">
        <f t="shared" si="9"/>
        <v>-0.20319927690495651</v>
      </c>
      <c r="O52" s="5">
        <f t="shared" si="9"/>
        <v>-0.20319927690495651</v>
      </c>
      <c r="P52" s="5">
        <f t="shared" si="9"/>
        <v>-0.20319927690495651</v>
      </c>
      <c r="Q52" s="5">
        <f t="shared" si="9"/>
        <v>-8.5207544508832112E-2</v>
      </c>
      <c r="R52" s="5">
        <f t="shared" si="9"/>
        <v>-8.5207544508832112E-2</v>
      </c>
      <c r="S52" s="5">
        <f t="shared" si="9"/>
        <v>-8.5207544508832112E-2</v>
      </c>
      <c r="T52" s="5">
        <f t="shared" si="9"/>
        <v>-8.5207674041495526E-2</v>
      </c>
      <c r="U52" s="5">
        <f t="shared" si="9"/>
        <v>-8.5207674041495526E-2</v>
      </c>
      <c r="V52" s="5">
        <f t="shared" si="9"/>
        <v>-8.5207674041495526E-2</v>
      </c>
      <c r="W52" s="2" t="s">
        <v>24</v>
      </c>
    </row>
    <row r="53" spans="2:23" x14ac:dyDescent="0.2">
      <c r="B53" s="142"/>
      <c r="C53" s="142"/>
      <c r="D53" s="82" t="str">
        <f t="shared" si="8"/>
        <v>Infrastructure</v>
      </c>
      <c r="E53" s="5">
        <f t="shared" si="10"/>
        <v>-3.3999011171594409E-3</v>
      </c>
      <c r="F53" s="5">
        <f t="shared" si="9"/>
        <v>-3.3999011171594409E-3</v>
      </c>
      <c r="G53" s="5">
        <f t="shared" si="9"/>
        <v>-3.3999011171594409E-3</v>
      </c>
      <c r="H53" s="5">
        <f t="shared" si="9"/>
        <v>-3.3999011171594409E-3</v>
      </c>
      <c r="I53" s="5">
        <f t="shared" si="9"/>
        <v>-1.7216853796365025E-3</v>
      </c>
      <c r="J53" s="5">
        <f t="shared" si="9"/>
        <v>-1.7216853796365025E-3</v>
      </c>
      <c r="K53" s="5">
        <f t="shared" si="9"/>
        <v>-1.7216853796365025E-3</v>
      </c>
      <c r="L53" s="5">
        <f t="shared" si="9"/>
        <v>-1.7216853796365025E-3</v>
      </c>
      <c r="M53" s="5">
        <f t="shared" si="9"/>
        <v>-2.2265947708869304E-4</v>
      </c>
      <c r="N53" s="5">
        <f t="shared" si="9"/>
        <v>-2.2265947708869304E-4</v>
      </c>
      <c r="O53" s="5">
        <f t="shared" si="9"/>
        <v>-2.2265947708869304E-4</v>
      </c>
      <c r="P53" s="5">
        <f t="shared" si="9"/>
        <v>-2.2265947708869304E-4</v>
      </c>
      <c r="Q53" s="5">
        <f t="shared" si="9"/>
        <v>-8.8570987956414066E-5</v>
      </c>
      <c r="R53" s="5">
        <f t="shared" si="9"/>
        <v>-8.8570987956414066E-5</v>
      </c>
      <c r="S53" s="5">
        <f t="shared" si="9"/>
        <v>-8.8570987956414066E-5</v>
      </c>
      <c r="T53" s="5">
        <f t="shared" si="9"/>
        <v>-7.1797104348247088E-5</v>
      </c>
      <c r="U53" s="5">
        <f t="shared" si="9"/>
        <v>-7.1797104348247088E-5</v>
      </c>
      <c r="V53" s="5">
        <f t="shared" si="9"/>
        <v>-7.1797104348247088E-5</v>
      </c>
      <c r="W53" s="2" t="s">
        <v>24</v>
      </c>
    </row>
    <row r="54" spans="2:23" ht="25.5" customHeight="1" x14ac:dyDescent="0.2">
      <c r="B54" s="134" t="str">
        <f t="shared" ref="B54:D57" si="11">B25</f>
        <v>Recycled water delivery</v>
      </c>
      <c r="C54" s="135"/>
      <c r="D54" s="83" t="str">
        <f t="shared" si="11"/>
        <v>Operation</v>
      </c>
      <c r="E54" s="5">
        <f t="shared" si="10"/>
        <v>-7.5782608581036803E-2</v>
      </c>
      <c r="F54" s="5">
        <f t="shared" si="9"/>
        <v>-3.6820818700104646E-2</v>
      </c>
      <c r="G54" s="5">
        <f t="shared" si="9"/>
        <v>-1.0275599601203585E-2</v>
      </c>
      <c r="H54" s="5">
        <f t="shared" si="9"/>
        <v>-4.7096444205375759E-3</v>
      </c>
      <c r="I54" s="5">
        <f t="shared" si="9"/>
        <v>-7.5568511473885477E-2</v>
      </c>
      <c r="J54" s="5">
        <f t="shared" si="9"/>
        <v>-3.7035045343882349E-2</v>
      </c>
      <c r="K54" s="5">
        <f t="shared" si="9"/>
        <v>-1.0061528388643815E-2</v>
      </c>
      <c r="L54" s="5">
        <f t="shared" si="9"/>
        <v>-4.709644421218853E-3</v>
      </c>
      <c r="M54" s="5">
        <f t="shared" si="9"/>
        <v>-7.5611382705643285E-2</v>
      </c>
      <c r="N54" s="5">
        <f t="shared" si="9"/>
        <v>-3.7035045343882349E-2</v>
      </c>
      <c r="O54" s="5">
        <f t="shared" si="9"/>
        <v>-1.0082899244353898E-2</v>
      </c>
      <c r="P54" s="5">
        <f t="shared" si="9"/>
        <v>-4.709657373252618E-3</v>
      </c>
      <c r="Q54" s="5">
        <f t="shared" si="9"/>
        <v>-3.6970803251066428E-2</v>
      </c>
      <c r="R54" s="5">
        <f t="shared" si="9"/>
        <v>-1.0082899242895346E-2</v>
      </c>
      <c r="S54" s="5">
        <f t="shared" si="9"/>
        <v>-4.7053702493961777E-3</v>
      </c>
      <c r="T54" s="5">
        <f t="shared" si="9"/>
        <v>-3.6968601410674651E-2</v>
      </c>
      <c r="U54" s="5">
        <f t="shared" si="9"/>
        <v>-1.0082899244353898E-2</v>
      </c>
      <c r="V54" s="5">
        <f t="shared" si="9"/>
        <v>-4.7053443460093099E-3</v>
      </c>
      <c r="W54" s="2" t="s">
        <v>24</v>
      </c>
    </row>
    <row r="55" spans="2:23" x14ac:dyDescent="0.2">
      <c r="B55" s="136"/>
      <c r="C55" s="137"/>
      <c r="D55" s="83" t="str">
        <f t="shared" si="11"/>
        <v>Pipe infrastructure</v>
      </c>
      <c r="E55" s="5">
        <f t="shared" si="10"/>
        <v>-1.5083650051310226E-2</v>
      </c>
      <c r="F55" s="5">
        <f t="shared" si="9"/>
        <v>-7.3937358753140333E-3</v>
      </c>
      <c r="G55" s="5">
        <f t="shared" si="9"/>
        <v>-2.0161627930919391E-3</v>
      </c>
      <c r="H55" s="5">
        <f t="shared" si="9"/>
        <v>-9.4329661887276243E-4</v>
      </c>
      <c r="I55" s="5">
        <f t="shared" si="9"/>
        <v>-1.5109454027702609E-2</v>
      </c>
      <c r="J55" s="5">
        <f t="shared" si="9"/>
        <v>-7.3833541478162306E-3</v>
      </c>
      <c r="K55" s="5">
        <f t="shared" si="9"/>
        <v>-2.0095598465708618E-3</v>
      </c>
      <c r="L55" s="5">
        <f t="shared" si="9"/>
        <v>-9.3916232983184739E-4</v>
      </c>
      <c r="M55" s="5">
        <f t="shared" si="9"/>
        <v>-1.5119427093700646E-2</v>
      </c>
      <c r="N55" s="5">
        <f t="shared" si="9"/>
        <v>-7.3833586551239816E-3</v>
      </c>
      <c r="O55" s="5">
        <f t="shared" si="9"/>
        <v>-1.9826973285449784E-3</v>
      </c>
      <c r="P55" s="5">
        <f t="shared" si="9"/>
        <v>-9.404329243440651E-4</v>
      </c>
      <c r="Q55" s="5">
        <f t="shared" si="9"/>
        <v>-7.3884617553580893E-3</v>
      </c>
      <c r="R55" s="5">
        <f t="shared" si="9"/>
        <v>-2.0158027265533606E-3</v>
      </c>
      <c r="S55" s="5">
        <f t="shared" si="9"/>
        <v>-9.4048343713969693E-4</v>
      </c>
      <c r="T55" s="5">
        <f t="shared" si="9"/>
        <v>-7.3946657805996786E-3</v>
      </c>
      <c r="U55" s="5">
        <f t="shared" si="9"/>
        <v>-2.01426143482708E-3</v>
      </c>
      <c r="V55" s="5">
        <f t="shared" si="9"/>
        <v>-9.4046919003860344E-4</v>
      </c>
      <c r="W55" s="2" t="s">
        <v>24</v>
      </c>
    </row>
    <row r="56" spans="2:23" ht="12.75" customHeight="1" x14ac:dyDescent="0.2">
      <c r="B56" s="136"/>
      <c r="C56" s="137"/>
      <c r="D56" s="83" t="str">
        <f t="shared" si="11"/>
        <v>Pipe installation</v>
      </c>
      <c r="E56" s="5">
        <f t="shared" si="10"/>
        <v>-3.2449328308386534E-3</v>
      </c>
      <c r="F56" s="5">
        <f t="shared" si="9"/>
        <v>-1.586411618851997E-3</v>
      </c>
      <c r="G56" s="5">
        <f t="shared" si="9"/>
        <v>-4.3264973577956554E-4</v>
      </c>
      <c r="H56" s="5">
        <f t="shared" si="9"/>
        <v>-2.0190666390613375E-4</v>
      </c>
      <c r="I56" s="5">
        <f t="shared" si="9"/>
        <v>-3.2449325981714445E-3</v>
      </c>
      <c r="J56" s="5">
        <f t="shared" si="9"/>
        <v>-1.586411606129447E-3</v>
      </c>
      <c r="K56" s="5">
        <f t="shared" si="9"/>
        <v>-4.3265750706240902E-4</v>
      </c>
      <c r="L56" s="5">
        <f t="shared" si="9"/>
        <v>-2.0190666393534069E-4</v>
      </c>
      <c r="M56" s="5">
        <f t="shared" si="9"/>
        <v>-3.2449377789849502E-3</v>
      </c>
      <c r="N56" s="5">
        <f t="shared" si="9"/>
        <v>-1.5864169035112563E-3</v>
      </c>
      <c r="O56" s="5">
        <f t="shared" si="9"/>
        <v>-4.3265750706240907E-4</v>
      </c>
      <c r="P56" s="5">
        <f t="shared" si="9"/>
        <v>-2.1632875353120454E-4</v>
      </c>
      <c r="Q56" s="5">
        <f t="shared" si="9"/>
        <v>-1.5864117224682669E-3</v>
      </c>
      <c r="R56" s="5">
        <f t="shared" si="9"/>
        <v>-4.3265750699982258E-4</v>
      </c>
      <c r="S56" s="5">
        <f t="shared" si="9"/>
        <v>-2.0189630227912428E-4</v>
      </c>
      <c r="T56" s="5">
        <f t="shared" si="9"/>
        <v>-1.5864169035112565E-3</v>
      </c>
      <c r="U56" s="5">
        <f t="shared" si="9"/>
        <v>-4.3265750706240907E-4</v>
      </c>
      <c r="V56" s="5">
        <f t="shared" si="9"/>
        <v>-2.0190666393534072E-4</v>
      </c>
      <c r="W56" s="2" t="s">
        <v>24</v>
      </c>
    </row>
    <row r="57" spans="2:23" x14ac:dyDescent="0.2">
      <c r="B57" s="138"/>
      <c r="C57" s="139"/>
      <c r="D57" s="81" t="str">
        <f t="shared" si="11"/>
        <v>Displaced drinking water</v>
      </c>
      <c r="E57" s="5">
        <f t="shared" si="10"/>
        <v>2.2055603827909152</v>
      </c>
      <c r="F57" s="5">
        <f t="shared" si="9"/>
        <v>2.2055603827909152</v>
      </c>
      <c r="G57" s="5">
        <f t="shared" si="9"/>
        <v>2.2055603827909152</v>
      </c>
      <c r="H57" s="5">
        <f t="shared" si="9"/>
        <v>2.2055603827909152</v>
      </c>
      <c r="I57" s="5">
        <f t="shared" si="9"/>
        <v>2.2074798745137403</v>
      </c>
      <c r="J57" s="5">
        <f t="shared" si="9"/>
        <v>2.2074798745137403</v>
      </c>
      <c r="K57" s="5">
        <f t="shared" si="9"/>
        <v>2.2074798745137403</v>
      </c>
      <c r="L57" s="5">
        <f t="shared" si="9"/>
        <v>2.2074798745137403</v>
      </c>
      <c r="M57" s="5">
        <f t="shared" si="9"/>
        <v>2.2151733825693696</v>
      </c>
      <c r="N57" s="5">
        <f t="shared" si="9"/>
        <v>2.2151733825693696</v>
      </c>
      <c r="O57" s="5">
        <f t="shared" si="9"/>
        <v>2.2151733825693696</v>
      </c>
      <c r="P57" s="5">
        <f t="shared" si="9"/>
        <v>2.2151733825693696</v>
      </c>
      <c r="Q57" s="5">
        <f t="shared" si="9"/>
        <v>2.2174011320559632</v>
      </c>
      <c r="R57" s="5">
        <f t="shared" si="9"/>
        <v>2.2174011320559632</v>
      </c>
      <c r="S57" s="5">
        <f t="shared" si="9"/>
        <v>2.2174011320559632</v>
      </c>
      <c r="T57" s="5">
        <f t="shared" si="9"/>
        <v>2.2167276266210121</v>
      </c>
      <c r="U57" s="5">
        <f t="shared" si="9"/>
        <v>2.2167276266210121</v>
      </c>
      <c r="V57" s="5">
        <f t="shared" si="9"/>
        <v>2.2167276266210121</v>
      </c>
      <c r="W57" s="2" t="s">
        <v>24</v>
      </c>
    </row>
    <row r="61" spans="2:23" ht="25.5" customHeight="1" x14ac:dyDescent="0.2">
      <c r="D61" s="3"/>
      <c r="E61" s="3" t="str">
        <f>E5</f>
        <v>0.05 MGD AnMBR [semi rural single family]</v>
      </c>
      <c r="F61" s="3" t="str">
        <f t="shared" ref="F61:V61" si="12">F5</f>
        <v>0.05 MGD AnMBR [single family]</v>
      </c>
      <c r="G61" s="3" t="str">
        <f t="shared" si="12"/>
        <v>0.05 MGD AnMBR [multi family]</v>
      </c>
      <c r="H61" s="3" t="str">
        <f t="shared" si="12"/>
        <v>0.05 MGD AnMBR [high density urban]</v>
      </c>
      <c r="I61" s="3" t="str">
        <f t="shared" si="12"/>
        <v>0.1 MGD AnMBR [semi rural single family]</v>
      </c>
      <c r="J61" s="3" t="str">
        <f t="shared" si="12"/>
        <v>0.1 MGD AnMBR [single family]</v>
      </c>
      <c r="K61" s="3" t="str">
        <f t="shared" si="12"/>
        <v>0.1 MGD AnMBR [multi family]</v>
      </c>
      <c r="L61" s="3" t="str">
        <f t="shared" si="12"/>
        <v>0.1 MGD AnMBR [high density urban]</v>
      </c>
      <c r="M61" s="3" t="str">
        <f t="shared" si="12"/>
        <v>1 MGD AnMBR [semi rural single family]</v>
      </c>
      <c r="N61" s="3" t="str">
        <f t="shared" si="12"/>
        <v>1 MGD AnMBR [single family]</v>
      </c>
      <c r="O61" s="3" t="str">
        <f t="shared" si="12"/>
        <v>1 MGD AnMBR [multi family]</v>
      </c>
      <c r="P61" s="3" t="str">
        <f t="shared" si="12"/>
        <v>1 MGD AnMBR [high density urban]</v>
      </c>
      <c r="Q61" s="3" t="str">
        <f t="shared" si="12"/>
        <v>5 MGD AnMBR [single family]</v>
      </c>
      <c r="R61" s="3" t="str">
        <f t="shared" si="12"/>
        <v>5 MGD AnMBR [multi family]</v>
      </c>
      <c r="S61" s="3" t="str">
        <f t="shared" si="12"/>
        <v>5 MGD AnMBR [high density urban]</v>
      </c>
      <c r="T61" s="3" t="str">
        <f t="shared" si="12"/>
        <v>10 MGD AnMBR [single family]</v>
      </c>
      <c r="U61" s="3" t="str">
        <f t="shared" si="12"/>
        <v>10 MGD AnMBR [multi family]</v>
      </c>
      <c r="V61" s="3" t="str">
        <f t="shared" si="12"/>
        <v>10 MGD AnMBR [high density urban]</v>
      </c>
      <c r="W61" s="1" t="s">
        <v>0</v>
      </c>
    </row>
    <row r="62" spans="2:23" x14ac:dyDescent="0.2">
      <c r="D62" s="3" t="s">
        <v>12</v>
      </c>
      <c r="E62" s="106">
        <f>SUM(E6:E8)</f>
        <v>4.0243399458224867E-2</v>
      </c>
      <c r="F62" s="106">
        <f t="shared" ref="F62:V62" si="13">SUM(F6:F8)</f>
        <v>2.1116954420823515E-2</v>
      </c>
      <c r="G62" s="107">
        <f t="shared" si="13"/>
        <v>5.3657964696107886E-3</v>
      </c>
      <c r="H62" s="107">
        <f t="shared" si="13"/>
        <v>2.5212223339796309E-3</v>
      </c>
      <c r="I62" s="106">
        <f t="shared" si="13"/>
        <v>3.8383080813954168E-2</v>
      </c>
      <c r="J62" s="106">
        <f t="shared" si="13"/>
        <v>1.9674586648227022E-2</v>
      </c>
      <c r="K62" s="107">
        <f t="shared" si="13"/>
        <v>5.3657166202921687E-3</v>
      </c>
      <c r="L62" s="107">
        <f t="shared" si="13"/>
        <v>2.6610661054206021E-3</v>
      </c>
      <c r="M62" s="106">
        <f t="shared" si="13"/>
        <v>4.0243030157357799E-2</v>
      </c>
      <c r="N62" s="106">
        <f t="shared" si="13"/>
        <v>1.9674587935665143E-2</v>
      </c>
      <c r="O62" s="107">
        <f t="shared" si="13"/>
        <v>5.3657953999328122E-3</v>
      </c>
      <c r="P62" s="107">
        <f t="shared" si="13"/>
        <v>2.5709944028634839E-3</v>
      </c>
      <c r="Q62" s="106">
        <f t="shared" si="13"/>
        <v>1.7095068109292715E-2</v>
      </c>
      <c r="R62" s="107">
        <f t="shared" si="13"/>
        <v>5.3657932871794744E-3</v>
      </c>
      <c r="S62" s="107">
        <f t="shared" si="13"/>
        <v>2.6067164707176491E-3</v>
      </c>
      <c r="T62" s="106">
        <f t="shared" si="13"/>
        <v>1.9674585997275163E-2</v>
      </c>
      <c r="U62" s="107">
        <f t="shared" si="13"/>
        <v>5.7228432762248278E-3</v>
      </c>
      <c r="V62" s="107">
        <f t="shared" si="13"/>
        <v>2.7785901837809172E-3</v>
      </c>
      <c r="W62" s="1" t="s">
        <v>160</v>
      </c>
    </row>
    <row r="63" spans="2:23" x14ac:dyDescent="0.2">
      <c r="D63" s="3" t="s">
        <v>55</v>
      </c>
      <c r="E63" s="108">
        <f>SUM(E9:E12)</f>
        <v>0.64971702928815678</v>
      </c>
      <c r="F63" s="108">
        <f t="shared" ref="F63:V63" si="14">SUM(F9:F12)</f>
        <v>0.64971702928815678</v>
      </c>
      <c r="G63" s="108">
        <f t="shared" si="14"/>
        <v>0.64971702928815678</v>
      </c>
      <c r="H63" s="108">
        <f t="shared" si="14"/>
        <v>0.64971702928815678</v>
      </c>
      <c r="I63" s="108">
        <f t="shared" si="14"/>
        <v>0.45242581510486757</v>
      </c>
      <c r="J63" s="108">
        <f t="shared" si="14"/>
        <v>0.45242581510486757</v>
      </c>
      <c r="K63" s="108">
        <f t="shared" si="14"/>
        <v>0.45242581510486757</v>
      </c>
      <c r="L63" s="108">
        <f t="shared" si="14"/>
        <v>0.45242581510486757</v>
      </c>
      <c r="M63" s="108">
        <f t="shared" si="14"/>
        <v>0.14317724041513691</v>
      </c>
      <c r="N63" s="108">
        <f t="shared" si="14"/>
        <v>0.14317724041513691</v>
      </c>
      <c r="O63" s="108">
        <f t="shared" si="14"/>
        <v>0.14317724041513691</v>
      </c>
      <c r="P63" s="108">
        <f t="shared" si="14"/>
        <v>0.14317724041513691</v>
      </c>
      <c r="Q63" s="106">
        <f t="shared" si="14"/>
        <v>6.982285088378018E-2</v>
      </c>
      <c r="R63" s="106">
        <f t="shared" si="14"/>
        <v>6.982285088378018E-2</v>
      </c>
      <c r="S63" s="106">
        <f t="shared" si="14"/>
        <v>6.982285088378018E-2</v>
      </c>
      <c r="T63" s="106">
        <f t="shared" si="14"/>
        <v>5.326314053248031E-2</v>
      </c>
      <c r="U63" s="106">
        <f t="shared" si="14"/>
        <v>5.326314053248031E-2</v>
      </c>
      <c r="V63" s="106">
        <f t="shared" si="14"/>
        <v>5.326314053248031E-2</v>
      </c>
      <c r="W63" s="1" t="s">
        <v>160</v>
      </c>
    </row>
    <row r="64" spans="2:23" x14ac:dyDescent="0.2">
      <c r="D64" s="3" t="s">
        <v>16</v>
      </c>
      <c r="E64" s="108">
        <f>SUM(E13:E20)</f>
        <v>-2.6091234303144311</v>
      </c>
      <c r="F64" s="108">
        <f t="shared" ref="F64:V64" si="15">SUM(F13:F20)</f>
        <v>-2.6091234303144311</v>
      </c>
      <c r="G64" s="108">
        <f t="shared" si="15"/>
        <v>-2.6091234303144311</v>
      </c>
      <c r="H64" s="108">
        <f t="shared" si="15"/>
        <v>-2.6091234303144311</v>
      </c>
      <c r="I64" s="108">
        <f t="shared" si="15"/>
        <v>-2.6090771335490208</v>
      </c>
      <c r="J64" s="108">
        <f t="shared" si="15"/>
        <v>-2.6090771335490208</v>
      </c>
      <c r="K64" s="108">
        <f t="shared" si="15"/>
        <v>-2.6090771335490208</v>
      </c>
      <c r="L64" s="108">
        <f t="shared" si="15"/>
        <v>-2.6090771335490208</v>
      </c>
      <c r="M64" s="108">
        <f t="shared" si="15"/>
        <v>-2.6831785784611504</v>
      </c>
      <c r="N64" s="108">
        <f t="shared" si="15"/>
        <v>-2.6831785784611504</v>
      </c>
      <c r="O64" s="108">
        <f t="shared" si="15"/>
        <v>-2.6831785784611504</v>
      </c>
      <c r="P64" s="108">
        <f t="shared" si="15"/>
        <v>-2.6831785784611504</v>
      </c>
      <c r="Q64" s="108">
        <f t="shared" si="15"/>
        <v>-2.7183547146726714</v>
      </c>
      <c r="R64" s="108">
        <f t="shared" si="15"/>
        <v>-2.7183547146726714</v>
      </c>
      <c r="S64" s="108">
        <f t="shared" si="15"/>
        <v>-2.7183547146726714</v>
      </c>
      <c r="T64" s="108">
        <f t="shared" si="15"/>
        <v>-2.7359382267052528</v>
      </c>
      <c r="U64" s="108">
        <f t="shared" si="15"/>
        <v>-2.7359382267052528</v>
      </c>
      <c r="V64" s="108">
        <f t="shared" si="15"/>
        <v>-2.7359382267052528</v>
      </c>
      <c r="W64" s="1" t="s">
        <v>160</v>
      </c>
    </row>
    <row r="65" spans="4:23" x14ac:dyDescent="0.2">
      <c r="D65" s="3" t="s">
        <v>56</v>
      </c>
      <c r="E65" s="108">
        <f>E21</f>
        <v>0.38707086628619691</v>
      </c>
      <c r="F65" s="108">
        <f t="shared" ref="F65:V65" si="16">F21</f>
        <v>0.38707086628619691</v>
      </c>
      <c r="G65" s="108">
        <f t="shared" si="16"/>
        <v>0.38707086628619691</v>
      </c>
      <c r="H65" s="108">
        <f t="shared" si="16"/>
        <v>0.38707086628619691</v>
      </c>
      <c r="I65" s="108">
        <f t="shared" si="16"/>
        <v>0.19887671472211005</v>
      </c>
      <c r="J65" s="108">
        <f t="shared" si="16"/>
        <v>0.19887671472211005</v>
      </c>
      <c r="K65" s="108">
        <f t="shared" si="16"/>
        <v>0.19887671472211005</v>
      </c>
      <c r="L65" s="108">
        <f t="shared" si="16"/>
        <v>0.19887671472211005</v>
      </c>
      <c r="M65" s="108">
        <f t="shared" si="16"/>
        <v>0.37503589664990367</v>
      </c>
      <c r="N65" s="108">
        <f t="shared" si="16"/>
        <v>0.37503589664990367</v>
      </c>
      <c r="O65" s="108">
        <f t="shared" si="16"/>
        <v>0.37503589664990367</v>
      </c>
      <c r="P65" s="108">
        <f t="shared" si="16"/>
        <v>0.37503589664990367</v>
      </c>
      <c r="Q65" s="108">
        <f t="shared" si="16"/>
        <v>0.31258051569307832</v>
      </c>
      <c r="R65" s="108">
        <f t="shared" si="16"/>
        <v>0.31258051569307832</v>
      </c>
      <c r="S65" s="108">
        <f t="shared" si="16"/>
        <v>0.31258051569307832</v>
      </c>
      <c r="T65" s="108">
        <f t="shared" si="16"/>
        <v>0.28127668646530241</v>
      </c>
      <c r="U65" s="108">
        <f t="shared" si="16"/>
        <v>0.28127668646530241</v>
      </c>
      <c r="V65" s="108">
        <f t="shared" si="16"/>
        <v>0.28127668646530241</v>
      </c>
      <c r="W65" s="1" t="s">
        <v>160</v>
      </c>
    </row>
    <row r="66" spans="4:23" x14ac:dyDescent="0.2">
      <c r="D66" s="3" t="s">
        <v>14</v>
      </c>
      <c r="E66" s="108">
        <f>SUM(E22:E24)</f>
        <v>7.7387529017922256</v>
      </c>
      <c r="F66" s="108">
        <f t="shared" ref="F66:V66" si="17">SUM(F22:F24)</f>
        <v>7.7387529017922256</v>
      </c>
      <c r="G66" s="108">
        <f t="shared" si="17"/>
        <v>7.7387529017922256</v>
      </c>
      <c r="H66" s="108">
        <f t="shared" si="17"/>
        <v>7.7387529017922256</v>
      </c>
      <c r="I66" s="108">
        <f t="shared" si="17"/>
        <v>4.6434759701290886</v>
      </c>
      <c r="J66" s="108">
        <f t="shared" si="17"/>
        <v>4.6434759701290886</v>
      </c>
      <c r="K66" s="108">
        <f t="shared" si="17"/>
        <v>4.6434759701290886</v>
      </c>
      <c r="L66" s="108">
        <f t="shared" si="17"/>
        <v>4.6434759701290886</v>
      </c>
      <c r="M66" s="108">
        <f t="shared" si="17"/>
        <v>1.7936067949404482</v>
      </c>
      <c r="N66" s="108">
        <f t="shared" si="17"/>
        <v>1.7936067949404482</v>
      </c>
      <c r="O66" s="108">
        <f t="shared" si="17"/>
        <v>1.7936067949404482</v>
      </c>
      <c r="P66" s="108">
        <f t="shared" si="17"/>
        <v>1.7936067949404482</v>
      </c>
      <c r="Q66" s="108">
        <f t="shared" si="17"/>
        <v>0.65752924985929562</v>
      </c>
      <c r="R66" s="108">
        <f t="shared" si="17"/>
        <v>0.65752924985929562</v>
      </c>
      <c r="S66" s="108">
        <f t="shared" si="17"/>
        <v>0.65752924985929562</v>
      </c>
      <c r="T66" s="108">
        <f t="shared" si="17"/>
        <v>0.58002149133332936</v>
      </c>
      <c r="U66" s="108">
        <f t="shared" si="17"/>
        <v>0.58002149133332936</v>
      </c>
      <c r="V66" s="108">
        <f t="shared" si="17"/>
        <v>0.58002149133332936</v>
      </c>
      <c r="W66" s="1" t="s">
        <v>160</v>
      </c>
    </row>
    <row r="67" spans="4:23" x14ac:dyDescent="0.2">
      <c r="D67" s="3" t="s">
        <v>11</v>
      </c>
      <c r="E67" s="109">
        <f>SUM(E25:E28)</f>
        <v>-11.790956310507253</v>
      </c>
      <c r="F67" s="109">
        <f t="shared" ref="F67:V67" si="18">SUM(F25:F28)</f>
        <v>-12.060734886205941</v>
      </c>
      <c r="G67" s="109">
        <f t="shared" si="18"/>
        <v>-12.245444139677401</v>
      </c>
      <c r="H67" s="109">
        <f t="shared" si="18"/>
        <v>-12.283805817694947</v>
      </c>
      <c r="I67" s="109">
        <f t="shared" si="18"/>
        <v>-11.80272680537211</v>
      </c>
      <c r="J67" s="109">
        <f t="shared" si="18"/>
        <v>-12.070315565093852</v>
      </c>
      <c r="K67" s="109">
        <f t="shared" si="18"/>
        <v>-12.257395415078003</v>
      </c>
      <c r="L67" s="109">
        <f t="shared" si="18"/>
        <v>-12.294547913857361</v>
      </c>
      <c r="M67" s="109">
        <f t="shared" si="18"/>
        <v>-11.845394501017187</v>
      </c>
      <c r="N67" s="109">
        <f t="shared" si="18"/>
        <v>-12.113278333094321</v>
      </c>
      <c r="O67" s="109">
        <f t="shared" si="18"/>
        <v>-12.300388904896156</v>
      </c>
      <c r="P67" s="109">
        <f t="shared" si="18"/>
        <v>-12.337423031696193</v>
      </c>
      <c r="Q67" s="109">
        <f t="shared" si="18"/>
        <v>-12.126049023170674</v>
      </c>
      <c r="R67" s="109">
        <f t="shared" si="18"/>
        <v>-12.312644446109196</v>
      </c>
      <c r="S67" s="109">
        <f t="shared" si="18"/>
        <v>-12.349967696788804</v>
      </c>
      <c r="T67" s="109">
        <f t="shared" si="18"/>
        <v>-12.122265591455921</v>
      </c>
      <c r="U67" s="109">
        <f t="shared" si="18"/>
        <v>-12.308891999729966</v>
      </c>
      <c r="V67" s="109">
        <f t="shared" si="18"/>
        <v>-12.346206809739188</v>
      </c>
      <c r="W67" s="1" t="s">
        <v>160</v>
      </c>
    </row>
    <row r="68" spans="4:23" x14ac:dyDescent="0.2">
      <c r="D68" s="43" t="s">
        <v>57</v>
      </c>
      <c r="E68" s="110">
        <f>SUM(E62:E67)</f>
        <v>-5.5842955439968804</v>
      </c>
      <c r="F68" s="110">
        <f t="shared" ref="F68:V68" si="19">SUM(F62:F67)</f>
        <v>-5.8732005647329686</v>
      </c>
      <c r="G68" s="110">
        <f t="shared" si="19"/>
        <v>-6.0736609761556419</v>
      </c>
      <c r="H68" s="110">
        <f t="shared" si="19"/>
        <v>-6.1148672283088192</v>
      </c>
      <c r="I68" s="110">
        <f t="shared" si="19"/>
        <v>-9.0786423581511109</v>
      </c>
      <c r="J68" s="110">
        <f t="shared" si="19"/>
        <v>-9.3649396120385795</v>
      </c>
      <c r="K68" s="110">
        <f t="shared" si="19"/>
        <v>-9.5663283320506665</v>
      </c>
      <c r="L68" s="110">
        <f t="shared" si="19"/>
        <v>-9.6061854813448946</v>
      </c>
      <c r="M68" s="113">
        <f t="shared" si="19"/>
        <v>-12.176510117315491</v>
      </c>
      <c r="N68" s="113">
        <f t="shared" si="19"/>
        <v>-12.464962391614318</v>
      </c>
      <c r="O68" s="113">
        <f t="shared" si="19"/>
        <v>-12.666381755951885</v>
      </c>
      <c r="P68" s="113">
        <f t="shared" si="19"/>
        <v>-12.706210683748992</v>
      </c>
      <c r="Q68" s="113">
        <f t="shared" si="19"/>
        <v>-13.7873760532979</v>
      </c>
      <c r="R68" s="113">
        <f t="shared" si="19"/>
        <v>-13.985700751058534</v>
      </c>
      <c r="S68" s="113">
        <f t="shared" si="19"/>
        <v>-14.025783078554603</v>
      </c>
      <c r="T68" s="113">
        <f t="shared" si="19"/>
        <v>-13.923967913832787</v>
      </c>
      <c r="U68" s="113">
        <f t="shared" si="19"/>
        <v>-14.124546064827882</v>
      </c>
      <c r="V68" s="113">
        <f t="shared" si="19"/>
        <v>-14.164805127929547</v>
      </c>
    </row>
  </sheetData>
  <mergeCells count="18">
    <mergeCell ref="B21:C21"/>
    <mergeCell ref="B6:C8"/>
    <mergeCell ref="B9:B12"/>
    <mergeCell ref="C9:C10"/>
    <mergeCell ref="C11:C12"/>
    <mergeCell ref="B13:C20"/>
    <mergeCell ref="B22:B24"/>
    <mergeCell ref="C22:C24"/>
    <mergeCell ref="B25:C28"/>
    <mergeCell ref="B35:C37"/>
    <mergeCell ref="B38:B41"/>
    <mergeCell ref="C38:C39"/>
    <mergeCell ref="C40:C41"/>
    <mergeCell ref="B42:C49"/>
    <mergeCell ref="B50:C50"/>
    <mergeCell ref="B51:B53"/>
    <mergeCell ref="C51:C53"/>
    <mergeCell ref="B54:C57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showGridLines="0" zoomScale="85" zoomScaleNormal="85" workbookViewId="0"/>
  </sheetViews>
  <sheetFormatPr defaultRowHeight="15" x14ac:dyDescent="0.25"/>
  <cols>
    <col min="1" max="1" width="3.140625" customWidth="1"/>
    <col min="2" max="2" width="28.28515625" customWidth="1"/>
    <col min="3" max="3" width="18.5703125" customWidth="1"/>
    <col min="4" max="4" width="18.85546875" customWidth="1"/>
    <col min="5" max="5" width="19.140625" customWidth="1"/>
    <col min="6" max="6" width="17.85546875" customWidth="1"/>
    <col min="7" max="7" width="23.140625" customWidth="1"/>
    <col min="8" max="8" width="20.5703125" customWidth="1"/>
    <col min="9" max="9" width="21.42578125" customWidth="1"/>
    <col min="10" max="10" width="20.28515625" customWidth="1"/>
    <col min="11" max="11" width="21.85546875" customWidth="1"/>
    <col min="12" max="12" width="18.42578125" customWidth="1"/>
    <col min="13" max="13" width="17.7109375" customWidth="1"/>
    <col min="14" max="14" width="17" customWidth="1"/>
    <col min="15" max="16" width="16.42578125" customWidth="1"/>
    <col min="17" max="17" width="17.7109375" customWidth="1"/>
    <col min="18" max="18" width="14.28515625" customWidth="1"/>
    <col min="19" max="19" width="15.7109375" customWidth="1"/>
    <col min="20" max="20" width="18" customWidth="1"/>
    <col min="21" max="21" width="11.7109375" customWidth="1"/>
  </cols>
  <sheetData>
    <row r="1" spans="1:21" ht="15.75" x14ac:dyDescent="0.25">
      <c r="A1" s="42" t="s">
        <v>75</v>
      </c>
    </row>
    <row r="2" spans="1:21" x14ac:dyDescent="0.25">
      <c r="A2" s="41" t="s">
        <v>52</v>
      </c>
    </row>
    <row r="4" spans="1:21" x14ac:dyDescent="0.25">
      <c r="B4" s="55" t="str">
        <f>AeMBR_Baseline_CED_Detail_yr!D4</f>
        <v>Water treated per year (m3)</v>
      </c>
      <c r="C4" s="56">
        <f>AeMBR_Baseline_CED_Detail_yr!E4</f>
        <v>69129.535959999994</v>
      </c>
      <c r="D4" s="57">
        <f>AeMBR_Baseline_CED_Detail_yr!F4</f>
        <v>69129.535959999994</v>
      </c>
      <c r="E4" s="57">
        <f>AeMBR_Baseline_CED_Detail_yr!G4</f>
        <v>69129.535959999994</v>
      </c>
      <c r="F4" s="57">
        <f>AeMBR_Baseline_CED_Detail_yr!H4</f>
        <v>69129.535959999994</v>
      </c>
      <c r="G4" s="57">
        <f>AeMBR_Baseline_CED_Detail_yr!I4</f>
        <v>138259.07190000001</v>
      </c>
      <c r="H4" s="57">
        <f>AeMBR_Baseline_CED_Detail_yr!J4</f>
        <v>138259.07190000001</v>
      </c>
      <c r="I4" s="57">
        <f>AeMBR_Baseline_CED_Detail_yr!K4</f>
        <v>138259.07190000001</v>
      </c>
      <c r="J4" s="57">
        <f>AeMBR_Baseline_CED_Detail_yr!L4</f>
        <v>138259.07190000001</v>
      </c>
      <c r="K4" s="57">
        <f>AeMBR_Baseline_CED_Detail_yr!M4</f>
        <v>1382590.719</v>
      </c>
      <c r="L4" s="57">
        <f>AeMBR_Baseline_CED_Detail_yr!N4</f>
        <v>1382590.719</v>
      </c>
      <c r="M4" s="57">
        <f>AeMBR_Baseline_CED_Detail_yr!O4</f>
        <v>1382590.719</v>
      </c>
      <c r="N4" s="57">
        <f>AeMBR_Baseline_CED_Detail_yr!P4</f>
        <v>1382590.719</v>
      </c>
      <c r="O4" s="57">
        <f>AeMBR_Baseline_CED_Detail_yr!Q4</f>
        <v>6912953.5959999999</v>
      </c>
      <c r="P4" s="57">
        <f>AeMBR_Baseline_CED_Detail_yr!R4</f>
        <v>6912953.5959999999</v>
      </c>
      <c r="Q4" s="57">
        <f>AeMBR_Baseline_CED_Detail_yr!S4</f>
        <v>6912953.5959999999</v>
      </c>
      <c r="R4" s="57">
        <f>AeMBR_Baseline_CED_Detail_yr!T4</f>
        <v>13825907.189999999</v>
      </c>
      <c r="S4" s="57">
        <f>AeMBR_Baseline_CED_Detail_yr!U4</f>
        <v>13825907.189999999</v>
      </c>
      <c r="T4" s="58">
        <f>AeMBR_Baseline_CED_Detail_yr!V4</f>
        <v>13825907.189999999</v>
      </c>
    </row>
    <row r="5" spans="1:21" ht="93" customHeight="1" x14ac:dyDescent="0.25">
      <c r="C5" s="59" t="str">
        <f>AeMBR_Baseline_CED_Detail_yr!E5</f>
        <v>0.05 MGD AeMBR [semi rural single family]</v>
      </c>
      <c r="D5" s="59" t="str">
        <f>AeMBR_Baseline_CED_Detail_yr!F5</f>
        <v>0.05 MGD AeMBR [single family]</v>
      </c>
      <c r="E5" s="59" t="str">
        <f>AeMBR_Baseline_CED_Detail_yr!G5</f>
        <v>0.05 MGD AeMBR [multi family]</v>
      </c>
      <c r="F5" s="59" t="str">
        <f>AeMBR_Baseline_CED_Detail_yr!H5</f>
        <v>0.05 MGD AeMBR [high density urban]</v>
      </c>
      <c r="G5" s="59" t="str">
        <f>AeMBR_Baseline_CED_Detail_yr!I5</f>
        <v>0.1 MGD AeMBR [semi rural single family]</v>
      </c>
      <c r="H5" s="59" t="str">
        <f>AeMBR_Baseline_CED_Detail_yr!J5</f>
        <v>0.1 MGD AeMBR [single family]</v>
      </c>
      <c r="I5" s="59" t="str">
        <f>AeMBR_Baseline_CED_Detail_yr!K5</f>
        <v>0.1 MGD AeMBR [multi family]</v>
      </c>
      <c r="J5" s="59" t="str">
        <f>AeMBR_Baseline_CED_Detail_yr!L5</f>
        <v>0.1 MGD AeMBR [high density urban]</v>
      </c>
      <c r="K5" s="59" t="str">
        <f>AeMBR_Baseline_CED_Detail_yr!M5</f>
        <v>1 MGD AeMBR [semi rural single family]</v>
      </c>
      <c r="L5" s="59" t="str">
        <f>AeMBR_Baseline_CED_Detail_yr!N5</f>
        <v>1 MGD AeMBR [single family]</v>
      </c>
      <c r="M5" s="59" t="str">
        <f>AeMBR_Baseline_CED_Detail_yr!O5</f>
        <v>1 MGD AeMBR [multi family]</v>
      </c>
      <c r="N5" s="59" t="str">
        <f>AeMBR_Baseline_CED_Detail_yr!P5</f>
        <v>1 MGD AeMBR [high density urban]</v>
      </c>
      <c r="O5" s="59" t="str">
        <f>AeMBR_Baseline_CED_Detail_yr!Q5</f>
        <v>5 MGD AeMBR [single family]</v>
      </c>
      <c r="P5" s="59" t="str">
        <f>AeMBR_Baseline_CED_Detail_yr!R5</f>
        <v>5 MGD AeMBR [multi family]</v>
      </c>
      <c r="Q5" s="59" t="str">
        <f>AeMBR_Baseline_CED_Detail_yr!S5</f>
        <v>5 MGD AeMBR [high density urban]</v>
      </c>
      <c r="R5" s="59" t="str">
        <f>AeMBR_Baseline_CED_Detail_yr!T5</f>
        <v>10 MGD AeMBR [single family]</v>
      </c>
      <c r="S5" s="59" t="str">
        <f>AeMBR_Baseline_CED_Detail_yr!U5</f>
        <v>10 MGD AeMBR [multi family]</v>
      </c>
      <c r="T5" s="59" t="str">
        <f>AeMBR_Baseline_CED_Detail_yr!V5</f>
        <v>10 MGD AeMBR [high density urban]</v>
      </c>
      <c r="U5" s="59" t="str">
        <f>AeMBR_Baseline_CED_Detail_yr!W5</f>
        <v>Unit</v>
      </c>
    </row>
    <row r="6" spans="1:21" x14ac:dyDescent="0.25">
      <c r="B6" s="54" t="str">
        <f>AeMBR_Baseline_CED_Detail_yr!B6</f>
        <v>Wastewater collection</v>
      </c>
      <c r="C6" s="72">
        <f>AeMBR_Baseline_GWP_yr!C6/AeMBR_Baseline_GWP_yr!C$4</f>
        <v>3.960862838113575E-3</v>
      </c>
      <c r="D6" s="72">
        <f>AeMBR_Baseline_GWP_yr!D6/AeMBR_Baseline_GWP_yr!D$4</f>
        <v>2.0030497540171831E-3</v>
      </c>
      <c r="E6" s="73">
        <f>AeMBR_Baseline_GWP_yr!E6/AeMBR_Baseline_GWP_yr!E$4</f>
        <v>5.2811507401300374E-4</v>
      </c>
      <c r="F6" s="73">
        <f>AeMBR_Baseline_GWP_yr!F6/AeMBR_Baseline_GWP_yr!F$4</f>
        <v>2.4977153050746449E-4</v>
      </c>
      <c r="G6" s="72">
        <f>AeMBR_Baseline_GWP_yr!G6/AeMBR_Baseline_GWP_yr!G$4</f>
        <v>3.737915732385297E-3</v>
      </c>
      <c r="H6" s="72">
        <f>AeMBR_Baseline_GWP_yr!H6/AeMBR_Baseline_GWP_yr!H$4</f>
        <v>1.9364217936718264E-3</v>
      </c>
      <c r="I6" s="73">
        <f>AeMBR_Baseline_GWP_yr!I6/AeMBR_Baseline_GWP_yr!I$4</f>
        <v>5.2811500176141416E-4</v>
      </c>
      <c r="J6" s="73">
        <f>AeMBR_Baseline_GWP_yr!J6/AeMBR_Baseline_GWP_yr!J$4</f>
        <v>2.5971995549031306E-4</v>
      </c>
      <c r="K6" s="72">
        <f>AeMBR_Baseline_GWP_yr!K6/AeMBR_Baseline_GWP_yr!K$4</f>
        <v>3.9608612474708793E-3</v>
      </c>
      <c r="L6" s="72">
        <f>AeMBR_Baseline_GWP_yr!L6/AeMBR_Baseline_GWP_yr!L$4</f>
        <v>1.9364154288091962E-3</v>
      </c>
      <c r="M6" s="73">
        <f>AeMBR_Baseline_GWP_yr!M6/AeMBR_Baseline_GWP_yr!M$4</f>
        <v>5.2811435080955436E-4</v>
      </c>
      <c r="N6" s="73">
        <f>AeMBR_Baseline_GWP_yr!N6/AeMBR_Baseline_GWP_yr!N$4</f>
        <v>2.5164352343667076E-4</v>
      </c>
      <c r="O6" s="72">
        <f>AeMBR_Baseline_GWP_yr!O6/AeMBR_Baseline_GWP_yr!O$4</f>
        <v>1.6704292658179735E-3</v>
      </c>
      <c r="P6" s="73">
        <f>AeMBR_Baseline_GWP_yr!P6/AeMBR_Baseline_GWP_yr!P$4</f>
        <v>5.2811435073315952E-4</v>
      </c>
      <c r="Q6" s="73">
        <f>AeMBR_Baseline_GWP_yr!Q6/AeMBR_Baseline_GWP_yr!Q$4</f>
        <v>2.5441802488268864E-4</v>
      </c>
      <c r="R6" s="72">
        <f>AeMBR_Baseline_GWP_yr!R6/AeMBR_Baseline_GWP_yr!R$4</f>
        <v>1.9362201432512292E-3</v>
      </c>
      <c r="S6" s="73">
        <f>AeMBR_Baseline_GWP_yr!S6/AeMBR_Baseline_GWP_yr!S$4</f>
        <v>5.524642900485143E-4</v>
      </c>
      <c r="T6" s="73">
        <f>AeMBR_Baseline_GWP_yr!T6/AeMBR_Baseline_GWP_yr!T$4</f>
        <v>2.6775241212942066E-4</v>
      </c>
      <c r="U6" s="54" t="s">
        <v>39</v>
      </c>
    </row>
    <row r="7" spans="1:21" x14ac:dyDescent="0.25">
      <c r="B7" s="60" t="str">
        <f>AeMBR_Baseline_CED_Detail_m3!B9</f>
        <v>Pre treatment</v>
      </c>
      <c r="C7" s="74">
        <f>AeMBR_Baseline_GWP_yr!C7/AeMBR_Baseline_GWP_yr!C$4</f>
        <v>4.0551803958615656E-2</v>
      </c>
      <c r="D7" s="74">
        <f>AeMBR_Baseline_GWP_yr!D7/AeMBR_Baseline_GWP_yr!D$4</f>
        <v>4.0551803958615656E-2</v>
      </c>
      <c r="E7" s="74">
        <f>AeMBR_Baseline_GWP_yr!E7/AeMBR_Baseline_GWP_yr!E$4</f>
        <v>4.0551803958615656E-2</v>
      </c>
      <c r="F7" s="74">
        <f>AeMBR_Baseline_GWP_yr!F7/AeMBR_Baseline_GWP_yr!F$4</f>
        <v>4.0551803958615656E-2</v>
      </c>
      <c r="G7" s="74">
        <f>AeMBR_Baseline_GWP_yr!G7/AeMBR_Baseline_GWP_yr!G$4</f>
        <v>2.8234018834029151E-2</v>
      </c>
      <c r="H7" s="74">
        <f>AeMBR_Baseline_GWP_yr!H7/AeMBR_Baseline_GWP_yr!H$4</f>
        <v>2.8234018834029151E-2</v>
      </c>
      <c r="I7" s="74">
        <f>AeMBR_Baseline_GWP_yr!I7/AeMBR_Baseline_GWP_yr!I$4</f>
        <v>2.8234018834029151E-2</v>
      </c>
      <c r="J7" s="74">
        <f>AeMBR_Baseline_GWP_yr!J7/AeMBR_Baseline_GWP_yr!J$4</f>
        <v>2.8234018834029151E-2</v>
      </c>
      <c r="K7" s="72">
        <f>AeMBR_Baseline_GWP_yr!K7/AeMBR_Baseline_GWP_yr!K$4</f>
        <v>8.9368095924560829E-3</v>
      </c>
      <c r="L7" s="72">
        <f>AeMBR_Baseline_GWP_yr!L7/AeMBR_Baseline_GWP_yr!L$4</f>
        <v>8.9368095924560829E-3</v>
      </c>
      <c r="M7" s="72">
        <f>AeMBR_Baseline_GWP_yr!M7/AeMBR_Baseline_GWP_yr!M$4</f>
        <v>8.9368095924560829E-3</v>
      </c>
      <c r="N7" s="72">
        <f>AeMBR_Baseline_GWP_yr!N7/AeMBR_Baseline_GWP_yr!N$4</f>
        <v>8.9368095924560829E-3</v>
      </c>
      <c r="O7" s="72">
        <f>AeMBR_Baseline_GWP_yr!O7/AeMBR_Baseline_GWP_yr!O$4</f>
        <v>4.3575759017723346E-3</v>
      </c>
      <c r="P7" s="72">
        <f>AeMBR_Baseline_GWP_yr!P7/AeMBR_Baseline_GWP_yr!P$4</f>
        <v>4.3575759017723346E-3</v>
      </c>
      <c r="Q7" s="72">
        <f>AeMBR_Baseline_GWP_yr!Q7/AeMBR_Baseline_GWP_yr!Q$4</f>
        <v>4.3575759017723346E-3</v>
      </c>
      <c r="R7" s="72">
        <f>AeMBR_Baseline_GWP_yr!R7/AeMBR_Baseline_GWP_yr!R$4</f>
        <v>3.3239771805527361E-3</v>
      </c>
      <c r="S7" s="72">
        <f>AeMBR_Baseline_GWP_yr!S7/AeMBR_Baseline_GWP_yr!S$4</f>
        <v>3.3239771805527361E-3</v>
      </c>
      <c r="T7" s="72">
        <f>AeMBR_Baseline_GWP_yr!T7/AeMBR_Baseline_GWP_yr!T$4</f>
        <v>3.3239771805527361E-3</v>
      </c>
      <c r="U7" s="54" t="s">
        <v>39</v>
      </c>
    </row>
    <row r="8" spans="1:21" x14ac:dyDescent="0.25">
      <c r="B8" s="54" t="s">
        <v>16</v>
      </c>
      <c r="C8" s="75">
        <f>AeMBR_Baseline_GWP_yr!C8/AeMBR_Baseline_GWP_yr!C$4</f>
        <v>0.69250081510311368</v>
      </c>
      <c r="D8" s="75">
        <f>AeMBR_Baseline_GWP_yr!D8/AeMBR_Baseline_GWP_yr!D$4</f>
        <v>0.69250081510311368</v>
      </c>
      <c r="E8" s="75">
        <f>AeMBR_Baseline_GWP_yr!E8/AeMBR_Baseline_GWP_yr!E$4</f>
        <v>0.69250081510311368</v>
      </c>
      <c r="F8" s="75">
        <f>AeMBR_Baseline_GWP_yr!F8/AeMBR_Baseline_GWP_yr!F$4</f>
        <v>0.69250081510311368</v>
      </c>
      <c r="G8" s="75">
        <f>AeMBR_Baseline_GWP_yr!G8/AeMBR_Baseline_GWP_yr!G$4</f>
        <v>0.48480941669043559</v>
      </c>
      <c r="H8" s="75">
        <f>AeMBR_Baseline_GWP_yr!H8/AeMBR_Baseline_GWP_yr!H$4</f>
        <v>0.48480941669043559</v>
      </c>
      <c r="I8" s="75">
        <f>AeMBR_Baseline_GWP_yr!I8/AeMBR_Baseline_GWP_yr!I$4</f>
        <v>0.48480941669043559</v>
      </c>
      <c r="J8" s="75">
        <f>AeMBR_Baseline_GWP_yr!J8/AeMBR_Baseline_GWP_yr!J$4</f>
        <v>0.48480941669043559</v>
      </c>
      <c r="K8" s="75">
        <f>AeMBR_Baseline_GWP_yr!K8/AeMBR_Baseline_GWP_yr!K$4</f>
        <v>0.27374623219932087</v>
      </c>
      <c r="L8" s="75">
        <f>AeMBR_Baseline_GWP_yr!L8/AeMBR_Baseline_GWP_yr!L$4</f>
        <v>0.27374623219932087</v>
      </c>
      <c r="M8" s="75">
        <f>AeMBR_Baseline_GWP_yr!M8/AeMBR_Baseline_GWP_yr!M$4</f>
        <v>0.27374623219932087</v>
      </c>
      <c r="N8" s="75">
        <f>AeMBR_Baseline_GWP_yr!N8/AeMBR_Baseline_GWP_yr!N$4</f>
        <v>0.27374623219932087</v>
      </c>
      <c r="O8" s="75">
        <f>AeMBR_Baseline_GWP_yr!O8/AeMBR_Baseline_GWP_yr!O$4</f>
        <v>0.26629558182846508</v>
      </c>
      <c r="P8" s="75">
        <f>AeMBR_Baseline_GWP_yr!P8/AeMBR_Baseline_GWP_yr!P$4</f>
        <v>0.26629558182846508</v>
      </c>
      <c r="Q8" s="75">
        <f>AeMBR_Baseline_GWP_yr!Q8/AeMBR_Baseline_GWP_yr!Q$4</f>
        <v>0.26629558182846508</v>
      </c>
      <c r="R8" s="75">
        <f>AeMBR_Baseline_GWP_yr!R8/AeMBR_Baseline_GWP_yr!R$4</f>
        <v>0.25862317393438256</v>
      </c>
      <c r="S8" s="75">
        <f>AeMBR_Baseline_GWP_yr!S8/AeMBR_Baseline_GWP_yr!S$4</f>
        <v>0.25862317393438256</v>
      </c>
      <c r="T8" s="75">
        <f>AeMBR_Baseline_GWP_yr!T8/AeMBR_Baseline_GWP_yr!T$4</f>
        <v>0.25862317393438256</v>
      </c>
      <c r="U8" s="54" t="s">
        <v>39</v>
      </c>
    </row>
    <row r="9" spans="1:21" x14ac:dyDescent="0.25">
      <c r="B9" s="54" t="s">
        <v>56</v>
      </c>
      <c r="C9" s="74">
        <f>AeMBR_Baseline_GWP_yr!C9/AeMBR_Baseline_GWP_yr!C$4</f>
        <v>1.5257009689899849E-2</v>
      </c>
      <c r="D9" s="74">
        <f>AeMBR_Baseline_GWP_yr!D9/AeMBR_Baseline_GWP_yr!D$4</f>
        <v>1.5257009689899849E-2</v>
      </c>
      <c r="E9" s="74">
        <f>AeMBR_Baseline_GWP_yr!E9/AeMBR_Baseline_GWP_yr!E$4</f>
        <v>1.5257009689899849E-2</v>
      </c>
      <c r="F9" s="74">
        <f>AeMBR_Baseline_GWP_yr!F9/AeMBR_Baseline_GWP_yr!F$4</f>
        <v>1.5257009689899849E-2</v>
      </c>
      <c r="G9" s="74">
        <f>AeMBR_Baseline_GWP_yr!G9/AeMBR_Baseline_GWP_yr!G$4</f>
        <v>1.3433404220616642E-2</v>
      </c>
      <c r="H9" s="74">
        <f>AeMBR_Baseline_GWP_yr!H9/AeMBR_Baseline_GWP_yr!H$4</f>
        <v>1.3433404220616642E-2</v>
      </c>
      <c r="I9" s="74">
        <f>AeMBR_Baseline_GWP_yr!I9/AeMBR_Baseline_GWP_yr!I$4</f>
        <v>1.3433404220616642E-2</v>
      </c>
      <c r="J9" s="74">
        <f>AeMBR_Baseline_GWP_yr!J9/AeMBR_Baseline_GWP_yr!J$4</f>
        <v>1.3433404220616642E-2</v>
      </c>
      <c r="K9" s="74">
        <f>AeMBR_Baseline_GWP_yr!K9/AeMBR_Baseline_GWP_yr!K$4</f>
        <v>1.1413211287439575E-2</v>
      </c>
      <c r="L9" s="74">
        <f>AeMBR_Baseline_GWP_yr!L9/AeMBR_Baseline_GWP_yr!L$4</f>
        <v>1.1413211287439575E-2</v>
      </c>
      <c r="M9" s="74">
        <f>AeMBR_Baseline_GWP_yr!M9/AeMBR_Baseline_GWP_yr!M$4</f>
        <v>1.1413211287439575E-2</v>
      </c>
      <c r="N9" s="74">
        <f>AeMBR_Baseline_GWP_yr!N9/AeMBR_Baseline_GWP_yr!N$4</f>
        <v>1.1413211287439575E-2</v>
      </c>
      <c r="O9" s="74">
        <f>AeMBR_Baseline_GWP_yr!O9/AeMBR_Baseline_GWP_yr!O$4</f>
        <v>1.0188090954458651E-2</v>
      </c>
      <c r="P9" s="74">
        <f>AeMBR_Baseline_GWP_yr!P9/AeMBR_Baseline_GWP_yr!P$4</f>
        <v>1.0188090954458651E-2</v>
      </c>
      <c r="Q9" s="74">
        <f>AeMBR_Baseline_GWP_yr!Q9/AeMBR_Baseline_GWP_yr!Q$4</f>
        <v>1.0188090954458651E-2</v>
      </c>
      <c r="R9" s="74">
        <f>AeMBR_Baseline_GWP_yr!R9/AeMBR_Baseline_GWP_yr!R$4</f>
        <v>1.0030444881063895E-2</v>
      </c>
      <c r="S9" s="74">
        <f>AeMBR_Baseline_GWP_yr!S9/AeMBR_Baseline_GWP_yr!S$4</f>
        <v>1.0030444881063895E-2</v>
      </c>
      <c r="T9" s="74">
        <f>AeMBR_Baseline_GWP_yr!T9/AeMBR_Baseline_GWP_yr!T$4</f>
        <v>1.0030444881063895E-2</v>
      </c>
      <c r="U9" s="54" t="s">
        <v>39</v>
      </c>
    </row>
    <row r="10" spans="1:21" x14ac:dyDescent="0.25">
      <c r="B10" s="54" t="s">
        <v>14</v>
      </c>
      <c r="C10" s="75">
        <f>AeMBR_Baseline_GWP_yr!C10/AeMBR_Baseline_GWP_yr!C$4</f>
        <v>0.47976598626657413</v>
      </c>
      <c r="D10" s="75">
        <f>AeMBR_Baseline_GWP_yr!D10/AeMBR_Baseline_GWP_yr!D$4</f>
        <v>0.47976598626657413</v>
      </c>
      <c r="E10" s="75">
        <f>AeMBR_Baseline_GWP_yr!E10/AeMBR_Baseline_GWP_yr!E$4</f>
        <v>0.47976598626657413</v>
      </c>
      <c r="F10" s="75">
        <f>AeMBR_Baseline_GWP_yr!F10/AeMBR_Baseline_GWP_yr!F$4</f>
        <v>0.47976598626657413</v>
      </c>
      <c r="G10" s="75">
        <f>AeMBR_Baseline_GWP_yr!G10/AeMBR_Baseline_GWP_yr!G$4</f>
        <v>0.28544962336030261</v>
      </c>
      <c r="H10" s="75">
        <f>AeMBR_Baseline_GWP_yr!H10/AeMBR_Baseline_GWP_yr!H$4</f>
        <v>0.28544962336030261</v>
      </c>
      <c r="I10" s="75">
        <f>AeMBR_Baseline_GWP_yr!I10/AeMBR_Baseline_GWP_yr!I$4</f>
        <v>0.28544962336030261</v>
      </c>
      <c r="J10" s="75">
        <f>AeMBR_Baseline_GWP_yr!J10/AeMBR_Baseline_GWP_yr!J$4</f>
        <v>0.28544962336030261</v>
      </c>
      <c r="K10" s="74">
        <f>AeMBR_Baseline_GWP_yr!K10/AeMBR_Baseline_GWP_yr!K$4</f>
        <v>6.5452486232116816E-2</v>
      </c>
      <c r="L10" s="74">
        <f>AeMBR_Baseline_GWP_yr!L10/AeMBR_Baseline_GWP_yr!L$4</f>
        <v>6.5452486232116816E-2</v>
      </c>
      <c r="M10" s="74">
        <f>AeMBR_Baseline_GWP_yr!M10/AeMBR_Baseline_GWP_yr!M$4</f>
        <v>6.5452486232116816E-2</v>
      </c>
      <c r="N10" s="74">
        <f>AeMBR_Baseline_GWP_yr!N10/AeMBR_Baseline_GWP_yr!N$4</f>
        <v>6.5452486232116816E-2</v>
      </c>
      <c r="O10" s="74">
        <f>AeMBR_Baseline_GWP_yr!O10/AeMBR_Baseline_GWP_yr!O$4</f>
        <v>3.5580450032576788E-2</v>
      </c>
      <c r="P10" s="74">
        <f>AeMBR_Baseline_GWP_yr!P10/AeMBR_Baseline_GWP_yr!P$4</f>
        <v>3.5580450032576788E-2</v>
      </c>
      <c r="Q10" s="74">
        <f>AeMBR_Baseline_GWP_yr!Q10/AeMBR_Baseline_GWP_yr!Q$4</f>
        <v>3.5580450032576788E-2</v>
      </c>
      <c r="R10" s="74">
        <f>AeMBR_Baseline_GWP_yr!R10/AeMBR_Baseline_GWP_yr!R$4</f>
        <v>3.0731871273323656E-2</v>
      </c>
      <c r="S10" s="74">
        <f>AeMBR_Baseline_GWP_yr!S10/AeMBR_Baseline_GWP_yr!S$4</f>
        <v>3.0731871273323656E-2</v>
      </c>
      <c r="T10" s="74">
        <f>AeMBR_Baseline_GWP_yr!T10/AeMBR_Baseline_GWP_yr!T$4</f>
        <v>3.0731871273323656E-2</v>
      </c>
      <c r="U10" s="54" t="s">
        <v>39</v>
      </c>
    </row>
    <row r="11" spans="1:21" x14ac:dyDescent="0.25">
      <c r="B11" s="54" t="s">
        <v>11</v>
      </c>
      <c r="C11" s="75">
        <f>AeMBR_Baseline_GWP_yr!C11/AeMBR_Baseline_GWP_yr!C$4</f>
        <v>-0.72044328532478119</v>
      </c>
      <c r="D11" s="75">
        <f>AeMBR_Baseline_GWP_yr!D11/AeMBR_Baseline_GWP_yr!D$4</f>
        <v>-0.73686111996288295</v>
      </c>
      <c r="E11" s="75">
        <f>AeMBR_Baseline_GWP_yr!E11/AeMBR_Baseline_GWP_yr!E$4</f>
        <v>-0.74809999838453989</v>
      </c>
      <c r="F11" s="75">
        <f>AeMBR_Baseline_GWP_yr!F11/AeMBR_Baseline_GWP_yr!F$4</f>
        <v>-0.75043269507866084</v>
      </c>
      <c r="G11" s="75">
        <f>AeMBR_Baseline_GWP_yr!G11/AeMBR_Baseline_GWP_yr!G$4</f>
        <v>-0.72050968251870628</v>
      </c>
      <c r="H11" s="75">
        <f>AeMBR_Baseline_GWP_yr!H11/AeMBR_Baseline_GWP_yr!H$4</f>
        <v>-0.73678946140821011</v>
      </c>
      <c r="I11" s="75">
        <f>AeMBR_Baseline_GWP_yr!I11/AeMBR_Baseline_GWP_yr!I$4</f>
        <v>-0.74817247981251633</v>
      </c>
      <c r="J11" s="75">
        <f>AeMBR_Baseline_GWP_yr!J11/AeMBR_Baseline_GWP_yr!J$4</f>
        <v>-0.77262300789392169</v>
      </c>
      <c r="K11" s="75">
        <f>AeMBR_Baseline_GWP_yr!K11/AeMBR_Baseline_GWP_yr!K$4</f>
        <v>-0.72049160052259831</v>
      </c>
      <c r="L11" s="75">
        <f>AeMBR_Baseline_GWP_yr!L11/AeMBR_Baseline_GWP_yr!L$4</f>
        <v>-0.73679217283969056</v>
      </c>
      <c r="M11" s="75">
        <f>AeMBR_Baseline_GWP_yr!M11/AeMBR_Baseline_GWP_yr!M$4</f>
        <v>-0.74818664828604275</v>
      </c>
      <c r="N11" s="75">
        <f>AeMBR_Baseline_GWP_yr!N11/AeMBR_Baseline_GWP_yr!N$4</f>
        <v>-0.75050892193932051</v>
      </c>
      <c r="O11" s="75">
        <f>AeMBR_Baseline_GWP_yr!O11/AeMBR_Baseline_GWP_yr!O$4</f>
        <v>-0.73679159700235308</v>
      </c>
      <c r="P11" s="75">
        <f>AeMBR_Baseline_GWP_yr!P11/AeMBR_Baseline_GWP_yr!P$4</f>
        <v>-0.7481403249969103</v>
      </c>
      <c r="Q11" s="75">
        <f>AeMBR_Baseline_GWP_yr!Q11/AeMBR_Baseline_GWP_yr!Q$4</f>
        <v>-0.75041257372270664</v>
      </c>
      <c r="R11" s="75">
        <f>AeMBR_Baseline_GWP_yr!R11/AeMBR_Baseline_GWP_yr!R$4</f>
        <v>-0.73679816159680156</v>
      </c>
      <c r="S11" s="75">
        <f>AeMBR_Baseline_GWP_yr!S11/AeMBR_Baseline_GWP_yr!S$4</f>
        <v>-0.74815136380211744</v>
      </c>
      <c r="T11" s="75">
        <f>AeMBR_Baseline_GWP_yr!T11/AeMBR_Baseline_GWP_yr!T$4</f>
        <v>-0.75042416945372248</v>
      </c>
      <c r="U11" s="54" t="s">
        <v>39</v>
      </c>
    </row>
    <row r="12" spans="1:21" x14ac:dyDescent="0.25">
      <c r="B12" s="61" t="s">
        <v>57</v>
      </c>
      <c r="C12" s="76">
        <f>SUM(C6:C11)</f>
        <v>0.51159319253153568</v>
      </c>
      <c r="D12" s="76">
        <f t="shared" ref="D12:T12" si="0">SUM(D6:D11)</f>
        <v>0.49321754480933744</v>
      </c>
      <c r="E12" s="76">
        <f t="shared" si="0"/>
        <v>0.48050373170767646</v>
      </c>
      <c r="F12" s="76">
        <f t="shared" si="0"/>
        <v>0.47789269147004987</v>
      </c>
      <c r="G12" s="77">
        <f t="shared" si="0"/>
        <v>9.5154696319063037E-2</v>
      </c>
      <c r="H12" s="77">
        <f t="shared" si="0"/>
        <v>7.7073423490845783E-2</v>
      </c>
      <c r="I12" s="77">
        <f t="shared" si="0"/>
        <v>6.4282098294629164E-2</v>
      </c>
      <c r="J12" s="77">
        <f t="shared" si="0"/>
        <v>3.9563175166952624E-2</v>
      </c>
      <c r="K12" s="76">
        <f t="shared" si="0"/>
        <v>-0.35698199996379415</v>
      </c>
      <c r="L12" s="76">
        <f t="shared" si="0"/>
        <v>-0.37530701809954808</v>
      </c>
      <c r="M12" s="76">
        <f t="shared" si="0"/>
        <v>-0.38810979462389988</v>
      </c>
      <c r="N12" s="76">
        <f t="shared" si="0"/>
        <v>-0.39070853910455056</v>
      </c>
      <c r="O12" s="76">
        <f t="shared" si="0"/>
        <v>-0.41869946901926225</v>
      </c>
      <c r="P12" s="76">
        <f t="shared" si="0"/>
        <v>-0.43119051192890423</v>
      </c>
      <c r="Q12" s="76">
        <f t="shared" si="0"/>
        <v>-0.43373645698055108</v>
      </c>
      <c r="R12" s="76">
        <f t="shared" si="0"/>
        <v>-0.43215247418422748</v>
      </c>
      <c r="S12" s="76">
        <f t="shared" si="0"/>
        <v>-0.44488943224274607</v>
      </c>
      <c r="T12" s="76">
        <f t="shared" si="0"/>
        <v>-0.44744694977227017</v>
      </c>
      <c r="U12" s="54" t="s">
        <v>39</v>
      </c>
    </row>
    <row r="15" spans="1:21" ht="15.75" x14ac:dyDescent="0.25">
      <c r="A15" s="42" t="s">
        <v>58</v>
      </c>
    </row>
    <row r="17" spans="2:20" ht="45" x14ac:dyDescent="0.25">
      <c r="C17" s="59" t="str">
        <f>C5</f>
        <v>0.05 MGD AeMBR [semi rural single family]</v>
      </c>
      <c r="D17" s="59" t="str">
        <f t="shared" ref="D17:T17" si="1">D5</f>
        <v>0.05 MGD AeMBR [single family]</v>
      </c>
      <c r="E17" s="59" t="str">
        <f t="shared" si="1"/>
        <v>0.05 MGD AeMBR [multi family]</v>
      </c>
      <c r="F17" s="59" t="str">
        <f t="shared" si="1"/>
        <v>0.05 MGD AeMBR [high density urban]</v>
      </c>
      <c r="G17" s="59" t="str">
        <f t="shared" si="1"/>
        <v>0.1 MGD AeMBR [semi rural single family]</v>
      </c>
      <c r="H17" s="59" t="str">
        <f t="shared" si="1"/>
        <v>0.1 MGD AeMBR [single family]</v>
      </c>
      <c r="I17" s="59" t="str">
        <f t="shared" si="1"/>
        <v>0.1 MGD AeMBR [multi family]</v>
      </c>
      <c r="J17" s="59" t="str">
        <f t="shared" si="1"/>
        <v>0.1 MGD AeMBR [high density urban]</v>
      </c>
      <c r="K17" s="59" t="str">
        <f t="shared" si="1"/>
        <v>1 MGD AeMBR [semi rural single family]</v>
      </c>
      <c r="L17" s="59" t="str">
        <f t="shared" si="1"/>
        <v>1 MGD AeMBR [single family]</v>
      </c>
      <c r="M17" s="59" t="str">
        <f t="shared" si="1"/>
        <v>1 MGD AeMBR [multi family]</v>
      </c>
      <c r="N17" s="59" t="str">
        <f t="shared" si="1"/>
        <v>1 MGD AeMBR [high density urban]</v>
      </c>
      <c r="O17" s="59" t="str">
        <f t="shared" si="1"/>
        <v>5 MGD AeMBR [single family]</v>
      </c>
      <c r="P17" s="59" t="str">
        <f t="shared" si="1"/>
        <v>5 MGD AeMBR [multi family]</v>
      </c>
      <c r="Q17" s="59" t="str">
        <f t="shared" si="1"/>
        <v>5 MGD AeMBR [high density urban]</v>
      </c>
      <c r="R17" s="59" t="str">
        <f t="shared" si="1"/>
        <v>10 MGD AeMBR [single family]</v>
      </c>
      <c r="S17" s="59" t="str">
        <f t="shared" si="1"/>
        <v>10 MGD AeMBR [multi family]</v>
      </c>
      <c r="T17" s="59" t="str">
        <f t="shared" si="1"/>
        <v>10 MGD AeMBR [high density urban]</v>
      </c>
    </row>
    <row r="18" spans="2:20" x14ac:dyDescent="0.25">
      <c r="B18" s="54" t="str">
        <f>B6</f>
        <v>Wastewater collection</v>
      </c>
      <c r="C18" s="65">
        <f>C6/C$12</f>
        <v>7.7422117728226398E-3</v>
      </c>
      <c r="D18" s="65">
        <f t="shared" ref="D18:T23" si="2">D6/D$12</f>
        <v>4.0611891752380782E-3</v>
      </c>
      <c r="E18" s="65">
        <f t="shared" si="2"/>
        <v>1.0990863112261791E-3</v>
      </c>
      <c r="F18" s="65">
        <f t="shared" si="2"/>
        <v>5.2265191530579823E-4</v>
      </c>
      <c r="G18" s="65">
        <f t="shared" si="2"/>
        <v>3.9282514442079648E-2</v>
      </c>
      <c r="H18" s="65">
        <f t="shared" si="2"/>
        <v>2.5124377586546683E-2</v>
      </c>
      <c r="I18" s="65">
        <f t="shared" si="2"/>
        <v>8.2155843659748543E-3</v>
      </c>
      <c r="J18" s="65">
        <f t="shared" si="2"/>
        <v>6.5646893707171109E-3</v>
      </c>
      <c r="K18" s="65">
        <f t="shared" si="2"/>
        <v>-1.1095408866196609E-2</v>
      </c>
      <c r="L18" s="65">
        <f t="shared" si="2"/>
        <v>-5.1595502759705196E-3</v>
      </c>
      <c r="M18" s="65">
        <f t="shared" si="2"/>
        <v>-1.3607344058949266E-3</v>
      </c>
      <c r="N18" s="65">
        <f t="shared" si="2"/>
        <v>-6.4406967918695249E-4</v>
      </c>
      <c r="O18" s="65">
        <f t="shared" si="2"/>
        <v>-3.9895662388363942E-3</v>
      </c>
      <c r="P18" s="65">
        <f t="shared" si="2"/>
        <v>-1.2247819377348367E-3</v>
      </c>
      <c r="Q18" s="65">
        <f t="shared" si="2"/>
        <v>-5.8657283884738527E-4</v>
      </c>
      <c r="R18" s="65">
        <f t="shared" si="2"/>
        <v>-4.4804097139701082E-3</v>
      </c>
      <c r="S18" s="65">
        <f t="shared" si="2"/>
        <v>-1.2418013331165661E-3</v>
      </c>
      <c r="T18" s="65">
        <f t="shared" si="2"/>
        <v>-5.9840035174157349E-4</v>
      </c>
    </row>
    <row r="19" spans="2:20" x14ac:dyDescent="0.25">
      <c r="B19" s="54" t="str">
        <f t="shared" ref="B19:B23" si="3">B7</f>
        <v>Pre treatment</v>
      </c>
      <c r="C19" s="65">
        <f t="shared" ref="C19:R23" si="4">C7/C$12</f>
        <v>7.9265722356373927E-2</v>
      </c>
      <c r="D19" s="65">
        <f t="shared" si="4"/>
        <v>8.2218899926383843E-2</v>
      </c>
      <c r="E19" s="65">
        <f t="shared" si="4"/>
        <v>8.4394358009452705E-2</v>
      </c>
      <c r="F19" s="65">
        <f t="shared" si="4"/>
        <v>8.4855459567447875E-2</v>
      </c>
      <c r="G19" s="65">
        <f t="shared" si="4"/>
        <v>0.2967170294922461</v>
      </c>
      <c r="H19" s="65">
        <f t="shared" si="4"/>
        <v>0.36632625819952813</v>
      </c>
      <c r="I19" s="65">
        <f t="shared" si="4"/>
        <v>0.4392205541365804</v>
      </c>
      <c r="J19" s="65">
        <f t="shared" si="4"/>
        <v>0.71364390534592914</v>
      </c>
      <c r="K19" s="65">
        <f t="shared" si="4"/>
        <v>-2.5034342329199995E-2</v>
      </c>
      <c r="L19" s="65">
        <f t="shared" si="4"/>
        <v>-2.3811997009034466E-2</v>
      </c>
      <c r="M19" s="65">
        <f t="shared" si="4"/>
        <v>-2.3026498470919424E-2</v>
      </c>
      <c r="N19" s="65">
        <f t="shared" si="4"/>
        <v>-2.287334086154862E-2</v>
      </c>
      <c r="O19" s="65">
        <f t="shared" si="4"/>
        <v>-1.0407407279448602E-2</v>
      </c>
      <c r="P19" s="65">
        <f t="shared" si="4"/>
        <v>-1.0105917874396138E-2</v>
      </c>
      <c r="Q19" s="65">
        <f t="shared" si="4"/>
        <v>-1.0046598185699042E-2</v>
      </c>
      <c r="R19" s="65">
        <f t="shared" si="4"/>
        <v>-7.6916768481480862E-3</v>
      </c>
      <c r="S19" s="65">
        <f t="shared" si="2"/>
        <v>-7.4714680539749627E-3</v>
      </c>
      <c r="T19" s="65">
        <f t="shared" si="2"/>
        <v>-7.4287626326304985E-3</v>
      </c>
    </row>
    <row r="20" spans="2:20" x14ac:dyDescent="0.25">
      <c r="B20" s="54" t="str">
        <f t="shared" si="3"/>
        <v>MBR operation</v>
      </c>
      <c r="C20" s="65">
        <f t="shared" si="4"/>
        <v>1.3536161645865263</v>
      </c>
      <c r="D20" s="65">
        <f t="shared" si="2"/>
        <v>1.4040474074595479</v>
      </c>
      <c r="E20" s="65">
        <f t="shared" si="2"/>
        <v>1.4411975795526384</v>
      </c>
      <c r="F20" s="65">
        <f t="shared" si="2"/>
        <v>1.4490717842386456</v>
      </c>
      <c r="G20" s="65">
        <f t="shared" si="2"/>
        <v>5.0949604743082997</v>
      </c>
      <c r="H20" s="65">
        <f t="shared" si="2"/>
        <v>6.2902281322435059</v>
      </c>
      <c r="I20" s="65">
        <f t="shared" si="2"/>
        <v>7.5419040378609097</v>
      </c>
      <c r="J20" s="65">
        <f t="shared" si="2"/>
        <v>12.25405733095457</v>
      </c>
      <c r="K20" s="65">
        <f t="shared" si="2"/>
        <v>-0.7668348326444604</v>
      </c>
      <c r="L20" s="65">
        <f t="shared" si="2"/>
        <v>-0.72939278776479266</v>
      </c>
      <c r="M20" s="65">
        <f t="shared" si="2"/>
        <v>-0.7053319343939678</v>
      </c>
      <c r="N20" s="65">
        <f t="shared" si="2"/>
        <v>-0.70064051537422001</v>
      </c>
      <c r="O20" s="65">
        <f t="shared" si="2"/>
        <v>-0.63600649518906882</v>
      </c>
      <c r="P20" s="65">
        <f t="shared" si="2"/>
        <v>-0.61758219269994641</v>
      </c>
      <c r="Q20" s="65">
        <f t="shared" si="2"/>
        <v>-0.61395711045891144</v>
      </c>
      <c r="R20" s="65">
        <f t="shared" si="2"/>
        <v>-0.59845353060302275</v>
      </c>
      <c r="S20" s="65">
        <f t="shared" si="2"/>
        <v>-0.58132011055112986</v>
      </c>
      <c r="T20" s="65">
        <f t="shared" si="2"/>
        <v>-0.57799740073322614</v>
      </c>
    </row>
    <row r="21" spans="2:20" x14ac:dyDescent="0.25">
      <c r="B21" s="54" t="str">
        <f t="shared" si="3"/>
        <v>MBR infrastructure</v>
      </c>
      <c r="C21" s="65">
        <f t="shared" si="4"/>
        <v>2.9822542427515541E-2</v>
      </c>
      <c r="D21" s="65">
        <f t="shared" si="2"/>
        <v>3.0933631316375283E-2</v>
      </c>
      <c r="E21" s="65">
        <f t="shared" si="2"/>
        <v>3.1752114880934455E-2</v>
      </c>
      <c r="F21" s="65">
        <f t="shared" si="2"/>
        <v>3.1925597445249955E-2</v>
      </c>
      <c r="G21" s="65">
        <f t="shared" si="2"/>
        <v>0.14117436910915168</v>
      </c>
      <c r="H21" s="65">
        <f t="shared" si="2"/>
        <v>0.17429359709462192</v>
      </c>
      <c r="I21" s="65">
        <f t="shared" si="2"/>
        <v>0.2089758202827523</v>
      </c>
      <c r="J21" s="65">
        <f t="shared" si="2"/>
        <v>0.33954312726238545</v>
      </c>
      <c r="K21" s="65">
        <f t="shared" si="2"/>
        <v>-3.1971391522813829E-2</v>
      </c>
      <c r="L21" s="65">
        <f t="shared" si="2"/>
        <v>-3.0410332706361183E-2</v>
      </c>
      <c r="M21" s="65">
        <f t="shared" si="2"/>
        <v>-2.9407171489963597E-2</v>
      </c>
      <c r="N21" s="65">
        <f t="shared" si="2"/>
        <v>-2.9211573705548034E-2</v>
      </c>
      <c r="O21" s="65">
        <f t="shared" si="2"/>
        <v>-2.433270569538255E-2</v>
      </c>
      <c r="P21" s="65">
        <f t="shared" si="2"/>
        <v>-2.3627818035426736E-2</v>
      </c>
      <c r="Q21" s="65">
        <f t="shared" si="2"/>
        <v>-2.348912753468517E-2</v>
      </c>
      <c r="R21" s="65">
        <f t="shared" si="2"/>
        <v>-2.3210430300088705E-2</v>
      </c>
      <c r="S21" s="65">
        <f t="shared" si="2"/>
        <v>-2.25459274914648E-2</v>
      </c>
      <c r="T21" s="65">
        <f t="shared" si="2"/>
        <v>-2.2417059466309754E-2</v>
      </c>
    </row>
    <row r="22" spans="2:20" x14ac:dyDescent="0.25">
      <c r="B22" s="54" t="str">
        <f t="shared" si="3"/>
        <v>Post treatment</v>
      </c>
      <c r="C22" s="65">
        <f t="shared" si="4"/>
        <v>0.93778805752385053</v>
      </c>
      <c r="D22" s="65">
        <f t="shared" si="2"/>
        <v>0.97272692611135059</v>
      </c>
      <c r="E22" s="65">
        <f t="shared" si="2"/>
        <v>0.9984646415991808</v>
      </c>
      <c r="F22" s="65">
        <f t="shared" si="2"/>
        <v>1.003919906769785</v>
      </c>
      <c r="G22" s="65">
        <f t="shared" si="2"/>
        <v>2.9998479781088472</v>
      </c>
      <c r="H22" s="65">
        <f t="shared" si="2"/>
        <v>3.7036063850752163</v>
      </c>
      <c r="I22" s="65">
        <f t="shared" si="2"/>
        <v>4.4405772514142123</v>
      </c>
      <c r="J22" s="65">
        <f t="shared" si="2"/>
        <v>7.215033226118325</v>
      </c>
      <c r="K22" s="65">
        <f t="shared" si="2"/>
        <v>-0.18334954210227727</v>
      </c>
      <c r="L22" s="65">
        <f t="shared" si="2"/>
        <v>-0.17439718170885873</v>
      </c>
      <c r="M22" s="65">
        <f t="shared" si="2"/>
        <v>-0.16864425257688725</v>
      </c>
      <c r="N22" s="65">
        <f t="shared" si="2"/>
        <v>-0.16752253836613037</v>
      </c>
      <c r="O22" s="65">
        <f t="shared" si="2"/>
        <v>-8.4978493323429341E-2</v>
      </c>
      <c r="P22" s="65">
        <f t="shared" si="2"/>
        <v>-8.2516774020397241E-2</v>
      </c>
      <c r="Q22" s="65">
        <f t="shared" si="2"/>
        <v>-8.2032417289220935E-2</v>
      </c>
      <c r="R22" s="65">
        <f t="shared" si="2"/>
        <v>-7.1113491439187271E-2</v>
      </c>
      <c r="S22" s="65">
        <f t="shared" si="2"/>
        <v>-6.9077548366119318E-2</v>
      </c>
      <c r="T22" s="65">
        <f t="shared" si="2"/>
        <v>-6.8682714875952913E-2</v>
      </c>
    </row>
    <row r="23" spans="2:20" x14ac:dyDescent="0.25">
      <c r="B23" s="54" t="str">
        <f t="shared" si="3"/>
        <v>Recycled water delivery</v>
      </c>
      <c r="C23" s="65">
        <f t="shared" si="4"/>
        <v>-1.4082346986670891</v>
      </c>
      <c r="D23" s="65">
        <f t="shared" si="2"/>
        <v>-1.4939880539888957</v>
      </c>
      <c r="E23" s="65">
        <f t="shared" si="2"/>
        <v>-1.5569077803534326</v>
      </c>
      <c r="F23" s="65">
        <f t="shared" si="2"/>
        <v>-1.570295399936434</v>
      </c>
      <c r="G23" s="65">
        <f t="shared" si="2"/>
        <v>-7.5719823654606246</v>
      </c>
      <c r="H23" s="65">
        <f t="shared" si="2"/>
        <v>-9.5595787501994192</v>
      </c>
      <c r="I23" s="65">
        <f t="shared" si="2"/>
        <v>-11.63889324806043</v>
      </c>
      <c r="J23" s="65">
        <f t="shared" si="2"/>
        <v>-19.528842279051926</v>
      </c>
      <c r="K23" s="65">
        <f t="shared" si="2"/>
        <v>2.0182855174649479</v>
      </c>
      <c r="L23" s="65">
        <f t="shared" si="2"/>
        <v>1.9631718494650174</v>
      </c>
      <c r="M23" s="65">
        <f t="shared" si="2"/>
        <v>1.9277705913376328</v>
      </c>
      <c r="N23" s="65">
        <f t="shared" si="2"/>
        <v>1.9208920379866337</v>
      </c>
      <c r="O23" s="65">
        <f t="shared" si="2"/>
        <v>1.7597146677261657</v>
      </c>
      <c r="P23" s="65">
        <f t="shared" si="2"/>
        <v>1.7350574845679014</v>
      </c>
      <c r="Q23" s="65">
        <f t="shared" si="2"/>
        <v>1.730111826307364</v>
      </c>
      <c r="R23" s="65">
        <f t="shared" si="2"/>
        <v>1.7049495389044169</v>
      </c>
      <c r="S23" s="65">
        <f t="shared" si="2"/>
        <v>1.6816568557958056</v>
      </c>
      <c r="T23" s="65">
        <f t="shared" si="2"/>
        <v>1.6771243380598611</v>
      </c>
    </row>
    <row r="24" spans="2:20" x14ac:dyDescent="0.25">
      <c r="B24" s="61" t="s">
        <v>57</v>
      </c>
      <c r="C24" s="66">
        <f>SUM(C18:C23)</f>
        <v>0.99999999999999978</v>
      </c>
      <c r="D24" s="66">
        <f t="shared" ref="D24:T24" si="5">SUM(D18:D23)</f>
        <v>1.0000000000000002</v>
      </c>
      <c r="E24" s="66">
        <f t="shared" si="5"/>
        <v>1.0000000000000002</v>
      </c>
      <c r="F24" s="66">
        <f t="shared" si="5"/>
        <v>1</v>
      </c>
      <c r="G24" s="66">
        <f t="shared" si="5"/>
        <v>0.99999999999999911</v>
      </c>
      <c r="H24" s="66">
        <f t="shared" si="5"/>
        <v>1</v>
      </c>
      <c r="I24" s="66">
        <f t="shared" si="5"/>
        <v>1</v>
      </c>
      <c r="J24" s="66">
        <f t="shared" si="5"/>
        <v>1.0000000000000036</v>
      </c>
      <c r="K24" s="66">
        <f t="shared" si="5"/>
        <v>0.99999999999999978</v>
      </c>
      <c r="L24" s="66">
        <f t="shared" si="5"/>
        <v>0.99999999999999989</v>
      </c>
      <c r="M24" s="66">
        <f t="shared" si="5"/>
        <v>0.99999999999999978</v>
      </c>
      <c r="N24" s="66">
        <f t="shared" si="5"/>
        <v>0.99999999999999967</v>
      </c>
      <c r="O24" s="66">
        <f t="shared" si="5"/>
        <v>1</v>
      </c>
      <c r="P24" s="66">
        <f t="shared" si="5"/>
        <v>1</v>
      </c>
      <c r="Q24" s="66">
        <f t="shared" si="5"/>
        <v>1</v>
      </c>
      <c r="R24" s="66">
        <f t="shared" si="5"/>
        <v>1</v>
      </c>
      <c r="S24" s="66">
        <f t="shared" si="5"/>
        <v>1</v>
      </c>
      <c r="T24" s="66">
        <f t="shared" si="5"/>
        <v>1</v>
      </c>
    </row>
  </sheetData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showGridLines="0" zoomScale="85" zoomScaleNormal="85" workbookViewId="0">
      <pane xSplit="2" topLeftCell="C1" activePane="topRight" state="frozen"/>
      <selection pane="topRight" activeCell="G62" sqref="G62"/>
    </sheetView>
  </sheetViews>
  <sheetFormatPr defaultRowHeight="15" x14ac:dyDescent="0.25"/>
  <cols>
    <col min="1" max="1" width="3.140625" customWidth="1"/>
    <col min="2" max="2" width="28.28515625" customWidth="1"/>
    <col min="3" max="3" width="18.5703125" customWidth="1"/>
    <col min="4" max="4" width="18.85546875" customWidth="1"/>
    <col min="5" max="5" width="19.140625" customWidth="1"/>
    <col min="6" max="6" width="17.85546875" customWidth="1"/>
    <col min="7" max="7" width="23.140625" customWidth="1"/>
    <col min="8" max="8" width="20.5703125" customWidth="1"/>
    <col min="9" max="9" width="21.42578125" customWidth="1"/>
    <col min="10" max="10" width="20.28515625" customWidth="1"/>
    <col min="11" max="11" width="21.85546875" customWidth="1"/>
    <col min="12" max="12" width="18.42578125" customWidth="1"/>
    <col min="13" max="13" width="17.7109375" customWidth="1"/>
    <col min="14" max="14" width="17" customWidth="1"/>
    <col min="15" max="16" width="16.42578125" customWidth="1"/>
    <col min="17" max="17" width="17.7109375" customWidth="1"/>
    <col min="18" max="18" width="14.28515625" customWidth="1"/>
    <col min="19" max="19" width="15.7109375" customWidth="1"/>
    <col min="20" max="20" width="18" customWidth="1"/>
    <col min="21" max="21" width="11.7109375" customWidth="1"/>
  </cols>
  <sheetData>
    <row r="1" spans="1:21" ht="15.75" x14ac:dyDescent="0.25">
      <c r="A1" s="42" t="s">
        <v>169</v>
      </c>
    </row>
    <row r="2" spans="1:21" x14ac:dyDescent="0.25">
      <c r="A2" s="41" t="s">
        <v>52</v>
      </c>
    </row>
    <row r="4" spans="1:21" x14ac:dyDescent="0.25">
      <c r="B4" s="55" t="str">
        <f>AeMBR_Baseline_CED_Detail_yr!D4</f>
        <v>Water treated per year (m3)</v>
      </c>
      <c r="C4" s="56">
        <f>AeMBR_Baseline_CED_Detail_yr!E4</f>
        <v>69129.535959999994</v>
      </c>
      <c r="D4" s="57">
        <f>AeMBR_Baseline_CED_Detail_yr!F4</f>
        <v>69129.535959999994</v>
      </c>
      <c r="E4" s="57">
        <f>AeMBR_Baseline_CED_Detail_yr!G4</f>
        <v>69129.535959999994</v>
      </c>
      <c r="F4" s="57">
        <f>AeMBR_Baseline_CED_Detail_yr!H4</f>
        <v>69129.535959999994</v>
      </c>
      <c r="G4" s="57">
        <f>AeMBR_Baseline_CED_Detail_yr!I4</f>
        <v>138259.07190000001</v>
      </c>
      <c r="H4" s="57">
        <f>AeMBR_Baseline_CED_Detail_yr!J4</f>
        <v>138259.07190000001</v>
      </c>
      <c r="I4" s="57">
        <f>AeMBR_Baseline_CED_Detail_yr!K4</f>
        <v>138259.07190000001</v>
      </c>
      <c r="J4" s="57">
        <f>AeMBR_Baseline_CED_Detail_yr!L4</f>
        <v>138259.07190000001</v>
      </c>
      <c r="K4" s="57">
        <f>AeMBR_Baseline_CED_Detail_yr!M4</f>
        <v>1382590.719</v>
      </c>
      <c r="L4" s="57">
        <f>AeMBR_Baseline_CED_Detail_yr!N4</f>
        <v>1382590.719</v>
      </c>
      <c r="M4" s="57">
        <f>AeMBR_Baseline_CED_Detail_yr!O4</f>
        <v>1382590.719</v>
      </c>
      <c r="N4" s="57">
        <f>AeMBR_Baseline_CED_Detail_yr!P4</f>
        <v>1382590.719</v>
      </c>
      <c r="O4" s="57">
        <f>AeMBR_Baseline_CED_Detail_yr!Q4</f>
        <v>6912953.5959999999</v>
      </c>
      <c r="P4" s="57">
        <f>AeMBR_Baseline_CED_Detail_yr!R4</f>
        <v>6912953.5959999999</v>
      </c>
      <c r="Q4" s="57">
        <f>AeMBR_Baseline_CED_Detail_yr!S4</f>
        <v>6912953.5959999999</v>
      </c>
      <c r="R4" s="57">
        <f>AeMBR_Baseline_CED_Detail_yr!T4</f>
        <v>13825907.189999999</v>
      </c>
      <c r="S4" s="57">
        <f>AeMBR_Baseline_CED_Detail_yr!U4</f>
        <v>13825907.189999999</v>
      </c>
      <c r="T4" s="58">
        <f>AeMBR_Baseline_CED_Detail_yr!V4</f>
        <v>13825907.189999999</v>
      </c>
    </row>
    <row r="5" spans="1:21" ht="93" customHeight="1" x14ac:dyDescent="0.25">
      <c r="C5" s="59" t="str">
        <f>AnMBR_20_GWP_yr!C5</f>
        <v>0.05 MGD AnMBR [semi rural single family]</v>
      </c>
      <c r="D5" s="59" t="str">
        <f>AnMBR_20_GWP_yr!D5</f>
        <v>0.05 MGD AnMBR [single family]</v>
      </c>
      <c r="E5" s="59" t="str">
        <f>AnMBR_20_GWP_yr!E5</f>
        <v>0.05 MGD AnMBR [multi family]</v>
      </c>
      <c r="F5" s="59" t="str">
        <f>AnMBR_20_GWP_yr!F5</f>
        <v>0.05 MGD AnMBR [high density urban]</v>
      </c>
      <c r="G5" s="59" t="str">
        <f>AnMBR_20_GWP_yr!G5</f>
        <v>0.1 MGD AnMBR [semi rural single family]</v>
      </c>
      <c r="H5" s="59" t="str">
        <f>AnMBR_20_GWP_yr!H5</f>
        <v>0.1 MGD AnMBR [single family]</v>
      </c>
      <c r="I5" s="59" t="str">
        <f>AnMBR_20_GWP_yr!I5</f>
        <v>0.1 MGD AnMBR [multi family]</v>
      </c>
      <c r="J5" s="59" t="str">
        <f>AnMBR_20_GWP_yr!J5</f>
        <v>0.1 MGD AnMBR [high density urban]</v>
      </c>
      <c r="K5" s="59" t="str">
        <f>AnMBR_20_GWP_yr!K5</f>
        <v>1 MGD AnMBR [semi rural single family]</v>
      </c>
      <c r="L5" s="59" t="str">
        <f>AnMBR_20_GWP_yr!L5</f>
        <v>1 MGD AnMBR [single family]</v>
      </c>
      <c r="M5" s="59" t="str">
        <f>AnMBR_20_GWP_yr!M5</f>
        <v>1 MGD AnMBR [multi family]</v>
      </c>
      <c r="N5" s="59" t="str">
        <f>AnMBR_20_GWP_yr!N5</f>
        <v>1 MGD AnMBR [high density urban]</v>
      </c>
      <c r="O5" s="59" t="str">
        <f>AnMBR_20_GWP_yr!O5</f>
        <v>5 MGD AnMBR [single family]</v>
      </c>
      <c r="P5" s="59" t="str">
        <f>AnMBR_20_GWP_yr!P5</f>
        <v>5 MGD AnMBR [multi family]</v>
      </c>
      <c r="Q5" s="59" t="str">
        <f>AnMBR_20_GWP_yr!Q5</f>
        <v>5 MGD AnMBR [high density urban]</v>
      </c>
      <c r="R5" s="59" t="str">
        <f>AnMBR_20_GWP_yr!R5</f>
        <v>10 MGD AnMBR [single family]</v>
      </c>
      <c r="S5" s="59" t="str">
        <f>AnMBR_20_GWP_yr!S5</f>
        <v>10 MGD AnMBR [multi family]</v>
      </c>
      <c r="T5" s="59" t="str">
        <f>AnMBR_20_GWP_yr!T5</f>
        <v>10 MGD AnMBR [high density urban]</v>
      </c>
      <c r="U5" s="59" t="str">
        <f>AeMBR_Baseline_CED_Detail_yr!W5</f>
        <v>Unit</v>
      </c>
    </row>
    <row r="6" spans="1:21" x14ac:dyDescent="0.25">
      <c r="B6" s="54" t="str">
        <f>AeMBR_Baseline_CED_Detail_yr!B6</f>
        <v>Wastewater collection</v>
      </c>
      <c r="C6" s="72">
        <f>AnMBR_35_GWP_yr!C6/AnMBR_35_GWP_yr!C$4</f>
        <v>3.960862838113575E-3</v>
      </c>
      <c r="D6" s="72">
        <f>AnMBR_35_GWP_yr!D6/AnMBR_35_GWP_yr!D$4</f>
        <v>2.0030497540171831E-3</v>
      </c>
      <c r="E6" s="73">
        <f>AnMBR_35_GWP_yr!E6/AnMBR_35_GWP_yr!E$4</f>
        <v>5.2811507401300374E-4</v>
      </c>
      <c r="F6" s="73">
        <f>AnMBR_35_GWP_yr!F6/AnMBR_35_GWP_yr!F$4</f>
        <v>2.4977153050746449E-4</v>
      </c>
      <c r="G6" s="72">
        <f>AnMBR_35_GWP_yr!G6/AnMBR_35_GWP_yr!G$4</f>
        <v>3.737915732385297E-3</v>
      </c>
      <c r="H6" s="72">
        <f>AnMBR_35_GWP_yr!H6/AnMBR_35_GWP_yr!H$4</f>
        <v>1.9364217936718264E-3</v>
      </c>
      <c r="I6" s="73">
        <f>AnMBR_35_GWP_yr!I6/AnMBR_35_GWP_yr!I$4</f>
        <v>5.2811500176141416E-4</v>
      </c>
      <c r="J6" s="73">
        <f>AnMBR_35_GWP_yr!J6/AnMBR_35_GWP_yr!J$4</f>
        <v>2.5971995549031306E-4</v>
      </c>
      <c r="K6" s="72">
        <f>AnMBR_35_GWP_yr!K6/AnMBR_35_GWP_yr!K$4</f>
        <v>3.9608612474708793E-3</v>
      </c>
      <c r="L6" s="72">
        <f>AnMBR_35_GWP_yr!L6/AnMBR_35_GWP_yr!L$4</f>
        <v>1.9364154288091962E-3</v>
      </c>
      <c r="M6" s="73">
        <f>AnMBR_35_GWP_yr!M6/AnMBR_35_GWP_yr!M$4</f>
        <v>5.2811435080955436E-4</v>
      </c>
      <c r="N6" s="73">
        <f>AnMBR_35_GWP_yr!N6/AnMBR_35_GWP_yr!N$4</f>
        <v>2.5164352343667076E-4</v>
      </c>
      <c r="O6" s="72">
        <f>AnMBR_35_GWP_yr!O6/AnMBR_35_GWP_yr!O$4</f>
        <v>1.6704292658179735E-3</v>
      </c>
      <c r="P6" s="73">
        <f>AnMBR_35_GWP_yr!P6/AnMBR_35_GWP_yr!P$4</f>
        <v>5.2811435073315952E-4</v>
      </c>
      <c r="Q6" s="73">
        <f>AnMBR_35_GWP_yr!Q6/AnMBR_35_GWP_yr!Q$4</f>
        <v>2.5441802488268864E-4</v>
      </c>
      <c r="R6" s="72">
        <f>AnMBR_35_GWP_yr!R6/AnMBR_35_GWP_yr!R$4</f>
        <v>1.9362201432512292E-3</v>
      </c>
      <c r="S6" s="73">
        <f>AnMBR_35_GWP_yr!S6/AnMBR_35_GWP_yr!S$4</f>
        <v>5.524642900485143E-4</v>
      </c>
      <c r="T6" s="73">
        <f>AnMBR_35_GWP_yr!T6/AnMBR_35_GWP_yr!T$4</f>
        <v>2.6775241212942066E-4</v>
      </c>
      <c r="U6" s="54" t="s">
        <v>39</v>
      </c>
    </row>
    <row r="7" spans="1:21" x14ac:dyDescent="0.25">
      <c r="B7" s="60" t="str">
        <f>AeMBR_Baseline_CED_Detail_m3!B9</f>
        <v>Pre treatment</v>
      </c>
      <c r="C7" s="74">
        <f>AnMBR_35_GWP_yr!C7/AnMBR_35_GWP_yr!C$4</f>
        <v>4.0551803958615656E-2</v>
      </c>
      <c r="D7" s="74">
        <f>AnMBR_35_GWP_yr!D7/AnMBR_35_GWP_yr!D$4</f>
        <v>4.0551803958615656E-2</v>
      </c>
      <c r="E7" s="74">
        <f>AnMBR_35_GWP_yr!E7/AnMBR_35_GWP_yr!E$4</f>
        <v>4.0551803958615656E-2</v>
      </c>
      <c r="F7" s="74">
        <f>AnMBR_35_GWP_yr!F7/AnMBR_35_GWP_yr!F$4</f>
        <v>4.0551803958615656E-2</v>
      </c>
      <c r="G7" s="74">
        <f>AnMBR_35_GWP_yr!G7/AnMBR_35_GWP_yr!G$4</f>
        <v>2.8234018834029151E-2</v>
      </c>
      <c r="H7" s="74">
        <f>AnMBR_35_GWP_yr!H7/AnMBR_35_GWP_yr!H$4</f>
        <v>2.8234018834029151E-2</v>
      </c>
      <c r="I7" s="74">
        <f>AnMBR_35_GWP_yr!I7/AnMBR_35_GWP_yr!I$4</f>
        <v>2.8234018834029151E-2</v>
      </c>
      <c r="J7" s="74">
        <f>AnMBR_35_GWP_yr!J7/AnMBR_35_GWP_yr!J$4</f>
        <v>2.8234018834029151E-2</v>
      </c>
      <c r="K7" s="72">
        <f>AnMBR_35_GWP_yr!K7/AnMBR_35_GWP_yr!K$4</f>
        <v>8.9368095924560829E-3</v>
      </c>
      <c r="L7" s="72">
        <f>AnMBR_35_GWP_yr!L7/AnMBR_35_GWP_yr!L$4</f>
        <v>8.9368095924560829E-3</v>
      </c>
      <c r="M7" s="72">
        <f>AnMBR_35_GWP_yr!M7/AnMBR_35_GWP_yr!M$4</f>
        <v>8.9368095924560829E-3</v>
      </c>
      <c r="N7" s="72">
        <f>AnMBR_35_GWP_yr!N7/AnMBR_35_GWP_yr!N$4</f>
        <v>8.9368095924560829E-3</v>
      </c>
      <c r="O7" s="72">
        <f>AnMBR_35_GWP_yr!O7/AnMBR_35_GWP_yr!O$4</f>
        <v>4.3575759017723346E-3</v>
      </c>
      <c r="P7" s="72">
        <f>AnMBR_35_GWP_yr!P7/AnMBR_35_GWP_yr!P$4</f>
        <v>4.3575759017723346E-3</v>
      </c>
      <c r="Q7" s="72">
        <f>AnMBR_35_GWP_yr!Q7/AnMBR_35_GWP_yr!Q$4</f>
        <v>4.3575759017723346E-3</v>
      </c>
      <c r="R7" s="72">
        <f>AnMBR_35_GWP_yr!R7/AnMBR_35_GWP_yr!R$4</f>
        <v>3.3239771805527361E-3</v>
      </c>
      <c r="S7" s="72">
        <f>AnMBR_35_GWP_yr!S7/AnMBR_35_GWP_yr!S$4</f>
        <v>3.3239771805527361E-3</v>
      </c>
      <c r="T7" s="72">
        <f>AnMBR_35_GWP_yr!T7/AnMBR_35_GWP_yr!T$4</f>
        <v>3.3239771805527361E-3</v>
      </c>
      <c r="U7" s="54" t="s">
        <v>39</v>
      </c>
    </row>
    <row r="8" spans="1:21" x14ac:dyDescent="0.25">
      <c r="B8" s="54" t="s">
        <v>16</v>
      </c>
      <c r="C8" s="75">
        <f>AnMBR_35_GWP_yr!C8/AnMBR_35_GWP_yr!C$4</f>
        <v>0.83419625488832816</v>
      </c>
      <c r="D8" s="75">
        <f>AnMBR_35_GWP_yr!D8/AnMBR_35_GWP_yr!D$4</f>
        <v>0.83419625488832816</v>
      </c>
      <c r="E8" s="75">
        <f>AnMBR_35_GWP_yr!E8/AnMBR_35_GWP_yr!E$4</f>
        <v>0.83419625488832816</v>
      </c>
      <c r="F8" s="75">
        <f>AnMBR_35_GWP_yr!F8/AnMBR_35_GWP_yr!F$4</f>
        <v>0.83419625488832816</v>
      </c>
      <c r="G8" s="75">
        <f>AnMBR_35_GWP_yr!G8/AnMBR_35_GWP_yr!G$4</f>
        <v>0.7859737412283323</v>
      </c>
      <c r="H8" s="75">
        <f>AnMBR_35_GWP_yr!H8/AnMBR_35_GWP_yr!H$4</f>
        <v>0.7859737412283323</v>
      </c>
      <c r="I8" s="75">
        <f>AnMBR_35_GWP_yr!I8/AnMBR_35_GWP_yr!I$4</f>
        <v>0.7859737412283323</v>
      </c>
      <c r="J8" s="75">
        <f>AnMBR_35_GWP_yr!J8/AnMBR_35_GWP_yr!J$4</f>
        <v>0.7859737412283323</v>
      </c>
      <c r="K8" s="75">
        <f>AnMBR_35_GWP_yr!K8/AnMBR_35_GWP_yr!K$4</f>
        <v>0.66603419749991821</v>
      </c>
      <c r="L8" s="75">
        <f>AnMBR_35_GWP_yr!L8/AnMBR_35_GWP_yr!L$4</f>
        <v>0.66603419749991821</v>
      </c>
      <c r="M8" s="75">
        <f>AnMBR_35_GWP_yr!M8/AnMBR_35_GWP_yr!M$4</f>
        <v>0.66603419749991821</v>
      </c>
      <c r="N8" s="75">
        <f>AnMBR_35_GWP_yr!N8/AnMBR_35_GWP_yr!N$4</f>
        <v>0.66603419749991821</v>
      </c>
      <c r="O8" s="75">
        <f>AnMBR_35_GWP_yr!O8/AnMBR_35_GWP_yr!O$4</f>
        <v>0.64007875050113383</v>
      </c>
      <c r="P8" s="75">
        <f>AnMBR_35_GWP_yr!P8/AnMBR_35_GWP_yr!P$4</f>
        <v>0.64007875050113383</v>
      </c>
      <c r="Q8" s="75">
        <f>AnMBR_35_GWP_yr!Q8/AnMBR_35_GWP_yr!Q$4</f>
        <v>0.64007875050113383</v>
      </c>
      <c r="R8" s="75">
        <f>AnMBR_35_GWP_yr!R8/AnMBR_35_GWP_yr!R$4</f>
        <v>0.63027589294847564</v>
      </c>
      <c r="S8" s="75">
        <f>AnMBR_35_GWP_yr!S8/AnMBR_35_GWP_yr!S$4</f>
        <v>0.63027589294847564</v>
      </c>
      <c r="T8" s="75">
        <f>AnMBR_35_GWP_yr!T8/AnMBR_35_GWP_yr!T$4</f>
        <v>0.63027589294847564</v>
      </c>
      <c r="U8" s="54" t="s">
        <v>39</v>
      </c>
    </row>
    <row r="9" spans="1:21" x14ac:dyDescent="0.25">
      <c r="B9" s="54" t="s">
        <v>56</v>
      </c>
      <c r="C9" s="74">
        <f>AnMBR_35_GWP_yr!C9/AnMBR_35_GWP_yr!C$4</f>
        <v>4.7635210540186594E-2</v>
      </c>
      <c r="D9" s="74">
        <f>AnMBR_35_GWP_yr!D9/AnMBR_35_GWP_yr!D$4</f>
        <v>4.7635210540186594E-2</v>
      </c>
      <c r="E9" s="74">
        <f>AnMBR_35_GWP_yr!E9/AnMBR_35_GWP_yr!E$4</f>
        <v>4.7635210540186594E-2</v>
      </c>
      <c r="F9" s="74">
        <f>AnMBR_35_GWP_yr!F9/AnMBR_35_GWP_yr!F$4</f>
        <v>4.7635210540186594E-2</v>
      </c>
      <c r="G9" s="74">
        <f>AnMBR_35_GWP_yr!G9/AnMBR_35_GWP_yr!G$4</f>
        <v>2.5133974590205534E-2</v>
      </c>
      <c r="H9" s="74">
        <f>AnMBR_35_GWP_yr!H9/AnMBR_35_GWP_yr!H$4</f>
        <v>2.5133974590205534E-2</v>
      </c>
      <c r="I9" s="74">
        <f>AnMBR_35_GWP_yr!I9/AnMBR_35_GWP_yr!I$4</f>
        <v>2.5133974590205534E-2</v>
      </c>
      <c r="J9" s="74">
        <f>AnMBR_35_GWP_yr!J9/AnMBR_35_GWP_yr!J$4</f>
        <v>2.5133974590205534E-2</v>
      </c>
      <c r="K9" s="74">
        <f>AnMBR_35_GWP_yr!K9/AnMBR_35_GWP_yr!K$4</f>
        <v>3.0936414813298049E-2</v>
      </c>
      <c r="L9" s="74">
        <f>AnMBR_35_GWP_yr!L9/AnMBR_35_GWP_yr!L$4</f>
        <v>3.0936414813298049E-2</v>
      </c>
      <c r="M9" s="74">
        <f>AnMBR_35_GWP_yr!M9/AnMBR_35_GWP_yr!M$4</f>
        <v>3.0936414813298049E-2</v>
      </c>
      <c r="N9" s="74">
        <f>AnMBR_35_GWP_yr!N9/AnMBR_35_GWP_yr!N$4</f>
        <v>3.0936414813298049E-2</v>
      </c>
      <c r="O9" s="74">
        <f>AnMBR_35_GWP_yr!O9/AnMBR_35_GWP_yr!O$4</f>
        <v>2.5791291308994924E-2</v>
      </c>
      <c r="P9" s="74">
        <f>AnMBR_35_GWP_yr!P9/AnMBR_35_GWP_yr!P$4</f>
        <v>2.5791291308994924E-2</v>
      </c>
      <c r="Q9" s="74">
        <f>AnMBR_35_GWP_yr!Q9/AnMBR_35_GWP_yr!Q$4</f>
        <v>2.5791291308994924E-2</v>
      </c>
      <c r="R9" s="74">
        <f>AnMBR_35_GWP_yr!R9/AnMBR_35_GWP_yr!R$4</f>
        <v>2.3201210278050482E-2</v>
      </c>
      <c r="S9" s="74">
        <f>AnMBR_35_GWP_yr!S9/AnMBR_35_GWP_yr!S$4</f>
        <v>2.3201210278050482E-2</v>
      </c>
      <c r="T9" s="74">
        <f>AnMBR_35_GWP_yr!T9/AnMBR_35_GWP_yr!T$4</f>
        <v>2.3201210278050482E-2</v>
      </c>
      <c r="U9" s="54" t="s">
        <v>39</v>
      </c>
    </row>
    <row r="10" spans="1:21" x14ac:dyDescent="0.25">
      <c r="B10" s="54" t="s">
        <v>14</v>
      </c>
      <c r="C10" s="75">
        <f>AnMBR_35_GWP_yr!C10/AnMBR_35_GWP_yr!C$4</f>
        <v>0.47976598626657413</v>
      </c>
      <c r="D10" s="75">
        <f>AnMBR_35_GWP_yr!D10/AnMBR_35_GWP_yr!D$4</f>
        <v>0.47976598626657413</v>
      </c>
      <c r="E10" s="75">
        <f>AnMBR_35_GWP_yr!E10/AnMBR_35_GWP_yr!E$4</f>
        <v>0.47976598626657413</v>
      </c>
      <c r="F10" s="75">
        <f>AnMBR_35_GWP_yr!F10/AnMBR_35_GWP_yr!F$4</f>
        <v>0.47976598626657413</v>
      </c>
      <c r="G10" s="75">
        <f>AnMBR_35_GWP_yr!G10/AnMBR_35_GWP_yr!G$4</f>
        <v>0.28544962336030261</v>
      </c>
      <c r="H10" s="75">
        <f>AnMBR_35_GWP_yr!H10/AnMBR_35_GWP_yr!H$4</f>
        <v>0.28544962336030261</v>
      </c>
      <c r="I10" s="75">
        <f>AnMBR_35_GWP_yr!I10/AnMBR_35_GWP_yr!I$4</f>
        <v>0.28544962336030261</v>
      </c>
      <c r="J10" s="75">
        <f>AnMBR_35_GWP_yr!J10/AnMBR_35_GWP_yr!J$4</f>
        <v>0.28544962336030261</v>
      </c>
      <c r="K10" s="74">
        <f>AnMBR_35_GWP_yr!K10/AnMBR_35_GWP_yr!K$4</f>
        <v>6.5452486232116816E-2</v>
      </c>
      <c r="L10" s="74">
        <f>AnMBR_35_GWP_yr!L10/AnMBR_35_GWP_yr!L$4</f>
        <v>6.5452486232116816E-2</v>
      </c>
      <c r="M10" s="74">
        <f>AnMBR_35_GWP_yr!M10/AnMBR_35_GWP_yr!M$4</f>
        <v>6.5452486232116816E-2</v>
      </c>
      <c r="N10" s="74">
        <f>AnMBR_35_GWP_yr!N10/AnMBR_35_GWP_yr!N$4</f>
        <v>6.5452486232116816E-2</v>
      </c>
      <c r="O10" s="74">
        <f>AnMBR_35_GWP_yr!O10/AnMBR_35_GWP_yr!O$4</f>
        <v>3.5580450032576788E-2</v>
      </c>
      <c r="P10" s="74">
        <f>AnMBR_35_GWP_yr!P10/AnMBR_35_GWP_yr!P$4</f>
        <v>3.5580450032576788E-2</v>
      </c>
      <c r="Q10" s="74">
        <f>AnMBR_35_GWP_yr!Q10/AnMBR_35_GWP_yr!Q$4</f>
        <v>3.5580450032576788E-2</v>
      </c>
      <c r="R10" s="74">
        <f>AnMBR_35_GWP_yr!R10/AnMBR_35_GWP_yr!R$4</f>
        <v>3.0731871273323656E-2</v>
      </c>
      <c r="S10" s="74">
        <f>AnMBR_35_GWP_yr!S10/AnMBR_35_GWP_yr!S$4</f>
        <v>3.0731871273323656E-2</v>
      </c>
      <c r="T10" s="74">
        <f>AnMBR_35_GWP_yr!T10/AnMBR_35_GWP_yr!T$4</f>
        <v>3.0731871273323656E-2</v>
      </c>
      <c r="U10" s="54" t="s">
        <v>39</v>
      </c>
    </row>
    <row r="11" spans="1:21" x14ac:dyDescent="0.25">
      <c r="B11" s="54" t="s">
        <v>11</v>
      </c>
      <c r="C11" s="75">
        <f>AnMBR_35_GWP_yr!C11/AnMBR_35_GWP_yr!C$4</f>
        <v>-0.76277815651057068</v>
      </c>
      <c r="D11" s="75">
        <f>AnMBR_35_GWP_yr!D11/AnMBR_35_GWP_yr!D$4</f>
        <v>-0.76277815651057068</v>
      </c>
      <c r="E11" s="75">
        <f>AnMBR_35_GWP_yr!E11/AnMBR_35_GWP_yr!E$4</f>
        <v>-0.76277815651057068</v>
      </c>
      <c r="F11" s="75">
        <f>AnMBR_35_GWP_yr!F11/AnMBR_35_GWP_yr!F$4</f>
        <v>-0.76277815651057068</v>
      </c>
      <c r="G11" s="75">
        <f>AnMBR_35_GWP_yr!G11/AnMBR_35_GWP_yr!G$4</f>
        <v>-0.7498097490122092</v>
      </c>
      <c r="H11" s="75">
        <f>AnMBR_35_GWP_yr!H11/AnMBR_35_GWP_yr!H$4</f>
        <v>-0.7498097490122092</v>
      </c>
      <c r="I11" s="75">
        <f>AnMBR_35_GWP_yr!I11/AnMBR_35_GWP_yr!I$4</f>
        <v>-0.7498097490122092</v>
      </c>
      <c r="J11" s="75">
        <f>AnMBR_35_GWP_yr!J11/AnMBR_35_GWP_yr!J$4</f>
        <v>-0.7498097490122092</v>
      </c>
      <c r="K11" s="75">
        <f>AnMBR_35_GWP_yr!K11/AnMBR_35_GWP_yr!K$4</f>
        <v>-0.76595624825686393</v>
      </c>
      <c r="L11" s="75">
        <f>AnMBR_35_GWP_yr!L11/AnMBR_35_GWP_yr!L$4</f>
        <v>-0.76595624825686393</v>
      </c>
      <c r="M11" s="75">
        <f>AnMBR_35_GWP_yr!M11/AnMBR_35_GWP_yr!M$4</f>
        <v>-0.76595624825686393</v>
      </c>
      <c r="N11" s="75">
        <f>AnMBR_35_GWP_yr!N11/AnMBR_35_GWP_yr!N$4</f>
        <v>-0.76595624825686393</v>
      </c>
      <c r="O11" s="75">
        <f>AnMBR_35_GWP_yr!O11/AnMBR_35_GWP_yr!O$4</f>
        <v>-0.7532641334397292</v>
      </c>
      <c r="P11" s="75">
        <f>AnMBR_35_GWP_yr!P11/AnMBR_35_GWP_yr!P$4</f>
        <v>-0.7532641334397292</v>
      </c>
      <c r="Q11" s="75">
        <f>AnMBR_35_GWP_yr!Q11/AnMBR_35_GWP_yr!Q$4</f>
        <v>-0.7532641334397292</v>
      </c>
      <c r="R11" s="75">
        <f>AnMBR_35_GWP_yr!R11/AnMBR_35_GWP_yr!R$4</f>
        <v>-0.76437221476820871</v>
      </c>
      <c r="S11" s="75">
        <f>AnMBR_35_GWP_yr!S11/AnMBR_35_GWP_yr!S$4</f>
        <v>-0.76437221476820871</v>
      </c>
      <c r="T11" s="75">
        <f>AnMBR_35_GWP_yr!T11/AnMBR_35_GWP_yr!T$4</f>
        <v>-0.76437221476820871</v>
      </c>
      <c r="U11" s="54" t="s">
        <v>39</v>
      </c>
    </row>
    <row r="12" spans="1:21" x14ac:dyDescent="0.25">
      <c r="B12" s="61" t="s">
        <v>57</v>
      </c>
      <c r="C12" s="76">
        <f>SUM(C6:C11)</f>
        <v>0.64333196198124742</v>
      </c>
      <c r="D12" s="76">
        <f t="shared" ref="D12:T12" si="0">SUM(D6:D11)</f>
        <v>0.64137414889715094</v>
      </c>
      <c r="E12" s="76">
        <f t="shared" si="0"/>
        <v>0.63989921421714691</v>
      </c>
      <c r="F12" s="76">
        <f t="shared" si="0"/>
        <v>0.63962087067364126</v>
      </c>
      <c r="G12" s="76">
        <f t="shared" si="0"/>
        <v>0.3787195247330456</v>
      </c>
      <c r="H12" s="76">
        <f t="shared" si="0"/>
        <v>0.37691803079433217</v>
      </c>
      <c r="I12" s="76">
        <f t="shared" si="0"/>
        <v>0.37550972400242177</v>
      </c>
      <c r="J12" s="76">
        <f t="shared" si="0"/>
        <v>0.37524132895615059</v>
      </c>
      <c r="K12" s="115">
        <f t="shared" si="0"/>
        <v>9.3645211283961416E-3</v>
      </c>
      <c r="L12" s="115">
        <f t="shared" si="0"/>
        <v>7.3400753097344618E-3</v>
      </c>
      <c r="M12" s="115">
        <f t="shared" si="0"/>
        <v>5.9317742317347433E-3</v>
      </c>
      <c r="N12" s="115">
        <f t="shared" si="0"/>
        <v>5.6553034043619332E-3</v>
      </c>
      <c r="O12" s="77">
        <f t="shared" si="0"/>
        <v>-4.5785636429433341E-2</v>
      </c>
      <c r="P12" s="77">
        <f t="shared" si="0"/>
        <v>-4.6927951344518104E-2</v>
      </c>
      <c r="Q12" s="77">
        <f t="shared" si="0"/>
        <v>-4.7201647670368607E-2</v>
      </c>
      <c r="R12" s="77">
        <f t="shared" si="0"/>
        <v>-7.4903042944554965E-2</v>
      </c>
      <c r="S12" s="77">
        <f t="shared" si="0"/>
        <v>-7.6286798797757682E-2</v>
      </c>
      <c r="T12" s="77">
        <f t="shared" si="0"/>
        <v>-7.6571510675676802E-2</v>
      </c>
      <c r="U12" s="54" t="s">
        <v>39</v>
      </c>
    </row>
    <row r="15" spans="1:21" ht="15.75" x14ac:dyDescent="0.25">
      <c r="A15" s="42" t="s">
        <v>58</v>
      </c>
    </row>
    <row r="17" spans="2:20" ht="45" x14ac:dyDescent="0.25">
      <c r="C17" s="59" t="str">
        <f>C5</f>
        <v>0.05 MGD AnMBR [semi rural single family]</v>
      </c>
      <c r="D17" s="59" t="str">
        <f t="shared" ref="D17:T17" si="1">D5</f>
        <v>0.05 MGD AnMBR [single family]</v>
      </c>
      <c r="E17" s="59" t="str">
        <f t="shared" si="1"/>
        <v>0.05 MGD AnMBR [multi family]</v>
      </c>
      <c r="F17" s="59" t="str">
        <f t="shared" si="1"/>
        <v>0.05 MGD AnMBR [high density urban]</v>
      </c>
      <c r="G17" s="59" t="str">
        <f t="shared" si="1"/>
        <v>0.1 MGD AnMBR [semi rural single family]</v>
      </c>
      <c r="H17" s="59" t="str">
        <f t="shared" si="1"/>
        <v>0.1 MGD AnMBR [single family]</v>
      </c>
      <c r="I17" s="59" t="str">
        <f t="shared" si="1"/>
        <v>0.1 MGD AnMBR [multi family]</v>
      </c>
      <c r="J17" s="59" t="str">
        <f t="shared" si="1"/>
        <v>0.1 MGD AnMBR [high density urban]</v>
      </c>
      <c r="K17" s="59" t="str">
        <f t="shared" si="1"/>
        <v>1 MGD AnMBR [semi rural single family]</v>
      </c>
      <c r="L17" s="59" t="str">
        <f t="shared" si="1"/>
        <v>1 MGD AnMBR [single family]</v>
      </c>
      <c r="M17" s="59" t="str">
        <f t="shared" si="1"/>
        <v>1 MGD AnMBR [multi family]</v>
      </c>
      <c r="N17" s="59" t="str">
        <f t="shared" si="1"/>
        <v>1 MGD AnMBR [high density urban]</v>
      </c>
      <c r="O17" s="59" t="str">
        <f t="shared" si="1"/>
        <v>5 MGD AnMBR [single family]</v>
      </c>
      <c r="P17" s="59" t="str">
        <f t="shared" si="1"/>
        <v>5 MGD AnMBR [multi family]</v>
      </c>
      <c r="Q17" s="59" t="str">
        <f t="shared" si="1"/>
        <v>5 MGD AnMBR [high density urban]</v>
      </c>
      <c r="R17" s="59" t="str">
        <f t="shared" si="1"/>
        <v>10 MGD AnMBR [single family]</v>
      </c>
      <c r="S17" s="59" t="str">
        <f t="shared" si="1"/>
        <v>10 MGD AnMBR [multi family]</v>
      </c>
      <c r="T17" s="59" t="str">
        <f t="shared" si="1"/>
        <v>10 MGD AnMBR [high density urban]</v>
      </c>
    </row>
    <row r="18" spans="2:20" x14ac:dyDescent="0.25">
      <c r="B18" s="54" t="str">
        <f>B6</f>
        <v>Wastewater collection</v>
      </c>
      <c r="C18" s="65">
        <f>C6/C$12</f>
        <v>6.1567947376894522E-3</v>
      </c>
      <c r="D18" s="65">
        <f t="shared" ref="D18:T23" si="2">D6/D$12</f>
        <v>3.1230596952830834E-3</v>
      </c>
      <c r="E18" s="65">
        <f t="shared" si="2"/>
        <v>8.2530977110059438E-4</v>
      </c>
      <c r="F18" s="65">
        <f t="shared" si="2"/>
        <v>3.9049934415743502E-4</v>
      </c>
      <c r="G18" s="65">
        <f t="shared" si="2"/>
        <v>9.8698785995258755E-3</v>
      </c>
      <c r="H18" s="65">
        <f t="shared" si="2"/>
        <v>5.1375143544895785E-3</v>
      </c>
      <c r="I18" s="65">
        <f t="shared" si="2"/>
        <v>1.4063950092488369E-3</v>
      </c>
      <c r="J18" s="65">
        <f t="shared" si="2"/>
        <v>6.9214112478709143E-4</v>
      </c>
      <c r="K18" s="65">
        <f t="shared" si="2"/>
        <v>0.42296463355294439</v>
      </c>
      <c r="L18" s="65">
        <f t="shared" si="2"/>
        <v>0.26381410913333653</v>
      </c>
      <c r="M18" s="65">
        <f t="shared" si="2"/>
        <v>8.9031431436510974E-2</v>
      </c>
      <c r="N18" s="65">
        <f t="shared" si="2"/>
        <v>4.4496909439479093E-2</v>
      </c>
      <c r="O18" s="65">
        <f t="shared" si="2"/>
        <v>-3.6483696549517358E-2</v>
      </c>
      <c r="P18" s="65">
        <f t="shared" si="2"/>
        <v>-1.1253726949553941E-2</v>
      </c>
      <c r="Q18" s="65">
        <f t="shared" si="2"/>
        <v>-5.3900242351582689E-3</v>
      </c>
      <c r="R18" s="65">
        <f t="shared" si="2"/>
        <v>-2.5849686035912665E-2</v>
      </c>
      <c r="S18" s="65">
        <f t="shared" si="2"/>
        <v>-7.2419383006637975E-3</v>
      </c>
      <c r="T18" s="65">
        <f t="shared" si="2"/>
        <v>-3.4967628268887363E-3</v>
      </c>
    </row>
    <row r="19" spans="2:20" x14ac:dyDescent="0.25">
      <c r="B19" s="54" t="str">
        <f t="shared" ref="B19:B23" si="3">B7</f>
        <v>Pre treatment</v>
      </c>
      <c r="C19" s="65">
        <f t="shared" ref="C19:R23" si="4">C7/C$12</f>
        <v>6.3034026529211529E-2</v>
      </c>
      <c r="D19" s="65">
        <f t="shared" si="4"/>
        <v>6.3226439712833565E-2</v>
      </c>
      <c r="E19" s="65">
        <f t="shared" si="4"/>
        <v>6.3372173394878689E-2</v>
      </c>
      <c r="F19" s="65">
        <f t="shared" si="4"/>
        <v>6.3399751036746138E-2</v>
      </c>
      <c r="G19" s="65">
        <f t="shared" si="4"/>
        <v>7.4551262847963651E-2</v>
      </c>
      <c r="H19" s="65">
        <f t="shared" si="4"/>
        <v>7.490758341947093E-2</v>
      </c>
      <c r="I19" s="65">
        <f t="shared" si="4"/>
        <v>7.5188515847453952E-2</v>
      </c>
      <c r="J19" s="65">
        <f t="shared" si="4"/>
        <v>7.5242295171938492E-2</v>
      </c>
      <c r="K19" s="65">
        <f t="shared" si="4"/>
        <v>0.954326384651629</v>
      </c>
      <c r="L19" s="65">
        <f t="shared" si="4"/>
        <v>1.217536498651999</v>
      </c>
      <c r="M19" s="65">
        <f t="shared" si="4"/>
        <v>1.506599753012265</v>
      </c>
      <c r="N19" s="65">
        <f t="shared" si="4"/>
        <v>1.5802528977602024</v>
      </c>
      <c r="O19" s="65">
        <f t="shared" si="4"/>
        <v>-9.5173426462869096E-2</v>
      </c>
      <c r="P19" s="65">
        <f t="shared" si="4"/>
        <v>-9.2856725617138314E-2</v>
      </c>
      <c r="Q19" s="65">
        <f t="shared" si="4"/>
        <v>-9.2318300670420336E-2</v>
      </c>
      <c r="R19" s="65">
        <f t="shared" si="4"/>
        <v>-4.4377064667629376E-2</v>
      </c>
      <c r="S19" s="65">
        <f t="shared" si="2"/>
        <v>-4.3572115135737464E-2</v>
      </c>
      <c r="T19" s="65">
        <f t="shared" si="2"/>
        <v>-4.341010319923868E-2</v>
      </c>
    </row>
    <row r="20" spans="2:20" x14ac:dyDescent="0.25">
      <c r="B20" s="54" t="str">
        <f t="shared" si="3"/>
        <v>MBR operation</v>
      </c>
      <c r="C20" s="65">
        <f t="shared" si="4"/>
        <v>1.2966808804575518</v>
      </c>
      <c r="D20" s="65">
        <f t="shared" si="2"/>
        <v>1.3006390362360827</v>
      </c>
      <c r="E20" s="65">
        <f t="shared" si="2"/>
        <v>1.3036369421220253</v>
      </c>
      <c r="F20" s="65">
        <f t="shared" si="2"/>
        <v>1.3042042452582299</v>
      </c>
      <c r="G20" s="65">
        <f t="shared" si="2"/>
        <v>2.0753451826450058</v>
      </c>
      <c r="H20" s="65">
        <f t="shared" si="2"/>
        <v>2.0852643731899474</v>
      </c>
      <c r="I20" s="65">
        <f t="shared" si="2"/>
        <v>2.0930849216124781</v>
      </c>
      <c r="J20" s="65">
        <f t="shared" si="2"/>
        <v>2.0945820211615831</v>
      </c>
      <c r="K20" s="65">
        <f t="shared" si="2"/>
        <v>71.123145366215823</v>
      </c>
      <c r="L20" s="65">
        <f t="shared" si="2"/>
        <v>90.739422879846856</v>
      </c>
      <c r="M20" s="65">
        <f t="shared" si="2"/>
        <v>112.28245908899621</v>
      </c>
      <c r="N20" s="65">
        <f t="shared" si="2"/>
        <v>117.77161186192173</v>
      </c>
      <c r="O20" s="65">
        <f t="shared" si="2"/>
        <v>-13.979902878223585</v>
      </c>
      <c r="P20" s="65">
        <f t="shared" si="2"/>
        <v>-13.639605654251616</v>
      </c>
      <c r="Q20" s="65">
        <f t="shared" si="2"/>
        <v>-13.560517102519514</v>
      </c>
      <c r="R20" s="65">
        <f t="shared" si="2"/>
        <v>-8.4145565810326435</v>
      </c>
      <c r="S20" s="65">
        <f t="shared" si="2"/>
        <v>-8.2619260852639353</v>
      </c>
      <c r="T20" s="65">
        <f t="shared" si="2"/>
        <v>-8.2312061938812562</v>
      </c>
    </row>
    <row r="21" spans="2:20" x14ac:dyDescent="0.25">
      <c r="B21" s="54" t="str">
        <f t="shared" si="3"/>
        <v>MBR infrastructure</v>
      </c>
      <c r="C21" s="65">
        <f t="shared" si="4"/>
        <v>7.404452655124745E-2</v>
      </c>
      <c r="D21" s="65">
        <f t="shared" si="2"/>
        <v>7.4270549603684219E-2</v>
      </c>
      <c r="E21" s="65">
        <f t="shared" si="2"/>
        <v>7.4441739389324829E-2</v>
      </c>
      <c r="F21" s="65">
        <f t="shared" si="2"/>
        <v>7.4474134169539755E-2</v>
      </c>
      <c r="G21" s="65">
        <f t="shared" si="2"/>
        <v>6.6365668915332895E-2</v>
      </c>
      <c r="H21" s="65">
        <f t="shared" si="2"/>
        <v>6.6682866132026605E-2</v>
      </c>
      <c r="I21" s="65">
        <f t="shared" si="2"/>
        <v>6.6932952687114536E-2</v>
      </c>
      <c r="J21" s="65">
        <f t="shared" si="2"/>
        <v>6.6980827138959961E-2</v>
      </c>
      <c r="K21" s="65">
        <f t="shared" si="2"/>
        <v>3.3035768075197369</v>
      </c>
      <c r="L21" s="65">
        <f t="shared" si="2"/>
        <v>4.2147271666640735</v>
      </c>
      <c r="M21" s="65">
        <f t="shared" si="2"/>
        <v>5.2153729398178248</v>
      </c>
      <c r="N21" s="65">
        <f t="shared" si="2"/>
        <v>5.4703368858047128</v>
      </c>
      <c r="O21" s="65">
        <f t="shared" si="2"/>
        <v>-0.56330529223385362</v>
      </c>
      <c r="P21" s="65">
        <f t="shared" si="2"/>
        <v>-0.54959337814791986</v>
      </c>
      <c r="Q21" s="65">
        <f t="shared" si="2"/>
        <v>-0.54640658921713259</v>
      </c>
      <c r="R21" s="65">
        <f t="shared" si="2"/>
        <v>-0.30974990288745113</v>
      </c>
      <c r="S21" s="65">
        <f t="shared" si="2"/>
        <v>-0.30413139158661934</v>
      </c>
      <c r="T21" s="65">
        <f t="shared" si="2"/>
        <v>-0.3030005556024693</v>
      </c>
    </row>
    <row r="22" spans="2:20" x14ac:dyDescent="0.25">
      <c r="B22" s="54" t="str">
        <f t="shared" si="3"/>
        <v>Post treatment</v>
      </c>
      <c r="C22" s="65">
        <f t="shared" si="4"/>
        <v>0.74575182739103341</v>
      </c>
      <c r="D22" s="65">
        <f t="shared" si="2"/>
        <v>0.74802825634855474</v>
      </c>
      <c r="E22" s="65">
        <f t="shared" si="2"/>
        <v>0.74975242289290844</v>
      </c>
      <c r="F22" s="65">
        <f t="shared" si="2"/>
        <v>0.75007869233736879</v>
      </c>
      <c r="G22" s="65">
        <f t="shared" si="2"/>
        <v>0.75372301853597934</v>
      </c>
      <c r="H22" s="65">
        <f t="shared" si="2"/>
        <v>0.75732546611987395</v>
      </c>
      <c r="I22" s="65">
        <f t="shared" si="2"/>
        <v>0.76016572971213303</v>
      </c>
      <c r="J22" s="65">
        <f t="shared" si="2"/>
        <v>0.76070944571689025</v>
      </c>
      <c r="K22" s="65">
        <f t="shared" si="2"/>
        <v>6.9894109196512479</v>
      </c>
      <c r="L22" s="65">
        <f t="shared" si="2"/>
        <v>8.9171409652041653</v>
      </c>
      <c r="M22" s="65">
        <f t="shared" si="2"/>
        <v>11.034217364839808</v>
      </c>
      <c r="N22" s="65">
        <f t="shared" si="2"/>
        <v>11.573647168361177</v>
      </c>
      <c r="O22" s="65">
        <f t="shared" si="2"/>
        <v>-0.77710943447110981</v>
      </c>
      <c r="P22" s="65">
        <f t="shared" si="2"/>
        <v>-0.75819312399481342</v>
      </c>
      <c r="Q22" s="65">
        <f t="shared" si="2"/>
        <v>-0.75379678016860496</v>
      </c>
      <c r="R22" s="65">
        <f t="shared" si="2"/>
        <v>-0.41028868875290053</v>
      </c>
      <c r="S22" s="65">
        <f t="shared" si="2"/>
        <v>-0.40284651810854288</v>
      </c>
      <c r="T22" s="65">
        <f t="shared" si="2"/>
        <v>-0.40134863478781724</v>
      </c>
    </row>
    <row r="23" spans="2:20" x14ac:dyDescent="0.25">
      <c r="B23" s="54" t="str">
        <f t="shared" si="3"/>
        <v>Recycled water delivery</v>
      </c>
      <c r="C23" s="65">
        <f t="shared" si="4"/>
        <v>-1.1856680556667336</v>
      </c>
      <c r="D23" s="65">
        <f t="shared" si="2"/>
        <v>-1.189287341596438</v>
      </c>
      <c r="E23" s="65">
        <f t="shared" si="2"/>
        <v>-1.1920285875702379</v>
      </c>
      <c r="F23" s="65">
        <f t="shared" si="2"/>
        <v>-1.1925473221460419</v>
      </c>
      <c r="G23" s="65">
        <f t="shared" si="2"/>
        <v>-1.9798550115438074</v>
      </c>
      <c r="H23" s="65">
        <f t="shared" si="2"/>
        <v>-1.9893178032158081</v>
      </c>
      <c r="I23" s="65">
        <f t="shared" si="2"/>
        <v>-1.9967785148684285</v>
      </c>
      <c r="J23" s="65">
        <f t="shared" si="2"/>
        <v>-1.9982067303141584</v>
      </c>
      <c r="K23" s="65">
        <f t="shared" si="2"/>
        <v>-81.793424111591378</v>
      </c>
      <c r="L23" s="65">
        <f t="shared" si="2"/>
        <v>-104.35264161950043</v>
      </c>
      <c r="M23" s="65">
        <f t="shared" si="2"/>
        <v>-129.1276805781026</v>
      </c>
      <c r="N23" s="65">
        <f t="shared" si="2"/>
        <v>-135.44034572328732</v>
      </c>
      <c r="O23" s="65">
        <f t="shared" si="2"/>
        <v>16.451974727940936</v>
      </c>
      <c r="P23" s="65">
        <f t="shared" si="2"/>
        <v>16.051502608961041</v>
      </c>
      <c r="Q23" s="65">
        <f t="shared" si="2"/>
        <v>15.95842879681083</v>
      </c>
      <c r="R23" s="65">
        <f t="shared" si="2"/>
        <v>10.204821923376537</v>
      </c>
      <c r="S23" s="65">
        <f t="shared" si="2"/>
        <v>10.019718048395498</v>
      </c>
      <c r="T23" s="65">
        <f t="shared" si="2"/>
        <v>9.9824622502976705</v>
      </c>
    </row>
    <row r="24" spans="2:20" x14ac:dyDescent="0.25">
      <c r="B24" s="61" t="s">
        <v>57</v>
      </c>
      <c r="C24" s="66">
        <f>SUM(C18:C23)</f>
        <v>1</v>
      </c>
      <c r="D24" s="66">
        <f t="shared" ref="D24:T24" si="5">SUM(D18:D23)</f>
        <v>1.0000000000000004</v>
      </c>
      <c r="E24" s="66">
        <f t="shared" si="5"/>
        <v>1</v>
      </c>
      <c r="F24" s="66">
        <f t="shared" si="5"/>
        <v>1.0000000000000002</v>
      </c>
      <c r="G24" s="66">
        <f t="shared" si="5"/>
        <v>1</v>
      </c>
      <c r="H24" s="66">
        <f t="shared" si="5"/>
        <v>1.0000000000000007</v>
      </c>
      <c r="I24" s="66">
        <f t="shared" si="5"/>
        <v>1.0000000000000002</v>
      </c>
      <c r="J24" s="66">
        <f t="shared" si="5"/>
        <v>1.0000000000000007</v>
      </c>
      <c r="K24" s="66">
        <f t="shared" si="5"/>
        <v>1</v>
      </c>
      <c r="L24" s="66">
        <f t="shared" si="5"/>
        <v>1</v>
      </c>
      <c r="M24" s="66">
        <f t="shared" si="5"/>
        <v>1.0000000000000284</v>
      </c>
      <c r="N24" s="66">
        <f t="shared" si="5"/>
        <v>0.99999999999997158</v>
      </c>
      <c r="O24" s="66">
        <f t="shared" si="5"/>
        <v>1.0000000000000018</v>
      </c>
      <c r="P24" s="66">
        <f t="shared" si="5"/>
        <v>1</v>
      </c>
      <c r="Q24" s="66">
        <f t="shared" si="5"/>
        <v>1</v>
      </c>
      <c r="R24" s="66">
        <f t="shared" si="5"/>
        <v>0.99999999999999822</v>
      </c>
      <c r="S24" s="66">
        <f t="shared" si="5"/>
        <v>1</v>
      </c>
      <c r="T24" s="66">
        <f t="shared" si="5"/>
        <v>1</v>
      </c>
    </row>
  </sheetData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showGridLines="0" zoomScale="85" zoomScaleNormal="85" workbookViewId="0">
      <pane xSplit="2" topLeftCell="C1" activePane="topRight" state="frozen"/>
      <selection pane="topRight"/>
    </sheetView>
  </sheetViews>
  <sheetFormatPr defaultRowHeight="15" x14ac:dyDescent="0.25"/>
  <cols>
    <col min="1" max="1" width="3.140625" customWidth="1"/>
    <col min="2" max="2" width="28.28515625" customWidth="1"/>
    <col min="3" max="3" width="18.5703125" customWidth="1"/>
    <col min="4" max="4" width="18.85546875" customWidth="1"/>
    <col min="5" max="5" width="19.140625" customWidth="1"/>
    <col min="6" max="6" width="17.85546875" customWidth="1"/>
    <col min="7" max="7" width="23.140625" customWidth="1"/>
    <col min="8" max="8" width="20.5703125" customWidth="1"/>
    <col min="9" max="9" width="21.42578125" customWidth="1"/>
    <col min="10" max="10" width="20.28515625" customWidth="1"/>
    <col min="11" max="11" width="21.85546875" customWidth="1"/>
    <col min="12" max="12" width="18.42578125" customWidth="1"/>
    <col min="13" max="13" width="17.7109375" customWidth="1"/>
    <col min="14" max="14" width="17" customWidth="1"/>
    <col min="15" max="16" width="16.42578125" customWidth="1"/>
    <col min="17" max="17" width="17.7109375" customWidth="1"/>
    <col min="18" max="18" width="14.28515625" customWidth="1"/>
    <col min="19" max="19" width="15.7109375" customWidth="1"/>
    <col min="20" max="20" width="18" customWidth="1"/>
    <col min="21" max="21" width="11.7109375" customWidth="1"/>
  </cols>
  <sheetData>
    <row r="1" spans="1:21" ht="15.75" x14ac:dyDescent="0.25">
      <c r="A1" s="42" t="s">
        <v>172</v>
      </c>
    </row>
    <row r="2" spans="1:21" x14ac:dyDescent="0.25">
      <c r="A2" s="41" t="s">
        <v>52</v>
      </c>
    </row>
    <row r="4" spans="1:21" x14ac:dyDescent="0.25">
      <c r="B4" s="55" t="str">
        <f>AeMBR_Baseline_CED_Detail_yr!D4</f>
        <v>Water treated per year (m3)</v>
      </c>
      <c r="C4" s="56">
        <f>AeMBR_Baseline_CED_Detail_yr!E4</f>
        <v>69129.535959999994</v>
      </c>
      <c r="D4" s="57">
        <f>AeMBR_Baseline_CED_Detail_yr!F4</f>
        <v>69129.535959999994</v>
      </c>
      <c r="E4" s="57">
        <f>AeMBR_Baseline_CED_Detail_yr!G4</f>
        <v>69129.535959999994</v>
      </c>
      <c r="F4" s="57">
        <f>AeMBR_Baseline_CED_Detail_yr!H4</f>
        <v>69129.535959999994</v>
      </c>
      <c r="G4" s="57">
        <f>AeMBR_Baseline_CED_Detail_yr!I4</f>
        <v>138259.07190000001</v>
      </c>
      <c r="H4" s="57">
        <f>AeMBR_Baseline_CED_Detail_yr!J4</f>
        <v>138259.07190000001</v>
      </c>
      <c r="I4" s="57">
        <f>AeMBR_Baseline_CED_Detail_yr!K4</f>
        <v>138259.07190000001</v>
      </c>
      <c r="J4" s="57">
        <f>AeMBR_Baseline_CED_Detail_yr!L4</f>
        <v>138259.07190000001</v>
      </c>
      <c r="K4" s="57">
        <f>AeMBR_Baseline_CED_Detail_yr!M4</f>
        <v>1382590.719</v>
      </c>
      <c r="L4" s="57">
        <f>AeMBR_Baseline_CED_Detail_yr!N4</f>
        <v>1382590.719</v>
      </c>
      <c r="M4" s="57">
        <f>AeMBR_Baseline_CED_Detail_yr!O4</f>
        <v>1382590.719</v>
      </c>
      <c r="N4" s="57">
        <f>AeMBR_Baseline_CED_Detail_yr!P4</f>
        <v>1382590.719</v>
      </c>
      <c r="O4" s="57">
        <f>AeMBR_Baseline_CED_Detail_yr!Q4</f>
        <v>6912953.5959999999</v>
      </c>
      <c r="P4" s="57">
        <f>AeMBR_Baseline_CED_Detail_yr!R4</f>
        <v>6912953.5959999999</v>
      </c>
      <c r="Q4" s="57">
        <f>AeMBR_Baseline_CED_Detail_yr!S4</f>
        <v>6912953.5959999999</v>
      </c>
      <c r="R4" s="57">
        <f>AeMBR_Baseline_CED_Detail_yr!T4</f>
        <v>13825907.189999999</v>
      </c>
      <c r="S4" s="57">
        <f>AeMBR_Baseline_CED_Detail_yr!U4</f>
        <v>13825907.189999999</v>
      </c>
      <c r="T4" s="58">
        <f>AeMBR_Baseline_CED_Detail_yr!V4</f>
        <v>13825907.189999999</v>
      </c>
    </row>
    <row r="5" spans="1:21" ht="93" customHeight="1" x14ac:dyDescent="0.25">
      <c r="C5" s="59" t="str">
        <f>AnMBR_20_CED_Detail_yr!E5</f>
        <v>0.05 MGD AnMBR [semi rural single family]</v>
      </c>
      <c r="D5" s="59" t="str">
        <f>AnMBR_20_CED_Detail_yr!F5</f>
        <v>0.05 MGD AnMBR [single family]</v>
      </c>
      <c r="E5" s="59" t="str">
        <f>AnMBR_20_CED_Detail_yr!G5</f>
        <v>0.05 MGD AnMBR [multi family]</v>
      </c>
      <c r="F5" s="59" t="str">
        <f>AnMBR_20_CED_Detail_yr!H5</f>
        <v>0.05 MGD AnMBR [high density urban]</v>
      </c>
      <c r="G5" s="59" t="str">
        <f>AnMBR_20_CED_Detail_yr!I5</f>
        <v>0.1 MGD AnMBR [semi rural single family]</v>
      </c>
      <c r="H5" s="59" t="str">
        <f>AnMBR_20_CED_Detail_yr!J5</f>
        <v>0.1 MGD AnMBR [single family]</v>
      </c>
      <c r="I5" s="59" t="str">
        <f>AnMBR_20_CED_Detail_yr!K5</f>
        <v>0.1 MGD AnMBR [multi family]</v>
      </c>
      <c r="J5" s="59" t="str">
        <f>AnMBR_20_CED_Detail_yr!L5</f>
        <v>0.1 MGD AnMBR [high density urban]</v>
      </c>
      <c r="K5" s="59" t="str">
        <f>AnMBR_20_CED_Detail_yr!M5</f>
        <v>1 MGD AnMBR [semi rural single family]</v>
      </c>
      <c r="L5" s="59" t="str">
        <f>AnMBR_20_CED_Detail_yr!N5</f>
        <v>1 MGD AnMBR [single family]</v>
      </c>
      <c r="M5" s="59" t="str">
        <f>AnMBR_20_CED_Detail_yr!O5</f>
        <v>1 MGD AnMBR [multi family]</v>
      </c>
      <c r="N5" s="59" t="str">
        <f>AnMBR_20_CED_Detail_yr!P5</f>
        <v>1 MGD AnMBR [high density urban]</v>
      </c>
      <c r="O5" s="59" t="str">
        <f>AnMBR_20_CED_Detail_yr!Q5</f>
        <v>5 MGD AnMBR [single family]</v>
      </c>
      <c r="P5" s="59" t="str">
        <f>AnMBR_20_CED_Detail_yr!R5</f>
        <v>5 MGD AnMBR [multi family]</v>
      </c>
      <c r="Q5" s="59" t="str">
        <f>AnMBR_20_CED_Detail_yr!S5</f>
        <v>5 MGD AnMBR [high density urban]</v>
      </c>
      <c r="R5" s="59" t="str">
        <f>AnMBR_20_CED_Detail_yr!T5</f>
        <v>10 MGD AnMBR [single family]</v>
      </c>
      <c r="S5" s="59" t="str">
        <f>AnMBR_20_CED_Detail_yr!U5</f>
        <v>10 MGD AnMBR [multi family]</v>
      </c>
      <c r="T5" s="59" t="str">
        <f>AnMBR_20_CED_Detail_yr!V5</f>
        <v>10 MGD AnMBR [high density urban]</v>
      </c>
      <c r="U5" s="59" t="str">
        <f>AeMBR_Baseline_CED_Detail_yr!W5</f>
        <v>Unit</v>
      </c>
    </row>
    <row r="6" spans="1:21" x14ac:dyDescent="0.25">
      <c r="B6" s="54" t="str">
        <f>AeMBR_Baseline_CED_Detail_yr!B6</f>
        <v>Wastewater collection</v>
      </c>
      <c r="C6" s="72">
        <f>AnMBR_20_GWP_yr!C6/AnMBR_20_GWP_yr!C$4</f>
        <v>3.960862838113575E-3</v>
      </c>
      <c r="D6" s="72">
        <f>AnMBR_20_GWP_yr!D6/AnMBR_20_GWP_yr!D$4</f>
        <v>2.0030497540171831E-3</v>
      </c>
      <c r="E6" s="73">
        <f>AnMBR_20_GWP_yr!E6/AnMBR_20_GWP_yr!E$4</f>
        <v>5.2811507401300374E-4</v>
      </c>
      <c r="F6" s="73">
        <f>AnMBR_20_GWP_yr!F6/AnMBR_20_GWP_yr!F$4</f>
        <v>2.4977153050746449E-4</v>
      </c>
      <c r="G6" s="72">
        <f>AnMBR_20_GWP_yr!G6/AnMBR_20_GWP_yr!G$4</f>
        <v>3.737915732385297E-3</v>
      </c>
      <c r="H6" s="72">
        <f>AnMBR_20_GWP_yr!H6/AnMBR_20_GWP_yr!H$4</f>
        <v>1.9364217936718264E-3</v>
      </c>
      <c r="I6" s="73">
        <f>AnMBR_20_GWP_yr!I6/AnMBR_20_GWP_yr!I$4</f>
        <v>5.2811500176141416E-4</v>
      </c>
      <c r="J6" s="73">
        <f>AnMBR_20_GWP_yr!J6/AnMBR_20_GWP_yr!J$4</f>
        <v>2.5971995549031306E-4</v>
      </c>
      <c r="K6" s="72">
        <f>AnMBR_20_GWP_yr!K6/AnMBR_20_GWP_yr!K$4</f>
        <v>3.9608612474708793E-3</v>
      </c>
      <c r="L6" s="72">
        <f>AnMBR_20_GWP_yr!L6/AnMBR_20_GWP_yr!L$4</f>
        <v>1.9364154288091962E-3</v>
      </c>
      <c r="M6" s="73">
        <f>AnMBR_20_GWP_yr!M6/AnMBR_20_GWP_yr!M$4</f>
        <v>5.2811435080955436E-4</v>
      </c>
      <c r="N6" s="73">
        <f>AnMBR_20_GWP_yr!N6/AnMBR_20_GWP_yr!N$4</f>
        <v>2.5164352343667076E-4</v>
      </c>
      <c r="O6" s="72">
        <f>AnMBR_20_GWP_yr!O6/AnMBR_20_GWP_yr!O$4</f>
        <v>1.6704292658179735E-3</v>
      </c>
      <c r="P6" s="73">
        <f>AnMBR_20_GWP_yr!P6/AnMBR_20_GWP_yr!P$4</f>
        <v>5.2811435073315952E-4</v>
      </c>
      <c r="Q6" s="73">
        <f>AnMBR_20_GWP_yr!Q6/AnMBR_20_GWP_yr!Q$4</f>
        <v>2.5441802488268864E-4</v>
      </c>
      <c r="R6" s="72">
        <f>AnMBR_20_GWP_yr!R6/AnMBR_20_GWP_yr!R$4</f>
        <v>1.9362201432512292E-3</v>
      </c>
      <c r="S6" s="73">
        <f>AnMBR_20_GWP_yr!S6/AnMBR_20_GWP_yr!S$4</f>
        <v>5.524642900485143E-4</v>
      </c>
      <c r="T6" s="73">
        <f>AnMBR_20_GWP_yr!T6/AnMBR_20_GWP_yr!T$4</f>
        <v>2.6775241212942066E-4</v>
      </c>
      <c r="U6" s="54" t="s">
        <v>39</v>
      </c>
    </row>
    <row r="7" spans="1:21" x14ac:dyDescent="0.25">
      <c r="B7" s="60" t="str">
        <f>AeMBR_Baseline_CED_Detail_m3!B9</f>
        <v>Pre treatment</v>
      </c>
      <c r="C7" s="74">
        <f>AnMBR_20_GWP_yr!C7/AnMBR_20_GWP_yr!C$4</f>
        <v>4.0551803958615656E-2</v>
      </c>
      <c r="D7" s="74">
        <f>AnMBR_20_GWP_yr!D7/AnMBR_20_GWP_yr!D$4</f>
        <v>4.0551803958615656E-2</v>
      </c>
      <c r="E7" s="74">
        <f>AnMBR_20_GWP_yr!E7/AnMBR_20_GWP_yr!E$4</f>
        <v>4.0551803958615656E-2</v>
      </c>
      <c r="F7" s="74">
        <f>AnMBR_20_GWP_yr!F7/AnMBR_20_GWP_yr!F$4</f>
        <v>4.0551803958615656E-2</v>
      </c>
      <c r="G7" s="74">
        <f>AnMBR_20_GWP_yr!G7/AnMBR_20_GWP_yr!G$4</f>
        <v>2.8234018834029151E-2</v>
      </c>
      <c r="H7" s="74">
        <f>AnMBR_20_GWP_yr!H7/AnMBR_20_GWP_yr!H$4</f>
        <v>2.8234018834029151E-2</v>
      </c>
      <c r="I7" s="74">
        <f>AnMBR_20_GWP_yr!I7/AnMBR_20_GWP_yr!I$4</f>
        <v>2.8234018834029151E-2</v>
      </c>
      <c r="J7" s="74">
        <f>AnMBR_20_GWP_yr!J7/AnMBR_20_GWP_yr!J$4</f>
        <v>2.8234018834029151E-2</v>
      </c>
      <c r="K7" s="72">
        <f>AnMBR_20_GWP_yr!K7/AnMBR_20_GWP_yr!K$4</f>
        <v>8.9368095924560829E-3</v>
      </c>
      <c r="L7" s="72">
        <f>AnMBR_20_GWP_yr!L7/AnMBR_20_GWP_yr!L$4</f>
        <v>8.9368095924560829E-3</v>
      </c>
      <c r="M7" s="72">
        <f>AnMBR_20_GWP_yr!M7/AnMBR_20_GWP_yr!M$4</f>
        <v>8.9368095924560829E-3</v>
      </c>
      <c r="N7" s="72">
        <f>AnMBR_20_GWP_yr!N7/AnMBR_20_GWP_yr!N$4</f>
        <v>8.9368095924560829E-3</v>
      </c>
      <c r="O7" s="72">
        <f>AnMBR_20_GWP_yr!O7/AnMBR_20_GWP_yr!O$4</f>
        <v>4.3575759017723346E-3</v>
      </c>
      <c r="P7" s="72">
        <f>AnMBR_20_GWP_yr!P7/AnMBR_20_GWP_yr!P$4</f>
        <v>4.3575759017723346E-3</v>
      </c>
      <c r="Q7" s="72">
        <f>AnMBR_20_GWP_yr!Q7/AnMBR_20_GWP_yr!Q$4</f>
        <v>4.3575759017723346E-3</v>
      </c>
      <c r="R7" s="72">
        <f>AnMBR_20_GWP_yr!R7/AnMBR_20_GWP_yr!R$4</f>
        <v>3.3239771805527361E-3</v>
      </c>
      <c r="S7" s="72">
        <f>AnMBR_20_GWP_yr!S7/AnMBR_20_GWP_yr!S$4</f>
        <v>3.3239771805527361E-3</v>
      </c>
      <c r="T7" s="72">
        <f>AnMBR_20_GWP_yr!T7/AnMBR_20_GWP_yr!T$4</f>
        <v>3.3239771805527361E-3</v>
      </c>
      <c r="U7" s="54" t="s">
        <v>39</v>
      </c>
    </row>
    <row r="8" spans="1:21" x14ac:dyDescent="0.25">
      <c r="B8" s="54" t="s">
        <v>16</v>
      </c>
      <c r="C8" s="75">
        <f>AnMBR_20_GWP_yr!C8/AnMBR_20_GWP_yr!C$4</f>
        <v>-0.1944604259715908</v>
      </c>
      <c r="D8" s="75">
        <f>AnMBR_20_GWP_yr!D8/AnMBR_20_GWP_yr!D$4</f>
        <v>-0.1944604259715908</v>
      </c>
      <c r="E8" s="75">
        <f>AnMBR_20_GWP_yr!E8/AnMBR_20_GWP_yr!E$4</f>
        <v>-0.1944604259715908</v>
      </c>
      <c r="F8" s="75">
        <f>AnMBR_20_GWP_yr!F8/AnMBR_20_GWP_yr!F$4</f>
        <v>-0.1944604259715908</v>
      </c>
      <c r="G8" s="75">
        <f>AnMBR_20_GWP_yr!G8/AnMBR_20_GWP_yr!G$4</f>
        <v>-0.16613358707205381</v>
      </c>
      <c r="H8" s="75">
        <f>AnMBR_20_GWP_yr!H8/AnMBR_20_GWP_yr!H$4</f>
        <v>-0.16613358707205381</v>
      </c>
      <c r="I8" s="75">
        <f>AnMBR_20_GWP_yr!I8/AnMBR_20_GWP_yr!I$4</f>
        <v>-0.16613358707205381</v>
      </c>
      <c r="J8" s="75">
        <f>AnMBR_20_GWP_yr!J8/AnMBR_20_GWP_yr!J$4</f>
        <v>-0.16613358707205381</v>
      </c>
      <c r="K8" s="75">
        <f>AnMBR_20_GWP_yr!K8/AnMBR_20_GWP_yr!K$4</f>
        <v>-0.16989993616469518</v>
      </c>
      <c r="L8" s="75">
        <f>AnMBR_20_GWP_yr!L8/AnMBR_20_GWP_yr!L$4</f>
        <v>-0.16989993616469518</v>
      </c>
      <c r="M8" s="75">
        <f>AnMBR_20_GWP_yr!M8/AnMBR_20_GWP_yr!M$4</f>
        <v>-0.16989993616469518</v>
      </c>
      <c r="N8" s="75">
        <f>AnMBR_20_GWP_yr!N8/AnMBR_20_GWP_yr!N$4</f>
        <v>-0.16989993616469518</v>
      </c>
      <c r="O8" s="75">
        <f>AnMBR_20_GWP_yr!O8/AnMBR_20_GWP_yr!O$4</f>
        <v>-0.17168712092711697</v>
      </c>
      <c r="P8" s="75">
        <f>AnMBR_20_GWP_yr!P8/AnMBR_20_GWP_yr!P$4</f>
        <v>-0.17168712092711697</v>
      </c>
      <c r="Q8" s="75">
        <f>AnMBR_20_GWP_yr!Q8/AnMBR_20_GWP_yr!Q$4</f>
        <v>-0.17168712092711697</v>
      </c>
      <c r="R8" s="75">
        <f>AnMBR_20_GWP_yr!R8/AnMBR_20_GWP_yr!R$4</f>
        <v>-0.17258069703562073</v>
      </c>
      <c r="S8" s="75">
        <f>AnMBR_20_GWP_yr!S8/AnMBR_20_GWP_yr!S$4</f>
        <v>-0.17258069703562073</v>
      </c>
      <c r="T8" s="75">
        <f>AnMBR_20_GWP_yr!T8/AnMBR_20_GWP_yr!T$4</f>
        <v>-0.17258069703562073</v>
      </c>
      <c r="U8" s="54" t="s">
        <v>39</v>
      </c>
    </row>
    <row r="9" spans="1:21" x14ac:dyDescent="0.25">
      <c r="B9" s="54" t="s">
        <v>56</v>
      </c>
      <c r="C9" s="74">
        <f>AnMBR_20_GWP_yr!C9/AnMBR_20_GWP_yr!C$4</f>
        <v>4.7635210540186594E-2</v>
      </c>
      <c r="D9" s="74">
        <f>AnMBR_20_GWP_yr!D9/AnMBR_20_GWP_yr!D$4</f>
        <v>4.7635210540186594E-2</v>
      </c>
      <c r="E9" s="74">
        <f>AnMBR_20_GWP_yr!E9/AnMBR_20_GWP_yr!E$4</f>
        <v>4.7635210540186594E-2</v>
      </c>
      <c r="F9" s="74">
        <f>AnMBR_20_GWP_yr!F9/AnMBR_20_GWP_yr!F$4</f>
        <v>4.7635210540186594E-2</v>
      </c>
      <c r="G9" s="74">
        <f>AnMBR_20_GWP_yr!G9/AnMBR_20_GWP_yr!G$4</f>
        <v>2.5133974590205534E-2</v>
      </c>
      <c r="H9" s="74">
        <f>AnMBR_20_GWP_yr!H9/AnMBR_20_GWP_yr!H$4</f>
        <v>2.5133974590205534E-2</v>
      </c>
      <c r="I9" s="74">
        <f>AnMBR_20_GWP_yr!I9/AnMBR_20_GWP_yr!I$4</f>
        <v>2.5133974590205534E-2</v>
      </c>
      <c r="J9" s="74">
        <f>AnMBR_20_GWP_yr!J9/AnMBR_20_GWP_yr!J$4</f>
        <v>2.5133974590205534E-2</v>
      </c>
      <c r="K9" s="74">
        <f>AnMBR_20_GWP_yr!K9/AnMBR_20_GWP_yr!K$4</f>
        <v>3.0936414813298049E-2</v>
      </c>
      <c r="L9" s="74">
        <f>AnMBR_20_GWP_yr!L9/AnMBR_20_GWP_yr!L$4</f>
        <v>3.0936414813298049E-2</v>
      </c>
      <c r="M9" s="74">
        <f>AnMBR_20_GWP_yr!M9/AnMBR_20_GWP_yr!M$4</f>
        <v>3.0936414813298049E-2</v>
      </c>
      <c r="N9" s="74">
        <f>AnMBR_20_GWP_yr!N9/AnMBR_20_GWP_yr!N$4</f>
        <v>3.0936414813298049E-2</v>
      </c>
      <c r="O9" s="74">
        <f>AnMBR_20_GWP_yr!O9/AnMBR_20_GWP_yr!O$4</f>
        <v>2.5791291308994924E-2</v>
      </c>
      <c r="P9" s="74">
        <f>AnMBR_20_GWP_yr!P9/AnMBR_20_GWP_yr!P$4</f>
        <v>2.5791291308994924E-2</v>
      </c>
      <c r="Q9" s="74">
        <f>AnMBR_20_GWP_yr!Q9/AnMBR_20_GWP_yr!Q$4</f>
        <v>2.5791291308994924E-2</v>
      </c>
      <c r="R9" s="74">
        <f>AnMBR_20_GWP_yr!R9/AnMBR_20_GWP_yr!R$4</f>
        <v>2.3201210278050482E-2</v>
      </c>
      <c r="S9" s="74">
        <f>AnMBR_20_GWP_yr!S9/AnMBR_20_GWP_yr!S$4</f>
        <v>2.3201210278050482E-2</v>
      </c>
      <c r="T9" s="74">
        <f>AnMBR_20_GWP_yr!T9/AnMBR_20_GWP_yr!T$4</f>
        <v>2.3201210278050482E-2</v>
      </c>
      <c r="U9" s="54" t="s">
        <v>39</v>
      </c>
    </row>
    <row r="10" spans="1:21" x14ac:dyDescent="0.25">
      <c r="B10" s="54" t="s">
        <v>14</v>
      </c>
      <c r="C10" s="75">
        <f>AnMBR_20_GWP_yr!C10/AnMBR_20_GWP_yr!C$4</f>
        <v>0.47976598626657413</v>
      </c>
      <c r="D10" s="75">
        <f>AnMBR_20_GWP_yr!D10/AnMBR_20_GWP_yr!D$4</f>
        <v>0.47976598626657413</v>
      </c>
      <c r="E10" s="75">
        <f>AnMBR_20_GWP_yr!E10/AnMBR_20_GWP_yr!E$4</f>
        <v>0.47976598626657413</v>
      </c>
      <c r="F10" s="75">
        <f>AnMBR_20_GWP_yr!F10/AnMBR_20_GWP_yr!F$4</f>
        <v>0.47976598626657413</v>
      </c>
      <c r="G10" s="75">
        <f>AnMBR_20_GWP_yr!G10/AnMBR_20_GWP_yr!G$4</f>
        <v>0.28544962336030261</v>
      </c>
      <c r="H10" s="75">
        <f>AnMBR_20_GWP_yr!H10/AnMBR_20_GWP_yr!H$4</f>
        <v>0.28544962336030261</v>
      </c>
      <c r="I10" s="75">
        <f>AnMBR_20_GWP_yr!I10/AnMBR_20_GWP_yr!I$4</f>
        <v>0.28544962336030261</v>
      </c>
      <c r="J10" s="75">
        <f>AnMBR_20_GWP_yr!J10/AnMBR_20_GWP_yr!J$4</f>
        <v>0.28544962336030261</v>
      </c>
      <c r="K10" s="74">
        <f>AnMBR_20_GWP_yr!K10/AnMBR_20_GWP_yr!K$4</f>
        <v>6.5452486232116816E-2</v>
      </c>
      <c r="L10" s="74">
        <f>AnMBR_20_GWP_yr!L10/AnMBR_20_GWP_yr!L$4</f>
        <v>6.5452486232116816E-2</v>
      </c>
      <c r="M10" s="74">
        <f>AnMBR_20_GWP_yr!M10/AnMBR_20_GWP_yr!M$4</f>
        <v>6.5452486232116816E-2</v>
      </c>
      <c r="N10" s="74">
        <f>AnMBR_20_GWP_yr!N10/AnMBR_20_GWP_yr!N$4</f>
        <v>6.5452486232116816E-2</v>
      </c>
      <c r="O10" s="74">
        <f>AnMBR_20_GWP_yr!O10/AnMBR_20_GWP_yr!O$4</f>
        <v>3.5580450032576788E-2</v>
      </c>
      <c r="P10" s="74">
        <f>AnMBR_20_GWP_yr!P10/AnMBR_20_GWP_yr!P$4</f>
        <v>3.5580450032576788E-2</v>
      </c>
      <c r="Q10" s="74">
        <f>AnMBR_20_GWP_yr!Q10/AnMBR_20_GWP_yr!Q$4</f>
        <v>3.5580450032576788E-2</v>
      </c>
      <c r="R10" s="74">
        <f>AnMBR_20_GWP_yr!R10/AnMBR_20_GWP_yr!R$4</f>
        <v>3.0731871273323656E-2</v>
      </c>
      <c r="S10" s="74">
        <f>AnMBR_20_GWP_yr!S10/AnMBR_20_GWP_yr!S$4</f>
        <v>3.0731871273323656E-2</v>
      </c>
      <c r="T10" s="74">
        <f>AnMBR_20_GWP_yr!T10/AnMBR_20_GWP_yr!T$4</f>
        <v>3.0731871273323656E-2</v>
      </c>
      <c r="U10" s="54" t="s">
        <v>39</v>
      </c>
    </row>
    <row r="11" spans="1:21" x14ac:dyDescent="0.25">
      <c r="B11" s="54" t="s">
        <v>11</v>
      </c>
      <c r="C11" s="75">
        <f>AnMBR_20_GWP_yr!C11/AnMBR_20_GWP_yr!C$4</f>
        <v>-0.76277815651057068</v>
      </c>
      <c r="D11" s="75">
        <f>AnMBR_20_GWP_yr!D11/AnMBR_20_GWP_yr!D$4</f>
        <v>-0.76277815651057068</v>
      </c>
      <c r="E11" s="75">
        <f>AnMBR_20_GWP_yr!E11/AnMBR_20_GWP_yr!E$4</f>
        <v>-0.76277815651057068</v>
      </c>
      <c r="F11" s="75">
        <f>AnMBR_20_GWP_yr!F11/AnMBR_20_GWP_yr!F$4</f>
        <v>-0.76277815651057068</v>
      </c>
      <c r="G11" s="75">
        <f>AnMBR_20_GWP_yr!G11/AnMBR_20_GWP_yr!G$4</f>
        <v>-0.7498097490122092</v>
      </c>
      <c r="H11" s="75">
        <f>AnMBR_20_GWP_yr!H11/AnMBR_20_GWP_yr!H$4</f>
        <v>-0.7498097490122092</v>
      </c>
      <c r="I11" s="75">
        <f>AnMBR_20_GWP_yr!I11/AnMBR_20_GWP_yr!I$4</f>
        <v>-0.7498097490122092</v>
      </c>
      <c r="J11" s="75">
        <f>AnMBR_20_GWP_yr!J11/AnMBR_20_GWP_yr!J$4</f>
        <v>-0.7498097490122092</v>
      </c>
      <c r="K11" s="75">
        <f>AnMBR_20_GWP_yr!K11/AnMBR_20_GWP_yr!K$4</f>
        <v>-0.76595624825686393</v>
      </c>
      <c r="L11" s="75">
        <f>AnMBR_20_GWP_yr!L11/AnMBR_20_GWP_yr!L$4</f>
        <v>-0.76595624825686393</v>
      </c>
      <c r="M11" s="75">
        <f>AnMBR_20_GWP_yr!M11/AnMBR_20_GWP_yr!M$4</f>
        <v>-0.76595624825686393</v>
      </c>
      <c r="N11" s="75">
        <f>AnMBR_20_GWP_yr!N11/AnMBR_20_GWP_yr!N$4</f>
        <v>-0.76595624825686393</v>
      </c>
      <c r="O11" s="75">
        <f>AnMBR_20_GWP_yr!O11/AnMBR_20_GWP_yr!O$4</f>
        <v>-0.7532641334397292</v>
      </c>
      <c r="P11" s="75">
        <f>AnMBR_20_GWP_yr!P11/AnMBR_20_GWP_yr!P$4</f>
        <v>-0.7532641334397292</v>
      </c>
      <c r="Q11" s="75">
        <f>AnMBR_20_GWP_yr!Q11/AnMBR_20_GWP_yr!Q$4</f>
        <v>-0.7532641334397292</v>
      </c>
      <c r="R11" s="75">
        <f>AnMBR_20_GWP_yr!R11/AnMBR_20_GWP_yr!R$4</f>
        <v>-0.76437221476820871</v>
      </c>
      <c r="S11" s="75">
        <f>AnMBR_20_GWP_yr!S11/AnMBR_20_GWP_yr!S$4</f>
        <v>-0.76437221476820871</v>
      </c>
      <c r="T11" s="75">
        <f>AnMBR_20_GWP_yr!T11/AnMBR_20_GWP_yr!T$4</f>
        <v>-0.76437221476820871</v>
      </c>
      <c r="U11" s="54" t="s">
        <v>39</v>
      </c>
    </row>
    <row r="12" spans="1:21" x14ac:dyDescent="0.25">
      <c r="B12" s="61" t="s">
        <v>57</v>
      </c>
      <c r="C12" s="76">
        <f>SUM(C6:C11)</f>
        <v>-0.38532471887867153</v>
      </c>
      <c r="D12" s="76">
        <f t="shared" ref="D12:T12" si="0">SUM(D6:D11)</f>
        <v>-0.38728253196276791</v>
      </c>
      <c r="E12" s="76">
        <f t="shared" si="0"/>
        <v>-0.38875746664277211</v>
      </c>
      <c r="F12" s="76">
        <f t="shared" si="0"/>
        <v>-0.38903581018627764</v>
      </c>
      <c r="G12" s="76">
        <f t="shared" si="0"/>
        <v>-0.57338780356734043</v>
      </c>
      <c r="H12" s="76">
        <f t="shared" si="0"/>
        <v>-0.57518929750605396</v>
      </c>
      <c r="I12" s="76">
        <f t="shared" si="0"/>
        <v>-0.57659760429796436</v>
      </c>
      <c r="J12" s="76">
        <f t="shared" si="0"/>
        <v>-0.57686599934423544</v>
      </c>
      <c r="K12" s="76">
        <f t="shared" si="0"/>
        <v>-0.8265696125362173</v>
      </c>
      <c r="L12" s="76">
        <f t="shared" si="0"/>
        <v>-0.82859405835487898</v>
      </c>
      <c r="M12" s="76">
        <f t="shared" si="0"/>
        <v>-0.83000235943287859</v>
      </c>
      <c r="N12" s="76">
        <f t="shared" si="0"/>
        <v>-0.83027883026025151</v>
      </c>
      <c r="O12" s="76">
        <f t="shared" si="0"/>
        <v>-0.85755150785768408</v>
      </c>
      <c r="P12" s="76">
        <f t="shared" si="0"/>
        <v>-0.85869382277276896</v>
      </c>
      <c r="Q12" s="76">
        <f t="shared" si="0"/>
        <v>-0.85896751909861946</v>
      </c>
      <c r="R12" s="76">
        <f t="shared" si="0"/>
        <v>-0.87775963292865133</v>
      </c>
      <c r="S12" s="76">
        <f t="shared" si="0"/>
        <v>-0.87914338878185405</v>
      </c>
      <c r="T12" s="76">
        <f t="shared" si="0"/>
        <v>-0.87942810065977317</v>
      </c>
      <c r="U12" s="54" t="s">
        <v>39</v>
      </c>
    </row>
    <row r="15" spans="1:21" ht="15.75" x14ac:dyDescent="0.25">
      <c r="A15" s="42" t="s">
        <v>58</v>
      </c>
    </row>
    <row r="17" spans="2:20" ht="45" x14ac:dyDescent="0.25">
      <c r="C17" s="59" t="str">
        <f>C5</f>
        <v>0.05 MGD AnMBR [semi rural single family]</v>
      </c>
      <c r="D17" s="59" t="str">
        <f t="shared" ref="D17:T17" si="1">D5</f>
        <v>0.05 MGD AnMBR [single family]</v>
      </c>
      <c r="E17" s="59" t="str">
        <f t="shared" si="1"/>
        <v>0.05 MGD AnMBR [multi family]</v>
      </c>
      <c r="F17" s="59" t="str">
        <f t="shared" si="1"/>
        <v>0.05 MGD AnMBR [high density urban]</v>
      </c>
      <c r="G17" s="59" t="str">
        <f t="shared" si="1"/>
        <v>0.1 MGD AnMBR [semi rural single family]</v>
      </c>
      <c r="H17" s="59" t="str">
        <f t="shared" si="1"/>
        <v>0.1 MGD AnMBR [single family]</v>
      </c>
      <c r="I17" s="59" t="str">
        <f t="shared" si="1"/>
        <v>0.1 MGD AnMBR [multi family]</v>
      </c>
      <c r="J17" s="59" t="str">
        <f t="shared" si="1"/>
        <v>0.1 MGD AnMBR [high density urban]</v>
      </c>
      <c r="K17" s="59" t="str">
        <f t="shared" si="1"/>
        <v>1 MGD AnMBR [semi rural single family]</v>
      </c>
      <c r="L17" s="59" t="str">
        <f t="shared" si="1"/>
        <v>1 MGD AnMBR [single family]</v>
      </c>
      <c r="M17" s="59" t="str">
        <f t="shared" si="1"/>
        <v>1 MGD AnMBR [multi family]</v>
      </c>
      <c r="N17" s="59" t="str">
        <f t="shared" si="1"/>
        <v>1 MGD AnMBR [high density urban]</v>
      </c>
      <c r="O17" s="59" t="str">
        <f t="shared" si="1"/>
        <v>5 MGD AnMBR [single family]</v>
      </c>
      <c r="P17" s="59" t="str">
        <f t="shared" si="1"/>
        <v>5 MGD AnMBR [multi family]</v>
      </c>
      <c r="Q17" s="59" t="str">
        <f t="shared" si="1"/>
        <v>5 MGD AnMBR [high density urban]</v>
      </c>
      <c r="R17" s="59" t="str">
        <f t="shared" si="1"/>
        <v>10 MGD AnMBR [single family]</v>
      </c>
      <c r="S17" s="59" t="str">
        <f t="shared" si="1"/>
        <v>10 MGD AnMBR [multi family]</v>
      </c>
      <c r="T17" s="59" t="str">
        <f t="shared" si="1"/>
        <v>10 MGD AnMBR [high density urban]</v>
      </c>
    </row>
    <row r="18" spans="2:20" x14ac:dyDescent="0.25">
      <c r="B18" s="54" t="str">
        <f>B6</f>
        <v>Wastewater collection</v>
      </c>
      <c r="C18" s="65">
        <f>C6/C$12</f>
        <v>-1.0279285610432756E-2</v>
      </c>
      <c r="D18" s="65">
        <f t="shared" ref="D18:T23" si="2">D6/D$12</f>
        <v>-5.1720632579673126E-3</v>
      </c>
      <c r="E18" s="65">
        <f t="shared" si="2"/>
        <v>-1.3584692753908876E-3</v>
      </c>
      <c r="F18" s="65">
        <f t="shared" si="2"/>
        <v>-6.4202709356721993E-4</v>
      </c>
      <c r="G18" s="65">
        <f t="shared" si="2"/>
        <v>-6.5190011177946247E-3</v>
      </c>
      <c r="H18" s="65">
        <f t="shared" si="2"/>
        <v>-3.3665817532904378E-3</v>
      </c>
      <c r="I18" s="65">
        <f t="shared" si="2"/>
        <v>-9.1591605276338233E-4</v>
      </c>
      <c r="J18" s="65">
        <f t="shared" si="2"/>
        <v>-4.5022579903401344E-4</v>
      </c>
      <c r="K18" s="65">
        <f t="shared" si="2"/>
        <v>-4.791927004571957E-3</v>
      </c>
      <c r="L18" s="65">
        <f t="shared" si="2"/>
        <v>-2.3369892763337287E-3</v>
      </c>
      <c r="M18" s="65">
        <f t="shared" si="2"/>
        <v>-6.3628054162448726E-4</v>
      </c>
      <c r="N18" s="65">
        <f t="shared" si="2"/>
        <v>-3.0308315022050232E-4</v>
      </c>
      <c r="O18" s="65">
        <f t="shared" si="2"/>
        <v>-1.947905461668422E-3</v>
      </c>
      <c r="P18" s="65">
        <f t="shared" si="2"/>
        <v>-6.1502055415730097E-4</v>
      </c>
      <c r="Q18" s="65">
        <f t="shared" si="2"/>
        <v>-2.9619050688862948E-4</v>
      </c>
      <c r="R18" s="65">
        <f t="shared" si="2"/>
        <v>-2.205866014584217E-3</v>
      </c>
      <c r="S18" s="65">
        <f t="shared" si="2"/>
        <v>-6.2841203960370092E-4</v>
      </c>
      <c r="T18" s="65">
        <f t="shared" si="2"/>
        <v>-3.0446197014689978E-4</v>
      </c>
    </row>
    <row r="19" spans="2:20" x14ac:dyDescent="0.25">
      <c r="B19" s="54" t="str">
        <f t="shared" ref="B19:B23" si="3">B7</f>
        <v>Pre treatment</v>
      </c>
      <c r="C19" s="65">
        <f t="shared" ref="C19:R23" si="4">C7/C$12</f>
        <v>-0.10524059831049754</v>
      </c>
      <c r="D19" s="65">
        <f t="shared" si="4"/>
        <v>-0.10470857994316711</v>
      </c>
      <c r="E19" s="65">
        <f t="shared" si="4"/>
        <v>-0.10431131859360163</v>
      </c>
      <c r="F19" s="65">
        <f t="shared" si="4"/>
        <v>-0.10423668694971472</v>
      </c>
      <c r="G19" s="65">
        <f t="shared" si="4"/>
        <v>-4.9240703514045463E-2</v>
      </c>
      <c r="H19" s="65">
        <f t="shared" si="4"/>
        <v>-4.9086481539987251E-2</v>
      </c>
      <c r="I19" s="65">
        <f t="shared" si="4"/>
        <v>-4.8966590605948566E-2</v>
      </c>
      <c r="J19" s="65">
        <f t="shared" si="4"/>
        <v>-4.8943808208708375E-2</v>
      </c>
      <c r="K19" s="65">
        <f t="shared" si="4"/>
        <v>-1.0811926130498179E-2</v>
      </c>
      <c r="L19" s="65">
        <f t="shared" si="4"/>
        <v>-1.0785510108773351E-2</v>
      </c>
      <c r="M19" s="65">
        <f t="shared" si="4"/>
        <v>-1.0767209864996526E-2</v>
      </c>
      <c r="N19" s="65">
        <f t="shared" si="4"/>
        <v>-1.0763624540029321E-2</v>
      </c>
      <c r="O19" s="65">
        <f t="shared" si="4"/>
        <v>-5.0814159404352667E-3</v>
      </c>
      <c r="P19" s="65">
        <f t="shared" si="4"/>
        <v>-5.0746561652225304E-3</v>
      </c>
      <c r="Q19" s="65">
        <f t="shared" si="4"/>
        <v>-5.0730392068201527E-3</v>
      </c>
      <c r="R19" s="65">
        <f t="shared" si="4"/>
        <v>-3.7868877262699609E-3</v>
      </c>
      <c r="S19" s="65">
        <f t="shared" si="2"/>
        <v>-3.7809272332223953E-3</v>
      </c>
      <c r="T19" s="65">
        <f t="shared" si="2"/>
        <v>-3.7797031707981462E-3</v>
      </c>
    </row>
    <row r="20" spans="2:20" x14ac:dyDescent="0.25">
      <c r="B20" s="54" t="str">
        <f t="shared" si="3"/>
        <v>MBR operation</v>
      </c>
      <c r="C20" s="65">
        <f t="shared" si="4"/>
        <v>0.5046663669475645</v>
      </c>
      <c r="D20" s="65">
        <f t="shared" si="2"/>
        <v>0.50211514830285608</v>
      </c>
      <c r="E20" s="65">
        <f t="shared" si="2"/>
        <v>0.5002101378294036</v>
      </c>
      <c r="F20" s="65">
        <f t="shared" si="2"/>
        <v>0.49985225236329661</v>
      </c>
      <c r="G20" s="65">
        <f t="shared" si="2"/>
        <v>0.28974035729126313</v>
      </c>
      <c r="H20" s="65">
        <f t="shared" si="2"/>
        <v>0.28883288995881434</v>
      </c>
      <c r="I20" s="65">
        <f t="shared" si="2"/>
        <v>0.28812743208381786</v>
      </c>
      <c r="J20" s="65">
        <f t="shared" si="2"/>
        <v>0.28799337673031461</v>
      </c>
      <c r="K20" s="65">
        <f t="shared" si="2"/>
        <v>0.20554824855389997</v>
      </c>
      <c r="L20" s="65">
        <f t="shared" si="2"/>
        <v>0.20504604691713665</v>
      </c>
      <c r="M20" s="65">
        <f t="shared" si="2"/>
        <v>0.20469813637732773</v>
      </c>
      <c r="N20" s="65">
        <f t="shared" si="2"/>
        <v>0.20462997486210738</v>
      </c>
      <c r="O20" s="65">
        <f t="shared" si="2"/>
        <v>0.20020619094475373</v>
      </c>
      <c r="P20" s="65">
        <f t="shared" si="2"/>
        <v>0.199939857925995</v>
      </c>
      <c r="Q20" s="65">
        <f t="shared" si="2"/>
        <v>0.19987615027315753</v>
      </c>
      <c r="R20" s="65">
        <f t="shared" si="2"/>
        <v>0.19661498497009255</v>
      </c>
      <c r="S20" s="65">
        <f t="shared" si="2"/>
        <v>0.19630551652643319</v>
      </c>
      <c r="T20" s="65">
        <f t="shared" si="2"/>
        <v>0.19624196327834595</v>
      </c>
    </row>
    <row r="21" spans="2:20" x14ac:dyDescent="0.25">
      <c r="B21" s="54" t="str">
        <f t="shared" si="3"/>
        <v>MBR infrastructure</v>
      </c>
      <c r="C21" s="65">
        <f t="shared" si="4"/>
        <v>-0.1236235523088402</v>
      </c>
      <c r="D21" s="65">
        <f t="shared" si="2"/>
        <v>-0.12299860336785365</v>
      </c>
      <c r="E21" s="65">
        <f t="shared" si="2"/>
        <v>-0.12253195019391981</v>
      </c>
      <c r="F21" s="65">
        <f t="shared" si="2"/>
        <v>-0.12244428223041463</v>
      </c>
      <c r="G21" s="65">
        <f t="shared" si="2"/>
        <v>-4.383416325536426E-2</v>
      </c>
      <c r="H21" s="65">
        <f t="shared" si="2"/>
        <v>-4.3696874575349681E-2</v>
      </c>
      <c r="I21" s="65">
        <f t="shared" si="2"/>
        <v>-4.3590147449203108E-2</v>
      </c>
      <c r="J21" s="65">
        <f t="shared" si="2"/>
        <v>-4.3569866518007837E-2</v>
      </c>
      <c r="K21" s="65">
        <f t="shared" si="2"/>
        <v>-3.7427476578014811E-2</v>
      </c>
      <c r="L21" s="65">
        <f t="shared" si="2"/>
        <v>-3.7336032646336302E-2</v>
      </c>
      <c r="M21" s="65">
        <f t="shared" si="2"/>
        <v>-3.7272682976993203E-2</v>
      </c>
      <c r="N21" s="65">
        <f t="shared" si="2"/>
        <v>-3.7260271713300229E-2</v>
      </c>
      <c r="O21" s="65">
        <f t="shared" si="2"/>
        <v>-3.0075501089638509E-2</v>
      </c>
      <c r="P21" s="65">
        <f t="shared" si="2"/>
        <v>-3.0035491842381544E-2</v>
      </c>
      <c r="Q21" s="65">
        <f t="shared" si="2"/>
        <v>-3.0025921511048177E-2</v>
      </c>
      <c r="R21" s="65">
        <f t="shared" si="2"/>
        <v>-2.6432304935964619E-2</v>
      </c>
      <c r="S21" s="65">
        <f t="shared" si="2"/>
        <v>-2.6390700964262732E-2</v>
      </c>
      <c r="T21" s="65">
        <f t="shared" si="2"/>
        <v>-2.6382157063942171E-2</v>
      </c>
    </row>
    <row r="22" spans="2:20" x14ac:dyDescent="0.25">
      <c r="B22" s="54" t="str">
        <f t="shared" si="3"/>
        <v>Post treatment</v>
      </c>
      <c r="C22" s="65">
        <f t="shared" si="4"/>
        <v>-1.2450952735727283</v>
      </c>
      <c r="D22" s="65">
        <f t="shared" si="2"/>
        <v>-1.2388009958391237</v>
      </c>
      <c r="E22" s="65">
        <f t="shared" si="2"/>
        <v>-1.2341010203861356</v>
      </c>
      <c r="F22" s="65">
        <f t="shared" si="2"/>
        <v>-1.233218057835995</v>
      </c>
      <c r="G22" s="65">
        <f t="shared" si="2"/>
        <v>-0.49782995310394412</v>
      </c>
      <c r="H22" s="65">
        <f t="shared" si="2"/>
        <v>-0.49627074877431671</v>
      </c>
      <c r="I22" s="65">
        <f t="shared" si="2"/>
        <v>-0.49505863574971215</v>
      </c>
      <c r="J22" s="65">
        <f t="shared" si="2"/>
        <v>-0.4948283027337258</v>
      </c>
      <c r="K22" s="65">
        <f t="shared" si="2"/>
        <v>-7.9185691367584507E-2</v>
      </c>
      <c r="L22" s="65">
        <f t="shared" si="2"/>
        <v>-7.8992222514929183E-2</v>
      </c>
      <c r="M22" s="65">
        <f t="shared" si="2"/>
        <v>-7.8858192977715125E-2</v>
      </c>
      <c r="N22" s="65">
        <f t="shared" si="2"/>
        <v>-7.8831934341383469E-2</v>
      </c>
      <c r="O22" s="65">
        <f t="shared" si="2"/>
        <v>-4.1490743945472232E-2</v>
      </c>
      <c r="P22" s="65">
        <f t="shared" si="2"/>
        <v>-4.1435549073458554E-2</v>
      </c>
      <c r="Q22" s="65">
        <f t="shared" si="2"/>
        <v>-4.1422346295368756E-2</v>
      </c>
      <c r="R22" s="65">
        <f t="shared" si="2"/>
        <v>-3.5011716329203413E-2</v>
      </c>
      <c r="S22" s="65">
        <f t="shared" si="2"/>
        <v>-3.4956608518555671E-2</v>
      </c>
      <c r="T22" s="65">
        <f t="shared" si="2"/>
        <v>-3.4945291434589923E-2</v>
      </c>
    </row>
    <row r="23" spans="2:20" x14ac:dyDescent="0.25">
      <c r="B23" s="54" t="str">
        <f t="shared" si="3"/>
        <v>Recycled water delivery</v>
      </c>
      <c r="C23" s="65">
        <f t="shared" si="4"/>
        <v>1.9795723428549341</v>
      </c>
      <c r="D23" s="65">
        <f t="shared" si="2"/>
        <v>1.9695650941052558</v>
      </c>
      <c r="E23" s="65">
        <f t="shared" si="2"/>
        <v>1.9620926206196443</v>
      </c>
      <c r="F23" s="65">
        <f t="shared" si="2"/>
        <v>1.960688801746395</v>
      </c>
      <c r="G23" s="65">
        <f t="shared" si="2"/>
        <v>1.3076834636998853</v>
      </c>
      <c r="H23" s="65">
        <f t="shared" si="2"/>
        <v>1.3035877966841296</v>
      </c>
      <c r="I23" s="65">
        <f t="shared" si="2"/>
        <v>1.3004038577738093</v>
      </c>
      <c r="J23" s="65">
        <f t="shared" si="2"/>
        <v>1.2997988265291613</v>
      </c>
      <c r="K23" s="65">
        <f t="shared" si="2"/>
        <v>0.92666877252676949</v>
      </c>
      <c r="L23" s="65">
        <f t="shared" si="2"/>
        <v>0.92440470762923588</v>
      </c>
      <c r="M23" s="65">
        <f t="shared" si="2"/>
        <v>0.92283622998400161</v>
      </c>
      <c r="N23" s="65">
        <f t="shared" si="2"/>
        <v>0.92252893888282617</v>
      </c>
      <c r="O23" s="65">
        <f t="shared" si="2"/>
        <v>0.87838937549246077</v>
      </c>
      <c r="P23" s="65">
        <f t="shared" si="2"/>
        <v>0.87722085970922492</v>
      </c>
      <c r="Q23" s="65">
        <f t="shared" si="2"/>
        <v>0.87694134724696815</v>
      </c>
      <c r="R23" s="65">
        <f t="shared" si="2"/>
        <v>0.87082179003592963</v>
      </c>
      <c r="S23" s="65">
        <f t="shared" si="2"/>
        <v>0.86945113222921133</v>
      </c>
      <c r="T23" s="65">
        <f t="shared" si="2"/>
        <v>0.86916965036113114</v>
      </c>
    </row>
    <row r="24" spans="2:20" x14ac:dyDescent="0.25">
      <c r="B24" s="61" t="s">
        <v>57</v>
      </c>
      <c r="C24" s="66">
        <f>SUM(C18:C23)</f>
        <v>0.99999999999999978</v>
      </c>
      <c r="D24" s="66">
        <f t="shared" ref="D24:T24" si="5">SUM(D18:D23)</f>
        <v>1</v>
      </c>
      <c r="E24" s="66">
        <f t="shared" si="5"/>
        <v>1</v>
      </c>
      <c r="F24" s="66">
        <f t="shared" si="5"/>
        <v>1</v>
      </c>
      <c r="G24" s="66">
        <f t="shared" si="5"/>
        <v>1</v>
      </c>
      <c r="H24" s="66">
        <f t="shared" si="5"/>
        <v>0.99999999999999989</v>
      </c>
      <c r="I24" s="66">
        <f t="shared" si="5"/>
        <v>1</v>
      </c>
      <c r="J24" s="66">
        <f t="shared" si="5"/>
        <v>0.99999999999999989</v>
      </c>
      <c r="K24" s="66">
        <f t="shared" si="5"/>
        <v>1</v>
      </c>
      <c r="L24" s="66">
        <f t="shared" si="5"/>
        <v>1</v>
      </c>
      <c r="M24" s="66">
        <f t="shared" si="5"/>
        <v>1</v>
      </c>
      <c r="N24" s="66">
        <f t="shared" si="5"/>
        <v>1</v>
      </c>
      <c r="O24" s="66">
        <f t="shared" si="5"/>
        <v>1</v>
      </c>
      <c r="P24" s="66">
        <f t="shared" si="5"/>
        <v>1</v>
      </c>
      <c r="Q24" s="66">
        <f t="shared" si="5"/>
        <v>1</v>
      </c>
      <c r="R24" s="66">
        <f t="shared" si="5"/>
        <v>1</v>
      </c>
      <c r="S24" s="66">
        <f t="shared" si="5"/>
        <v>1</v>
      </c>
      <c r="T24" s="66">
        <f t="shared" si="5"/>
        <v>1</v>
      </c>
    </row>
  </sheetData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showGridLines="0" zoomScale="85" zoomScaleNormal="85" workbookViewId="0">
      <selection activeCell="U23" sqref="U23"/>
    </sheetView>
  </sheetViews>
  <sheetFormatPr defaultRowHeight="15" x14ac:dyDescent="0.25"/>
  <cols>
    <col min="1" max="1" width="3.42578125" customWidth="1"/>
    <col min="2" max="2" width="24" customWidth="1"/>
    <col min="3" max="3" width="10.7109375" customWidth="1"/>
    <col min="4" max="4" width="15.5703125" customWidth="1"/>
    <col min="5" max="5" width="14" customWidth="1"/>
    <col min="6" max="6" width="10" customWidth="1"/>
    <col min="7" max="7" width="11.85546875" customWidth="1"/>
    <col min="8" max="8" width="15" customWidth="1"/>
    <col min="9" max="9" width="12" customWidth="1"/>
    <col min="10" max="10" width="13.5703125" customWidth="1"/>
    <col min="11" max="11" width="15.140625" customWidth="1"/>
    <col min="12" max="12" width="10.85546875" bestFit="1" customWidth="1"/>
    <col min="13" max="13" width="13.7109375" customWidth="1"/>
    <col min="14" max="14" width="10.85546875" bestFit="1" customWidth="1"/>
    <col min="15" max="15" width="11.85546875" bestFit="1" customWidth="1"/>
    <col min="16" max="16" width="11.42578125" customWidth="1"/>
    <col min="17" max="17" width="11.85546875" bestFit="1" customWidth="1"/>
  </cols>
  <sheetData>
    <row r="1" spans="1:17" ht="15.75" x14ac:dyDescent="0.25">
      <c r="A1" s="42" t="s">
        <v>171</v>
      </c>
    </row>
    <row r="2" spans="1:17" ht="15.75" x14ac:dyDescent="0.25">
      <c r="A2" s="42" t="s">
        <v>159</v>
      </c>
    </row>
    <row r="4" spans="1:17" x14ac:dyDescent="0.25">
      <c r="B4" s="54"/>
      <c r="C4" s="152" t="s">
        <v>93</v>
      </c>
      <c r="D4" s="152"/>
      <c r="E4" s="152"/>
      <c r="F4" s="152" t="s">
        <v>94</v>
      </c>
      <c r="G4" s="152"/>
      <c r="H4" s="152"/>
      <c r="I4" s="152" t="s">
        <v>95</v>
      </c>
      <c r="J4" s="152"/>
      <c r="K4" s="152"/>
      <c r="L4" s="152" t="s">
        <v>96</v>
      </c>
      <c r="M4" s="152"/>
      <c r="N4" s="152"/>
      <c r="O4" s="152" t="s">
        <v>97</v>
      </c>
      <c r="P4" s="152"/>
      <c r="Q4" s="152"/>
    </row>
    <row r="5" spans="1:17" x14ac:dyDescent="0.25">
      <c r="B5" s="54"/>
      <c r="C5" s="54" t="s">
        <v>90</v>
      </c>
      <c r="D5" s="54" t="s">
        <v>91</v>
      </c>
      <c r="E5" s="54" t="s">
        <v>92</v>
      </c>
      <c r="F5" s="54" t="s">
        <v>90</v>
      </c>
      <c r="G5" s="54" t="s">
        <v>91</v>
      </c>
      <c r="H5" s="54" t="s">
        <v>92</v>
      </c>
      <c r="I5" s="54" t="s">
        <v>90</v>
      </c>
      <c r="J5" s="54" t="s">
        <v>91</v>
      </c>
      <c r="K5" s="54" t="s">
        <v>92</v>
      </c>
      <c r="L5" s="54" t="s">
        <v>90</v>
      </c>
      <c r="M5" s="54" t="s">
        <v>91</v>
      </c>
      <c r="N5" s="54" t="s">
        <v>92</v>
      </c>
      <c r="O5" s="54" t="s">
        <v>90</v>
      </c>
      <c r="P5" s="54" t="s">
        <v>91</v>
      </c>
      <c r="Q5" s="54" t="s">
        <v>92</v>
      </c>
    </row>
    <row r="6" spans="1:17" x14ac:dyDescent="0.25">
      <c r="B6" s="54" t="s">
        <v>12</v>
      </c>
      <c r="C6" s="72">
        <f>CED_GWP_Compare_yr!C7/CED_GWP_Compare_yr!$C$4</f>
        <v>2.5212223339796309E-3</v>
      </c>
      <c r="D6" s="72">
        <f>CED_GWP_Compare_yr!D7/CED_GWP_Compare_yr!$C$4</f>
        <v>2.5212223339796309E-3</v>
      </c>
      <c r="E6" s="72">
        <f>CED_GWP_Compare_yr!E7/CED_GWP_Compare_yr!$C$4</f>
        <v>2.5212223339796309E-3</v>
      </c>
      <c r="F6" s="72">
        <f>CED_GWP_Compare_yr!F7/CED_GWP_Compare_yr!$F$4</f>
        <v>2.6610661054206021E-3</v>
      </c>
      <c r="G6" s="72">
        <f>CED_GWP_Compare_yr!G7/CED_GWP_Compare_yr!$F$4</f>
        <v>2.6610661054206021E-3</v>
      </c>
      <c r="H6" s="72">
        <f>CED_GWP_Compare_yr!H7/CED_GWP_Compare_yr!$F$4</f>
        <v>2.6610661054206021E-3</v>
      </c>
      <c r="I6" s="72">
        <f>CED_GWP_Compare_yr!I7/CED_GWP_Compare_yr!$I$4</f>
        <v>2.5709944028634839E-3</v>
      </c>
      <c r="J6" s="72">
        <f>CED_GWP_Compare_yr!J7/CED_GWP_Compare_yr!$I$4</f>
        <v>2.5709944028634839E-3</v>
      </c>
      <c r="K6" s="72">
        <f>CED_GWP_Compare_yr!K7/CED_GWP_Compare_yr!$I$4</f>
        <v>2.5709944028634839E-3</v>
      </c>
      <c r="L6" s="72">
        <f>CED_GWP_Compare_yr!L7/CED_GWP_Compare_yr!$L$4</f>
        <v>2.6067164707176491E-3</v>
      </c>
      <c r="M6" s="72">
        <f>CED_GWP_Compare_yr!M7/CED_GWP_Compare_yr!$L$4</f>
        <v>2.6067164707176491E-3</v>
      </c>
      <c r="N6" s="72">
        <f>CED_GWP_Compare_yr!N7/CED_GWP_Compare_yr!$L$4</f>
        <v>2.6067164707176491E-3</v>
      </c>
      <c r="O6" s="72">
        <f>CED_GWP_Compare_yr!O7/CED_GWP_Compare_yr!$O$4</f>
        <v>2.7785901837809168E-3</v>
      </c>
      <c r="P6" s="72">
        <f>CED_GWP_Compare_yr!P7/CED_GWP_Compare_yr!$O$4</f>
        <v>2.7785901837809168E-3</v>
      </c>
      <c r="Q6" s="72">
        <f>CED_GWP_Compare_yr!Q7/CED_GWP_Compare_yr!$O$4</f>
        <v>2.7785901837809168E-3</v>
      </c>
    </row>
    <row r="7" spans="1:17" x14ac:dyDescent="0.25">
      <c r="B7" s="54" t="s">
        <v>55</v>
      </c>
      <c r="C7" s="75">
        <f>CED_GWP_Compare_yr!C8/CED_GWP_Compare_yr!$C$4</f>
        <v>0.64971702928815678</v>
      </c>
      <c r="D7" s="75">
        <f>CED_GWP_Compare_yr!D8/CED_GWP_Compare_yr!$C$4</f>
        <v>0.64971702928815678</v>
      </c>
      <c r="E7" s="75">
        <f>CED_GWP_Compare_yr!E8/CED_GWP_Compare_yr!$C$4</f>
        <v>0.64971702928815678</v>
      </c>
      <c r="F7" s="75">
        <f>CED_GWP_Compare_yr!F8/CED_GWP_Compare_yr!$F$4</f>
        <v>0.45242581510486757</v>
      </c>
      <c r="G7" s="75">
        <f>CED_GWP_Compare_yr!G8/CED_GWP_Compare_yr!$F$4</f>
        <v>0.45242581510486757</v>
      </c>
      <c r="H7" s="75">
        <f>CED_GWP_Compare_yr!H8/CED_GWP_Compare_yr!$F$4</f>
        <v>0.45242581510486757</v>
      </c>
      <c r="I7" s="75">
        <f>CED_GWP_Compare_yr!I8/CED_GWP_Compare_yr!$I$4</f>
        <v>0.14317724041513691</v>
      </c>
      <c r="J7" s="75">
        <f>CED_GWP_Compare_yr!J8/CED_GWP_Compare_yr!$I$4</f>
        <v>0.14317724041513691</v>
      </c>
      <c r="K7" s="75">
        <f>CED_GWP_Compare_yr!K8/CED_GWP_Compare_yr!$I$4</f>
        <v>0.14317724041513691</v>
      </c>
      <c r="L7" s="74">
        <f>CED_GWP_Compare_yr!L8/CED_GWP_Compare_yr!$L$4</f>
        <v>6.9822850883780194E-2</v>
      </c>
      <c r="M7" s="74">
        <f>CED_GWP_Compare_yr!M8/CED_GWP_Compare_yr!$L$4</f>
        <v>6.9822850883780194E-2</v>
      </c>
      <c r="N7" s="74">
        <f>CED_GWP_Compare_yr!N8/CED_GWP_Compare_yr!$L$4</f>
        <v>6.9822850883780194E-2</v>
      </c>
      <c r="O7" s="74">
        <f>CED_GWP_Compare_yr!O8/CED_GWP_Compare_yr!$O$4</f>
        <v>5.3263140532480317E-2</v>
      </c>
      <c r="P7" s="74">
        <f>CED_GWP_Compare_yr!P8/CED_GWP_Compare_yr!$O$4</f>
        <v>5.3263140532480317E-2</v>
      </c>
      <c r="Q7" s="74">
        <f>CED_GWP_Compare_yr!Q8/CED_GWP_Compare_yr!$O$4</f>
        <v>5.3263140532480317E-2</v>
      </c>
    </row>
    <row r="8" spans="1:17" x14ac:dyDescent="0.25">
      <c r="B8" s="54" t="s">
        <v>16</v>
      </c>
      <c r="C8" s="67">
        <f>CED_GWP_Compare_yr!C9/CED_GWP_Compare_yr!$C$4</f>
        <v>11.056666149795461</v>
      </c>
      <c r="D8" s="67">
        <f>CED_GWP_Compare_yr!D9/CED_GWP_Compare_yr!$C$4</f>
        <v>13.984796723637659</v>
      </c>
      <c r="E8" s="75">
        <f>CED_GWP_Compare_yr!E9/CED_GWP_Compare_yr!$C$4</f>
        <v>-2.6091234303144311</v>
      </c>
      <c r="F8" s="75">
        <f>CED_GWP_Compare_yr!F9/CED_GWP_Compare_yr!$F$4</f>
        <v>7.7261221151015125</v>
      </c>
      <c r="G8" s="67">
        <f>CED_GWP_Compare_yr!G9/CED_GWP_Compare_yr!$F$4</f>
        <v>13.185720054005357</v>
      </c>
      <c r="H8" s="75">
        <f>CED_GWP_Compare_yr!H9/CED_GWP_Compare_yr!$F$4</f>
        <v>-2.6090771335490208</v>
      </c>
      <c r="I8" s="75">
        <f>CED_GWP_Compare_yr!I9/CED_GWP_Compare_yr!$I$4</f>
        <v>4.3933158404341928</v>
      </c>
      <c r="J8" s="67">
        <f>CED_GWP_Compare_yr!J9/CED_GWP_Compare_yr!$I$4</f>
        <v>11.186549271201928</v>
      </c>
      <c r="K8" s="75">
        <f>CED_GWP_Compare_yr!K9/CED_GWP_Compare_yr!$I$4</f>
        <v>-2.6831785784611504</v>
      </c>
      <c r="L8" s="75">
        <f>CED_GWP_Compare_yr!L9/CED_GWP_Compare_yr!$L$4</f>
        <v>4.2701210734917252</v>
      </c>
      <c r="M8" s="67">
        <f>CED_GWP_Compare_yr!M9/CED_GWP_Compare_yr!$L$4</f>
        <v>10.750631979216891</v>
      </c>
      <c r="N8" s="75">
        <f>CED_GWP_Compare_yr!N9/CED_GWP_Compare_yr!$L$4</f>
        <v>-2.7183547146726719</v>
      </c>
      <c r="O8" s="75">
        <f>CED_GWP_Compare_yr!O9/CED_GWP_Compare_yr!$O$4</f>
        <v>4.1507669856367677</v>
      </c>
      <c r="P8" s="67">
        <f>CED_GWP_Compare_yr!P9/CED_GWP_Compare_yr!$O$4</f>
        <v>10.585385102675493</v>
      </c>
      <c r="Q8" s="75">
        <f>CED_GWP_Compare_yr!Q9/CED_GWP_Compare_yr!$O$4</f>
        <v>-2.7359382267052528</v>
      </c>
    </row>
    <row r="9" spans="1:17" x14ac:dyDescent="0.25">
      <c r="B9" s="54" t="s">
        <v>56</v>
      </c>
      <c r="C9" s="75">
        <f>CED_GWP_Compare_yr!C10/CED_GWP_Compare_yr!$C$4</f>
        <v>0.16058259101324368</v>
      </c>
      <c r="D9" s="75">
        <f>CED_GWP_Compare_yr!D10/CED_GWP_Compare_yr!$C$4</f>
        <v>0.38707086628619691</v>
      </c>
      <c r="E9" s="75">
        <f>CED_GWP_Compare_yr!E10/CED_GWP_Compare_yr!$C$4</f>
        <v>0.38707086628619691</v>
      </c>
      <c r="F9" s="75">
        <f>CED_GWP_Compare_yr!F10/CED_GWP_Compare_yr!$F$4</f>
        <v>0.15044582401829357</v>
      </c>
      <c r="G9" s="75">
        <f>CED_GWP_Compare_yr!G10/CED_GWP_Compare_yr!$F$4</f>
        <v>0.19887671472211005</v>
      </c>
      <c r="H9" s="75">
        <f>CED_GWP_Compare_yr!H10/CED_GWP_Compare_yr!$F$4</f>
        <v>0.19887671472211005</v>
      </c>
      <c r="I9" s="75">
        <f>CED_GWP_Compare_yr!I10/CED_GWP_Compare_yr!$I$4</f>
        <v>0.13937168632187238</v>
      </c>
      <c r="J9" s="75">
        <f>CED_GWP_Compare_yr!J10/CED_GWP_Compare_yr!$I$4</f>
        <v>0.37503589664990367</v>
      </c>
      <c r="K9" s="75">
        <f>CED_GWP_Compare_yr!K10/CED_GWP_Compare_yr!$I$4</f>
        <v>0.37503589664990367</v>
      </c>
      <c r="L9" s="75">
        <f>CED_GWP_Compare_yr!L10/CED_GWP_Compare_yr!$L$4</f>
        <v>0.12431155338540768</v>
      </c>
      <c r="M9" s="75">
        <f>CED_GWP_Compare_yr!M10/CED_GWP_Compare_yr!$L$4</f>
        <v>0.31258051569307832</v>
      </c>
      <c r="N9" s="75">
        <f>CED_GWP_Compare_yr!N10/CED_GWP_Compare_yr!$L$4</f>
        <v>0.31258051569307832</v>
      </c>
      <c r="O9" s="75">
        <f>CED_GWP_Compare_yr!O10/CED_GWP_Compare_yr!$O$4</f>
        <v>0.12332427641588993</v>
      </c>
      <c r="P9" s="75">
        <f>CED_GWP_Compare_yr!P10/CED_GWP_Compare_yr!$O$4</f>
        <v>0.28127668646530241</v>
      </c>
      <c r="Q9" s="75">
        <f>CED_GWP_Compare_yr!Q10/CED_GWP_Compare_yr!$O$4</f>
        <v>0.28127668646530241</v>
      </c>
    </row>
    <row r="10" spans="1:17" x14ac:dyDescent="0.25">
      <c r="B10" s="54" t="s">
        <v>14</v>
      </c>
      <c r="C10" s="75">
        <f>CED_GWP_Compare_yr!C11/CED_GWP_Compare_yr!$C$4</f>
        <v>7.7387529017922274</v>
      </c>
      <c r="D10" s="75">
        <f>CED_GWP_Compare_yr!D11/CED_GWP_Compare_yr!$C$4</f>
        <v>7.7387529017922274</v>
      </c>
      <c r="E10" s="75">
        <f>CED_GWP_Compare_yr!E11/CED_GWP_Compare_yr!$C$4</f>
        <v>7.7387529017922274</v>
      </c>
      <c r="F10" s="75">
        <f>CED_GWP_Compare_yr!F11/CED_GWP_Compare_yr!$F$4</f>
        <v>4.6434759701290886</v>
      </c>
      <c r="G10" s="75">
        <f>CED_GWP_Compare_yr!G11/CED_GWP_Compare_yr!$F$4</f>
        <v>4.6434759701290886</v>
      </c>
      <c r="H10" s="75">
        <f>CED_GWP_Compare_yr!H11/CED_GWP_Compare_yr!$F$4</f>
        <v>4.6434759701290886</v>
      </c>
      <c r="I10" s="75">
        <f>CED_GWP_Compare_yr!I11/CED_GWP_Compare_yr!$I$4</f>
        <v>1.7936067949404482</v>
      </c>
      <c r="J10" s="75">
        <f>CED_GWP_Compare_yr!J11/CED_GWP_Compare_yr!$I$4</f>
        <v>1.7936067949404482</v>
      </c>
      <c r="K10" s="75">
        <f>CED_GWP_Compare_yr!K11/CED_GWP_Compare_yr!$I$4</f>
        <v>1.7936067949404482</v>
      </c>
      <c r="L10" s="75">
        <f>CED_GWP_Compare_yr!L11/CED_GWP_Compare_yr!$L$4</f>
        <v>0.65752924985929562</v>
      </c>
      <c r="M10" s="75">
        <f>CED_GWP_Compare_yr!M11/CED_GWP_Compare_yr!$L$4</f>
        <v>0.65752924985929562</v>
      </c>
      <c r="N10" s="75">
        <f>CED_GWP_Compare_yr!N11/CED_GWP_Compare_yr!$L$4</f>
        <v>0.65752924985929562</v>
      </c>
      <c r="O10" s="75">
        <f>CED_GWP_Compare_yr!O11/CED_GWP_Compare_yr!$O$4</f>
        <v>0.58002149133332936</v>
      </c>
      <c r="P10" s="75">
        <f>CED_GWP_Compare_yr!P11/CED_GWP_Compare_yr!$O$4</f>
        <v>0.58002149133332936</v>
      </c>
      <c r="Q10" s="75">
        <f>CED_GWP_Compare_yr!Q11/CED_GWP_Compare_yr!$O$4</f>
        <v>0.58002149133332936</v>
      </c>
    </row>
    <row r="11" spans="1:17" x14ac:dyDescent="0.25">
      <c r="B11" s="54" t="s">
        <v>11</v>
      </c>
      <c r="C11" s="67">
        <f>CED_GWP_Compare_yr!C12/CED_GWP_Compare_yr!$C$4</f>
        <v>-12.084932791728811</v>
      </c>
      <c r="D11" s="67">
        <f>CED_GWP_Compare_yr!D12/CED_GWP_Compare_yr!$C$4</f>
        <v>-12.283805817694947</v>
      </c>
      <c r="E11" s="67">
        <f>CED_GWP_Compare_yr!E12/CED_GWP_Compare_yr!$C$4</f>
        <v>-12.283805817694947</v>
      </c>
      <c r="F11" s="67">
        <f>CED_GWP_Compare_yr!F12/CED_GWP_Compare_yr!$F$4</f>
        <v>-12.084941414972711</v>
      </c>
      <c r="G11" s="67">
        <f>CED_GWP_Compare_yr!G12/CED_GWP_Compare_yr!$F$4</f>
        <v>-12.294547913857361</v>
      </c>
      <c r="H11" s="67">
        <f>CED_GWP_Compare_yr!H12/CED_GWP_Compare_yr!$F$4</f>
        <v>-12.294547913857361</v>
      </c>
      <c r="I11" s="67">
        <f>CED_GWP_Compare_yr!I12/CED_GWP_Compare_yr!$I$4</f>
        <v>-12.084853710058789</v>
      </c>
      <c r="J11" s="67">
        <f>CED_GWP_Compare_yr!J12/CED_GWP_Compare_yr!$I$4</f>
        <v>-12.337423031696192</v>
      </c>
      <c r="K11" s="67">
        <f>CED_GWP_Compare_yr!K12/CED_GWP_Compare_yr!$I$4</f>
        <v>-12.337423031696192</v>
      </c>
      <c r="L11" s="67">
        <f>CED_GWP_Compare_yr!L12/CED_GWP_Compare_yr!$L$4</f>
        <v>-12.084972427464272</v>
      </c>
      <c r="M11" s="67">
        <f>CED_GWP_Compare_yr!M12/CED_GWP_Compare_yr!$L$4</f>
        <v>-12.349967696788804</v>
      </c>
      <c r="N11" s="67">
        <f>CED_GWP_Compare_yr!N12/CED_GWP_Compare_yr!$L$4</f>
        <v>-12.349967696788804</v>
      </c>
      <c r="O11" s="67">
        <f>CED_GWP_Compare_yr!O12/CED_GWP_Compare_yr!$O$4</f>
        <v>-12.084958129969916</v>
      </c>
      <c r="P11" s="67">
        <f>CED_GWP_Compare_yr!P12/CED_GWP_Compare_yr!$O$4</f>
        <v>-12.346206809739188</v>
      </c>
      <c r="Q11" s="67">
        <f>CED_GWP_Compare_yr!Q12/CED_GWP_Compare_yr!$O$4</f>
        <v>-12.346206809739188</v>
      </c>
    </row>
    <row r="12" spans="1:17" x14ac:dyDescent="0.25">
      <c r="B12" s="84" t="s">
        <v>57</v>
      </c>
      <c r="C12" s="75">
        <f>SUM(C6:C11)</f>
        <v>7.5233071024942575</v>
      </c>
      <c r="D12" s="67">
        <f t="shared" ref="D12:Q12" si="0">SUM(D6:D11)</f>
        <v>10.479052925643273</v>
      </c>
      <c r="E12" s="75">
        <f t="shared" si="0"/>
        <v>-6.1148672283088175</v>
      </c>
      <c r="F12" s="75">
        <f t="shared" si="0"/>
        <v>0.89018937548647159</v>
      </c>
      <c r="G12" s="75">
        <f t="shared" si="0"/>
        <v>6.1886117062094819</v>
      </c>
      <c r="H12" s="75">
        <f t="shared" si="0"/>
        <v>-9.6061854813448946</v>
      </c>
      <c r="I12" s="75">
        <f t="shared" si="0"/>
        <v>-5.6128111535442748</v>
      </c>
      <c r="J12" s="75">
        <f t="shared" si="0"/>
        <v>1.1635171659140884</v>
      </c>
      <c r="K12" s="67">
        <f t="shared" si="0"/>
        <v>-12.70621068374899</v>
      </c>
      <c r="L12" s="75">
        <f t="shared" si="0"/>
        <v>-6.9605809833733465</v>
      </c>
      <c r="M12" s="75">
        <f t="shared" si="0"/>
        <v>-0.55679638466504144</v>
      </c>
      <c r="N12" s="67">
        <f t="shared" si="0"/>
        <v>-14.025783078554603</v>
      </c>
      <c r="O12" s="75">
        <f t="shared" si="0"/>
        <v>-7.1748036458676685</v>
      </c>
      <c r="P12" s="75">
        <f t="shared" si="0"/>
        <v>-0.84348179854880101</v>
      </c>
      <c r="Q12" s="67">
        <f t="shared" si="0"/>
        <v>-14.164805127929547</v>
      </c>
    </row>
    <row r="34" spans="1:17" ht="15.75" x14ac:dyDescent="0.25">
      <c r="A34" s="42" t="s">
        <v>177</v>
      </c>
    </row>
    <row r="35" spans="1:17" ht="15.75" x14ac:dyDescent="0.25">
      <c r="A35" s="42" t="s">
        <v>159</v>
      </c>
    </row>
    <row r="37" spans="1:17" x14ac:dyDescent="0.25">
      <c r="B37" s="54"/>
      <c r="C37" s="152" t="s">
        <v>93</v>
      </c>
      <c r="D37" s="152"/>
      <c r="E37" s="152"/>
      <c r="F37" s="152" t="s">
        <v>94</v>
      </c>
      <c r="G37" s="152"/>
      <c r="H37" s="152"/>
      <c r="I37" s="152" t="s">
        <v>95</v>
      </c>
      <c r="J37" s="152"/>
      <c r="K37" s="152"/>
      <c r="L37" s="152" t="s">
        <v>96</v>
      </c>
      <c r="M37" s="152"/>
      <c r="N37" s="152"/>
      <c r="O37" s="152" t="s">
        <v>97</v>
      </c>
      <c r="P37" s="152"/>
      <c r="Q37" s="152"/>
    </row>
    <row r="38" spans="1:17" x14ac:dyDescent="0.25">
      <c r="B38" s="54"/>
      <c r="C38" s="54" t="s">
        <v>90</v>
      </c>
      <c r="D38" s="54" t="s">
        <v>91</v>
      </c>
      <c r="E38" s="54" t="s">
        <v>92</v>
      </c>
      <c r="F38" s="54" t="s">
        <v>90</v>
      </c>
      <c r="G38" s="54" t="s">
        <v>91</v>
      </c>
      <c r="H38" s="54" t="s">
        <v>92</v>
      </c>
      <c r="I38" s="54" t="s">
        <v>90</v>
      </c>
      <c r="J38" s="54" t="s">
        <v>91</v>
      </c>
      <c r="K38" s="54" t="s">
        <v>92</v>
      </c>
      <c r="L38" s="54" t="s">
        <v>90</v>
      </c>
      <c r="M38" s="54" t="s">
        <v>91</v>
      </c>
      <c r="N38" s="54" t="s">
        <v>92</v>
      </c>
      <c r="O38" s="54" t="s">
        <v>90</v>
      </c>
      <c r="P38" s="54" t="s">
        <v>91</v>
      </c>
      <c r="Q38" s="54" t="s">
        <v>92</v>
      </c>
    </row>
    <row r="39" spans="1:17" x14ac:dyDescent="0.25">
      <c r="B39" s="54" t="s">
        <v>12</v>
      </c>
      <c r="C39" s="73">
        <f>CED_GWP_Compare_yr!C40/CED_GWP_Compare_yr!$C$4</f>
        <v>2.4977153050746449E-4</v>
      </c>
      <c r="D39" s="73">
        <f>CED_GWP_Compare_yr!D40/CED_GWP_Compare_yr!$C$4</f>
        <v>2.4977153050746449E-4</v>
      </c>
      <c r="E39" s="73">
        <f>CED_GWP_Compare_yr!E40/CED_GWP_Compare_yr!$C$4</f>
        <v>2.4977153050746449E-4</v>
      </c>
      <c r="F39" s="73">
        <f>CED_GWP_Compare_yr!F40/CED_GWP_Compare_yr!$F$4</f>
        <v>2.5971995549031306E-4</v>
      </c>
      <c r="G39" s="73">
        <f>CED_GWP_Compare_yr!G40/CED_GWP_Compare_yr!$F$4</f>
        <v>2.5971995549031306E-4</v>
      </c>
      <c r="H39" s="73">
        <f>CED_GWP_Compare_yr!H40/CED_GWP_Compare_yr!$F$4</f>
        <v>2.5971995549031306E-4</v>
      </c>
      <c r="I39" s="73">
        <f>CED_GWP_Compare_yr!I40/CED_GWP_Compare_yr!$I$4</f>
        <v>2.5164352343667076E-4</v>
      </c>
      <c r="J39" s="73">
        <f>CED_GWP_Compare_yr!J40/CED_GWP_Compare_yr!$I$4</f>
        <v>2.5164352343667076E-4</v>
      </c>
      <c r="K39" s="73">
        <f>CED_GWP_Compare_yr!K40/CED_GWP_Compare_yr!$I$4</f>
        <v>2.5164352343667076E-4</v>
      </c>
      <c r="L39" s="73">
        <f>CED_GWP_Compare_yr!L40/CED_GWP_Compare_yr!$L$4</f>
        <v>2.5441802488268864E-4</v>
      </c>
      <c r="M39" s="73">
        <f>CED_GWP_Compare_yr!M40/CED_GWP_Compare_yr!$L$4</f>
        <v>2.5441802488268864E-4</v>
      </c>
      <c r="N39" s="73">
        <f>CED_GWP_Compare_yr!N40/CED_GWP_Compare_yr!$L$4</f>
        <v>2.5441802488268864E-4</v>
      </c>
      <c r="O39" s="73">
        <f>CED_GWP_Compare_yr!O40/CED_GWP_Compare_yr!$O$4</f>
        <v>2.6775241212942066E-4</v>
      </c>
      <c r="P39" s="73">
        <f>CED_GWP_Compare_yr!P40/CED_GWP_Compare_yr!$O$4</f>
        <v>2.6775241212942066E-4</v>
      </c>
      <c r="Q39" s="73">
        <f>CED_GWP_Compare_yr!Q40/CED_GWP_Compare_yr!$O$4</f>
        <v>2.6775241212942066E-4</v>
      </c>
    </row>
    <row r="40" spans="1:17" x14ac:dyDescent="0.25">
      <c r="B40" s="54" t="s">
        <v>55</v>
      </c>
      <c r="C40" s="74">
        <f>CED_GWP_Compare_yr!C41/CED_GWP_Compare_yr!$C$4</f>
        <v>4.0551803958615656E-2</v>
      </c>
      <c r="D40" s="74">
        <f>CED_GWP_Compare_yr!D41/CED_GWP_Compare_yr!$C$4</f>
        <v>4.0551803958615656E-2</v>
      </c>
      <c r="E40" s="74">
        <f>CED_GWP_Compare_yr!E41/CED_GWP_Compare_yr!$C$4</f>
        <v>4.0551803958615656E-2</v>
      </c>
      <c r="F40" s="74">
        <f>CED_GWP_Compare_yr!F41/CED_GWP_Compare_yr!$F$4</f>
        <v>2.8234018834029151E-2</v>
      </c>
      <c r="G40" s="74">
        <f>CED_GWP_Compare_yr!G41/CED_GWP_Compare_yr!$F$4</f>
        <v>2.8234018834029151E-2</v>
      </c>
      <c r="H40" s="74">
        <f>CED_GWP_Compare_yr!H41/CED_GWP_Compare_yr!$F$4</f>
        <v>2.8234018834029151E-2</v>
      </c>
      <c r="I40" s="72">
        <f>CED_GWP_Compare_yr!I41/CED_GWP_Compare_yr!$I$4</f>
        <v>8.9368095924560829E-3</v>
      </c>
      <c r="J40" s="72">
        <f>CED_GWP_Compare_yr!J41/CED_GWP_Compare_yr!$I$4</f>
        <v>8.9368095924560829E-3</v>
      </c>
      <c r="K40" s="72">
        <f>CED_GWP_Compare_yr!K41/CED_GWP_Compare_yr!$I$4</f>
        <v>8.9368095924560829E-3</v>
      </c>
      <c r="L40" s="72">
        <f>CED_GWP_Compare_yr!L41/CED_GWP_Compare_yr!$L$4</f>
        <v>4.3575759017723346E-3</v>
      </c>
      <c r="M40" s="72">
        <f>CED_GWP_Compare_yr!M41/CED_GWP_Compare_yr!$L$4</f>
        <v>4.3575759017723346E-3</v>
      </c>
      <c r="N40" s="72">
        <f>CED_GWP_Compare_yr!N41/CED_GWP_Compare_yr!$L$4</f>
        <v>4.3575759017723346E-3</v>
      </c>
      <c r="O40" s="72">
        <f>CED_GWP_Compare_yr!O41/CED_GWP_Compare_yr!$O$4</f>
        <v>3.3239771805527361E-3</v>
      </c>
      <c r="P40" s="72">
        <f>CED_GWP_Compare_yr!P41/CED_GWP_Compare_yr!$O$4</f>
        <v>3.3239771805527361E-3</v>
      </c>
      <c r="Q40" s="72">
        <f>CED_GWP_Compare_yr!Q41/CED_GWP_Compare_yr!$O$4</f>
        <v>3.3239771805527361E-3</v>
      </c>
    </row>
    <row r="41" spans="1:17" x14ac:dyDescent="0.25">
      <c r="B41" s="54" t="s">
        <v>16</v>
      </c>
      <c r="C41" s="75">
        <f>CED_GWP_Compare_yr!C42/CED_GWP_Compare_yr!$C$4</f>
        <v>0.69250081510311368</v>
      </c>
      <c r="D41" s="75">
        <f>CED_GWP_Compare_yr!D42/CED_GWP_Compare_yr!$C$4</f>
        <v>0.83419625488832816</v>
      </c>
      <c r="E41" s="75">
        <f>CED_GWP_Compare_yr!E42/CED_GWP_Compare_yr!$C$4</f>
        <v>-0.1944604259715908</v>
      </c>
      <c r="F41" s="75">
        <f>CED_GWP_Compare_yr!F42/CED_GWP_Compare_yr!$F$4</f>
        <v>0.48480941669043559</v>
      </c>
      <c r="G41" s="75">
        <f>CED_GWP_Compare_yr!G42/CED_GWP_Compare_yr!$F$4</f>
        <v>0.7859737412283323</v>
      </c>
      <c r="H41" s="75">
        <f>CED_GWP_Compare_yr!H42/CED_GWP_Compare_yr!$F$4</f>
        <v>-0.16613358707205381</v>
      </c>
      <c r="I41" s="75">
        <f>CED_GWP_Compare_yr!I42/CED_GWP_Compare_yr!$I$4</f>
        <v>0.27374623219932087</v>
      </c>
      <c r="J41" s="75">
        <f>CED_GWP_Compare_yr!J42/CED_GWP_Compare_yr!$I$4</f>
        <v>0.66603419749991821</v>
      </c>
      <c r="K41" s="75">
        <f>CED_GWP_Compare_yr!K42/CED_GWP_Compare_yr!$I$4</f>
        <v>-0.16989993616469518</v>
      </c>
      <c r="L41" s="75">
        <f>CED_GWP_Compare_yr!L42/CED_GWP_Compare_yr!$L$4</f>
        <v>0.26629558182846508</v>
      </c>
      <c r="M41" s="75">
        <f>CED_GWP_Compare_yr!M42/CED_GWP_Compare_yr!$L$4</f>
        <v>0.64007875050113383</v>
      </c>
      <c r="N41" s="75">
        <f>CED_GWP_Compare_yr!N42/CED_GWP_Compare_yr!$L$4</f>
        <v>-0.17168712092711697</v>
      </c>
      <c r="O41" s="75">
        <f>CED_GWP_Compare_yr!O42/CED_GWP_Compare_yr!$O$4</f>
        <v>0.25862317393438256</v>
      </c>
      <c r="P41" s="75">
        <f>CED_GWP_Compare_yr!P42/CED_GWP_Compare_yr!$O$4</f>
        <v>0.63027589294847564</v>
      </c>
      <c r="Q41" s="75">
        <f>CED_GWP_Compare_yr!Q42/CED_GWP_Compare_yr!$O$4</f>
        <v>-0.17258069703562073</v>
      </c>
    </row>
    <row r="42" spans="1:17" x14ac:dyDescent="0.25">
      <c r="B42" s="54" t="s">
        <v>56</v>
      </c>
      <c r="C42" s="74">
        <f>CED_GWP_Compare_yr!C43/CED_GWP_Compare_yr!$C$4</f>
        <v>1.5257009689899849E-2</v>
      </c>
      <c r="D42" s="74">
        <f>CED_GWP_Compare_yr!D43/CED_GWP_Compare_yr!$C$4</f>
        <v>4.7635210540186594E-2</v>
      </c>
      <c r="E42" s="74">
        <f>CED_GWP_Compare_yr!E43/CED_GWP_Compare_yr!$C$4</f>
        <v>4.7635210540186594E-2</v>
      </c>
      <c r="F42" s="74">
        <f>CED_GWP_Compare_yr!F43/CED_GWP_Compare_yr!$F$4</f>
        <v>1.3433404220616642E-2</v>
      </c>
      <c r="G42" s="74">
        <f>CED_GWP_Compare_yr!G43/CED_GWP_Compare_yr!$F$4</f>
        <v>2.5133974590205534E-2</v>
      </c>
      <c r="H42" s="74">
        <f>CED_GWP_Compare_yr!H43/CED_GWP_Compare_yr!$F$4</f>
        <v>2.5133974590205534E-2</v>
      </c>
      <c r="I42" s="74">
        <f>CED_GWP_Compare_yr!I43/CED_GWP_Compare_yr!$I$4</f>
        <v>1.1413211287439575E-2</v>
      </c>
      <c r="J42" s="74">
        <f>CED_GWP_Compare_yr!J43/CED_GWP_Compare_yr!$I$4</f>
        <v>3.0936414813298049E-2</v>
      </c>
      <c r="K42" s="74">
        <f>CED_GWP_Compare_yr!K43/CED_GWP_Compare_yr!$I$4</f>
        <v>3.0936414813298049E-2</v>
      </c>
      <c r="L42" s="74">
        <f>CED_GWP_Compare_yr!L43/CED_GWP_Compare_yr!$L$4</f>
        <v>1.0188090954458651E-2</v>
      </c>
      <c r="M42" s="74">
        <f>CED_GWP_Compare_yr!M43/CED_GWP_Compare_yr!$L$4</f>
        <v>2.5791291308994924E-2</v>
      </c>
      <c r="N42" s="74">
        <f>CED_GWP_Compare_yr!N43/CED_GWP_Compare_yr!$L$4</f>
        <v>2.5791291308994924E-2</v>
      </c>
      <c r="O42" s="74">
        <f>CED_GWP_Compare_yr!O43/CED_GWP_Compare_yr!$O$4</f>
        <v>1.0030444881063895E-2</v>
      </c>
      <c r="P42" s="74">
        <f>CED_GWP_Compare_yr!P43/CED_GWP_Compare_yr!$O$4</f>
        <v>2.3201210278050482E-2</v>
      </c>
      <c r="Q42" s="74">
        <f>CED_GWP_Compare_yr!Q43/CED_GWP_Compare_yr!$O$4</f>
        <v>2.3201210278050482E-2</v>
      </c>
    </row>
    <row r="43" spans="1:17" x14ac:dyDescent="0.25">
      <c r="B43" s="54" t="s">
        <v>14</v>
      </c>
      <c r="C43" s="75">
        <f>CED_GWP_Compare_yr!C44/CED_GWP_Compare_yr!$C$4</f>
        <v>0.47976598626657413</v>
      </c>
      <c r="D43" s="75">
        <f>CED_GWP_Compare_yr!D44/CED_GWP_Compare_yr!$C$4</f>
        <v>0.47976598626657413</v>
      </c>
      <c r="E43" s="75">
        <f>CED_GWP_Compare_yr!E44/CED_GWP_Compare_yr!$C$4</f>
        <v>0.47976598626657413</v>
      </c>
      <c r="F43" s="75">
        <f>CED_GWP_Compare_yr!F44/CED_GWP_Compare_yr!$F$4</f>
        <v>0.28544962336030261</v>
      </c>
      <c r="G43" s="75">
        <f>CED_GWP_Compare_yr!G44/CED_GWP_Compare_yr!$F$4</f>
        <v>0.28544962336030261</v>
      </c>
      <c r="H43" s="75">
        <f>CED_GWP_Compare_yr!H44/CED_GWP_Compare_yr!$F$4</f>
        <v>0.28544962336030261</v>
      </c>
      <c r="I43" s="74">
        <f>CED_GWP_Compare_yr!I44/CED_GWP_Compare_yr!$I$4</f>
        <v>6.5452486232116816E-2</v>
      </c>
      <c r="J43" s="74">
        <f>CED_GWP_Compare_yr!J44/CED_GWP_Compare_yr!$I$4</f>
        <v>6.5452486232116816E-2</v>
      </c>
      <c r="K43" s="74">
        <f>CED_GWP_Compare_yr!K44/CED_GWP_Compare_yr!$I$4</f>
        <v>6.5452486232116816E-2</v>
      </c>
      <c r="L43" s="74">
        <f>CED_GWP_Compare_yr!L44/CED_GWP_Compare_yr!$L$4</f>
        <v>3.5580450032576788E-2</v>
      </c>
      <c r="M43" s="74">
        <f>CED_GWP_Compare_yr!M44/CED_GWP_Compare_yr!$L$4</f>
        <v>3.5580450032576788E-2</v>
      </c>
      <c r="N43" s="74">
        <f>CED_GWP_Compare_yr!N44/CED_GWP_Compare_yr!$L$4</f>
        <v>3.5580450032576788E-2</v>
      </c>
      <c r="O43" s="74">
        <f>CED_GWP_Compare_yr!O44/CED_GWP_Compare_yr!$O$4</f>
        <v>3.0731871273323656E-2</v>
      </c>
      <c r="P43" s="74">
        <f>CED_GWP_Compare_yr!P44/CED_GWP_Compare_yr!$O$4</f>
        <v>3.0731871273323656E-2</v>
      </c>
      <c r="Q43" s="74">
        <f>CED_GWP_Compare_yr!Q44/CED_GWP_Compare_yr!$O$4</f>
        <v>3.0731871273323656E-2</v>
      </c>
    </row>
    <row r="44" spans="1:17" x14ac:dyDescent="0.25">
      <c r="B44" s="54" t="s">
        <v>11</v>
      </c>
      <c r="C44" s="75">
        <f>CED_GWP_Compare_yr!C45/CED_GWP_Compare_yr!$C$4</f>
        <v>-0.75043269507866084</v>
      </c>
      <c r="D44" s="75">
        <f>CED_GWP_Compare_yr!D45/CED_GWP_Compare_yr!$C$4</f>
        <v>-0.76277815651057068</v>
      </c>
      <c r="E44" s="75">
        <f>CED_GWP_Compare_yr!E45/CED_GWP_Compare_yr!$C$4</f>
        <v>-0.76277815651057068</v>
      </c>
      <c r="F44" s="75">
        <f>CED_GWP_Compare_yr!F45/CED_GWP_Compare_yr!$F$4</f>
        <v>-0.77262300789392169</v>
      </c>
      <c r="G44" s="75">
        <f>CED_GWP_Compare_yr!G45/CED_GWP_Compare_yr!$F$4</f>
        <v>-0.7498097490122092</v>
      </c>
      <c r="H44" s="75">
        <f>CED_GWP_Compare_yr!H45/CED_GWP_Compare_yr!$F$4</f>
        <v>-0.7498097490122092</v>
      </c>
      <c r="I44" s="75">
        <f>CED_GWP_Compare_yr!I45/CED_GWP_Compare_yr!$I$4</f>
        <v>-0.75050892193932051</v>
      </c>
      <c r="J44" s="75">
        <f>CED_GWP_Compare_yr!J45/CED_GWP_Compare_yr!$I$4</f>
        <v>-0.76595624825686393</v>
      </c>
      <c r="K44" s="75">
        <f>CED_GWP_Compare_yr!K45/CED_GWP_Compare_yr!$I$4</f>
        <v>-0.76595624825686393</v>
      </c>
      <c r="L44" s="75">
        <f>CED_GWP_Compare_yr!L45/CED_GWP_Compare_yr!$L$4</f>
        <v>-0.75041257372270664</v>
      </c>
      <c r="M44" s="75">
        <f>CED_GWP_Compare_yr!M45/CED_GWP_Compare_yr!$L$4</f>
        <v>-0.7532641334397292</v>
      </c>
      <c r="N44" s="75">
        <f>CED_GWP_Compare_yr!N45/CED_GWP_Compare_yr!$L$4</f>
        <v>-0.7532641334397292</v>
      </c>
      <c r="O44" s="75">
        <f>CED_GWP_Compare_yr!O45/CED_GWP_Compare_yr!$O$4</f>
        <v>-0.75042416945372248</v>
      </c>
      <c r="P44" s="75">
        <f>CED_GWP_Compare_yr!P45/CED_GWP_Compare_yr!$O$4</f>
        <v>-0.76437221476820871</v>
      </c>
      <c r="Q44" s="75">
        <f>CED_GWP_Compare_yr!Q45/CED_GWP_Compare_yr!$O$4</f>
        <v>-0.76437221476820871</v>
      </c>
    </row>
    <row r="45" spans="1:17" x14ac:dyDescent="0.25">
      <c r="B45" s="84" t="s">
        <v>57</v>
      </c>
      <c r="C45" s="75">
        <f>SUM(C39:C44)</f>
        <v>0.47789269147004987</v>
      </c>
      <c r="D45" s="75">
        <f t="shared" ref="D45:Q45" si="1">SUM(D39:D44)</f>
        <v>0.63962087067364126</v>
      </c>
      <c r="E45" s="75">
        <f t="shared" si="1"/>
        <v>-0.38903581018627764</v>
      </c>
      <c r="F45" s="74">
        <f t="shared" si="1"/>
        <v>3.9563175166952624E-2</v>
      </c>
      <c r="G45" s="75">
        <f t="shared" si="1"/>
        <v>0.37524132895615059</v>
      </c>
      <c r="H45" s="75">
        <f t="shared" si="1"/>
        <v>-0.57686599934423544</v>
      </c>
      <c r="I45" s="75">
        <f t="shared" si="1"/>
        <v>-0.39070853910455056</v>
      </c>
      <c r="J45" s="72">
        <f t="shared" si="1"/>
        <v>5.6553034043619332E-3</v>
      </c>
      <c r="K45" s="75">
        <f t="shared" si="1"/>
        <v>-0.83027883026025151</v>
      </c>
      <c r="L45" s="75">
        <f t="shared" si="1"/>
        <v>-0.43373645698055108</v>
      </c>
      <c r="M45" s="74">
        <f t="shared" si="1"/>
        <v>-4.7201647670368607E-2</v>
      </c>
      <c r="N45" s="75">
        <f t="shared" si="1"/>
        <v>-0.85896751909861946</v>
      </c>
      <c r="O45" s="75">
        <f t="shared" si="1"/>
        <v>-0.44744694977227017</v>
      </c>
      <c r="P45" s="74">
        <f t="shared" si="1"/>
        <v>-7.6571510675676802E-2</v>
      </c>
      <c r="Q45" s="75">
        <f t="shared" si="1"/>
        <v>-0.87942810065977317</v>
      </c>
    </row>
  </sheetData>
  <mergeCells count="10">
    <mergeCell ref="C37:E37"/>
    <mergeCell ref="F37:H37"/>
    <mergeCell ref="I37:K37"/>
    <mergeCell ref="L37:N37"/>
    <mergeCell ref="O37:Q37"/>
    <mergeCell ref="C4:E4"/>
    <mergeCell ref="F4:H4"/>
    <mergeCell ref="I4:K4"/>
    <mergeCell ref="L4:N4"/>
    <mergeCell ref="O4:Q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74"/>
  <sheetViews>
    <sheetView showGridLines="0" zoomScale="85" zoomScaleNormal="85" workbookViewId="0">
      <pane ySplit="5" topLeftCell="A6" activePane="bottomLeft" state="frozen"/>
      <selection pane="bottomLeft"/>
    </sheetView>
  </sheetViews>
  <sheetFormatPr defaultRowHeight="12.75" x14ac:dyDescent="0.2"/>
  <cols>
    <col min="1" max="1" width="1.85546875" style="1" customWidth="1"/>
    <col min="2" max="2" width="22.42578125" style="1" customWidth="1"/>
    <col min="3" max="3" width="13.7109375" style="1" customWidth="1"/>
    <col min="4" max="4" width="54.85546875" style="1" customWidth="1"/>
    <col min="5" max="5" width="19.42578125" style="1" customWidth="1"/>
    <col min="6" max="8" width="20.140625" style="1" customWidth="1"/>
    <col min="9" max="9" width="19.42578125" style="1" customWidth="1"/>
    <col min="10" max="12" width="20.140625" style="1" customWidth="1"/>
    <col min="13" max="13" width="19.42578125" style="1" customWidth="1"/>
    <col min="14" max="22" width="20.140625" style="1" customWidth="1"/>
    <col min="23" max="16384" width="9.140625" style="1"/>
  </cols>
  <sheetData>
    <row r="1" spans="1:23" ht="15.75" x14ac:dyDescent="0.25">
      <c r="A1" s="42" t="s">
        <v>76</v>
      </c>
    </row>
    <row r="2" spans="1:23" x14ac:dyDescent="0.2">
      <c r="A2" s="41" t="s">
        <v>52</v>
      </c>
    </row>
    <row r="4" spans="1:23" x14ac:dyDescent="0.2">
      <c r="D4" s="44" t="s">
        <v>53</v>
      </c>
      <c r="E4" s="45">
        <f>F4</f>
        <v>69129.535959999994</v>
      </c>
      <c r="F4" s="46">
        <f>G4</f>
        <v>69129.535959999994</v>
      </c>
      <c r="G4" s="46">
        <f>H4</f>
        <v>69129.535959999994</v>
      </c>
      <c r="H4" s="46">
        <v>69129.535959999994</v>
      </c>
      <c r="I4" s="46">
        <f>J4</f>
        <v>138259.07190000001</v>
      </c>
      <c r="J4" s="46">
        <f>K4</f>
        <v>138259.07190000001</v>
      </c>
      <c r="K4" s="46">
        <f>L4</f>
        <v>138259.07190000001</v>
      </c>
      <c r="L4" s="46">
        <v>138259.07190000001</v>
      </c>
      <c r="M4" s="46">
        <f>N4</f>
        <v>1382590.719</v>
      </c>
      <c r="N4" s="46">
        <f>O4</f>
        <v>1382590.719</v>
      </c>
      <c r="O4" s="46">
        <f>P4</f>
        <v>1382590.719</v>
      </c>
      <c r="P4" s="46">
        <v>1382590.719</v>
      </c>
      <c r="Q4" s="46">
        <f>R4</f>
        <v>6912953.5959999999</v>
      </c>
      <c r="R4" s="46">
        <f>S4</f>
        <v>6912953.5959999999</v>
      </c>
      <c r="S4" s="46">
        <v>6912953.5959999999</v>
      </c>
      <c r="T4" s="46">
        <v>13825907.189999999</v>
      </c>
      <c r="U4" s="46">
        <f>T4</f>
        <v>13825907.189999999</v>
      </c>
      <c r="V4" s="47">
        <f>U4</f>
        <v>13825907.189999999</v>
      </c>
    </row>
    <row r="5" spans="1:23" ht="75" customHeight="1" x14ac:dyDescent="0.2">
      <c r="B5" s="13"/>
      <c r="C5" s="14"/>
      <c r="D5" s="2"/>
      <c r="E5" s="91" t="s">
        <v>124</v>
      </c>
      <c r="F5" s="91" t="s">
        <v>125</v>
      </c>
      <c r="G5" s="91" t="s">
        <v>126</v>
      </c>
      <c r="H5" s="91" t="s">
        <v>123</v>
      </c>
      <c r="I5" s="91" t="s">
        <v>127</v>
      </c>
      <c r="J5" s="91" t="s">
        <v>128</v>
      </c>
      <c r="K5" s="91" t="s">
        <v>129</v>
      </c>
      <c r="L5" s="91" t="s">
        <v>130</v>
      </c>
      <c r="M5" s="91" t="s">
        <v>131</v>
      </c>
      <c r="N5" s="91" t="s">
        <v>132</v>
      </c>
      <c r="O5" s="91" t="s">
        <v>133</v>
      </c>
      <c r="P5" s="91" t="s">
        <v>134</v>
      </c>
      <c r="Q5" s="91" t="s">
        <v>135</v>
      </c>
      <c r="R5" s="91" t="s">
        <v>136</v>
      </c>
      <c r="S5" s="91" t="s">
        <v>137</v>
      </c>
      <c r="T5" s="91" t="s">
        <v>138</v>
      </c>
      <c r="U5" s="91" t="s">
        <v>139</v>
      </c>
      <c r="V5" s="91" t="s">
        <v>140</v>
      </c>
      <c r="W5" s="2" t="s">
        <v>0</v>
      </c>
    </row>
    <row r="6" spans="1:23" ht="12.75" customHeight="1" x14ac:dyDescent="0.2">
      <c r="B6" s="120" t="s">
        <v>12</v>
      </c>
      <c r="C6" s="120"/>
      <c r="D6" s="2" t="s">
        <v>20</v>
      </c>
      <c r="E6" s="92">
        <v>2286.0300000000002</v>
      </c>
      <c r="F6" s="93">
        <v>1217.32512</v>
      </c>
      <c r="G6" s="94">
        <v>304.80407000000002</v>
      </c>
      <c r="H6" s="94">
        <v>143.43</v>
      </c>
      <c r="I6" s="92">
        <v>4314.8500000000004</v>
      </c>
      <c r="J6" s="92">
        <v>2235.22982</v>
      </c>
      <c r="K6" s="94">
        <v>609.6</v>
      </c>
      <c r="L6" s="94">
        <v>275.33753000000002</v>
      </c>
      <c r="M6" s="92">
        <v>45720</v>
      </c>
      <c r="N6" s="92">
        <v>22352.3</v>
      </c>
      <c r="O6" s="92">
        <v>6096.08</v>
      </c>
      <c r="P6" s="92">
        <v>2844.83</v>
      </c>
      <c r="Q6" s="92">
        <v>93929.4</v>
      </c>
      <c r="R6" s="92">
        <v>30480.400000000001</v>
      </c>
      <c r="S6" s="92">
        <v>14224.2</v>
      </c>
      <c r="T6" s="92">
        <v>223523</v>
      </c>
      <c r="U6" s="92">
        <v>59285.5</v>
      </c>
      <c r="V6" s="92">
        <v>28448.400000000001</v>
      </c>
      <c r="W6" s="2" t="s">
        <v>1</v>
      </c>
    </row>
    <row r="7" spans="1:23" x14ac:dyDescent="0.2">
      <c r="B7" s="120"/>
      <c r="C7" s="120"/>
      <c r="D7" s="2" t="s">
        <v>21</v>
      </c>
      <c r="E7" s="94">
        <v>339.23</v>
      </c>
      <c r="F7" s="95">
        <v>165.84800999999999</v>
      </c>
      <c r="G7" s="96">
        <v>45.231279999999998</v>
      </c>
      <c r="H7" s="96">
        <v>21.10793</v>
      </c>
      <c r="I7" s="94">
        <v>678.46912999999995</v>
      </c>
      <c r="J7" s="94">
        <v>331.69601999999998</v>
      </c>
      <c r="K7" s="96">
        <v>90.46</v>
      </c>
      <c r="L7" s="96">
        <v>63.32</v>
      </c>
      <c r="M7" s="92">
        <v>6784.69</v>
      </c>
      <c r="N7" s="92">
        <v>3316.9601699999998</v>
      </c>
      <c r="O7" s="94">
        <v>904.62549999999999</v>
      </c>
      <c r="P7" s="94">
        <v>485.48</v>
      </c>
      <c r="Q7" s="92">
        <v>16584.8</v>
      </c>
      <c r="R7" s="92">
        <v>4523.12</v>
      </c>
      <c r="S7" s="92">
        <v>2596.27</v>
      </c>
      <c r="T7" s="92">
        <v>33169.599999999999</v>
      </c>
      <c r="U7" s="92">
        <v>13569</v>
      </c>
      <c r="V7" s="92">
        <v>6817.86</v>
      </c>
      <c r="W7" s="2" t="s">
        <v>1</v>
      </c>
    </row>
    <row r="8" spans="1:23" x14ac:dyDescent="0.2">
      <c r="B8" s="120"/>
      <c r="C8" s="120"/>
      <c r="D8" s="2" t="s">
        <v>3</v>
      </c>
      <c r="E8" s="94">
        <v>156.74753000000001</v>
      </c>
      <c r="F8" s="97">
        <v>76.632130000000004</v>
      </c>
      <c r="G8" s="96">
        <v>20.89967</v>
      </c>
      <c r="H8" s="98">
        <v>9.7530000000000001</v>
      </c>
      <c r="I8" s="94">
        <v>313.49</v>
      </c>
      <c r="J8" s="94">
        <v>153.26425</v>
      </c>
      <c r="K8" s="96">
        <v>41.798999999999999</v>
      </c>
      <c r="L8" s="96">
        <v>29.259</v>
      </c>
      <c r="M8" s="92">
        <v>3134.95</v>
      </c>
      <c r="N8" s="92">
        <v>1532.6425099999999</v>
      </c>
      <c r="O8" s="94">
        <v>417.99342000000001</v>
      </c>
      <c r="P8" s="94">
        <v>224.32300000000001</v>
      </c>
      <c r="Q8" s="92">
        <v>7663.2125599999999</v>
      </c>
      <c r="R8" s="92">
        <v>2089.96</v>
      </c>
      <c r="S8" s="92">
        <v>1199.6400000000001</v>
      </c>
      <c r="T8" s="92">
        <v>15326.4</v>
      </c>
      <c r="U8" s="92">
        <v>6269</v>
      </c>
      <c r="V8" s="92">
        <v>3150.27</v>
      </c>
      <c r="W8" s="2" t="s">
        <v>1</v>
      </c>
    </row>
    <row r="9" spans="1:23" x14ac:dyDescent="0.2">
      <c r="B9" s="131" t="s">
        <v>19</v>
      </c>
      <c r="C9" s="132" t="s">
        <v>10</v>
      </c>
      <c r="D9" s="2" t="s">
        <v>3</v>
      </c>
      <c r="E9" s="93">
        <f t="shared" ref="E9:E30" si="0">F9</f>
        <v>43819</v>
      </c>
      <c r="F9" s="93">
        <v>43819</v>
      </c>
      <c r="G9" s="93">
        <f t="shared" ref="G9:H30" si="1">F9</f>
        <v>43819</v>
      </c>
      <c r="H9" s="93">
        <f>G9</f>
        <v>43819</v>
      </c>
      <c r="I9" s="92">
        <f>J9</f>
        <v>60360.7</v>
      </c>
      <c r="J9" s="93">
        <v>60360.7</v>
      </c>
      <c r="K9" s="93">
        <f t="shared" ref="K9" si="2">J9</f>
        <v>60360.7</v>
      </c>
      <c r="L9" s="93">
        <f>K9</f>
        <v>60360.7</v>
      </c>
      <c r="M9" s="93">
        <f>N9</f>
        <v>175276</v>
      </c>
      <c r="N9" s="93">
        <v>175276</v>
      </c>
      <c r="O9" s="92">
        <f t="shared" ref="O9" si="3">N9</f>
        <v>175276</v>
      </c>
      <c r="P9" s="93">
        <f>O9</f>
        <v>175276</v>
      </c>
      <c r="Q9" s="93">
        <v>369175</v>
      </c>
      <c r="R9" s="93">
        <f t="shared" ref="R9" si="4">Q9</f>
        <v>369175</v>
      </c>
      <c r="S9" s="93">
        <f>R9</f>
        <v>369175</v>
      </c>
      <c r="T9" s="93">
        <v>509396</v>
      </c>
      <c r="U9" s="93">
        <f t="shared" ref="U9" si="5">T9</f>
        <v>509396</v>
      </c>
      <c r="V9" s="93">
        <f>U9</f>
        <v>509396</v>
      </c>
      <c r="W9" s="2" t="s">
        <v>1</v>
      </c>
    </row>
    <row r="10" spans="1:23" x14ac:dyDescent="0.2">
      <c r="B10" s="131"/>
      <c r="C10" s="132"/>
      <c r="D10" s="2" t="s">
        <v>4</v>
      </c>
      <c r="E10" s="99">
        <f t="shared" si="0"/>
        <v>2.9829999999999999E-2</v>
      </c>
      <c r="F10" s="99">
        <v>2.9829999999999999E-2</v>
      </c>
      <c r="G10" s="99">
        <f t="shared" si="1"/>
        <v>2.9829999999999999E-2</v>
      </c>
      <c r="H10" s="99">
        <f t="shared" si="1"/>
        <v>2.9829999999999999E-2</v>
      </c>
      <c r="I10" s="100">
        <f t="shared" ref="I10:I30" si="6">J10</f>
        <v>5.9470000000000002E-2</v>
      </c>
      <c r="J10" s="99">
        <v>5.9470000000000002E-2</v>
      </c>
      <c r="K10" s="99">
        <f t="shared" ref="K10:L10" si="7">J10</f>
        <v>5.9470000000000002E-2</v>
      </c>
      <c r="L10" s="99">
        <f t="shared" si="7"/>
        <v>5.9470000000000002E-2</v>
      </c>
      <c r="M10" s="101">
        <f t="shared" ref="M10:M30" si="8">N10</f>
        <v>0.59450000000000003</v>
      </c>
      <c r="N10" s="101">
        <v>0.59450000000000003</v>
      </c>
      <c r="O10" s="101">
        <f t="shared" ref="O10:P10" si="9">N10</f>
        <v>0.59450000000000003</v>
      </c>
      <c r="P10" s="101">
        <f t="shared" si="9"/>
        <v>0.59450000000000003</v>
      </c>
      <c r="Q10" s="101">
        <v>2.9816699999999998</v>
      </c>
      <c r="R10" s="101">
        <f t="shared" ref="R10:S10" si="10">Q10</f>
        <v>2.9816699999999998</v>
      </c>
      <c r="S10" s="101">
        <f t="shared" si="10"/>
        <v>2.9816699999999998</v>
      </c>
      <c r="T10" s="101">
        <v>5.9447900000000002</v>
      </c>
      <c r="U10" s="101">
        <f t="shared" ref="U10:V10" si="11">T10</f>
        <v>5.9447900000000002</v>
      </c>
      <c r="V10" s="101">
        <f t="shared" si="11"/>
        <v>5.9447900000000002</v>
      </c>
      <c r="W10" s="2" t="s">
        <v>1</v>
      </c>
    </row>
    <row r="11" spans="1:23" ht="15.75" customHeight="1" x14ac:dyDescent="0.2">
      <c r="B11" s="131"/>
      <c r="C11" s="120" t="s">
        <v>13</v>
      </c>
      <c r="D11" s="2" t="s">
        <v>3</v>
      </c>
      <c r="E11" s="93">
        <f t="shared" si="0"/>
        <v>1095.4754399999999</v>
      </c>
      <c r="F11" s="93">
        <v>1095.4754399999999</v>
      </c>
      <c r="G11" s="93">
        <f t="shared" si="1"/>
        <v>1095.4754399999999</v>
      </c>
      <c r="H11" s="93">
        <f t="shared" si="1"/>
        <v>1095.4754399999999</v>
      </c>
      <c r="I11" s="93">
        <f t="shared" si="6"/>
        <v>2190.9508900000001</v>
      </c>
      <c r="J11" s="93">
        <v>2190.9508900000001</v>
      </c>
      <c r="K11" s="93">
        <f t="shared" ref="K11:L11" si="12">J11</f>
        <v>2190.9508900000001</v>
      </c>
      <c r="L11" s="93">
        <f t="shared" si="12"/>
        <v>2190.9508900000001</v>
      </c>
      <c r="M11" s="93">
        <f t="shared" si="8"/>
        <v>22676.3</v>
      </c>
      <c r="N11" s="93">
        <v>22676.3</v>
      </c>
      <c r="O11" s="93">
        <f t="shared" ref="O11:P11" si="13">N11</f>
        <v>22676.3</v>
      </c>
      <c r="P11" s="93">
        <f t="shared" si="13"/>
        <v>22676.3</v>
      </c>
      <c r="Q11" s="93">
        <v>113491</v>
      </c>
      <c r="R11" s="93">
        <f t="shared" ref="R11:S11" si="14">Q11</f>
        <v>113491</v>
      </c>
      <c r="S11" s="93">
        <f t="shared" si="14"/>
        <v>113491</v>
      </c>
      <c r="T11" s="93">
        <v>226983</v>
      </c>
      <c r="U11" s="93">
        <f t="shared" ref="U11:V11" si="15">T11</f>
        <v>226983</v>
      </c>
      <c r="V11" s="93">
        <f t="shared" si="15"/>
        <v>226983</v>
      </c>
      <c r="W11" s="2" t="s">
        <v>1</v>
      </c>
    </row>
    <row r="12" spans="1:23" x14ac:dyDescent="0.2">
      <c r="B12" s="131"/>
      <c r="C12" s="120"/>
      <c r="D12" s="2" t="s">
        <v>4</v>
      </c>
      <c r="E12" s="101">
        <f t="shared" si="0"/>
        <v>0.13147</v>
      </c>
      <c r="F12" s="101">
        <v>0.13147</v>
      </c>
      <c r="G12" s="101">
        <f t="shared" si="1"/>
        <v>0.13147</v>
      </c>
      <c r="H12" s="101">
        <f t="shared" si="1"/>
        <v>0.13147</v>
      </c>
      <c r="I12" s="101">
        <f t="shared" si="6"/>
        <v>0.26294000000000001</v>
      </c>
      <c r="J12" s="101">
        <v>0.26294000000000001</v>
      </c>
      <c r="K12" s="101">
        <f t="shared" ref="K12:L12" si="16">J12</f>
        <v>0.26294000000000001</v>
      </c>
      <c r="L12" s="101">
        <f t="shared" si="16"/>
        <v>0.26294000000000001</v>
      </c>
      <c r="M12" s="101">
        <f t="shared" si="8"/>
        <v>2.62927</v>
      </c>
      <c r="N12" s="101">
        <v>2.62927</v>
      </c>
      <c r="O12" s="101">
        <f t="shared" ref="O12:P12" si="17">N12</f>
        <v>2.62927</v>
      </c>
      <c r="P12" s="101">
        <f t="shared" si="17"/>
        <v>2.62927</v>
      </c>
      <c r="Q12" s="97">
        <v>13.146430000000001</v>
      </c>
      <c r="R12" s="97">
        <f t="shared" ref="R12:S12" si="18">Q12</f>
        <v>13.146430000000001</v>
      </c>
      <c r="S12" s="97">
        <f t="shared" si="18"/>
        <v>13.146430000000001</v>
      </c>
      <c r="T12" s="97">
        <v>26.292860000000001</v>
      </c>
      <c r="U12" s="97">
        <f t="shared" ref="U12:V12" si="19">T12</f>
        <v>26.292860000000001</v>
      </c>
      <c r="V12" s="97">
        <f t="shared" si="19"/>
        <v>26.292860000000001</v>
      </c>
      <c r="W12" s="2" t="s">
        <v>1</v>
      </c>
    </row>
    <row r="13" spans="1:23" x14ac:dyDescent="0.2">
      <c r="B13" s="120" t="s">
        <v>5</v>
      </c>
      <c r="C13" s="133" t="s">
        <v>2</v>
      </c>
      <c r="D13" s="2" t="s">
        <v>3</v>
      </c>
      <c r="E13" s="93">
        <f t="shared" si="0"/>
        <v>607829</v>
      </c>
      <c r="F13" s="92">
        <v>607829</v>
      </c>
      <c r="G13" s="93">
        <f t="shared" si="1"/>
        <v>607829</v>
      </c>
      <c r="H13" s="93">
        <f t="shared" si="1"/>
        <v>607829</v>
      </c>
      <c r="I13" s="93">
        <f t="shared" si="6"/>
        <v>759164</v>
      </c>
      <c r="J13" s="93">
        <v>759164</v>
      </c>
      <c r="K13" s="93">
        <f t="shared" ref="K13:L13" si="20">J13</f>
        <v>759164</v>
      </c>
      <c r="L13" s="93">
        <f t="shared" si="20"/>
        <v>759164</v>
      </c>
      <c r="M13" s="93">
        <f t="shared" si="8"/>
        <v>3034470</v>
      </c>
      <c r="N13" s="93">
        <v>3034470</v>
      </c>
      <c r="O13" s="93">
        <f t="shared" ref="O13:P13" si="21">N13</f>
        <v>3034470</v>
      </c>
      <c r="P13" s="93">
        <f t="shared" si="21"/>
        <v>3034470</v>
      </c>
      <c r="Q13" s="93">
        <v>15227100</v>
      </c>
      <c r="R13" s="93">
        <f t="shared" ref="R13:S13" si="22">Q13</f>
        <v>15227100</v>
      </c>
      <c r="S13" s="93">
        <f t="shared" si="22"/>
        <v>15227100</v>
      </c>
      <c r="T13" s="93">
        <v>28811000</v>
      </c>
      <c r="U13" s="93">
        <f t="shared" ref="U13:V13" si="23">T13</f>
        <v>28811000</v>
      </c>
      <c r="V13" s="93">
        <f t="shared" si="23"/>
        <v>28811000</v>
      </c>
      <c r="W13" s="2" t="s">
        <v>1</v>
      </c>
    </row>
    <row r="14" spans="1:23" x14ac:dyDescent="0.2">
      <c r="B14" s="120"/>
      <c r="C14" s="133"/>
      <c r="D14" s="2" t="s">
        <v>4</v>
      </c>
      <c r="E14" s="93">
        <f t="shared" si="0"/>
        <v>4090.4988199999998</v>
      </c>
      <c r="F14" s="93">
        <v>4090.4988199999998</v>
      </c>
      <c r="G14" s="93">
        <f t="shared" si="1"/>
        <v>4090.4988199999998</v>
      </c>
      <c r="H14" s="93">
        <f t="shared" si="1"/>
        <v>4090.4988199999998</v>
      </c>
      <c r="I14" s="93">
        <f t="shared" si="6"/>
        <v>4090.49883</v>
      </c>
      <c r="J14" s="93">
        <v>4090.49883</v>
      </c>
      <c r="K14" s="93">
        <f t="shared" ref="K14:L14" si="24">J14</f>
        <v>4090.49883</v>
      </c>
      <c r="L14" s="93">
        <f t="shared" si="24"/>
        <v>4090.49883</v>
      </c>
      <c r="M14" s="93">
        <f t="shared" si="8"/>
        <v>5536.76566</v>
      </c>
      <c r="N14" s="93">
        <v>5536.76566</v>
      </c>
      <c r="O14" s="93">
        <f t="shared" ref="O14:P14" si="25">N14</f>
        <v>5536.76566</v>
      </c>
      <c r="P14" s="93">
        <f t="shared" si="25"/>
        <v>5536.76566</v>
      </c>
      <c r="Q14" s="93">
        <v>36334.1</v>
      </c>
      <c r="R14" s="93">
        <f t="shared" ref="R14:S14" si="26">Q14</f>
        <v>36334.1</v>
      </c>
      <c r="S14" s="93">
        <f t="shared" si="26"/>
        <v>36334.1</v>
      </c>
      <c r="T14" s="93">
        <v>46094.400000000001</v>
      </c>
      <c r="U14" s="93">
        <f t="shared" ref="U14:V14" si="27">T14</f>
        <v>46094.400000000001</v>
      </c>
      <c r="V14" s="93">
        <f t="shared" si="27"/>
        <v>46094.400000000001</v>
      </c>
      <c r="W14" s="2" t="s">
        <v>1</v>
      </c>
    </row>
    <row r="15" spans="1:23" x14ac:dyDescent="0.2">
      <c r="B15" s="120"/>
      <c r="C15" s="132" t="s">
        <v>6</v>
      </c>
      <c r="D15" s="2" t="s">
        <v>3</v>
      </c>
      <c r="E15" s="93">
        <f t="shared" si="0"/>
        <v>55321.5</v>
      </c>
      <c r="F15" s="93">
        <v>55321.5</v>
      </c>
      <c r="G15" s="93">
        <f t="shared" si="1"/>
        <v>55321.5</v>
      </c>
      <c r="H15" s="93">
        <f t="shared" si="1"/>
        <v>55321.5</v>
      </c>
      <c r="I15" s="93">
        <f t="shared" si="6"/>
        <v>110643</v>
      </c>
      <c r="J15" s="93">
        <v>110643</v>
      </c>
      <c r="K15" s="93">
        <f t="shared" ref="K15:L15" si="28">J15</f>
        <v>110643</v>
      </c>
      <c r="L15" s="93">
        <f t="shared" si="28"/>
        <v>110643</v>
      </c>
      <c r="M15" s="93">
        <f t="shared" si="8"/>
        <v>1095480</v>
      </c>
      <c r="N15" s="93">
        <v>1095480</v>
      </c>
      <c r="O15" s="93">
        <f t="shared" ref="O15:P15" si="29">N15</f>
        <v>1095480</v>
      </c>
      <c r="P15" s="93">
        <f t="shared" si="29"/>
        <v>1095480</v>
      </c>
      <c r="Q15" s="93">
        <v>5466420</v>
      </c>
      <c r="R15" s="93">
        <f t="shared" ref="R15:S15" si="30">Q15</f>
        <v>5466420</v>
      </c>
      <c r="S15" s="93">
        <f t="shared" si="30"/>
        <v>5466420</v>
      </c>
      <c r="T15" s="93">
        <v>10921900</v>
      </c>
      <c r="U15" s="93">
        <f t="shared" ref="U15:V15" si="31">T15</f>
        <v>10921900</v>
      </c>
      <c r="V15" s="93">
        <f t="shared" si="31"/>
        <v>10921900</v>
      </c>
      <c r="W15" s="2" t="s">
        <v>1</v>
      </c>
    </row>
    <row r="16" spans="1:23" ht="14.25" customHeight="1" x14ac:dyDescent="0.2">
      <c r="B16" s="120"/>
      <c r="C16" s="132"/>
      <c r="D16" s="2" t="s">
        <v>4</v>
      </c>
      <c r="E16" s="101">
        <f t="shared" si="0"/>
        <v>6.6520900000000003</v>
      </c>
      <c r="F16" s="101">
        <v>6.6520900000000003</v>
      </c>
      <c r="G16" s="101">
        <f t="shared" si="1"/>
        <v>6.6520900000000003</v>
      </c>
      <c r="H16" s="101">
        <f t="shared" si="1"/>
        <v>6.6520900000000003</v>
      </c>
      <c r="I16" s="101">
        <f t="shared" si="6"/>
        <v>6.8133600000000003</v>
      </c>
      <c r="J16" s="101">
        <v>6.8133600000000003</v>
      </c>
      <c r="K16" s="101">
        <f t="shared" ref="K16:L16" si="32">J16</f>
        <v>6.8133600000000003</v>
      </c>
      <c r="L16" s="101">
        <f t="shared" si="32"/>
        <v>6.8133600000000003</v>
      </c>
      <c r="M16" s="97">
        <f t="shared" si="8"/>
        <v>10.28051</v>
      </c>
      <c r="N16" s="97">
        <v>10.28051</v>
      </c>
      <c r="O16" s="97">
        <f t="shared" ref="O16:P16" si="33">N16</f>
        <v>10.28051</v>
      </c>
      <c r="P16" s="97">
        <f t="shared" si="33"/>
        <v>10.28051</v>
      </c>
      <c r="Q16" s="97">
        <v>25.519850000000002</v>
      </c>
      <c r="R16" s="97">
        <f t="shared" ref="R16:S16" si="34">Q16</f>
        <v>25.519850000000002</v>
      </c>
      <c r="S16" s="97">
        <f t="shared" si="34"/>
        <v>25.519850000000002</v>
      </c>
      <c r="T16" s="97">
        <v>44.750439999999998</v>
      </c>
      <c r="U16" s="97">
        <f t="shared" ref="U16:V16" si="35">T16</f>
        <v>44.750439999999998</v>
      </c>
      <c r="V16" s="97">
        <f t="shared" si="35"/>
        <v>44.750439999999998</v>
      </c>
      <c r="W16" s="2" t="s">
        <v>1</v>
      </c>
    </row>
    <row r="17" spans="2:23" x14ac:dyDescent="0.2">
      <c r="B17" s="129" t="s">
        <v>16</v>
      </c>
      <c r="C17" s="129" t="s">
        <v>8</v>
      </c>
      <c r="D17" s="2" t="s">
        <v>3</v>
      </c>
      <c r="E17" s="93">
        <f t="shared" si="0"/>
        <v>73725.5</v>
      </c>
      <c r="F17" s="93">
        <v>73725.5</v>
      </c>
      <c r="G17" s="93">
        <f t="shared" si="1"/>
        <v>73725.5</v>
      </c>
      <c r="H17" s="93">
        <f t="shared" si="1"/>
        <v>73725.5</v>
      </c>
      <c r="I17" s="93">
        <f t="shared" si="6"/>
        <v>147889</v>
      </c>
      <c r="J17" s="93">
        <v>147889</v>
      </c>
      <c r="K17" s="93">
        <f t="shared" ref="K17:L17" si="36">J17</f>
        <v>147889</v>
      </c>
      <c r="L17" s="93">
        <f t="shared" si="36"/>
        <v>147889</v>
      </c>
      <c r="M17" s="93">
        <f t="shared" si="8"/>
        <v>1478890</v>
      </c>
      <c r="N17" s="93">
        <v>1478890</v>
      </c>
      <c r="O17" s="93">
        <f t="shared" ref="O17:P17" si="37">N17</f>
        <v>1478890</v>
      </c>
      <c r="P17" s="93">
        <f t="shared" si="37"/>
        <v>1478890</v>
      </c>
      <c r="Q17" s="93">
        <v>6550940</v>
      </c>
      <c r="R17" s="93">
        <f t="shared" ref="R17:S17" si="38">Q17</f>
        <v>6550940</v>
      </c>
      <c r="S17" s="93">
        <f t="shared" si="38"/>
        <v>6550940</v>
      </c>
      <c r="T17" s="93">
        <v>13145700</v>
      </c>
      <c r="U17" s="93">
        <f t="shared" ref="U17:V17" si="39">T17</f>
        <v>13145700</v>
      </c>
      <c r="V17" s="93">
        <f t="shared" si="39"/>
        <v>13145700</v>
      </c>
      <c r="W17" s="2" t="s">
        <v>1</v>
      </c>
    </row>
    <row r="18" spans="2:23" x14ac:dyDescent="0.2">
      <c r="B18" s="129"/>
      <c r="C18" s="129"/>
      <c r="D18" s="2" t="s">
        <v>17</v>
      </c>
      <c r="E18" s="93">
        <f t="shared" si="0"/>
        <v>5723.34</v>
      </c>
      <c r="F18" s="92">
        <v>5723.34</v>
      </c>
      <c r="G18" s="93">
        <f t="shared" si="1"/>
        <v>5723.34</v>
      </c>
      <c r="H18" s="93">
        <f t="shared" si="1"/>
        <v>5723.34</v>
      </c>
      <c r="I18" s="93">
        <f t="shared" si="6"/>
        <v>11144.8</v>
      </c>
      <c r="J18" s="92">
        <v>11144.8</v>
      </c>
      <c r="K18" s="93">
        <f t="shared" ref="K18:L18" si="40">J18</f>
        <v>11144.8</v>
      </c>
      <c r="L18" s="93">
        <f t="shared" si="40"/>
        <v>11144.8</v>
      </c>
      <c r="M18" s="93">
        <f t="shared" si="8"/>
        <v>109359</v>
      </c>
      <c r="N18" s="92">
        <v>109359</v>
      </c>
      <c r="O18" s="93">
        <f t="shared" ref="O18:P18" si="41">N18</f>
        <v>109359</v>
      </c>
      <c r="P18" s="93">
        <f t="shared" si="41"/>
        <v>109359</v>
      </c>
      <c r="Q18" s="92">
        <v>486542</v>
      </c>
      <c r="R18" s="93">
        <f t="shared" ref="R18:S18" si="42">Q18</f>
        <v>486542</v>
      </c>
      <c r="S18" s="93">
        <f t="shared" si="42"/>
        <v>486542</v>
      </c>
      <c r="T18" s="92">
        <v>970878</v>
      </c>
      <c r="U18" s="93">
        <f t="shared" ref="U18:V18" si="43">T18</f>
        <v>970878</v>
      </c>
      <c r="V18" s="93">
        <f t="shared" si="43"/>
        <v>970878</v>
      </c>
      <c r="W18" s="2" t="s">
        <v>1</v>
      </c>
    </row>
    <row r="19" spans="2:23" x14ac:dyDescent="0.2">
      <c r="B19" s="129"/>
      <c r="C19" s="120" t="s">
        <v>9</v>
      </c>
      <c r="D19" s="2" t="s">
        <v>3</v>
      </c>
      <c r="E19" s="93">
        <f t="shared" si="0"/>
        <v>17199</v>
      </c>
      <c r="F19" s="93">
        <v>17199</v>
      </c>
      <c r="G19" s="93">
        <f t="shared" si="1"/>
        <v>17199</v>
      </c>
      <c r="H19" s="93">
        <f t="shared" si="1"/>
        <v>17199</v>
      </c>
      <c r="I19" s="93">
        <f t="shared" si="6"/>
        <v>34390</v>
      </c>
      <c r="J19" s="93">
        <v>34390</v>
      </c>
      <c r="K19" s="93">
        <f t="shared" ref="K19:L19" si="44">J19</f>
        <v>34390</v>
      </c>
      <c r="L19" s="93">
        <f t="shared" si="44"/>
        <v>34390</v>
      </c>
      <c r="M19" s="93">
        <f t="shared" si="8"/>
        <v>341788</v>
      </c>
      <c r="N19" s="93">
        <v>341788</v>
      </c>
      <c r="O19" s="93">
        <f t="shared" ref="O19:P19" si="45">N19</f>
        <v>341788</v>
      </c>
      <c r="P19" s="93">
        <f t="shared" si="45"/>
        <v>341788</v>
      </c>
      <c r="Q19" s="93">
        <v>1708940</v>
      </c>
      <c r="R19" s="93">
        <f t="shared" ref="R19:S19" si="46">Q19</f>
        <v>1708940</v>
      </c>
      <c r="S19" s="93">
        <f t="shared" si="46"/>
        <v>1708940</v>
      </c>
      <c r="T19" s="93">
        <v>3406930</v>
      </c>
      <c r="U19" s="93">
        <f t="shared" ref="U19:V19" si="47">T19</f>
        <v>3406930</v>
      </c>
      <c r="V19" s="93">
        <f t="shared" si="47"/>
        <v>3406930</v>
      </c>
      <c r="W19" s="2" t="s">
        <v>1</v>
      </c>
    </row>
    <row r="20" spans="2:23" x14ac:dyDescent="0.2">
      <c r="B20" s="129"/>
      <c r="C20" s="120"/>
      <c r="D20" s="2" t="s">
        <v>4</v>
      </c>
      <c r="E20" s="101">
        <f t="shared" si="0"/>
        <v>6.4505100000000004</v>
      </c>
      <c r="F20" s="101">
        <v>6.4505100000000004</v>
      </c>
      <c r="G20" s="101">
        <f t="shared" si="1"/>
        <v>6.4505100000000004</v>
      </c>
      <c r="H20" s="101">
        <f t="shared" si="1"/>
        <v>6.4505100000000004</v>
      </c>
      <c r="I20" s="101">
        <f t="shared" si="6"/>
        <v>6.4908299999999999</v>
      </c>
      <c r="J20" s="101">
        <v>6.4908299999999999</v>
      </c>
      <c r="K20" s="101">
        <f t="shared" ref="K20:L20" si="48">J20</f>
        <v>6.4908299999999999</v>
      </c>
      <c r="L20" s="101">
        <f t="shared" si="48"/>
        <v>6.4908299999999999</v>
      </c>
      <c r="M20" s="101">
        <f t="shared" si="8"/>
        <v>6.7730399999999999</v>
      </c>
      <c r="N20" s="101">
        <v>6.7730399999999999</v>
      </c>
      <c r="O20" s="101">
        <f t="shared" ref="O20:P20" si="49">N20</f>
        <v>6.7730399999999999</v>
      </c>
      <c r="P20" s="101">
        <f t="shared" si="49"/>
        <v>6.7730399999999999</v>
      </c>
      <c r="Q20" s="101">
        <v>7.5793499999999998</v>
      </c>
      <c r="R20" s="101">
        <f t="shared" ref="R20:S20" si="50">Q20</f>
        <v>7.5793499999999998</v>
      </c>
      <c r="S20" s="101">
        <f t="shared" si="50"/>
        <v>7.5793499999999998</v>
      </c>
      <c r="T20" s="101">
        <v>8.7485099999999996</v>
      </c>
      <c r="U20" s="101">
        <f t="shared" ref="U20:V20" si="51">T20</f>
        <v>8.7485099999999996</v>
      </c>
      <c r="V20" s="101">
        <f t="shared" si="51"/>
        <v>8.7485099999999996</v>
      </c>
      <c r="W20" s="2" t="s">
        <v>1</v>
      </c>
    </row>
    <row r="21" spans="2:23" x14ac:dyDescent="0.2">
      <c r="B21" s="129"/>
      <c r="C21" s="120" t="s">
        <v>18</v>
      </c>
      <c r="D21" s="2" t="s">
        <v>3</v>
      </c>
      <c r="E21" s="95">
        <f t="shared" si="0"/>
        <v>433.80826999999999</v>
      </c>
      <c r="F21" s="95">
        <v>433.80826999999999</v>
      </c>
      <c r="G21" s="95">
        <f t="shared" si="1"/>
        <v>433.80826999999999</v>
      </c>
      <c r="H21" s="95">
        <f t="shared" si="1"/>
        <v>433.80826999999999</v>
      </c>
      <c r="I21" s="95">
        <f t="shared" si="6"/>
        <v>865.42</v>
      </c>
      <c r="J21" s="95">
        <v>865.42</v>
      </c>
      <c r="K21" s="95">
        <f t="shared" ref="K21:L21" si="52">J21</f>
        <v>865.42</v>
      </c>
      <c r="L21" s="95">
        <f t="shared" si="52"/>
        <v>865.42</v>
      </c>
      <c r="M21" s="93">
        <f t="shared" si="8"/>
        <v>8610.4369000000006</v>
      </c>
      <c r="N21" s="93">
        <v>8610.4369000000006</v>
      </c>
      <c r="O21" s="93">
        <f t="shared" ref="O21:P21" si="53">N21</f>
        <v>8610.4369000000006</v>
      </c>
      <c r="P21" s="93">
        <f t="shared" si="53"/>
        <v>8610.4369000000006</v>
      </c>
      <c r="Q21" s="93">
        <v>42833.1</v>
      </c>
      <c r="R21" s="93">
        <f t="shared" ref="R21:S21" si="54">Q21</f>
        <v>42833.1</v>
      </c>
      <c r="S21" s="93">
        <f t="shared" si="54"/>
        <v>42833.1</v>
      </c>
      <c r="T21" s="93">
        <v>85556.6</v>
      </c>
      <c r="U21" s="93">
        <f t="shared" ref="U21:V21" si="55">T21</f>
        <v>85556.6</v>
      </c>
      <c r="V21" s="93">
        <f t="shared" si="55"/>
        <v>85556.6</v>
      </c>
      <c r="W21" s="2" t="s">
        <v>1</v>
      </c>
    </row>
    <row r="22" spans="2:23" x14ac:dyDescent="0.2">
      <c r="B22" s="129"/>
      <c r="C22" s="120">
        <v>0</v>
      </c>
      <c r="D22" s="2" t="s">
        <v>4</v>
      </c>
      <c r="E22" s="101">
        <f t="shared" si="0"/>
        <v>6.4505100000000004</v>
      </c>
      <c r="F22" s="101">
        <v>6.4505100000000004</v>
      </c>
      <c r="G22" s="101">
        <f t="shared" si="1"/>
        <v>6.4505100000000004</v>
      </c>
      <c r="H22" s="101">
        <f t="shared" si="1"/>
        <v>6.4505100000000004</v>
      </c>
      <c r="I22" s="101">
        <f t="shared" si="6"/>
        <v>6.45</v>
      </c>
      <c r="J22" s="101">
        <v>6.45</v>
      </c>
      <c r="K22" s="101">
        <f t="shared" ref="K22:L22" si="56">J22</f>
        <v>6.45</v>
      </c>
      <c r="L22" s="101">
        <f t="shared" si="56"/>
        <v>6.45</v>
      </c>
      <c r="M22" s="101">
        <f t="shared" si="8"/>
        <v>6.4505100000000004</v>
      </c>
      <c r="N22" s="101">
        <v>6.4505100000000004</v>
      </c>
      <c r="O22" s="101">
        <f t="shared" ref="O22:P22" si="57">N22</f>
        <v>6.4505100000000004</v>
      </c>
      <c r="P22" s="101">
        <f t="shared" si="57"/>
        <v>6.4505100000000004</v>
      </c>
      <c r="Q22" s="101">
        <v>6.5311500000000002</v>
      </c>
      <c r="R22" s="101">
        <f t="shared" ref="R22:S22" si="58">Q22</f>
        <v>6.5311500000000002</v>
      </c>
      <c r="S22" s="101">
        <f t="shared" si="58"/>
        <v>6.5311500000000002</v>
      </c>
      <c r="T22" s="101">
        <v>6.6117800000000004</v>
      </c>
      <c r="U22" s="101">
        <f t="shared" ref="U22:V22" si="59">T22</f>
        <v>6.6117800000000004</v>
      </c>
      <c r="V22" s="101">
        <f t="shared" si="59"/>
        <v>6.6117800000000004</v>
      </c>
      <c r="W22" s="2" t="s">
        <v>1</v>
      </c>
    </row>
    <row r="23" spans="2:23" ht="15" customHeight="1" x14ac:dyDescent="0.2">
      <c r="B23" s="127" t="s">
        <v>15</v>
      </c>
      <c r="C23" s="128"/>
      <c r="D23" s="2" t="s">
        <v>4</v>
      </c>
      <c r="E23" s="93">
        <f t="shared" si="0"/>
        <v>11101</v>
      </c>
      <c r="F23" s="93">
        <v>11101</v>
      </c>
      <c r="G23" s="93">
        <f t="shared" si="1"/>
        <v>11101</v>
      </c>
      <c r="H23" s="93">
        <f t="shared" si="1"/>
        <v>11101</v>
      </c>
      <c r="I23" s="93">
        <f t="shared" si="6"/>
        <v>20800.5</v>
      </c>
      <c r="J23" s="93">
        <v>20800.5</v>
      </c>
      <c r="K23" s="93">
        <f t="shared" ref="K23:L23" si="60">J23</f>
        <v>20800.5</v>
      </c>
      <c r="L23" s="93">
        <f t="shared" si="60"/>
        <v>20800.5</v>
      </c>
      <c r="M23" s="93">
        <f t="shared" si="8"/>
        <v>192694</v>
      </c>
      <c r="N23" s="92">
        <v>192694</v>
      </c>
      <c r="O23" s="93">
        <f t="shared" ref="O23:P23" si="61">N23</f>
        <v>192694</v>
      </c>
      <c r="P23" s="93">
        <f t="shared" si="61"/>
        <v>192694</v>
      </c>
      <c r="Q23" s="93">
        <v>859360</v>
      </c>
      <c r="R23" s="93">
        <f t="shared" ref="R23:S23" si="62">Q23</f>
        <v>859360</v>
      </c>
      <c r="S23" s="93">
        <f t="shared" si="62"/>
        <v>859360</v>
      </c>
      <c r="T23" s="93">
        <v>1705070</v>
      </c>
      <c r="U23" s="93">
        <f t="shared" ref="U23:V23" si="63">T23</f>
        <v>1705070</v>
      </c>
      <c r="V23" s="93">
        <f t="shared" si="63"/>
        <v>1705070</v>
      </c>
      <c r="W23" s="2" t="s">
        <v>1</v>
      </c>
    </row>
    <row r="24" spans="2:23" x14ac:dyDescent="0.2">
      <c r="B24" s="130" t="s">
        <v>14</v>
      </c>
      <c r="C24" s="120" t="s">
        <v>7</v>
      </c>
      <c r="D24" s="2" t="s">
        <v>3</v>
      </c>
      <c r="E24" s="93">
        <f t="shared" si="0"/>
        <v>500775</v>
      </c>
      <c r="F24" s="93">
        <v>500775</v>
      </c>
      <c r="G24" s="93">
        <f t="shared" si="1"/>
        <v>500775</v>
      </c>
      <c r="H24" s="93">
        <f t="shared" si="1"/>
        <v>500775</v>
      </c>
      <c r="I24" s="93">
        <f t="shared" si="6"/>
        <v>574884</v>
      </c>
      <c r="J24" s="93">
        <v>574884</v>
      </c>
      <c r="K24" s="93">
        <f t="shared" ref="K24:L24" si="64">J24</f>
        <v>574884</v>
      </c>
      <c r="L24" s="93">
        <f t="shared" si="64"/>
        <v>574884</v>
      </c>
      <c r="M24" s="93">
        <f t="shared" si="8"/>
        <v>909245</v>
      </c>
      <c r="N24" s="93">
        <v>909245</v>
      </c>
      <c r="O24" s="93">
        <f t="shared" ref="O24:P24" si="65">N24</f>
        <v>909245</v>
      </c>
      <c r="P24" s="93">
        <f t="shared" si="65"/>
        <v>909245</v>
      </c>
      <c r="Q24" s="93">
        <v>1252700</v>
      </c>
      <c r="R24" s="93">
        <f t="shared" ref="R24:S24" si="66">Q24</f>
        <v>1252700</v>
      </c>
      <c r="S24" s="93">
        <f t="shared" si="66"/>
        <v>1252700</v>
      </c>
      <c r="T24" s="93">
        <v>1435070</v>
      </c>
      <c r="U24" s="93">
        <f t="shared" ref="U24:V24" si="67">T24</f>
        <v>1435070</v>
      </c>
      <c r="V24" s="93">
        <f t="shared" si="67"/>
        <v>1435070</v>
      </c>
      <c r="W24" s="2" t="s">
        <v>1</v>
      </c>
    </row>
    <row r="25" spans="2:23" x14ac:dyDescent="0.2">
      <c r="B25" s="130"/>
      <c r="C25" s="120"/>
      <c r="D25" s="2" t="s">
        <v>17</v>
      </c>
      <c r="E25" s="93">
        <f t="shared" si="0"/>
        <v>32888.9</v>
      </c>
      <c r="F25" s="93">
        <v>32888.9</v>
      </c>
      <c r="G25" s="93">
        <f t="shared" si="1"/>
        <v>32888.9</v>
      </c>
      <c r="H25" s="93">
        <f t="shared" si="1"/>
        <v>32888.9</v>
      </c>
      <c r="I25" s="93">
        <f t="shared" si="6"/>
        <v>65789.399999999994</v>
      </c>
      <c r="J25" s="93">
        <v>65789.399999999994</v>
      </c>
      <c r="K25" s="93">
        <f t="shared" ref="K25:L25" si="68">J25</f>
        <v>65789.399999999994</v>
      </c>
      <c r="L25" s="93">
        <f t="shared" si="68"/>
        <v>65789.399999999994</v>
      </c>
      <c r="M25" s="92">
        <f t="shared" si="8"/>
        <v>1568860</v>
      </c>
      <c r="N25" s="93">
        <v>1568860</v>
      </c>
      <c r="O25" s="93">
        <f t="shared" ref="O25:P25" si="69">N25</f>
        <v>1568860</v>
      </c>
      <c r="P25" s="93">
        <f t="shared" si="69"/>
        <v>1568860</v>
      </c>
      <c r="Q25" s="93">
        <v>3289350</v>
      </c>
      <c r="R25" s="93">
        <f>Q25</f>
        <v>3289350</v>
      </c>
      <c r="S25" s="93">
        <f t="shared" ref="S25" si="70">R25</f>
        <v>3289350</v>
      </c>
      <c r="T25" s="93">
        <v>6578710</v>
      </c>
      <c r="U25" s="93">
        <f t="shared" ref="U25:V25" si="71">T25</f>
        <v>6578710</v>
      </c>
      <c r="V25" s="93">
        <f t="shared" si="71"/>
        <v>6578710</v>
      </c>
      <c r="W25" s="2" t="s">
        <v>1</v>
      </c>
    </row>
    <row r="26" spans="2:23" x14ac:dyDescent="0.2">
      <c r="B26" s="130"/>
      <c r="C26" s="120"/>
      <c r="D26" s="2" t="s">
        <v>4</v>
      </c>
      <c r="E26" s="93">
        <f t="shared" si="0"/>
        <v>1312.49701</v>
      </c>
      <c r="F26" s="93">
        <v>1312.49701</v>
      </c>
      <c r="G26" s="93">
        <f t="shared" si="1"/>
        <v>1312.49701</v>
      </c>
      <c r="H26" s="93">
        <f t="shared" si="1"/>
        <v>1312.49701</v>
      </c>
      <c r="I26" s="93">
        <f t="shared" si="6"/>
        <v>1329.27802</v>
      </c>
      <c r="J26" s="93">
        <v>1329.27802</v>
      </c>
      <c r="K26" s="93">
        <f t="shared" ref="K26:L26" si="72">J26</f>
        <v>1329.27802</v>
      </c>
      <c r="L26" s="102">
        <f t="shared" si="72"/>
        <v>1329.27802</v>
      </c>
      <c r="M26" s="92">
        <f t="shared" si="8"/>
        <v>1719.1082200000001</v>
      </c>
      <c r="N26" s="102">
        <v>1719.1082200000001</v>
      </c>
      <c r="O26" s="92">
        <f t="shared" ref="O26:P26" si="73">N26</f>
        <v>1719.1082200000001</v>
      </c>
      <c r="P26" s="93">
        <f t="shared" si="73"/>
        <v>1719.1082200000001</v>
      </c>
      <c r="Q26" s="93">
        <v>3419.19229</v>
      </c>
      <c r="R26" s="93">
        <f>Q26</f>
        <v>3419.19229</v>
      </c>
      <c r="S26" s="93">
        <f t="shared" ref="S26" si="74">R26</f>
        <v>3419.19229</v>
      </c>
      <c r="T26" s="93">
        <v>5543.3073800000002</v>
      </c>
      <c r="U26" s="93">
        <f t="shared" ref="U26:V26" si="75">T26</f>
        <v>5543.3073800000002</v>
      </c>
      <c r="V26" s="93">
        <f t="shared" si="75"/>
        <v>5543.3073800000002</v>
      </c>
      <c r="W26" s="2" t="s">
        <v>1</v>
      </c>
    </row>
    <row r="27" spans="2:23" ht="12.75" customHeight="1" x14ac:dyDescent="0.2">
      <c r="B27" s="121" t="s">
        <v>11</v>
      </c>
      <c r="C27" s="122"/>
      <c r="D27" s="2" t="s">
        <v>3</v>
      </c>
      <c r="E27" s="92">
        <v>29255.1</v>
      </c>
      <c r="F27" s="93">
        <v>14214.3</v>
      </c>
      <c r="G27" s="92">
        <v>3966.79</v>
      </c>
      <c r="H27" s="92">
        <v>1818.11</v>
      </c>
      <c r="I27" s="92">
        <v>58344.9</v>
      </c>
      <c r="J27" s="92">
        <v>28594</v>
      </c>
      <c r="K27" s="92">
        <v>7768.3</v>
      </c>
      <c r="L27" s="102">
        <v>3636.22</v>
      </c>
      <c r="M27" s="92">
        <v>583780</v>
      </c>
      <c r="N27" s="102">
        <v>285940</v>
      </c>
      <c r="O27" s="92">
        <v>77848</v>
      </c>
      <c r="P27" s="92">
        <v>36362.300000000003</v>
      </c>
      <c r="Q27" s="92">
        <v>1427220</v>
      </c>
      <c r="R27" s="92">
        <v>389240</v>
      </c>
      <c r="S27" s="92">
        <v>181646</v>
      </c>
      <c r="T27" s="92">
        <v>2854270</v>
      </c>
      <c r="U27" s="92">
        <v>778480</v>
      </c>
      <c r="V27" s="92">
        <v>363290</v>
      </c>
      <c r="W27" s="2" t="s">
        <v>1</v>
      </c>
    </row>
    <row r="28" spans="2:23" x14ac:dyDescent="0.2">
      <c r="B28" s="123"/>
      <c r="C28" s="124"/>
      <c r="D28" s="2" t="s">
        <v>20</v>
      </c>
      <c r="E28" s="92">
        <v>5822.8886400000001</v>
      </c>
      <c r="F28" s="93">
        <v>2854.2760199999998</v>
      </c>
      <c r="G28" s="94">
        <v>778.31899999999996</v>
      </c>
      <c r="H28" s="94">
        <v>364.15</v>
      </c>
      <c r="I28" s="92">
        <v>11665.7</v>
      </c>
      <c r="J28" s="92">
        <v>5700.5365199999997</v>
      </c>
      <c r="K28" s="92">
        <v>1551.54</v>
      </c>
      <c r="L28" s="103">
        <v>725.10799999999995</v>
      </c>
      <c r="M28" s="92">
        <v>116734</v>
      </c>
      <c r="N28" s="102">
        <v>57005.4</v>
      </c>
      <c r="O28" s="92">
        <v>15308</v>
      </c>
      <c r="P28" s="92">
        <v>7260.89</v>
      </c>
      <c r="Q28" s="92">
        <v>285224</v>
      </c>
      <c r="R28" s="92">
        <v>77818</v>
      </c>
      <c r="S28" s="92">
        <v>36306.400000000001</v>
      </c>
      <c r="T28" s="92">
        <v>570927</v>
      </c>
      <c r="U28" s="92">
        <v>155517</v>
      </c>
      <c r="V28" s="92">
        <v>72611.7</v>
      </c>
      <c r="W28" s="2" t="s">
        <v>1</v>
      </c>
    </row>
    <row r="29" spans="2:23" x14ac:dyDescent="0.2">
      <c r="B29" s="123"/>
      <c r="C29" s="124"/>
      <c r="D29" s="4" t="s">
        <v>21</v>
      </c>
      <c r="E29" s="92">
        <v>1252.67309</v>
      </c>
      <c r="F29" s="94">
        <v>612.41795999999999</v>
      </c>
      <c r="G29" s="94">
        <v>167.02</v>
      </c>
      <c r="H29" s="96">
        <v>77.944000000000003</v>
      </c>
      <c r="I29" s="92">
        <v>2505.346</v>
      </c>
      <c r="J29" s="92">
        <v>1224.83591</v>
      </c>
      <c r="K29" s="94">
        <v>334.04599999999999</v>
      </c>
      <c r="L29" s="94">
        <v>155.88800000000001</v>
      </c>
      <c r="M29" s="92">
        <v>25053.5</v>
      </c>
      <c r="N29" s="92">
        <v>12248.4</v>
      </c>
      <c r="O29" s="92">
        <v>3340.46</v>
      </c>
      <c r="P29" s="92">
        <v>1670.23</v>
      </c>
      <c r="Q29" s="92">
        <v>61241.8</v>
      </c>
      <c r="R29" s="92">
        <v>16702.3</v>
      </c>
      <c r="S29" s="92">
        <v>7794</v>
      </c>
      <c r="T29" s="92">
        <v>122484</v>
      </c>
      <c r="U29" s="92">
        <v>33404.6</v>
      </c>
      <c r="V29" s="92">
        <v>15588.8</v>
      </c>
      <c r="W29" s="4" t="s">
        <v>1</v>
      </c>
    </row>
    <row r="30" spans="2:23" x14ac:dyDescent="0.2">
      <c r="B30" s="125"/>
      <c r="C30" s="126"/>
      <c r="D30" s="2" t="s">
        <v>22</v>
      </c>
      <c r="E30" s="93">
        <f t="shared" si="0"/>
        <v>-837686</v>
      </c>
      <c r="F30" s="93">
        <v>-837686</v>
      </c>
      <c r="G30" s="93">
        <f t="shared" si="1"/>
        <v>-837686</v>
      </c>
      <c r="H30" s="93">
        <f>G30</f>
        <v>-837686</v>
      </c>
      <c r="I30" s="93">
        <f t="shared" si="6"/>
        <v>-1675370</v>
      </c>
      <c r="J30" s="93">
        <v>-1675370</v>
      </c>
      <c r="K30" s="93">
        <f t="shared" ref="K30" si="76">J30</f>
        <v>-1675370</v>
      </c>
      <c r="L30" s="102">
        <f>K30</f>
        <v>-1675370</v>
      </c>
      <c r="M30" s="93">
        <f t="shared" si="8"/>
        <v>-16753700</v>
      </c>
      <c r="N30" s="102">
        <v>-16753700</v>
      </c>
      <c r="O30" s="92">
        <f t="shared" ref="O30" si="77">N30</f>
        <v>-16753700</v>
      </c>
      <c r="P30" s="93">
        <f>O30</f>
        <v>-16753700</v>
      </c>
      <c r="Q30" s="93">
        <v>-83768600</v>
      </c>
      <c r="R30" s="93">
        <f t="shared" ref="R30" si="78">Q30</f>
        <v>-83768600</v>
      </c>
      <c r="S30" s="92">
        <f>R30</f>
        <v>-83768600</v>
      </c>
      <c r="T30" s="92">
        <v>-167537000</v>
      </c>
      <c r="U30" s="93">
        <f t="shared" ref="U30" si="79">T30</f>
        <v>-167537000</v>
      </c>
      <c r="V30" s="93">
        <f>U30</f>
        <v>-167537000</v>
      </c>
      <c r="W30" s="2" t="s">
        <v>1</v>
      </c>
    </row>
    <row r="31" spans="2:23" x14ac:dyDescent="0.2">
      <c r="D31" s="15" t="s">
        <v>23</v>
      </c>
      <c r="E31" s="104">
        <f>SUM(E6:E30)</f>
        <v>556760.9032099999</v>
      </c>
      <c r="F31" s="104">
        <f t="shared" ref="F31:V31" si="80">SUM(F6:F30)</f>
        <v>536789.0331900001</v>
      </c>
      <c r="G31" s="104">
        <f t="shared" si="80"/>
        <v>522931.29796999996</v>
      </c>
      <c r="H31" s="104">
        <f t="shared" si="80"/>
        <v>520082.72887999984</v>
      </c>
      <c r="I31" s="104">
        <f t="shared" si="80"/>
        <v>196014.37946999981</v>
      </c>
      <c r="J31" s="104">
        <f t="shared" si="80"/>
        <v>156431.18686000002</v>
      </c>
      <c r="K31" s="104">
        <f t="shared" si="80"/>
        <v>128587.36934000021</v>
      </c>
      <c r="L31" s="105">
        <f t="shared" si="80"/>
        <v>123076.75687000016</v>
      </c>
      <c r="M31" s="104">
        <f t="shared" si="80"/>
        <v>-7027861.5213899985</v>
      </c>
      <c r="N31" s="104">
        <f t="shared" si="80"/>
        <v>-7426672.9587099999</v>
      </c>
      <c r="O31" s="104">
        <f t="shared" si="80"/>
        <v>-7705153.5024699979</v>
      </c>
      <c r="P31" s="104">
        <f t="shared" si="80"/>
        <v>-7760220.6083899979</v>
      </c>
      <c r="Q31" s="104">
        <f t="shared" si="80"/>
        <v>-46470076.636700004</v>
      </c>
      <c r="R31" s="104">
        <f t="shared" si="80"/>
        <v>-47841086.069260009</v>
      </c>
      <c r="S31" s="104">
        <f t="shared" si="80"/>
        <v>-48118173.339259997</v>
      </c>
      <c r="T31" s="104">
        <f t="shared" si="80"/>
        <v>-95868376.344239995</v>
      </c>
      <c r="U31" s="104">
        <f t="shared" si="80"/>
        <v>-98641551.244240001</v>
      </c>
      <c r="V31" s="104">
        <f t="shared" si="80"/>
        <v>-99198169.314239994</v>
      </c>
      <c r="W31" s="15" t="str">
        <f>W30</f>
        <v>MJ</v>
      </c>
    </row>
    <row r="32" spans="2:23" x14ac:dyDescent="0.2">
      <c r="D32" s="89" t="s">
        <v>4</v>
      </c>
      <c r="E32" s="88">
        <f>E6+E10+E12+E14+E16+E20+E22+E26+E28</f>
        <v>13531.628879999998</v>
      </c>
      <c r="F32" s="88">
        <f t="shared" ref="F32:V32" si="81">F6+F10+F12+F14+F16+F20+F22+F26+F28</f>
        <v>9494.3113799999992</v>
      </c>
      <c r="G32" s="88">
        <f t="shared" si="81"/>
        <v>6505.8333099999982</v>
      </c>
      <c r="H32" s="88">
        <f t="shared" si="81"/>
        <v>5930.2902399999984</v>
      </c>
      <c r="I32" s="88">
        <f t="shared" si="81"/>
        <v>21420.403450000002</v>
      </c>
      <c r="J32" s="88">
        <f t="shared" si="81"/>
        <v>13375.619789999999</v>
      </c>
      <c r="K32" s="88">
        <f t="shared" si="81"/>
        <v>7600.993449999999</v>
      </c>
      <c r="L32" s="88">
        <f t="shared" si="81"/>
        <v>6440.2989799999996</v>
      </c>
      <c r="M32" s="88">
        <f t="shared" si="81"/>
        <v>169736.60170999999</v>
      </c>
      <c r="N32" s="88">
        <f t="shared" si="81"/>
        <v>86640.30171</v>
      </c>
      <c r="O32" s="88">
        <f t="shared" si="81"/>
        <v>28686.681710000001</v>
      </c>
      <c r="P32" s="88">
        <f t="shared" si="81"/>
        <v>17388.32171</v>
      </c>
      <c r="Q32" s="88">
        <f t="shared" si="81"/>
        <v>418962.45074</v>
      </c>
      <c r="R32" s="88">
        <f t="shared" si="81"/>
        <v>148107.45074</v>
      </c>
      <c r="S32" s="88">
        <f t="shared" si="81"/>
        <v>90339.650739999997</v>
      </c>
      <c r="T32" s="88">
        <f t="shared" si="81"/>
        <v>846180.0557599999</v>
      </c>
      <c r="U32" s="88">
        <f t="shared" si="81"/>
        <v>266532.55576000002</v>
      </c>
      <c r="V32" s="88">
        <f t="shared" si="81"/>
        <v>152790.15576000002</v>
      </c>
    </row>
    <row r="33" spans="1:23" x14ac:dyDescent="0.2">
      <c r="D33" s="89" t="s">
        <v>161</v>
      </c>
      <c r="E33" s="90">
        <f>E32/SUM(E6:E29)</f>
        <v>9.7039398551858457E-3</v>
      </c>
      <c r="F33" s="90">
        <f t="shared" ref="F33:V33" si="82">F32/SUM(F6:F29)</f>
        <v>6.907591008011825E-3</v>
      </c>
      <c r="G33" s="90">
        <f t="shared" si="82"/>
        <v>4.7815306476747766E-3</v>
      </c>
      <c r="H33" s="90">
        <f t="shared" si="82"/>
        <v>4.367673311265456E-3</v>
      </c>
      <c r="I33" s="90">
        <f t="shared" si="82"/>
        <v>1.1446287403588639E-2</v>
      </c>
      <c r="J33" s="90">
        <f t="shared" si="82"/>
        <v>7.3018949250316561E-3</v>
      </c>
      <c r="K33" s="90">
        <f t="shared" si="82"/>
        <v>4.2135105735790837E-3</v>
      </c>
      <c r="L33" s="90">
        <f t="shared" si="82"/>
        <v>3.5810339980309651E-3</v>
      </c>
      <c r="M33" s="90">
        <f t="shared" si="82"/>
        <v>1.7452130434131827E-2</v>
      </c>
      <c r="N33" s="90">
        <f t="shared" si="82"/>
        <v>9.2891659181913305E-3</v>
      </c>
      <c r="O33" s="90">
        <f t="shared" si="82"/>
        <v>3.1703082608715836E-3</v>
      </c>
      <c r="P33" s="90">
        <f t="shared" si="82"/>
        <v>1.9334365436164259E-3</v>
      </c>
      <c r="Q33" s="90">
        <f t="shared" si="82"/>
        <v>1.1232681965963281E-2</v>
      </c>
      <c r="R33" s="90">
        <f t="shared" si="82"/>
        <v>4.122396306783631E-3</v>
      </c>
      <c r="S33" s="90">
        <f t="shared" si="82"/>
        <v>2.5340412219943065E-3</v>
      </c>
      <c r="T33" s="90">
        <f t="shared" si="82"/>
        <v>1.1806841161404003E-2</v>
      </c>
      <c r="U33" s="90">
        <f t="shared" si="82"/>
        <v>3.86865258262385E-3</v>
      </c>
      <c r="V33" s="90">
        <f t="shared" si="82"/>
        <v>2.2357736330398965E-3</v>
      </c>
    </row>
    <row r="35" spans="1:23" ht="15.75" x14ac:dyDescent="0.25">
      <c r="A35" s="42" t="s">
        <v>25</v>
      </c>
    </row>
    <row r="37" spans="1:23" ht="75" customHeight="1" x14ac:dyDescent="0.2">
      <c r="B37" s="13"/>
      <c r="C37" s="2"/>
      <c r="D37" s="2"/>
      <c r="E37" s="3" t="s">
        <v>124</v>
      </c>
      <c r="F37" s="3" t="s">
        <v>125</v>
      </c>
      <c r="G37" s="3" t="s">
        <v>126</v>
      </c>
      <c r="H37" s="3" t="s">
        <v>123</v>
      </c>
      <c r="I37" s="3" t="s">
        <v>127</v>
      </c>
      <c r="J37" s="3" t="s">
        <v>128</v>
      </c>
      <c r="K37" s="3" t="s">
        <v>129</v>
      </c>
      <c r="L37" s="3" t="s">
        <v>130</v>
      </c>
      <c r="M37" s="3" t="s">
        <v>131</v>
      </c>
      <c r="N37" s="3" t="s">
        <v>132</v>
      </c>
      <c r="O37" s="3" t="s">
        <v>133</v>
      </c>
      <c r="P37" s="3" t="s">
        <v>134</v>
      </c>
      <c r="Q37" s="3" t="s">
        <v>135</v>
      </c>
      <c r="R37" s="3" t="s">
        <v>136</v>
      </c>
      <c r="S37" s="3" t="s">
        <v>137</v>
      </c>
      <c r="T37" s="3" t="s">
        <v>138</v>
      </c>
      <c r="U37" s="3" t="s">
        <v>139</v>
      </c>
      <c r="V37" s="3" t="s">
        <v>140</v>
      </c>
      <c r="W37" s="2" t="s">
        <v>0</v>
      </c>
    </row>
    <row r="38" spans="1:23" ht="12.75" customHeight="1" x14ac:dyDescent="0.2">
      <c r="B38" s="121" t="s">
        <v>12</v>
      </c>
      <c r="C38" s="122"/>
      <c r="D38" s="2" t="s">
        <v>20</v>
      </c>
      <c r="E38" s="5">
        <f t="shared" ref="E38:V38" si="83">E6/$E$31</f>
        <v>4.105945634508305E-3</v>
      </c>
      <c r="F38" s="5">
        <f t="shared" si="83"/>
        <v>2.186441456254423E-3</v>
      </c>
      <c r="G38" s="5">
        <f t="shared" si="83"/>
        <v>5.4745954366165967E-4</v>
      </c>
      <c r="H38" s="5">
        <f t="shared" si="83"/>
        <v>2.5761507169963922E-4</v>
      </c>
      <c r="I38" s="5">
        <f t="shared" si="83"/>
        <v>7.7499155833729919E-3</v>
      </c>
      <c r="J38" s="5">
        <f t="shared" si="83"/>
        <v>4.0147032722894207E-3</v>
      </c>
      <c r="K38" s="5">
        <f t="shared" si="83"/>
        <v>1.0949044670438546E-3</v>
      </c>
      <c r="L38" s="5">
        <f t="shared" si="83"/>
        <v>4.9453459898592741E-4</v>
      </c>
      <c r="M38" s="5">
        <f t="shared" si="83"/>
        <v>8.2117835028289093E-2</v>
      </c>
      <c r="N38" s="5">
        <f t="shared" si="83"/>
        <v>4.0147035955879838E-2</v>
      </c>
      <c r="O38" s="5">
        <f t="shared" si="83"/>
        <v>1.0949188358688813E-2</v>
      </c>
      <c r="P38" s="5">
        <f t="shared" si="83"/>
        <v>5.1096080626318379E-3</v>
      </c>
      <c r="Q38" s="5">
        <f t="shared" si="83"/>
        <v>0.16870688918429957</v>
      </c>
      <c r="R38" s="5">
        <f t="shared" si="83"/>
        <v>5.4745941793444067E-2</v>
      </c>
      <c r="S38" s="5">
        <f t="shared" si="83"/>
        <v>2.554813011831561E-2</v>
      </c>
      <c r="T38" s="5">
        <f t="shared" si="83"/>
        <v>0.4014703595587984</v>
      </c>
      <c r="U38" s="5">
        <f t="shared" si="83"/>
        <v>0.10648287201595873</v>
      </c>
      <c r="V38" s="5">
        <f t="shared" si="83"/>
        <v>5.1096260236631219E-2</v>
      </c>
      <c r="W38" s="2" t="s">
        <v>24</v>
      </c>
    </row>
    <row r="39" spans="1:23" x14ac:dyDescent="0.2">
      <c r="B39" s="123"/>
      <c r="C39" s="124"/>
      <c r="D39" s="2" t="s">
        <v>21</v>
      </c>
      <c r="E39" s="5">
        <f t="shared" ref="E39:V39" si="84">E7/$E$31</f>
        <v>6.0929206423111348E-4</v>
      </c>
      <c r="F39" s="5">
        <f t="shared" si="84"/>
        <v>2.9788012959208309E-4</v>
      </c>
      <c r="G39" s="5">
        <f t="shared" si="84"/>
        <v>8.124004350740051E-5</v>
      </c>
      <c r="H39" s="5">
        <f t="shared" si="84"/>
        <v>3.791201910605149E-5</v>
      </c>
      <c r="I39" s="5">
        <f t="shared" si="84"/>
        <v>1.2186005268837886E-3</v>
      </c>
      <c r="J39" s="5">
        <f t="shared" si="84"/>
        <v>5.9576025918416618E-4</v>
      </c>
      <c r="K39" s="5">
        <f t="shared" si="84"/>
        <v>1.6247548899079244E-4</v>
      </c>
      <c r="L39" s="5">
        <f t="shared" si="84"/>
        <v>1.1372925008729801E-4</v>
      </c>
      <c r="M39" s="5">
        <f t="shared" si="84"/>
        <v>1.218600293390382E-2</v>
      </c>
      <c r="N39" s="5">
        <f t="shared" si="84"/>
        <v>5.9576025379585677E-3</v>
      </c>
      <c r="O39" s="5">
        <f t="shared" si="84"/>
        <v>1.6248006905376976E-3</v>
      </c>
      <c r="P39" s="5">
        <f t="shared" si="84"/>
        <v>8.7197214675270747E-4</v>
      </c>
      <c r="Q39" s="5">
        <f t="shared" si="84"/>
        <v>2.9788011163105178E-2</v>
      </c>
      <c r="R39" s="5">
        <f t="shared" si="84"/>
        <v>8.1239899819150248E-3</v>
      </c>
      <c r="S39" s="5">
        <f t="shared" si="84"/>
        <v>4.6631686690484717E-3</v>
      </c>
      <c r="T39" s="5">
        <f t="shared" si="84"/>
        <v>5.9576022326210357E-2</v>
      </c>
      <c r="U39" s="5">
        <f t="shared" si="84"/>
        <v>2.4371323348618867E-2</v>
      </c>
      <c r="V39" s="5">
        <f t="shared" si="84"/>
        <v>1.2245579674671282E-2</v>
      </c>
      <c r="W39" s="2" t="s">
        <v>24</v>
      </c>
    </row>
    <row r="40" spans="1:23" x14ac:dyDescent="0.2">
      <c r="B40" s="125"/>
      <c r="C40" s="126"/>
      <c r="D40" s="2" t="s">
        <v>3</v>
      </c>
      <c r="E40" s="5">
        <f t="shared" ref="E40:V40" si="85">E8/$E$31</f>
        <v>2.815347289945712E-4</v>
      </c>
      <c r="F40" s="5">
        <f t="shared" si="85"/>
        <v>1.3763920842533691E-4</v>
      </c>
      <c r="G40" s="5">
        <f t="shared" si="85"/>
        <v>3.7537962668540738E-5</v>
      </c>
      <c r="H40" s="5">
        <f t="shared" si="85"/>
        <v>1.7517393810824661E-5</v>
      </c>
      <c r="I40" s="5">
        <f t="shared" si="85"/>
        <v>5.6306036970731293E-4</v>
      </c>
      <c r="J40" s="5">
        <f t="shared" si="85"/>
        <v>2.7527839888964251E-4</v>
      </c>
      <c r="K40" s="5">
        <f t="shared" si="85"/>
        <v>7.5075314662017832E-5</v>
      </c>
      <c r="L40" s="5">
        <f t="shared" si="85"/>
        <v>5.2552181432473979E-5</v>
      </c>
      <c r="M40" s="5">
        <f t="shared" si="85"/>
        <v>5.6306935022295461E-3</v>
      </c>
      <c r="N40" s="5">
        <f t="shared" si="85"/>
        <v>2.7527840068574563E-3</v>
      </c>
      <c r="O40" s="5">
        <f t="shared" si="85"/>
        <v>7.5075928929287735E-4</v>
      </c>
      <c r="P40" s="5">
        <f t="shared" si="85"/>
        <v>4.029072420614806E-4</v>
      </c>
      <c r="Q40" s="5">
        <f t="shared" si="85"/>
        <v>1.3763920052248314E-2</v>
      </c>
      <c r="R40" s="5">
        <f t="shared" si="85"/>
        <v>3.7537836941321755E-3</v>
      </c>
      <c r="S40" s="5">
        <f t="shared" si="85"/>
        <v>2.1546771568971288E-3</v>
      </c>
      <c r="T40" s="5">
        <f t="shared" si="85"/>
        <v>2.7527794986386044E-2</v>
      </c>
      <c r="U40" s="5">
        <f t="shared" si="85"/>
        <v>1.1259770511643575E-2</v>
      </c>
      <c r="V40" s="5">
        <f t="shared" si="85"/>
        <v>5.6582098021559111E-3</v>
      </c>
      <c r="W40" s="2" t="s">
        <v>24</v>
      </c>
    </row>
    <row r="41" spans="1:23" x14ac:dyDescent="0.2">
      <c r="B41" s="131" t="s">
        <v>19</v>
      </c>
      <c r="C41" s="132" t="s">
        <v>10</v>
      </c>
      <c r="D41" s="2" t="s">
        <v>3</v>
      </c>
      <c r="E41" s="5">
        <f t="shared" ref="E41:V41" si="86">E9/$E$31</f>
        <v>7.870344298129045E-2</v>
      </c>
      <c r="F41" s="5">
        <f t="shared" si="86"/>
        <v>7.870344298129045E-2</v>
      </c>
      <c r="G41" s="5">
        <f t="shared" si="86"/>
        <v>7.870344298129045E-2</v>
      </c>
      <c r="H41" s="5">
        <f t="shared" si="86"/>
        <v>7.870344298129045E-2</v>
      </c>
      <c r="I41" s="5">
        <f t="shared" si="86"/>
        <v>0.10841404209956362</v>
      </c>
      <c r="J41" s="5">
        <f t="shared" si="86"/>
        <v>0.10841404209956362</v>
      </c>
      <c r="K41" s="5">
        <f t="shared" si="86"/>
        <v>0.10841404209956362</v>
      </c>
      <c r="L41" s="5">
        <f t="shared" si="86"/>
        <v>0.10841404209956362</v>
      </c>
      <c r="M41" s="5">
        <f t="shared" si="86"/>
        <v>0.3148137719251618</v>
      </c>
      <c r="N41" s="5">
        <f t="shared" si="86"/>
        <v>0.3148137719251618</v>
      </c>
      <c r="O41" s="5">
        <f t="shared" si="86"/>
        <v>0.3148137719251618</v>
      </c>
      <c r="P41" s="5">
        <f t="shared" si="86"/>
        <v>0.3148137719251618</v>
      </c>
      <c r="Q41" s="5">
        <f t="shared" si="86"/>
        <v>0.66307637240963746</v>
      </c>
      <c r="R41" s="5">
        <f t="shared" si="86"/>
        <v>0.66307637240963746</v>
      </c>
      <c r="S41" s="5">
        <f t="shared" si="86"/>
        <v>0.66307637240963746</v>
      </c>
      <c r="T41" s="5">
        <f t="shared" si="86"/>
        <v>0.91492774917039255</v>
      </c>
      <c r="U41" s="5">
        <f t="shared" si="86"/>
        <v>0.91492774917039255</v>
      </c>
      <c r="V41" s="5">
        <f t="shared" si="86"/>
        <v>0.91492774917039255</v>
      </c>
      <c r="W41" s="2" t="s">
        <v>24</v>
      </c>
    </row>
    <row r="42" spans="1:23" x14ac:dyDescent="0.2">
      <c r="B42" s="131"/>
      <c r="C42" s="132"/>
      <c r="D42" s="2" t="s">
        <v>4</v>
      </c>
      <c r="E42" s="5">
        <f t="shared" ref="E42:V42" si="87">E10/$E$31</f>
        <v>5.3577756318763413E-8</v>
      </c>
      <c r="F42" s="5">
        <f t="shared" si="87"/>
        <v>5.3577756318763413E-8</v>
      </c>
      <c r="G42" s="5">
        <f t="shared" si="87"/>
        <v>5.3577756318763413E-8</v>
      </c>
      <c r="H42" s="5">
        <f t="shared" si="87"/>
        <v>5.3577756318763413E-8</v>
      </c>
      <c r="I42" s="5">
        <f t="shared" si="87"/>
        <v>1.0681425304313981E-7</v>
      </c>
      <c r="J42" s="5">
        <f t="shared" si="87"/>
        <v>1.0681425304313981E-7</v>
      </c>
      <c r="K42" s="5">
        <f t="shared" si="87"/>
        <v>1.0681425304313981E-7</v>
      </c>
      <c r="L42" s="5">
        <f t="shared" si="87"/>
        <v>1.0681425304313981E-7</v>
      </c>
      <c r="M42" s="5">
        <f t="shared" si="87"/>
        <v>1.0677833098057275E-6</v>
      </c>
      <c r="N42" s="5">
        <f t="shared" si="87"/>
        <v>1.0677833098057275E-6</v>
      </c>
      <c r="O42" s="5">
        <f t="shared" si="87"/>
        <v>1.0677833098057275E-6</v>
      </c>
      <c r="P42" s="5">
        <f t="shared" si="87"/>
        <v>1.0677833098057275E-6</v>
      </c>
      <c r="Q42" s="5">
        <f t="shared" si="87"/>
        <v>5.3553868147156321E-6</v>
      </c>
      <c r="R42" s="5">
        <f t="shared" si="87"/>
        <v>5.3553868147156321E-6</v>
      </c>
      <c r="S42" s="5">
        <f t="shared" si="87"/>
        <v>5.3553868147156321E-6</v>
      </c>
      <c r="T42" s="5">
        <f t="shared" si="87"/>
        <v>1.0677455916400322E-5</v>
      </c>
      <c r="U42" s="5">
        <f t="shared" si="87"/>
        <v>1.0677455916400322E-5</v>
      </c>
      <c r="V42" s="5">
        <f t="shared" si="87"/>
        <v>1.0677455916400322E-5</v>
      </c>
      <c r="W42" s="2" t="s">
        <v>24</v>
      </c>
    </row>
    <row r="43" spans="1:23" ht="15.75" customHeight="1" x14ac:dyDescent="0.2">
      <c r="B43" s="131"/>
      <c r="C43" s="120" t="s">
        <v>13</v>
      </c>
      <c r="D43" s="2" t="s">
        <v>3</v>
      </c>
      <c r="E43" s="5">
        <f t="shared" ref="E43:V43" si="88">E11/$E$31</f>
        <v>1.9675868648176375E-3</v>
      </c>
      <c r="F43" s="5">
        <f t="shared" si="88"/>
        <v>1.9675868648176375E-3</v>
      </c>
      <c r="G43" s="5">
        <f t="shared" si="88"/>
        <v>1.9675868648176375E-3</v>
      </c>
      <c r="H43" s="5">
        <f t="shared" si="88"/>
        <v>1.9675868648176375E-3</v>
      </c>
      <c r="I43" s="5">
        <f t="shared" si="88"/>
        <v>3.9351737475963071E-3</v>
      </c>
      <c r="J43" s="5">
        <f t="shared" si="88"/>
        <v>3.9351737475963071E-3</v>
      </c>
      <c r="K43" s="5">
        <f t="shared" si="88"/>
        <v>3.9351737475963071E-3</v>
      </c>
      <c r="L43" s="5">
        <f t="shared" si="88"/>
        <v>3.9351737475963071E-3</v>
      </c>
      <c r="M43" s="5">
        <f t="shared" si="88"/>
        <v>4.072897336946614E-2</v>
      </c>
      <c r="N43" s="5">
        <f t="shared" si="88"/>
        <v>4.072897336946614E-2</v>
      </c>
      <c r="O43" s="5">
        <f t="shared" si="88"/>
        <v>4.072897336946614E-2</v>
      </c>
      <c r="P43" s="5">
        <f t="shared" si="88"/>
        <v>4.072897336946614E-2</v>
      </c>
      <c r="Q43" s="5">
        <f t="shared" si="88"/>
        <v>0.20384154013988531</v>
      </c>
      <c r="R43" s="5">
        <f t="shared" si="88"/>
        <v>0.20384154013988531</v>
      </c>
      <c r="S43" s="5">
        <f t="shared" si="88"/>
        <v>0.20384154013988531</v>
      </c>
      <c r="T43" s="5">
        <f t="shared" si="88"/>
        <v>0.40768487638289896</v>
      </c>
      <c r="U43" s="5">
        <f t="shared" si="88"/>
        <v>0.40768487638289896</v>
      </c>
      <c r="V43" s="5">
        <f t="shared" si="88"/>
        <v>0.40768487638289896</v>
      </c>
      <c r="W43" s="2" t="s">
        <v>24</v>
      </c>
    </row>
    <row r="44" spans="1:23" x14ac:dyDescent="0.2">
      <c r="B44" s="131"/>
      <c r="C44" s="120"/>
      <c r="D44" s="2" t="s">
        <v>4</v>
      </c>
      <c r="E44" s="5">
        <f t="shared" ref="E44:V44" si="89">E12/$E$31</f>
        <v>2.3613367828453995E-7</v>
      </c>
      <c r="F44" s="5">
        <f t="shared" si="89"/>
        <v>2.3613367828453995E-7</v>
      </c>
      <c r="G44" s="5">
        <f t="shared" si="89"/>
        <v>2.3613367828453995E-7</v>
      </c>
      <c r="H44" s="5">
        <f t="shared" si="89"/>
        <v>2.3613367828453995E-7</v>
      </c>
      <c r="I44" s="5">
        <f t="shared" si="89"/>
        <v>4.722673565690799E-7</v>
      </c>
      <c r="J44" s="5">
        <f t="shared" si="89"/>
        <v>4.722673565690799E-7</v>
      </c>
      <c r="K44" s="5">
        <f t="shared" si="89"/>
        <v>4.722673565690799E-7</v>
      </c>
      <c r="L44" s="5">
        <f t="shared" si="89"/>
        <v>4.722673565690799E-7</v>
      </c>
      <c r="M44" s="5">
        <f t="shared" si="89"/>
        <v>4.722440072284113E-6</v>
      </c>
      <c r="N44" s="5">
        <f t="shared" si="89"/>
        <v>4.722440072284113E-6</v>
      </c>
      <c r="O44" s="5">
        <f t="shared" si="89"/>
        <v>4.722440072284113E-6</v>
      </c>
      <c r="P44" s="5">
        <f t="shared" si="89"/>
        <v>4.722440072284113E-6</v>
      </c>
      <c r="Q44" s="5">
        <f t="shared" si="89"/>
        <v>2.3612344049670833E-5</v>
      </c>
      <c r="R44" s="5">
        <f t="shared" si="89"/>
        <v>2.3612344049670833E-5</v>
      </c>
      <c r="S44" s="5">
        <f t="shared" si="89"/>
        <v>2.3612344049670833E-5</v>
      </c>
      <c r="T44" s="5">
        <f t="shared" si="89"/>
        <v>4.7224688099341666E-5</v>
      </c>
      <c r="U44" s="5">
        <f t="shared" si="89"/>
        <v>4.7224688099341666E-5</v>
      </c>
      <c r="V44" s="5">
        <f t="shared" si="89"/>
        <v>4.7224688099341666E-5</v>
      </c>
      <c r="W44" s="2" t="s">
        <v>24</v>
      </c>
    </row>
    <row r="45" spans="1:23" x14ac:dyDescent="0.2">
      <c r="B45" s="120" t="s">
        <v>5</v>
      </c>
      <c r="C45" s="133" t="s">
        <v>2</v>
      </c>
      <c r="D45" s="2" t="s">
        <v>3</v>
      </c>
      <c r="E45" s="5">
        <f t="shared" ref="E45:V45" si="90">E13/$E$31</f>
        <v>1.0917235684035418</v>
      </c>
      <c r="F45" s="5">
        <f t="shared" si="90"/>
        <v>1.0917235684035418</v>
      </c>
      <c r="G45" s="5">
        <f t="shared" si="90"/>
        <v>1.0917235684035418</v>
      </c>
      <c r="H45" s="5">
        <f t="shared" si="90"/>
        <v>1.0917235684035418</v>
      </c>
      <c r="I45" s="5">
        <f t="shared" si="90"/>
        <v>1.3635368353328097</v>
      </c>
      <c r="J45" s="5">
        <f t="shared" si="90"/>
        <v>1.3635368353328097</v>
      </c>
      <c r="K45" s="5">
        <f t="shared" si="90"/>
        <v>1.3635368353328097</v>
      </c>
      <c r="L45" s="5">
        <f t="shared" si="90"/>
        <v>1.3635368353328097</v>
      </c>
      <c r="M45" s="5">
        <f t="shared" si="90"/>
        <v>5.4502210598926597</v>
      </c>
      <c r="N45" s="5">
        <f t="shared" si="90"/>
        <v>5.4502210598926597</v>
      </c>
      <c r="O45" s="5">
        <f t="shared" si="90"/>
        <v>5.4502210598926597</v>
      </c>
      <c r="P45" s="5">
        <f t="shared" si="90"/>
        <v>5.4502210598926597</v>
      </c>
      <c r="Q45" s="5">
        <f t="shared" si="90"/>
        <v>27.349441945740612</v>
      </c>
      <c r="R45" s="5">
        <f t="shared" si="90"/>
        <v>27.349441945740612</v>
      </c>
      <c r="S45" s="5">
        <f t="shared" si="90"/>
        <v>27.349441945740612</v>
      </c>
      <c r="T45" s="5">
        <f t="shared" si="90"/>
        <v>51.747527230971933</v>
      </c>
      <c r="U45" s="5">
        <f t="shared" si="90"/>
        <v>51.747527230971933</v>
      </c>
      <c r="V45" s="5">
        <f t="shared" si="90"/>
        <v>51.747527230971933</v>
      </c>
      <c r="W45" s="2" t="s">
        <v>24</v>
      </c>
    </row>
    <row r="46" spans="1:23" x14ac:dyDescent="0.2">
      <c r="B46" s="120"/>
      <c r="C46" s="133"/>
      <c r="D46" s="2" t="s">
        <v>4</v>
      </c>
      <c r="E46" s="5">
        <f t="shared" ref="E46:V46" si="91">E14/$E$31</f>
        <v>7.3469577271253533E-3</v>
      </c>
      <c r="F46" s="5">
        <f t="shared" si="91"/>
        <v>7.3469577271253533E-3</v>
      </c>
      <c r="G46" s="5">
        <f t="shared" si="91"/>
        <v>7.3469577271253533E-3</v>
      </c>
      <c r="H46" s="5">
        <f t="shared" si="91"/>
        <v>7.3469577271253533E-3</v>
      </c>
      <c r="I46" s="5">
        <f t="shared" si="91"/>
        <v>7.3469577450863853E-3</v>
      </c>
      <c r="J46" s="5">
        <f t="shared" si="91"/>
        <v>7.3469577450863853E-3</v>
      </c>
      <c r="K46" s="5">
        <f t="shared" si="91"/>
        <v>7.3469577450863853E-3</v>
      </c>
      <c r="L46" s="5">
        <f t="shared" si="91"/>
        <v>7.3469577450863853E-3</v>
      </c>
      <c r="M46" s="5">
        <f t="shared" si="91"/>
        <v>9.9446021228822429E-3</v>
      </c>
      <c r="N46" s="5">
        <f t="shared" si="91"/>
        <v>9.9446021228822429E-3</v>
      </c>
      <c r="O46" s="5">
        <f t="shared" si="91"/>
        <v>9.9446021228822429E-3</v>
      </c>
      <c r="P46" s="5">
        <f t="shared" si="91"/>
        <v>9.9446021228822429E-3</v>
      </c>
      <c r="Q46" s="5">
        <f t="shared" si="91"/>
        <v>6.5259790675882723E-2</v>
      </c>
      <c r="R46" s="5">
        <f t="shared" si="91"/>
        <v>6.5259790675882723E-2</v>
      </c>
      <c r="S46" s="5">
        <f t="shared" si="91"/>
        <v>6.5259790675882723E-2</v>
      </c>
      <c r="T46" s="5">
        <f t="shared" si="91"/>
        <v>8.2790296039544367E-2</v>
      </c>
      <c r="U46" s="5">
        <f t="shared" si="91"/>
        <v>8.2790296039544367E-2</v>
      </c>
      <c r="V46" s="5">
        <f t="shared" si="91"/>
        <v>8.2790296039544367E-2</v>
      </c>
      <c r="W46" s="2" t="s">
        <v>24</v>
      </c>
    </row>
    <row r="47" spans="1:23" x14ac:dyDescent="0.2">
      <c r="B47" s="120"/>
      <c r="C47" s="132" t="s">
        <v>6</v>
      </c>
      <c r="D47" s="2" t="s">
        <v>3</v>
      </c>
      <c r="E47" s="5">
        <f t="shared" ref="E47:V47" si="92">E15/$E$31</f>
        <v>9.93631192151683E-2</v>
      </c>
      <c r="F47" s="5">
        <f t="shared" si="92"/>
        <v>9.93631192151683E-2</v>
      </c>
      <c r="G47" s="5">
        <f t="shared" si="92"/>
        <v>9.93631192151683E-2</v>
      </c>
      <c r="H47" s="5">
        <f t="shared" si="92"/>
        <v>9.93631192151683E-2</v>
      </c>
      <c r="I47" s="5">
        <f t="shared" si="92"/>
        <v>0.1987262384303366</v>
      </c>
      <c r="J47" s="5">
        <f t="shared" si="92"/>
        <v>0.1987262384303366</v>
      </c>
      <c r="K47" s="5">
        <f t="shared" si="92"/>
        <v>0.1987262384303366</v>
      </c>
      <c r="L47" s="5">
        <f t="shared" si="92"/>
        <v>0.1987262384303366</v>
      </c>
      <c r="M47" s="5">
        <f t="shared" si="92"/>
        <v>1.9675950550479031</v>
      </c>
      <c r="N47" s="5">
        <f t="shared" si="92"/>
        <v>1.9675950550479031</v>
      </c>
      <c r="O47" s="5">
        <f t="shared" si="92"/>
        <v>1.9675950550479031</v>
      </c>
      <c r="P47" s="5">
        <f t="shared" si="92"/>
        <v>1.9675950550479031</v>
      </c>
      <c r="Q47" s="5">
        <f t="shared" si="92"/>
        <v>9.8182540628902011</v>
      </c>
      <c r="R47" s="5">
        <f t="shared" si="92"/>
        <v>9.8182540628902011</v>
      </c>
      <c r="S47" s="5">
        <f t="shared" si="92"/>
        <v>9.8182540628902011</v>
      </c>
      <c r="T47" s="5">
        <f t="shared" si="92"/>
        <v>19.616858757556223</v>
      </c>
      <c r="U47" s="5">
        <f t="shared" si="92"/>
        <v>19.616858757556223</v>
      </c>
      <c r="V47" s="5">
        <f t="shared" si="92"/>
        <v>19.616858757556223</v>
      </c>
      <c r="W47" s="2" t="s">
        <v>24</v>
      </c>
    </row>
    <row r="48" spans="1:23" ht="15.75" customHeight="1" x14ac:dyDescent="0.2">
      <c r="B48" s="120"/>
      <c r="C48" s="132"/>
      <c r="D48" s="2" t="s">
        <v>4</v>
      </c>
      <c r="E48" s="5">
        <f t="shared" ref="E48:V48" si="93">E16/$E$31</f>
        <v>1.1947839659084244E-5</v>
      </c>
      <c r="F48" s="5">
        <f t="shared" si="93"/>
        <v>1.1947839659084244E-5</v>
      </c>
      <c r="G48" s="5">
        <f t="shared" si="93"/>
        <v>1.1947839659084244E-5</v>
      </c>
      <c r="H48" s="5">
        <f t="shared" si="93"/>
        <v>1.1947839659084244E-5</v>
      </c>
      <c r="I48" s="5">
        <f t="shared" si="93"/>
        <v>1.2237497210593695E-5</v>
      </c>
      <c r="J48" s="5">
        <f t="shared" si="93"/>
        <v>1.2237497210593695E-5</v>
      </c>
      <c r="K48" s="5">
        <f t="shared" si="93"/>
        <v>1.2237497210593695E-5</v>
      </c>
      <c r="L48" s="5">
        <f t="shared" si="93"/>
        <v>1.2237497210593695E-5</v>
      </c>
      <c r="M48" s="5">
        <f t="shared" si="93"/>
        <v>1.8464856172062034E-5</v>
      </c>
      <c r="N48" s="5">
        <f t="shared" si="93"/>
        <v>1.8464856172062034E-5</v>
      </c>
      <c r="O48" s="5">
        <f t="shared" si="93"/>
        <v>1.8464856172062034E-5</v>
      </c>
      <c r="P48" s="5">
        <f t="shared" si="93"/>
        <v>1.8464856172062034E-5</v>
      </c>
      <c r="Q48" s="5">
        <f t="shared" si="93"/>
        <v>4.5836282420093686E-5</v>
      </c>
      <c r="R48" s="5">
        <f t="shared" si="93"/>
        <v>4.5836282420093686E-5</v>
      </c>
      <c r="S48" s="5">
        <f t="shared" si="93"/>
        <v>4.5836282420093686E-5</v>
      </c>
      <c r="T48" s="5">
        <f t="shared" si="93"/>
        <v>8.0376405279163356E-5</v>
      </c>
      <c r="U48" s="5">
        <f t="shared" si="93"/>
        <v>8.0376405279163356E-5</v>
      </c>
      <c r="V48" s="5">
        <f t="shared" si="93"/>
        <v>8.0376405279163356E-5</v>
      </c>
      <c r="W48" s="2" t="s">
        <v>24</v>
      </c>
    </row>
    <row r="49" spans="2:23" x14ac:dyDescent="0.2">
      <c r="B49" s="129" t="s">
        <v>16</v>
      </c>
      <c r="C49" s="129" t="s">
        <v>8</v>
      </c>
      <c r="D49" s="2" t="s">
        <v>3</v>
      </c>
      <c r="E49" s="5">
        <f t="shared" ref="E49:V49" si="94">E17/$E$31</f>
        <v>0.13241860118937285</v>
      </c>
      <c r="F49" s="5">
        <f t="shared" si="94"/>
        <v>0.13241860118937285</v>
      </c>
      <c r="G49" s="5">
        <f t="shared" si="94"/>
        <v>0.13241860118937285</v>
      </c>
      <c r="H49" s="5">
        <f t="shared" si="94"/>
        <v>0.13241860118937285</v>
      </c>
      <c r="I49" s="5">
        <f t="shared" si="94"/>
        <v>0.26562389554896426</v>
      </c>
      <c r="J49" s="5">
        <f t="shared" si="94"/>
        <v>0.26562389554896426</v>
      </c>
      <c r="K49" s="5">
        <f t="shared" si="94"/>
        <v>0.26562389554896426</v>
      </c>
      <c r="L49" s="5">
        <f t="shared" si="94"/>
        <v>0.26562389554896426</v>
      </c>
      <c r="M49" s="5">
        <f t="shared" si="94"/>
        <v>2.6562389554896422</v>
      </c>
      <c r="N49" s="5">
        <f t="shared" si="94"/>
        <v>2.6562389554896422</v>
      </c>
      <c r="O49" s="5">
        <f t="shared" si="94"/>
        <v>2.6562389554896422</v>
      </c>
      <c r="P49" s="5">
        <f t="shared" si="94"/>
        <v>2.6562389554896422</v>
      </c>
      <c r="Q49" s="5">
        <f t="shared" si="94"/>
        <v>11.766163827651358</v>
      </c>
      <c r="R49" s="5">
        <f t="shared" si="94"/>
        <v>11.766163827651358</v>
      </c>
      <c r="S49" s="5">
        <f t="shared" si="94"/>
        <v>11.766163827651358</v>
      </c>
      <c r="T49" s="5">
        <f t="shared" si="94"/>
        <v>23.611032894387137</v>
      </c>
      <c r="U49" s="5">
        <f t="shared" si="94"/>
        <v>23.611032894387137</v>
      </c>
      <c r="V49" s="5">
        <f t="shared" si="94"/>
        <v>23.611032894387137</v>
      </c>
      <c r="W49" s="2" t="s">
        <v>24</v>
      </c>
    </row>
    <row r="50" spans="2:23" x14ac:dyDescent="0.2">
      <c r="B50" s="129"/>
      <c r="C50" s="129"/>
      <c r="D50" s="2" t="s">
        <v>17</v>
      </c>
      <c r="E50" s="5">
        <f t="shared" ref="E50:V50" si="95">E18/$E$31</f>
        <v>1.0279708878626599E-2</v>
      </c>
      <c r="F50" s="5">
        <f t="shared" si="95"/>
        <v>1.0279708878626599E-2</v>
      </c>
      <c r="G50" s="5">
        <f t="shared" si="95"/>
        <v>1.0279708878626599E-2</v>
      </c>
      <c r="H50" s="5">
        <f t="shared" si="95"/>
        <v>1.0279708878626599E-2</v>
      </c>
      <c r="I50" s="5">
        <f t="shared" si="95"/>
        <v>2.0017210144866057E-2</v>
      </c>
      <c r="J50" s="5">
        <f t="shared" si="95"/>
        <v>2.0017210144866057E-2</v>
      </c>
      <c r="K50" s="5">
        <f t="shared" si="95"/>
        <v>2.0017210144866057E-2</v>
      </c>
      <c r="L50" s="5">
        <f t="shared" si="95"/>
        <v>2.0017210144866057E-2</v>
      </c>
      <c r="M50" s="5">
        <f t="shared" si="95"/>
        <v>0.19642004201353164</v>
      </c>
      <c r="N50" s="5">
        <f t="shared" si="95"/>
        <v>0.19642004201353164</v>
      </c>
      <c r="O50" s="5">
        <f t="shared" si="95"/>
        <v>0.19642004201353164</v>
      </c>
      <c r="P50" s="5">
        <f t="shared" si="95"/>
        <v>0.19642004201353164</v>
      </c>
      <c r="Q50" s="5">
        <f t="shared" si="95"/>
        <v>0.87387960827501809</v>
      </c>
      <c r="R50" s="5">
        <f t="shared" si="95"/>
        <v>0.87387960827501809</v>
      </c>
      <c r="S50" s="5">
        <f t="shared" si="95"/>
        <v>0.87387960827501809</v>
      </c>
      <c r="T50" s="5">
        <f t="shared" si="95"/>
        <v>1.74379701304889</v>
      </c>
      <c r="U50" s="5">
        <f t="shared" si="95"/>
        <v>1.74379701304889</v>
      </c>
      <c r="V50" s="5">
        <f t="shared" si="95"/>
        <v>1.74379701304889</v>
      </c>
      <c r="W50" s="2" t="s">
        <v>24</v>
      </c>
    </row>
    <row r="51" spans="2:23" x14ac:dyDescent="0.2">
      <c r="B51" s="129"/>
      <c r="C51" s="120" t="s">
        <v>9</v>
      </c>
      <c r="D51" s="2" t="s">
        <v>3</v>
      </c>
      <c r="E51" s="5">
        <f t="shared" ref="E51:V51" si="96">E19/$E$31</f>
        <v>3.0891177704539457E-2</v>
      </c>
      <c r="F51" s="5">
        <f t="shared" si="96"/>
        <v>3.0891177704539457E-2</v>
      </c>
      <c r="G51" s="5">
        <f t="shared" si="96"/>
        <v>3.0891177704539457E-2</v>
      </c>
      <c r="H51" s="5">
        <f t="shared" si="96"/>
        <v>3.0891177704539457E-2</v>
      </c>
      <c r="I51" s="5">
        <f t="shared" si="96"/>
        <v>6.1767986584052095E-2</v>
      </c>
      <c r="J51" s="5">
        <f t="shared" si="96"/>
        <v>6.1767986584052095E-2</v>
      </c>
      <c r="K51" s="5">
        <f t="shared" si="96"/>
        <v>6.1767986584052095E-2</v>
      </c>
      <c r="L51" s="5">
        <f t="shared" si="96"/>
        <v>6.1767986584052095E-2</v>
      </c>
      <c r="M51" s="5">
        <f t="shared" si="96"/>
        <v>0.61388649603343981</v>
      </c>
      <c r="N51" s="5">
        <f t="shared" si="96"/>
        <v>0.61388649603343981</v>
      </c>
      <c r="O51" s="5">
        <f t="shared" si="96"/>
        <v>0.61388649603343981</v>
      </c>
      <c r="P51" s="5">
        <f t="shared" si="96"/>
        <v>0.61388649603343981</v>
      </c>
      <c r="Q51" s="5">
        <f t="shared" si="96"/>
        <v>3.0694324801671993</v>
      </c>
      <c r="R51" s="5">
        <f t="shared" si="96"/>
        <v>3.0694324801671993</v>
      </c>
      <c r="S51" s="5">
        <f t="shared" si="96"/>
        <v>3.0694324801671993</v>
      </c>
      <c r="T51" s="5">
        <f t="shared" si="96"/>
        <v>6.1191976310789356</v>
      </c>
      <c r="U51" s="5">
        <f t="shared" si="96"/>
        <v>6.1191976310789356</v>
      </c>
      <c r="V51" s="5">
        <f t="shared" si="96"/>
        <v>6.1191976310789356</v>
      </c>
      <c r="W51" s="2" t="s">
        <v>24</v>
      </c>
    </row>
    <row r="52" spans="2:23" x14ac:dyDescent="0.2">
      <c r="B52" s="129"/>
      <c r="C52" s="120"/>
      <c r="D52" s="2" t="s">
        <v>4</v>
      </c>
      <c r="E52" s="5">
        <f t="shared" ref="E52:V52" si="97">E20/$E$31</f>
        <v>1.1585781190470889E-5</v>
      </c>
      <c r="F52" s="5">
        <f t="shared" si="97"/>
        <v>1.1585781190470889E-5</v>
      </c>
      <c r="G52" s="5">
        <f t="shared" si="97"/>
        <v>1.1585781190470889E-5</v>
      </c>
      <c r="H52" s="5">
        <f t="shared" si="97"/>
        <v>1.1585781190470889E-5</v>
      </c>
      <c r="I52" s="5">
        <f t="shared" si="97"/>
        <v>1.1658200068606074E-5</v>
      </c>
      <c r="J52" s="5">
        <f t="shared" si="97"/>
        <v>1.1658200068606074E-5</v>
      </c>
      <c r="K52" s="5">
        <f t="shared" si="97"/>
        <v>1.1658200068606074E-5</v>
      </c>
      <c r="L52" s="5">
        <f t="shared" si="97"/>
        <v>1.1658200068606074E-5</v>
      </c>
      <c r="M52" s="5">
        <f t="shared" si="97"/>
        <v>1.216507833245851E-5</v>
      </c>
      <c r="N52" s="5">
        <f t="shared" si="97"/>
        <v>1.216507833245851E-5</v>
      </c>
      <c r="O52" s="5">
        <f t="shared" si="97"/>
        <v>1.216507833245851E-5</v>
      </c>
      <c r="P52" s="5">
        <f t="shared" si="97"/>
        <v>1.216507833245851E-5</v>
      </c>
      <c r="Q52" s="5">
        <f t="shared" si="97"/>
        <v>1.361329424588064E-5</v>
      </c>
      <c r="R52" s="5">
        <f t="shared" si="97"/>
        <v>1.361329424588064E-5</v>
      </c>
      <c r="S52" s="5">
        <f t="shared" si="97"/>
        <v>1.361329424588064E-5</v>
      </c>
      <c r="T52" s="5">
        <f t="shared" si="97"/>
        <v>1.5713226179425575E-5</v>
      </c>
      <c r="U52" s="5">
        <f t="shared" si="97"/>
        <v>1.5713226179425575E-5</v>
      </c>
      <c r="V52" s="5">
        <f t="shared" si="97"/>
        <v>1.5713226179425575E-5</v>
      </c>
      <c r="W52" s="2" t="s">
        <v>24</v>
      </c>
    </row>
    <row r="53" spans="2:23" x14ac:dyDescent="0.2">
      <c r="B53" s="129"/>
      <c r="C53" s="120" t="s">
        <v>18</v>
      </c>
      <c r="D53" s="2" t="s">
        <v>3</v>
      </c>
      <c r="E53" s="5">
        <f t="shared" ref="E53:V53" si="98">E21/$E$31</f>
        <v>7.7916439085230728E-4</v>
      </c>
      <c r="F53" s="5">
        <f t="shared" si="98"/>
        <v>7.7916439085230728E-4</v>
      </c>
      <c r="G53" s="5">
        <f t="shared" si="98"/>
        <v>7.7916439085230728E-4</v>
      </c>
      <c r="H53" s="5">
        <f t="shared" si="98"/>
        <v>7.7916439085230728E-4</v>
      </c>
      <c r="I53" s="5">
        <f t="shared" si="98"/>
        <v>1.5543835693390626E-3</v>
      </c>
      <c r="J53" s="5">
        <f t="shared" si="98"/>
        <v>1.5543835693390626E-3</v>
      </c>
      <c r="K53" s="5">
        <f t="shared" si="98"/>
        <v>1.5543835693390626E-3</v>
      </c>
      <c r="L53" s="5">
        <f t="shared" si="98"/>
        <v>1.5543835693390626E-3</v>
      </c>
      <c r="M53" s="5">
        <f t="shared" si="98"/>
        <v>1.5465232652574212E-2</v>
      </c>
      <c r="N53" s="5">
        <f t="shared" si="98"/>
        <v>1.5465232652574212E-2</v>
      </c>
      <c r="O53" s="5">
        <f t="shared" si="98"/>
        <v>1.5465232652574212E-2</v>
      </c>
      <c r="P53" s="5">
        <f t="shared" si="98"/>
        <v>1.5465232652574212E-2</v>
      </c>
      <c r="Q53" s="5">
        <f t="shared" si="98"/>
        <v>7.6932664907047449E-2</v>
      </c>
      <c r="R53" s="5">
        <f t="shared" si="98"/>
        <v>7.6932664907047449E-2</v>
      </c>
      <c r="S53" s="5">
        <f t="shared" si="98"/>
        <v>7.6932664907047449E-2</v>
      </c>
      <c r="T53" s="5">
        <f t="shared" si="98"/>
        <v>0.15366847691122745</v>
      </c>
      <c r="U53" s="5">
        <f t="shared" si="98"/>
        <v>0.15366847691122745</v>
      </c>
      <c r="V53" s="5">
        <f t="shared" si="98"/>
        <v>0.15366847691122745</v>
      </c>
      <c r="W53" s="2" t="s">
        <v>24</v>
      </c>
    </row>
    <row r="54" spans="2:23" x14ac:dyDescent="0.2">
      <c r="B54" s="129"/>
      <c r="C54" s="120">
        <v>0</v>
      </c>
      <c r="D54" s="2" t="s">
        <v>4</v>
      </c>
      <c r="E54" s="5">
        <f t="shared" ref="E54:V54" si="99">E22/$E$31</f>
        <v>1.1585781190470889E-5</v>
      </c>
      <c r="F54" s="5">
        <f t="shared" si="99"/>
        <v>1.1585781190470889E-5</v>
      </c>
      <c r="G54" s="5">
        <f t="shared" si="99"/>
        <v>1.1585781190470889E-5</v>
      </c>
      <c r="H54" s="5">
        <f t="shared" si="99"/>
        <v>1.1585781190470889E-5</v>
      </c>
      <c r="I54" s="5">
        <f t="shared" si="99"/>
        <v>1.1584865177875429E-5</v>
      </c>
      <c r="J54" s="5">
        <f t="shared" si="99"/>
        <v>1.1584865177875429E-5</v>
      </c>
      <c r="K54" s="5">
        <f t="shared" si="99"/>
        <v>1.1584865177875429E-5</v>
      </c>
      <c r="L54" s="5">
        <f t="shared" si="99"/>
        <v>1.1584865177875429E-5</v>
      </c>
      <c r="M54" s="5">
        <f t="shared" si="99"/>
        <v>1.1585781190470889E-5</v>
      </c>
      <c r="N54" s="5">
        <f t="shared" si="99"/>
        <v>1.1585781190470889E-5</v>
      </c>
      <c r="O54" s="5">
        <f t="shared" si="99"/>
        <v>1.1585781190470889E-5</v>
      </c>
      <c r="P54" s="5">
        <f t="shared" si="99"/>
        <v>1.1585781190470889E-5</v>
      </c>
      <c r="Q54" s="5">
        <f t="shared" si="99"/>
        <v>1.1730618946741258E-5</v>
      </c>
      <c r="R54" s="5">
        <f t="shared" si="99"/>
        <v>1.1730618946741258E-5</v>
      </c>
      <c r="S54" s="5">
        <f t="shared" si="99"/>
        <v>1.1730618946741258E-5</v>
      </c>
      <c r="T54" s="5">
        <f t="shared" si="99"/>
        <v>1.1875438741980342E-5</v>
      </c>
      <c r="U54" s="5">
        <f t="shared" si="99"/>
        <v>1.1875438741980342E-5</v>
      </c>
      <c r="V54" s="5">
        <f t="shared" si="99"/>
        <v>1.1875438741980342E-5</v>
      </c>
      <c r="W54" s="2" t="s">
        <v>24</v>
      </c>
    </row>
    <row r="55" spans="2:23" ht="15" customHeight="1" x14ac:dyDescent="0.2">
      <c r="B55" s="127" t="s">
        <v>15</v>
      </c>
      <c r="C55" s="128"/>
      <c r="D55" s="2" t="s">
        <v>4</v>
      </c>
      <c r="E55" s="5">
        <f t="shared" ref="E55:V55" si="100">E23/$E$31</f>
        <v>1.9938540827844208E-2</v>
      </c>
      <c r="F55" s="5">
        <f t="shared" si="100"/>
        <v>1.9938540827844208E-2</v>
      </c>
      <c r="G55" s="5">
        <f t="shared" si="100"/>
        <v>1.9938540827844208E-2</v>
      </c>
      <c r="H55" s="5">
        <f t="shared" si="100"/>
        <v>1.9938540827844208E-2</v>
      </c>
      <c r="I55" s="5">
        <f t="shared" si="100"/>
        <v>3.7359843121301993E-2</v>
      </c>
      <c r="J55" s="5">
        <f t="shared" si="100"/>
        <v>3.7359843121301993E-2</v>
      </c>
      <c r="K55" s="5">
        <f t="shared" si="100"/>
        <v>3.7359843121301993E-2</v>
      </c>
      <c r="L55" s="5">
        <f t="shared" si="100"/>
        <v>3.7359843121301993E-2</v>
      </c>
      <c r="M55" s="5">
        <f t="shared" si="100"/>
        <v>0.34609829621481053</v>
      </c>
      <c r="N55" s="5">
        <f t="shared" si="100"/>
        <v>0.34609829621481053</v>
      </c>
      <c r="O55" s="5">
        <f t="shared" si="100"/>
        <v>0.34609829621481053</v>
      </c>
      <c r="P55" s="5">
        <f t="shared" si="100"/>
        <v>0.34609829621481053</v>
      </c>
      <c r="Q55" s="5">
        <f t="shared" si="100"/>
        <v>1.5434991843812447</v>
      </c>
      <c r="R55" s="5">
        <f t="shared" si="100"/>
        <v>1.5434991843812447</v>
      </c>
      <c r="S55" s="5">
        <f t="shared" si="100"/>
        <v>1.5434991843812447</v>
      </c>
      <c r="T55" s="5">
        <f t="shared" si="100"/>
        <v>3.0624815610604741</v>
      </c>
      <c r="U55" s="5">
        <f t="shared" si="100"/>
        <v>3.0624815610604741</v>
      </c>
      <c r="V55" s="5">
        <f t="shared" si="100"/>
        <v>3.0624815610604741</v>
      </c>
      <c r="W55" s="2" t="s">
        <v>24</v>
      </c>
    </row>
    <row r="56" spans="2:23" x14ac:dyDescent="0.2">
      <c r="B56" s="130" t="s">
        <v>14</v>
      </c>
      <c r="C56" s="120" t="s">
        <v>7</v>
      </c>
      <c r="D56" s="2" t="s">
        <v>3</v>
      </c>
      <c r="E56" s="5">
        <f t="shared" ref="E56:V56" si="101">E24/$E$31</f>
        <v>0.89944354410086325</v>
      </c>
      <c r="F56" s="5">
        <f t="shared" si="101"/>
        <v>0.89944354410086325</v>
      </c>
      <c r="G56" s="5">
        <f t="shared" si="101"/>
        <v>0.89944354410086325</v>
      </c>
      <c r="H56" s="5">
        <f t="shared" si="101"/>
        <v>0.89944354410086325</v>
      </c>
      <c r="I56" s="5">
        <f t="shared" si="101"/>
        <v>1.0325509508399593</v>
      </c>
      <c r="J56" s="5">
        <f t="shared" si="101"/>
        <v>1.0325509508399593</v>
      </c>
      <c r="K56" s="5">
        <f t="shared" si="101"/>
        <v>1.0325509508399593</v>
      </c>
      <c r="L56" s="5">
        <f t="shared" si="101"/>
        <v>1.0325509508399593</v>
      </c>
      <c r="M56" s="5">
        <f t="shared" si="101"/>
        <v>1.6330977889391232</v>
      </c>
      <c r="N56" s="5">
        <f t="shared" si="101"/>
        <v>1.6330977889391232</v>
      </c>
      <c r="O56" s="5">
        <f t="shared" si="101"/>
        <v>1.6330977889391232</v>
      </c>
      <c r="P56" s="5">
        <f t="shared" si="101"/>
        <v>1.6330977889391232</v>
      </c>
      <c r="Q56" s="5">
        <f t="shared" si="101"/>
        <v>2.2499783888875271</v>
      </c>
      <c r="R56" s="5">
        <f t="shared" si="101"/>
        <v>2.2499783888875271</v>
      </c>
      <c r="S56" s="5">
        <f t="shared" si="101"/>
        <v>2.2499783888875271</v>
      </c>
      <c r="T56" s="5">
        <f t="shared" si="101"/>
        <v>2.5775337164052234</v>
      </c>
      <c r="U56" s="5">
        <f t="shared" si="101"/>
        <v>2.5775337164052234</v>
      </c>
      <c r="V56" s="5">
        <f t="shared" si="101"/>
        <v>2.5775337164052234</v>
      </c>
      <c r="W56" s="2" t="s">
        <v>24</v>
      </c>
    </row>
    <row r="57" spans="2:23" x14ac:dyDescent="0.2">
      <c r="B57" s="130"/>
      <c r="C57" s="120"/>
      <c r="D57" s="2" t="s">
        <v>17</v>
      </c>
      <c r="E57" s="5">
        <f t="shared" ref="E57:V57" si="102">E25/$E$31</f>
        <v>5.9071856178081736E-2</v>
      </c>
      <c r="F57" s="5">
        <f t="shared" si="102"/>
        <v>5.9071856178081736E-2</v>
      </c>
      <c r="G57" s="5">
        <f t="shared" si="102"/>
        <v>5.9071856178081736E-2</v>
      </c>
      <c r="H57" s="5">
        <f t="shared" si="102"/>
        <v>5.9071856178081736E-2</v>
      </c>
      <c r="I57" s="5">
        <f t="shared" si="102"/>
        <v>0.11816454715245235</v>
      </c>
      <c r="J57" s="5">
        <f t="shared" si="102"/>
        <v>0.11816454715245235</v>
      </c>
      <c r="K57" s="5">
        <f t="shared" si="102"/>
        <v>0.11816454715245235</v>
      </c>
      <c r="L57" s="5">
        <f t="shared" si="102"/>
        <v>0.11816454715245235</v>
      </c>
      <c r="M57" s="5">
        <f t="shared" si="102"/>
        <v>2.8178343539475419</v>
      </c>
      <c r="N57" s="5">
        <f t="shared" si="102"/>
        <v>2.8178343539475419</v>
      </c>
      <c r="O57" s="5">
        <f t="shared" si="102"/>
        <v>2.8178343539475419</v>
      </c>
      <c r="P57" s="5">
        <f t="shared" si="102"/>
        <v>2.8178343539475419</v>
      </c>
      <c r="Q57" s="5">
        <f t="shared" si="102"/>
        <v>5.9080118252472156</v>
      </c>
      <c r="R57" s="5">
        <f t="shared" si="102"/>
        <v>5.9080118252472156</v>
      </c>
      <c r="S57" s="5">
        <f t="shared" si="102"/>
        <v>5.9080118252472156</v>
      </c>
      <c r="T57" s="5">
        <f t="shared" si="102"/>
        <v>11.816041611525716</v>
      </c>
      <c r="U57" s="5">
        <f t="shared" si="102"/>
        <v>11.816041611525716</v>
      </c>
      <c r="V57" s="5">
        <f t="shared" si="102"/>
        <v>11.816041611525716</v>
      </c>
      <c r="W57" s="2" t="s">
        <v>24</v>
      </c>
    </row>
    <row r="58" spans="2:23" x14ac:dyDescent="0.2">
      <c r="B58" s="130"/>
      <c r="C58" s="120"/>
      <c r="D58" s="2" t="s">
        <v>4</v>
      </c>
      <c r="E58" s="5">
        <f t="shared" ref="E58:V58" si="103">E26/$E$31</f>
        <v>2.3573799856146695E-3</v>
      </c>
      <c r="F58" s="5">
        <f t="shared" si="103"/>
        <v>2.3573799856146695E-3</v>
      </c>
      <c r="G58" s="5">
        <f t="shared" si="103"/>
        <v>2.3573799856146695E-3</v>
      </c>
      <c r="H58" s="5">
        <f t="shared" si="103"/>
        <v>2.3573799856146695E-3</v>
      </c>
      <c r="I58" s="5">
        <f t="shared" si="103"/>
        <v>2.3875204101725888E-3</v>
      </c>
      <c r="J58" s="5">
        <f t="shared" si="103"/>
        <v>2.3875204101725888E-3</v>
      </c>
      <c r="K58" s="5">
        <f t="shared" si="103"/>
        <v>2.3875204101725888E-3</v>
      </c>
      <c r="L58" s="5">
        <f t="shared" si="103"/>
        <v>2.3875204101725888E-3</v>
      </c>
      <c r="M58" s="5">
        <f t="shared" si="103"/>
        <v>3.0876956519189785E-3</v>
      </c>
      <c r="N58" s="5">
        <f t="shared" si="103"/>
        <v>3.0876956519189785E-3</v>
      </c>
      <c r="O58" s="5">
        <f t="shared" si="103"/>
        <v>3.0876956519189785E-3</v>
      </c>
      <c r="P58" s="5">
        <f t="shared" si="103"/>
        <v>3.0876956519189785E-3</v>
      </c>
      <c r="Q58" s="5">
        <f t="shared" si="103"/>
        <v>6.1412219685087043E-3</v>
      </c>
      <c r="R58" s="5">
        <f t="shared" si="103"/>
        <v>6.1412219685087043E-3</v>
      </c>
      <c r="S58" s="5">
        <f t="shared" si="103"/>
        <v>6.1412219685087043E-3</v>
      </c>
      <c r="T58" s="5">
        <f t="shared" si="103"/>
        <v>9.9563517266390514E-3</v>
      </c>
      <c r="U58" s="5">
        <f t="shared" si="103"/>
        <v>9.9563517266390514E-3</v>
      </c>
      <c r="V58" s="5">
        <f t="shared" si="103"/>
        <v>9.9563517266390514E-3</v>
      </c>
      <c r="W58" s="2" t="s">
        <v>24</v>
      </c>
    </row>
    <row r="59" spans="2:23" ht="12.75" customHeight="1" x14ac:dyDescent="0.2">
      <c r="B59" s="120" t="s">
        <v>11</v>
      </c>
      <c r="C59" s="120"/>
      <c r="D59" s="2" t="s">
        <v>3</v>
      </c>
      <c r="E59" s="5">
        <f t="shared" ref="E59:V59" si="104">E27/$E$31</f>
        <v>5.2545176630273402E-2</v>
      </c>
      <c r="F59" s="5">
        <f t="shared" si="104"/>
        <v>2.5530348697344916E-2</v>
      </c>
      <c r="G59" s="5">
        <f t="shared" si="104"/>
        <v>7.1247639285185226E-3</v>
      </c>
      <c r="H59" s="5">
        <f t="shared" si="104"/>
        <v>3.265513058689472E-3</v>
      </c>
      <c r="I59" s="5">
        <f t="shared" si="104"/>
        <v>0.1047934574134301</v>
      </c>
      <c r="J59" s="5">
        <f t="shared" si="104"/>
        <v>5.1357772852119385E-2</v>
      </c>
      <c r="K59" s="5">
        <f t="shared" si="104"/>
        <v>1.3952667931982899E-2</v>
      </c>
      <c r="L59" s="5">
        <f t="shared" si="104"/>
        <v>6.5310261173789439E-3</v>
      </c>
      <c r="M59" s="5">
        <f t="shared" si="104"/>
        <v>1.0485290842697856</v>
      </c>
      <c r="N59" s="5">
        <f t="shared" si="104"/>
        <v>0.51357772852119388</v>
      </c>
      <c r="O59" s="5">
        <f t="shared" si="104"/>
        <v>0.13982303633600721</v>
      </c>
      <c r="P59" s="5">
        <f t="shared" si="104"/>
        <v>6.531044078410228E-2</v>
      </c>
      <c r="Q59" s="5">
        <f t="shared" si="104"/>
        <v>2.5634343068476544</v>
      </c>
      <c r="R59" s="5">
        <f t="shared" si="104"/>
        <v>0.69911518168003595</v>
      </c>
      <c r="S59" s="5">
        <f t="shared" si="104"/>
        <v>0.32625494885276901</v>
      </c>
      <c r="T59" s="5">
        <f t="shared" si="104"/>
        <v>5.1265632761634885</v>
      </c>
      <c r="U59" s="5">
        <f t="shared" si="104"/>
        <v>1.3982303633600719</v>
      </c>
      <c r="V59" s="5">
        <f t="shared" si="104"/>
        <v>0.65250630549928135</v>
      </c>
      <c r="W59" s="2" t="s">
        <v>24</v>
      </c>
    </row>
    <row r="60" spans="2:23" x14ac:dyDescent="0.2">
      <c r="B60" s="120"/>
      <c r="C60" s="120"/>
      <c r="D60" s="2" t="s">
        <v>20</v>
      </c>
      <c r="E60" s="5">
        <f t="shared" ref="E60:V60" si="105">E28/$E$31</f>
        <v>1.0458508502353863E-2</v>
      </c>
      <c r="F60" s="5">
        <f t="shared" si="105"/>
        <v>5.1265740887043209E-3</v>
      </c>
      <c r="G60" s="5">
        <f t="shared" si="105"/>
        <v>1.397941190756407E-3</v>
      </c>
      <c r="H60" s="5">
        <f t="shared" si="105"/>
        <v>6.5405095418966466E-4</v>
      </c>
      <c r="I60" s="5">
        <f t="shared" si="105"/>
        <v>2.0952800264425024E-2</v>
      </c>
      <c r="J60" s="5">
        <f t="shared" si="105"/>
        <v>1.0238751476861267E-2</v>
      </c>
      <c r="K60" s="5">
        <f t="shared" si="105"/>
        <v>2.7867258477644718E-3</v>
      </c>
      <c r="L60" s="5">
        <f t="shared" si="105"/>
        <v>1.3023687471936272E-3</v>
      </c>
      <c r="M60" s="5">
        <f t="shared" si="105"/>
        <v>0.20966630258513339</v>
      </c>
      <c r="N60" s="5">
        <f t="shared" si="105"/>
        <v>0.10238757727300155</v>
      </c>
      <c r="O60" s="5">
        <f t="shared" si="105"/>
        <v>2.7494746688824352E-2</v>
      </c>
      <c r="P60" s="5">
        <f t="shared" si="105"/>
        <v>1.3041307243625415E-2</v>
      </c>
      <c r="Q60" s="5">
        <f t="shared" si="105"/>
        <v>0.5122917186812932</v>
      </c>
      <c r="R60" s="5">
        <f t="shared" si="105"/>
        <v>0.13976915324215661</v>
      </c>
      <c r="S60" s="5">
        <f t="shared" si="105"/>
        <v>6.5210038619227362E-2</v>
      </c>
      <c r="T60" s="5">
        <f t="shared" si="105"/>
        <v>1.0254437707610675</v>
      </c>
      <c r="U60" s="5">
        <f t="shared" si="105"/>
        <v>0.27932457021203921</v>
      </c>
      <c r="V60" s="5">
        <f t="shared" si="105"/>
        <v>0.13041810152501354</v>
      </c>
      <c r="W60" s="2" t="s">
        <v>24</v>
      </c>
    </row>
    <row r="61" spans="2:23" x14ac:dyDescent="0.2">
      <c r="B61" s="120"/>
      <c r="C61" s="120"/>
      <c r="D61" s="2" t="s">
        <v>21</v>
      </c>
      <c r="E61" s="5">
        <f t="shared" ref="E61:V61" si="106">E29/$E$31</f>
        <v>2.2499300557523431E-3</v>
      </c>
      <c r="F61" s="5">
        <f t="shared" si="106"/>
        <v>1.0999658138154274E-3</v>
      </c>
      <c r="G61" s="5">
        <f t="shared" si="106"/>
        <v>2.9998514449748126E-4</v>
      </c>
      <c r="H61" s="5">
        <f t="shared" si="106"/>
        <v>1.3999546223632906E-4</v>
      </c>
      <c r="I61" s="5">
        <f t="shared" si="106"/>
        <v>4.4998597882061229E-3</v>
      </c>
      <c r="J61" s="5">
        <f t="shared" si="106"/>
        <v>2.1999316096698238E-3</v>
      </c>
      <c r="K61" s="5">
        <f t="shared" si="106"/>
        <v>5.9998106561373263E-4</v>
      </c>
      <c r="L61" s="5">
        <f t="shared" si="106"/>
        <v>2.7999092447265813E-4</v>
      </c>
      <c r="M61" s="5">
        <f t="shared" si="106"/>
        <v>4.4998669726186366E-2</v>
      </c>
      <c r="N61" s="5">
        <f t="shared" si="106"/>
        <v>2.1999389557316187E-2</v>
      </c>
      <c r="O61" s="5">
        <f t="shared" si="106"/>
        <v>5.9998106561373263E-3</v>
      </c>
      <c r="P61" s="5">
        <f t="shared" si="106"/>
        <v>2.9999053280686631E-3</v>
      </c>
      <c r="Q61" s="5">
        <f t="shared" si="106"/>
        <v>0.10999658856595526</v>
      </c>
      <c r="R61" s="5">
        <f t="shared" si="106"/>
        <v>2.9999053280686631E-2</v>
      </c>
      <c r="S61" s="5">
        <f t="shared" si="106"/>
        <v>1.3998827782381564E-2</v>
      </c>
      <c r="T61" s="5">
        <f t="shared" si="106"/>
        <v>0.21999389557316187</v>
      </c>
      <c r="U61" s="5">
        <f t="shared" si="106"/>
        <v>5.9998106561373263E-2</v>
      </c>
      <c r="V61" s="5">
        <f t="shared" si="106"/>
        <v>2.7999092447265811E-2</v>
      </c>
      <c r="W61" s="2" t="s">
        <v>24</v>
      </c>
    </row>
    <row r="62" spans="2:23" x14ac:dyDescent="0.2">
      <c r="B62" s="120"/>
      <c r="C62" s="120"/>
      <c r="D62" s="2" t="s">
        <v>22</v>
      </c>
      <c r="E62" s="5">
        <f t="shared" ref="E62:V62" si="107">E30/$E$31</f>
        <v>-1.5045704451773265</v>
      </c>
      <c r="F62" s="5">
        <f t="shared" si="107"/>
        <v>-1.5045704451773265</v>
      </c>
      <c r="G62" s="5">
        <f t="shared" si="107"/>
        <v>-1.5045704451773265</v>
      </c>
      <c r="H62" s="5">
        <f t="shared" si="107"/>
        <v>-1.5045704451773265</v>
      </c>
      <c r="I62" s="5">
        <f t="shared" si="107"/>
        <v>-3.0091372981483966</v>
      </c>
      <c r="J62" s="5">
        <f t="shared" si="107"/>
        <v>-3.0091372981483966</v>
      </c>
      <c r="K62" s="5">
        <f t="shared" si="107"/>
        <v>-3.0091372981483966</v>
      </c>
      <c r="L62" s="5">
        <f t="shared" si="107"/>
        <v>-3.0091372981483966</v>
      </c>
      <c r="M62" s="5">
        <f t="shared" si="107"/>
        <v>-30.091372981483964</v>
      </c>
      <c r="N62" s="5">
        <f t="shared" si="107"/>
        <v>-30.091372981483964</v>
      </c>
      <c r="O62" s="5">
        <f t="shared" si="107"/>
        <v>-30.091372981483964</v>
      </c>
      <c r="P62" s="5">
        <f t="shared" si="107"/>
        <v>-30.091372981483964</v>
      </c>
      <c r="Q62" s="5">
        <f t="shared" si="107"/>
        <v>-150.45704451773267</v>
      </c>
      <c r="R62" s="5">
        <f t="shared" si="107"/>
        <v>-150.45704451773267</v>
      </c>
      <c r="S62" s="5">
        <f t="shared" si="107"/>
        <v>-150.45704451773267</v>
      </c>
      <c r="T62" s="5">
        <f t="shared" si="107"/>
        <v>-300.91372981483966</v>
      </c>
      <c r="U62" s="5">
        <f t="shared" si="107"/>
        <v>-300.91372981483966</v>
      </c>
      <c r="V62" s="5">
        <f t="shared" si="107"/>
        <v>-300.91372981483966</v>
      </c>
      <c r="W62" s="2" t="s">
        <v>24</v>
      </c>
    </row>
    <row r="66" spans="4:23" x14ac:dyDescent="0.2">
      <c r="D66" s="119" t="s">
        <v>173</v>
      </c>
    </row>
    <row r="67" spans="4:23" ht="33.75" customHeight="1" x14ac:dyDescent="0.2">
      <c r="D67" s="3"/>
      <c r="E67" s="3" t="str">
        <f>E37</f>
        <v>0.05 MGD AeMBR [semi rural single family]</v>
      </c>
      <c r="F67" s="3" t="str">
        <f t="shared" ref="F67:V67" si="108">F37</f>
        <v>0.05 MGD AeMBR [single family]</v>
      </c>
      <c r="G67" s="3" t="str">
        <f t="shared" si="108"/>
        <v>0.05 MGD AeMBR [multi family]</v>
      </c>
      <c r="H67" s="3" t="str">
        <f t="shared" si="108"/>
        <v>0.05 MGD AeMBR [high density urban]</v>
      </c>
      <c r="I67" s="3" t="str">
        <f t="shared" si="108"/>
        <v>0.1 MGD AeMBR [semi rural single family]</v>
      </c>
      <c r="J67" s="3" t="str">
        <f t="shared" si="108"/>
        <v>0.1 MGD AeMBR [single family]</v>
      </c>
      <c r="K67" s="3" t="str">
        <f t="shared" si="108"/>
        <v>0.1 MGD AeMBR [multi family]</v>
      </c>
      <c r="L67" s="3" t="str">
        <f t="shared" si="108"/>
        <v>0.1 MGD AeMBR [high density urban]</v>
      </c>
      <c r="M67" s="3" t="str">
        <f t="shared" si="108"/>
        <v>1 MGD AeMBR [semi rural single family]</v>
      </c>
      <c r="N67" s="3" t="str">
        <f t="shared" si="108"/>
        <v>1 MGD AeMBR [single family]</v>
      </c>
      <c r="O67" s="3" t="str">
        <f t="shared" si="108"/>
        <v>1 MGD AeMBR [multi family]</v>
      </c>
      <c r="P67" s="3" t="str">
        <f t="shared" si="108"/>
        <v>1 MGD AeMBR [high density urban]</v>
      </c>
      <c r="Q67" s="3" t="str">
        <f t="shared" si="108"/>
        <v>5 MGD AeMBR [single family]</v>
      </c>
      <c r="R67" s="3" t="str">
        <f t="shared" si="108"/>
        <v>5 MGD AeMBR [multi family]</v>
      </c>
      <c r="S67" s="3" t="str">
        <f t="shared" si="108"/>
        <v>5 MGD AeMBR [high density urban]</v>
      </c>
      <c r="T67" s="3" t="str">
        <f t="shared" si="108"/>
        <v>10 MGD AeMBR [single family]</v>
      </c>
      <c r="U67" s="3" t="str">
        <f t="shared" si="108"/>
        <v>10 MGD AeMBR [multi family]</v>
      </c>
      <c r="V67" s="3" t="str">
        <f t="shared" si="108"/>
        <v>10 MGD AeMBR [high density urban]</v>
      </c>
      <c r="W67" s="1" t="s">
        <v>0</v>
      </c>
    </row>
    <row r="68" spans="4:23" x14ac:dyDescent="0.2">
      <c r="D68" s="3" t="s">
        <v>12</v>
      </c>
      <c r="E68" s="86">
        <f>E6+E7+E8</f>
        <v>2782.0075300000003</v>
      </c>
      <c r="F68" s="86">
        <f t="shared" ref="F68:V68" si="109">F6+F7+F8</f>
        <v>1459.8052599999999</v>
      </c>
      <c r="G68" s="86">
        <f t="shared" si="109"/>
        <v>370.93502000000001</v>
      </c>
      <c r="H68" s="86">
        <f t="shared" si="109"/>
        <v>174.29093</v>
      </c>
      <c r="I68" s="86">
        <f t="shared" si="109"/>
        <v>5306.8091299999996</v>
      </c>
      <c r="J68" s="86">
        <f t="shared" si="109"/>
        <v>2720.1900900000001</v>
      </c>
      <c r="K68" s="86">
        <f t="shared" si="109"/>
        <v>741.85900000000004</v>
      </c>
      <c r="L68" s="86">
        <f t="shared" si="109"/>
        <v>367.91653000000002</v>
      </c>
      <c r="M68" s="86">
        <f t="shared" si="109"/>
        <v>55639.64</v>
      </c>
      <c r="N68" s="86">
        <f t="shared" si="109"/>
        <v>27201.902679999999</v>
      </c>
      <c r="O68" s="86">
        <f t="shared" si="109"/>
        <v>7418.6989199999998</v>
      </c>
      <c r="P68" s="86">
        <f t="shared" si="109"/>
        <v>3554.6329999999998</v>
      </c>
      <c r="Q68" s="86">
        <f t="shared" si="109"/>
        <v>118177.41256</v>
      </c>
      <c r="R68" s="86">
        <f t="shared" si="109"/>
        <v>37093.480000000003</v>
      </c>
      <c r="S68" s="86">
        <f t="shared" si="109"/>
        <v>18020.11</v>
      </c>
      <c r="T68" s="86">
        <f t="shared" si="109"/>
        <v>272019</v>
      </c>
      <c r="U68" s="86">
        <f t="shared" si="109"/>
        <v>79123.5</v>
      </c>
      <c r="V68" s="86">
        <f t="shared" si="109"/>
        <v>38416.53</v>
      </c>
      <c r="W68" s="1" t="s">
        <v>160</v>
      </c>
    </row>
    <row r="69" spans="4:23" x14ac:dyDescent="0.2">
      <c r="D69" s="3" t="s">
        <v>55</v>
      </c>
      <c r="E69" s="87">
        <f>E9+E10+E11+E12</f>
        <v>44914.636740000002</v>
      </c>
      <c r="F69" s="87">
        <f t="shared" ref="F69:V69" si="110">F9+F10+F11+F12</f>
        <v>44914.636740000002</v>
      </c>
      <c r="G69" s="87">
        <f t="shared" si="110"/>
        <v>44914.636740000002</v>
      </c>
      <c r="H69" s="87">
        <f t="shared" si="110"/>
        <v>44914.636740000002</v>
      </c>
      <c r="I69" s="87">
        <f t="shared" si="110"/>
        <v>62551.973299999998</v>
      </c>
      <c r="J69" s="87">
        <f t="shared" si="110"/>
        <v>62551.973299999998</v>
      </c>
      <c r="K69" s="87">
        <f t="shared" si="110"/>
        <v>62551.973299999998</v>
      </c>
      <c r="L69" s="87">
        <f t="shared" si="110"/>
        <v>62551.973299999998</v>
      </c>
      <c r="M69" s="87">
        <f t="shared" si="110"/>
        <v>197955.52377</v>
      </c>
      <c r="N69" s="87">
        <f t="shared" si="110"/>
        <v>197955.52377</v>
      </c>
      <c r="O69" s="87">
        <f t="shared" si="110"/>
        <v>197955.52377</v>
      </c>
      <c r="P69" s="87">
        <f t="shared" si="110"/>
        <v>197955.52377</v>
      </c>
      <c r="Q69" s="87">
        <f t="shared" si="110"/>
        <v>482682.12810000003</v>
      </c>
      <c r="R69" s="87">
        <f t="shared" si="110"/>
        <v>482682.12810000003</v>
      </c>
      <c r="S69" s="87">
        <f t="shared" si="110"/>
        <v>482682.12810000003</v>
      </c>
      <c r="T69" s="87">
        <f t="shared" si="110"/>
        <v>736411.23765000002</v>
      </c>
      <c r="U69" s="87">
        <f t="shared" si="110"/>
        <v>736411.23765000002</v>
      </c>
      <c r="V69" s="87">
        <f t="shared" si="110"/>
        <v>736411.23765000002</v>
      </c>
      <c r="W69" s="1" t="s">
        <v>160</v>
      </c>
    </row>
    <row r="70" spans="4:23" x14ac:dyDescent="0.2">
      <c r="D70" s="3" t="s">
        <v>16</v>
      </c>
      <c r="E70" s="86">
        <f>SUM(E13:E22)</f>
        <v>764342.20019999996</v>
      </c>
      <c r="F70" s="86">
        <f t="shared" ref="F70:V70" si="111">SUM(F13:F22)</f>
        <v>764342.20019999996</v>
      </c>
      <c r="G70" s="86">
        <f t="shared" si="111"/>
        <v>764342.20019999996</v>
      </c>
      <c r="H70" s="86">
        <f t="shared" si="111"/>
        <v>764342.20019999996</v>
      </c>
      <c r="I70" s="86">
        <f t="shared" si="111"/>
        <v>1068206.4730200002</v>
      </c>
      <c r="J70" s="86">
        <f t="shared" si="111"/>
        <v>1068206.4730200002</v>
      </c>
      <c r="K70" s="86">
        <f t="shared" si="111"/>
        <v>1068206.4730200002</v>
      </c>
      <c r="L70" s="86">
        <f t="shared" si="111"/>
        <v>1068206.4730200002</v>
      </c>
      <c r="M70" s="86">
        <f t="shared" si="111"/>
        <v>6074157.7066200003</v>
      </c>
      <c r="N70" s="86">
        <f t="shared" si="111"/>
        <v>6074157.7066200003</v>
      </c>
      <c r="O70" s="86">
        <f t="shared" si="111"/>
        <v>6074157.7066200003</v>
      </c>
      <c r="P70" s="86">
        <f t="shared" si="111"/>
        <v>6074157.7066200003</v>
      </c>
      <c r="Q70" s="86">
        <f t="shared" si="111"/>
        <v>29519148.83035</v>
      </c>
      <c r="R70" s="86">
        <f t="shared" si="111"/>
        <v>29519148.83035</v>
      </c>
      <c r="S70" s="86">
        <f t="shared" si="111"/>
        <v>29519148.83035</v>
      </c>
      <c r="T70" s="86">
        <f t="shared" si="111"/>
        <v>57388119.110730007</v>
      </c>
      <c r="U70" s="86">
        <f t="shared" si="111"/>
        <v>57388119.110730007</v>
      </c>
      <c r="V70" s="86">
        <f t="shared" si="111"/>
        <v>57388119.110730007</v>
      </c>
      <c r="W70" s="1" t="s">
        <v>160</v>
      </c>
    </row>
    <row r="71" spans="4:23" x14ac:dyDescent="0.2">
      <c r="D71" s="3" t="s">
        <v>56</v>
      </c>
      <c r="E71" s="86">
        <f>E23</f>
        <v>11101</v>
      </c>
      <c r="F71" s="86">
        <f t="shared" ref="F71:V71" si="112">F23</f>
        <v>11101</v>
      </c>
      <c r="G71" s="86">
        <f t="shared" si="112"/>
        <v>11101</v>
      </c>
      <c r="H71" s="86">
        <f t="shared" si="112"/>
        <v>11101</v>
      </c>
      <c r="I71" s="86">
        <f t="shared" si="112"/>
        <v>20800.5</v>
      </c>
      <c r="J71" s="86">
        <f t="shared" si="112"/>
        <v>20800.5</v>
      </c>
      <c r="K71" s="86">
        <f t="shared" si="112"/>
        <v>20800.5</v>
      </c>
      <c r="L71" s="86">
        <f t="shared" si="112"/>
        <v>20800.5</v>
      </c>
      <c r="M71" s="86">
        <f t="shared" si="112"/>
        <v>192694</v>
      </c>
      <c r="N71" s="86">
        <f t="shared" si="112"/>
        <v>192694</v>
      </c>
      <c r="O71" s="86">
        <f t="shared" si="112"/>
        <v>192694</v>
      </c>
      <c r="P71" s="86">
        <f t="shared" si="112"/>
        <v>192694</v>
      </c>
      <c r="Q71" s="86">
        <f t="shared" si="112"/>
        <v>859360</v>
      </c>
      <c r="R71" s="86">
        <f t="shared" si="112"/>
        <v>859360</v>
      </c>
      <c r="S71" s="86">
        <f t="shared" si="112"/>
        <v>859360</v>
      </c>
      <c r="T71" s="86">
        <f t="shared" si="112"/>
        <v>1705070</v>
      </c>
      <c r="U71" s="86">
        <f t="shared" si="112"/>
        <v>1705070</v>
      </c>
      <c r="V71" s="86">
        <f t="shared" si="112"/>
        <v>1705070</v>
      </c>
      <c r="W71" s="1" t="s">
        <v>160</v>
      </c>
    </row>
    <row r="72" spans="4:23" x14ac:dyDescent="0.2">
      <c r="D72" s="3" t="s">
        <v>14</v>
      </c>
      <c r="E72" s="86">
        <f>SUM(E24:E26)</f>
        <v>534976.39701000007</v>
      </c>
      <c r="F72" s="86">
        <f t="shared" ref="F72:V72" si="113">SUM(F24:F26)</f>
        <v>534976.39701000007</v>
      </c>
      <c r="G72" s="86">
        <f t="shared" si="113"/>
        <v>534976.39701000007</v>
      </c>
      <c r="H72" s="86">
        <f t="shared" si="113"/>
        <v>534976.39701000007</v>
      </c>
      <c r="I72" s="86">
        <f t="shared" si="113"/>
        <v>642002.67801999999</v>
      </c>
      <c r="J72" s="86">
        <f t="shared" si="113"/>
        <v>642002.67801999999</v>
      </c>
      <c r="K72" s="86">
        <f t="shared" si="113"/>
        <v>642002.67801999999</v>
      </c>
      <c r="L72" s="86">
        <f t="shared" si="113"/>
        <v>642002.67801999999</v>
      </c>
      <c r="M72" s="86">
        <f t="shared" si="113"/>
        <v>2479824.1082199998</v>
      </c>
      <c r="N72" s="86">
        <f t="shared" si="113"/>
        <v>2479824.1082199998</v>
      </c>
      <c r="O72" s="86">
        <f t="shared" si="113"/>
        <v>2479824.1082199998</v>
      </c>
      <c r="P72" s="86">
        <f t="shared" si="113"/>
        <v>2479824.1082199998</v>
      </c>
      <c r="Q72" s="86">
        <f t="shared" si="113"/>
        <v>4545469.1922899997</v>
      </c>
      <c r="R72" s="86">
        <f t="shared" si="113"/>
        <v>4545469.1922899997</v>
      </c>
      <c r="S72" s="86">
        <f t="shared" si="113"/>
        <v>4545469.1922899997</v>
      </c>
      <c r="T72" s="86">
        <f t="shared" si="113"/>
        <v>8019323.3073800001</v>
      </c>
      <c r="U72" s="86">
        <f t="shared" si="113"/>
        <v>8019323.3073800001</v>
      </c>
      <c r="V72" s="86">
        <f t="shared" si="113"/>
        <v>8019323.3073800001</v>
      </c>
      <c r="W72" s="1" t="s">
        <v>160</v>
      </c>
    </row>
    <row r="73" spans="4:23" x14ac:dyDescent="0.2">
      <c r="D73" s="3" t="s">
        <v>11</v>
      </c>
      <c r="E73" s="86">
        <f>SUM(E27:E30)</f>
        <v>-801355.33826999995</v>
      </c>
      <c r="F73" s="86">
        <f t="shared" ref="F73:V73" si="114">SUM(F27:F30)</f>
        <v>-820005.00601999997</v>
      </c>
      <c r="G73" s="86">
        <f t="shared" si="114"/>
        <v>-832773.87100000004</v>
      </c>
      <c r="H73" s="86">
        <f t="shared" si="114"/>
        <v>-835425.79599999997</v>
      </c>
      <c r="I73" s="86">
        <f t="shared" si="114"/>
        <v>-1602854.054</v>
      </c>
      <c r="J73" s="86">
        <f t="shared" si="114"/>
        <v>-1639850.62757</v>
      </c>
      <c r="K73" s="86">
        <f t="shared" si="114"/>
        <v>-1665716.1140000001</v>
      </c>
      <c r="L73" s="86">
        <f t="shared" si="114"/>
        <v>-1670852.784</v>
      </c>
      <c r="M73" s="86">
        <f t="shared" si="114"/>
        <v>-16028132.5</v>
      </c>
      <c r="N73" s="86">
        <f t="shared" si="114"/>
        <v>-16398506.199999999</v>
      </c>
      <c r="O73" s="86">
        <f t="shared" si="114"/>
        <v>-16657203.539999999</v>
      </c>
      <c r="P73" s="86">
        <f t="shared" si="114"/>
        <v>-16708406.58</v>
      </c>
      <c r="Q73" s="86">
        <f t="shared" si="114"/>
        <v>-81994914.200000003</v>
      </c>
      <c r="R73" s="86">
        <f t="shared" si="114"/>
        <v>-83284839.700000003</v>
      </c>
      <c r="S73" s="86">
        <f t="shared" si="114"/>
        <v>-83542853.599999994</v>
      </c>
      <c r="T73" s="86">
        <f t="shared" si="114"/>
        <v>-163989319</v>
      </c>
      <c r="U73" s="86">
        <f t="shared" si="114"/>
        <v>-166569598.40000001</v>
      </c>
      <c r="V73" s="86">
        <f t="shared" si="114"/>
        <v>-167085509.5</v>
      </c>
      <c r="W73" s="1" t="s">
        <v>160</v>
      </c>
    </row>
    <row r="74" spans="4:23" x14ac:dyDescent="0.2">
      <c r="D74" s="43" t="s">
        <v>57</v>
      </c>
      <c r="E74" s="88">
        <f>SUM(E68:E73)</f>
        <v>556760.90321000014</v>
      </c>
      <c r="F74" s="88">
        <f t="shared" ref="F74:V74" si="115">SUM(F68:F73)</f>
        <v>536789.0331900001</v>
      </c>
      <c r="G74" s="88">
        <f t="shared" si="115"/>
        <v>522931.29796999996</v>
      </c>
      <c r="H74" s="88">
        <f t="shared" si="115"/>
        <v>520082.72887999995</v>
      </c>
      <c r="I74" s="88">
        <f t="shared" si="115"/>
        <v>196014.37947000004</v>
      </c>
      <c r="J74" s="88">
        <f t="shared" si="115"/>
        <v>156431.18686000025</v>
      </c>
      <c r="K74" s="88">
        <f t="shared" si="115"/>
        <v>128587.36933999998</v>
      </c>
      <c r="L74" s="88">
        <f t="shared" si="115"/>
        <v>123076.75687000016</v>
      </c>
      <c r="M74" s="88">
        <f t="shared" si="115"/>
        <v>-7027861.5213900004</v>
      </c>
      <c r="N74" s="88">
        <f t="shared" si="115"/>
        <v>-7426672.9587099999</v>
      </c>
      <c r="O74" s="88">
        <f t="shared" si="115"/>
        <v>-7705153.5024699979</v>
      </c>
      <c r="P74" s="88">
        <f t="shared" si="115"/>
        <v>-7760220.6083899997</v>
      </c>
      <c r="Q74" s="88">
        <f t="shared" si="115"/>
        <v>-46470076.636700004</v>
      </c>
      <c r="R74" s="88">
        <f t="shared" si="115"/>
        <v>-47841086.069260001</v>
      </c>
      <c r="S74" s="88">
        <f t="shared" si="115"/>
        <v>-48118173.339259997</v>
      </c>
      <c r="T74" s="88">
        <f t="shared" si="115"/>
        <v>-95868376.344239995</v>
      </c>
      <c r="U74" s="88">
        <f t="shared" si="115"/>
        <v>-98641551.244240001</v>
      </c>
      <c r="V74" s="88">
        <f t="shared" si="115"/>
        <v>-99198169.314239994</v>
      </c>
    </row>
  </sheetData>
  <mergeCells count="30">
    <mergeCell ref="C47:C48"/>
    <mergeCell ref="C11:C12"/>
    <mergeCell ref="B9:B12"/>
    <mergeCell ref="C17:C18"/>
    <mergeCell ref="C19:C20"/>
    <mergeCell ref="C21:C22"/>
    <mergeCell ref="B17:B22"/>
    <mergeCell ref="C9:C10"/>
    <mergeCell ref="C13:C14"/>
    <mergeCell ref="B13:B16"/>
    <mergeCell ref="C15:C16"/>
    <mergeCell ref="C24:C26"/>
    <mergeCell ref="B24:B26"/>
    <mergeCell ref="B23:C23"/>
    <mergeCell ref="B6:C8"/>
    <mergeCell ref="B27:C30"/>
    <mergeCell ref="B55:C55"/>
    <mergeCell ref="B59:C62"/>
    <mergeCell ref="B38:C40"/>
    <mergeCell ref="B49:B54"/>
    <mergeCell ref="C49:C50"/>
    <mergeCell ref="C51:C52"/>
    <mergeCell ref="C53:C54"/>
    <mergeCell ref="B56:B58"/>
    <mergeCell ref="C56:C58"/>
    <mergeCell ref="B41:B44"/>
    <mergeCell ref="C41:C42"/>
    <mergeCell ref="C43:C44"/>
    <mergeCell ref="B45:B48"/>
    <mergeCell ref="C45:C46"/>
  </mergeCell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0"/>
  <sheetViews>
    <sheetView showGridLines="0" zoomScale="85" zoomScaleNormal="85" workbookViewId="0">
      <pane xSplit="4" topLeftCell="E1" activePane="topRight" state="frozen"/>
      <selection pane="topRight"/>
    </sheetView>
  </sheetViews>
  <sheetFormatPr defaultRowHeight="12.75" x14ac:dyDescent="0.2"/>
  <cols>
    <col min="1" max="1" width="1.85546875" style="1" customWidth="1"/>
    <col min="2" max="3" width="13.7109375" style="1" customWidth="1"/>
    <col min="4" max="4" width="54.85546875" style="1" customWidth="1"/>
    <col min="5" max="5" width="19.42578125" style="1" customWidth="1"/>
    <col min="6" max="8" width="20.140625" style="1" customWidth="1"/>
    <col min="9" max="9" width="19.42578125" style="1" customWidth="1"/>
    <col min="10" max="12" width="20.140625" style="1" customWidth="1"/>
    <col min="13" max="13" width="19.42578125" style="1" customWidth="1"/>
    <col min="14" max="22" width="20.140625" style="1" customWidth="1"/>
    <col min="23" max="16384" width="9.140625" style="1"/>
  </cols>
  <sheetData>
    <row r="1" spans="1:23" ht="15.75" x14ac:dyDescent="0.25">
      <c r="A1" s="42" t="s">
        <v>77</v>
      </c>
    </row>
    <row r="2" spans="1:23" x14ac:dyDescent="0.2">
      <c r="A2" s="41" t="s">
        <v>52</v>
      </c>
    </row>
    <row r="4" spans="1:23" x14ac:dyDescent="0.2">
      <c r="D4" s="44" t="s">
        <v>53</v>
      </c>
      <c r="E4" s="45">
        <f>F4</f>
        <v>69129.535959999994</v>
      </c>
      <c r="F4" s="46">
        <f>G4</f>
        <v>69129.535959999994</v>
      </c>
      <c r="G4" s="46">
        <f>H4</f>
        <v>69129.535959999994</v>
      </c>
      <c r="H4" s="46">
        <v>69129.535959999994</v>
      </c>
      <c r="I4" s="46">
        <f>J4</f>
        <v>138259.07190000001</v>
      </c>
      <c r="J4" s="46">
        <f>K4</f>
        <v>138259.07190000001</v>
      </c>
      <c r="K4" s="46">
        <f>L4</f>
        <v>138259.07190000001</v>
      </c>
      <c r="L4" s="46">
        <v>138259.07190000001</v>
      </c>
      <c r="M4" s="46">
        <f>N4</f>
        <v>1382590.719</v>
      </c>
      <c r="N4" s="46">
        <f>O4</f>
        <v>1382590.719</v>
      </c>
      <c r="O4" s="46">
        <f>P4</f>
        <v>1382590.719</v>
      </c>
      <c r="P4" s="46">
        <v>1382590.719</v>
      </c>
      <c r="Q4" s="46">
        <f>R4</f>
        <v>6912953.5959999999</v>
      </c>
      <c r="R4" s="46">
        <f>S4</f>
        <v>6912953.5959999999</v>
      </c>
      <c r="S4" s="46">
        <v>6912953.5959999999</v>
      </c>
      <c r="T4" s="46">
        <v>13825907.189999999</v>
      </c>
      <c r="U4" s="46">
        <f>T4</f>
        <v>13825907.189999999</v>
      </c>
      <c r="V4" s="47">
        <f>U4</f>
        <v>13825907.189999999</v>
      </c>
    </row>
    <row r="5" spans="1:23" ht="75" customHeight="1" x14ac:dyDescent="0.2">
      <c r="B5" s="13"/>
      <c r="C5" s="14"/>
      <c r="D5" s="2"/>
      <c r="E5" s="3" t="s">
        <v>141</v>
      </c>
      <c r="F5" s="3" t="s">
        <v>142</v>
      </c>
      <c r="G5" s="3" t="s">
        <v>143</v>
      </c>
      <c r="H5" s="3" t="s">
        <v>144</v>
      </c>
      <c r="I5" s="3" t="s">
        <v>145</v>
      </c>
      <c r="J5" s="3" t="s">
        <v>146</v>
      </c>
      <c r="K5" s="3" t="s">
        <v>147</v>
      </c>
      <c r="L5" s="3" t="s">
        <v>148</v>
      </c>
      <c r="M5" s="3" t="s">
        <v>149</v>
      </c>
      <c r="N5" s="3" t="s">
        <v>150</v>
      </c>
      <c r="O5" s="3" t="s">
        <v>151</v>
      </c>
      <c r="P5" s="3" t="s">
        <v>152</v>
      </c>
      <c r="Q5" s="3" t="s">
        <v>153</v>
      </c>
      <c r="R5" s="3" t="s">
        <v>154</v>
      </c>
      <c r="S5" s="3" t="s">
        <v>155</v>
      </c>
      <c r="T5" s="3" t="s">
        <v>156</v>
      </c>
      <c r="U5" s="3" t="s">
        <v>157</v>
      </c>
      <c r="V5" s="3" t="s">
        <v>158</v>
      </c>
      <c r="W5" s="2" t="s">
        <v>0</v>
      </c>
    </row>
    <row r="6" spans="1:23" ht="12.75" customHeight="1" x14ac:dyDescent="0.2">
      <c r="B6" s="120" t="s">
        <v>12</v>
      </c>
      <c r="C6" s="120"/>
      <c r="D6" s="2" t="s">
        <v>20</v>
      </c>
      <c r="E6" s="6">
        <f>AeMBR_Baseline_CED_Detail_yr!E6</f>
        <v>2286.0300000000002</v>
      </c>
      <c r="F6" s="6">
        <f>AeMBR_Baseline_CED_Detail_yr!F6</f>
        <v>1217.32512</v>
      </c>
      <c r="G6" s="8">
        <f>AeMBR_Baseline_CED_Detail_yr!G6</f>
        <v>304.80407000000002</v>
      </c>
      <c r="H6" s="8">
        <f>AeMBR_Baseline_CED_Detail_yr!H6</f>
        <v>143.43</v>
      </c>
      <c r="I6" s="6">
        <f>AeMBR_Baseline_CED_Detail_yr!I6</f>
        <v>4314.8500000000004</v>
      </c>
      <c r="J6" s="6">
        <f>AeMBR_Baseline_CED_Detail_yr!J6</f>
        <v>2235.22982</v>
      </c>
      <c r="K6" s="8">
        <f>AeMBR_Baseline_CED_Detail_yr!K6</f>
        <v>609.6</v>
      </c>
      <c r="L6" s="8">
        <f>AeMBR_Baseline_CED_Detail_yr!L6</f>
        <v>275.33753000000002</v>
      </c>
      <c r="M6" s="6">
        <f>AeMBR_Baseline_CED_Detail_yr!M6</f>
        <v>45720</v>
      </c>
      <c r="N6" s="6">
        <f>AeMBR_Baseline_CED_Detail_yr!N6</f>
        <v>22352.3</v>
      </c>
      <c r="O6" s="6">
        <f>AeMBR_Baseline_CED_Detail_yr!O6</f>
        <v>6096.08</v>
      </c>
      <c r="P6" s="6">
        <f>AeMBR_Baseline_CED_Detail_yr!P6</f>
        <v>2844.83</v>
      </c>
      <c r="Q6" s="6">
        <f>AeMBR_Baseline_CED_Detail_yr!Q6</f>
        <v>93929.4</v>
      </c>
      <c r="R6" s="6">
        <f>AeMBR_Baseline_CED_Detail_yr!R6</f>
        <v>30480.400000000001</v>
      </c>
      <c r="S6" s="6">
        <f>AeMBR_Baseline_CED_Detail_yr!S6</f>
        <v>14224.2</v>
      </c>
      <c r="T6" s="6">
        <f>AeMBR_Baseline_CED_Detail_yr!T6</f>
        <v>223523</v>
      </c>
      <c r="U6" s="6">
        <f>AeMBR_Baseline_CED_Detail_yr!U6</f>
        <v>59285.5</v>
      </c>
      <c r="V6" s="6">
        <f>AeMBR_Baseline_CED_Detail_yr!V6</f>
        <v>28448.400000000001</v>
      </c>
      <c r="W6" s="2" t="s">
        <v>1</v>
      </c>
    </row>
    <row r="7" spans="1:23" x14ac:dyDescent="0.2">
      <c r="B7" s="120"/>
      <c r="C7" s="120"/>
      <c r="D7" s="2" t="s">
        <v>21</v>
      </c>
      <c r="E7" s="8">
        <f>AeMBR_Baseline_CED_Detail_yr!E7</f>
        <v>339.23</v>
      </c>
      <c r="F7" s="8">
        <f>AeMBR_Baseline_CED_Detail_yr!F7</f>
        <v>165.84800999999999</v>
      </c>
      <c r="G7" s="17">
        <f>AeMBR_Baseline_CED_Detail_yr!G7</f>
        <v>45.231279999999998</v>
      </c>
      <c r="H7" s="17">
        <f>AeMBR_Baseline_CED_Detail_yr!H7</f>
        <v>21.10793</v>
      </c>
      <c r="I7" s="8">
        <f>AeMBR_Baseline_CED_Detail_yr!I7</f>
        <v>678.46912999999995</v>
      </c>
      <c r="J7" s="8">
        <f>AeMBR_Baseline_CED_Detail_yr!J7</f>
        <v>331.69601999999998</v>
      </c>
      <c r="K7" s="17">
        <f>AeMBR_Baseline_CED_Detail_yr!K7</f>
        <v>90.46</v>
      </c>
      <c r="L7" s="17">
        <f>AeMBR_Baseline_CED_Detail_yr!L7</f>
        <v>63.32</v>
      </c>
      <c r="M7" s="6">
        <f>AeMBR_Baseline_CED_Detail_yr!M7</f>
        <v>6784.69</v>
      </c>
      <c r="N7" s="6">
        <f>AeMBR_Baseline_CED_Detail_yr!N7</f>
        <v>3316.9601699999998</v>
      </c>
      <c r="O7" s="8">
        <f>AeMBR_Baseline_CED_Detail_yr!O7</f>
        <v>904.62549999999999</v>
      </c>
      <c r="P7" s="8">
        <f>AeMBR_Baseline_CED_Detail_yr!P7</f>
        <v>485.48</v>
      </c>
      <c r="Q7" s="6">
        <f>AeMBR_Baseline_CED_Detail_yr!Q7</f>
        <v>16584.8</v>
      </c>
      <c r="R7" s="6">
        <f>AeMBR_Baseline_CED_Detail_yr!R7</f>
        <v>4523.12</v>
      </c>
      <c r="S7" s="6">
        <f>AeMBR_Baseline_CED_Detail_yr!S7</f>
        <v>2596.27</v>
      </c>
      <c r="T7" s="6">
        <f>AeMBR_Baseline_CED_Detail_yr!T7</f>
        <v>33169.599999999999</v>
      </c>
      <c r="U7" s="6">
        <f>AeMBR_Baseline_CED_Detail_yr!U7</f>
        <v>13569</v>
      </c>
      <c r="V7" s="6">
        <f>AeMBR_Baseline_CED_Detail_yr!V7</f>
        <v>6817.86</v>
      </c>
      <c r="W7" s="2" t="s">
        <v>1</v>
      </c>
    </row>
    <row r="8" spans="1:23" x14ac:dyDescent="0.2">
      <c r="B8" s="120"/>
      <c r="C8" s="120"/>
      <c r="D8" s="2" t="s">
        <v>3</v>
      </c>
      <c r="E8" s="8">
        <f>AeMBR_Baseline_CED_Detail_yr!E8</f>
        <v>156.74753000000001</v>
      </c>
      <c r="F8" s="17">
        <f>AeMBR_Baseline_CED_Detail_yr!F8</f>
        <v>76.632130000000004</v>
      </c>
      <c r="G8" s="17">
        <f>AeMBR_Baseline_CED_Detail_yr!G8</f>
        <v>20.89967</v>
      </c>
      <c r="H8" s="18">
        <f>AeMBR_Baseline_CED_Detail_yr!H8</f>
        <v>9.7530000000000001</v>
      </c>
      <c r="I8" s="8">
        <f>AeMBR_Baseline_CED_Detail_yr!I8</f>
        <v>313.49</v>
      </c>
      <c r="J8" s="8">
        <f>AeMBR_Baseline_CED_Detail_yr!J8</f>
        <v>153.26425</v>
      </c>
      <c r="K8" s="17">
        <f>AeMBR_Baseline_CED_Detail_yr!K8</f>
        <v>41.798999999999999</v>
      </c>
      <c r="L8" s="17">
        <f>AeMBR_Baseline_CED_Detail_yr!L8</f>
        <v>29.259</v>
      </c>
      <c r="M8" s="6">
        <f>AeMBR_Baseline_CED_Detail_yr!M8</f>
        <v>3134.95</v>
      </c>
      <c r="N8" s="6">
        <f>AeMBR_Baseline_CED_Detail_yr!N8</f>
        <v>1532.6425099999999</v>
      </c>
      <c r="O8" s="8">
        <f>AeMBR_Baseline_CED_Detail_yr!O8</f>
        <v>417.99342000000001</v>
      </c>
      <c r="P8" s="8">
        <f>AeMBR_Baseline_CED_Detail_yr!P8</f>
        <v>224.32300000000001</v>
      </c>
      <c r="Q8" s="6">
        <f>AeMBR_Baseline_CED_Detail_yr!Q8</f>
        <v>7663.2125599999999</v>
      </c>
      <c r="R8" s="6">
        <f>AeMBR_Baseline_CED_Detail_yr!R8</f>
        <v>2089.96</v>
      </c>
      <c r="S8" s="6">
        <f>AeMBR_Baseline_CED_Detail_yr!S8</f>
        <v>1199.6400000000001</v>
      </c>
      <c r="T8" s="6">
        <f>AeMBR_Baseline_CED_Detail_yr!T8</f>
        <v>15326.4</v>
      </c>
      <c r="U8" s="6">
        <f>AeMBR_Baseline_CED_Detail_yr!U8</f>
        <v>6269</v>
      </c>
      <c r="V8" s="6">
        <f>AeMBR_Baseline_CED_Detail_yr!V8</f>
        <v>3150.27</v>
      </c>
      <c r="W8" s="2" t="s">
        <v>1</v>
      </c>
    </row>
    <row r="9" spans="1:23" x14ac:dyDescent="0.2">
      <c r="B9" s="131" t="s">
        <v>19</v>
      </c>
      <c r="C9" s="132" t="s">
        <v>10</v>
      </c>
      <c r="D9" s="2" t="s">
        <v>3</v>
      </c>
      <c r="E9" s="7">
        <f>AeMBR_Baseline_CED_Detail_yr!E9</f>
        <v>43819</v>
      </c>
      <c r="F9" s="7">
        <f>AeMBR_Baseline_CED_Detail_yr!F9</f>
        <v>43819</v>
      </c>
      <c r="G9" s="7">
        <f>AeMBR_Baseline_CED_Detail_yr!G9</f>
        <v>43819</v>
      </c>
      <c r="H9" s="7">
        <f>AeMBR_Baseline_CED_Detail_yr!H9</f>
        <v>43819</v>
      </c>
      <c r="I9" s="7">
        <f>AeMBR_Baseline_CED_Detail_yr!I9</f>
        <v>60360.7</v>
      </c>
      <c r="J9" s="7">
        <f>AeMBR_Baseline_CED_Detail_yr!J9</f>
        <v>60360.7</v>
      </c>
      <c r="K9" s="7">
        <f>AeMBR_Baseline_CED_Detail_yr!K9</f>
        <v>60360.7</v>
      </c>
      <c r="L9" s="7">
        <f>AeMBR_Baseline_CED_Detail_yr!L9</f>
        <v>60360.7</v>
      </c>
      <c r="M9" s="7">
        <f>AeMBR_Baseline_CED_Detail_yr!M9</f>
        <v>175276</v>
      </c>
      <c r="N9" s="7">
        <f>AeMBR_Baseline_CED_Detail_yr!N9</f>
        <v>175276</v>
      </c>
      <c r="O9" s="7">
        <f>AeMBR_Baseline_CED_Detail_yr!O9</f>
        <v>175276</v>
      </c>
      <c r="P9" s="7">
        <f>AeMBR_Baseline_CED_Detail_yr!P9</f>
        <v>175276</v>
      </c>
      <c r="Q9" s="7">
        <f>AeMBR_Baseline_CED_Detail_yr!Q9</f>
        <v>369175</v>
      </c>
      <c r="R9" s="7">
        <f>AeMBR_Baseline_CED_Detail_yr!R9</f>
        <v>369175</v>
      </c>
      <c r="S9" s="7">
        <f>AeMBR_Baseline_CED_Detail_yr!S9</f>
        <v>369175</v>
      </c>
      <c r="T9" s="7">
        <f>AeMBR_Baseline_CED_Detail_yr!T9</f>
        <v>509396</v>
      </c>
      <c r="U9" s="7">
        <f>AeMBR_Baseline_CED_Detail_yr!U9</f>
        <v>509396</v>
      </c>
      <c r="V9" s="7">
        <f>AeMBR_Baseline_CED_Detail_yr!V9</f>
        <v>509396</v>
      </c>
      <c r="W9" s="2" t="s">
        <v>1</v>
      </c>
    </row>
    <row r="10" spans="1:23" x14ac:dyDescent="0.2">
      <c r="B10" s="131"/>
      <c r="C10" s="132"/>
      <c r="D10" s="2" t="s">
        <v>4</v>
      </c>
      <c r="E10" s="11">
        <f>AeMBR_Baseline_CED_Detail_yr!E10</f>
        <v>2.9829999999999999E-2</v>
      </c>
      <c r="F10" s="11">
        <f>AeMBR_Baseline_CED_Detail_yr!F10</f>
        <v>2.9829999999999999E-2</v>
      </c>
      <c r="G10" s="11">
        <f>AeMBR_Baseline_CED_Detail_yr!G10</f>
        <v>2.9829999999999999E-2</v>
      </c>
      <c r="H10" s="11">
        <f>AeMBR_Baseline_CED_Detail_yr!H10</f>
        <v>2.9829999999999999E-2</v>
      </c>
      <c r="I10" s="11">
        <f>AeMBR_Baseline_CED_Detail_yr!I10</f>
        <v>5.9470000000000002E-2</v>
      </c>
      <c r="J10" s="11">
        <f>AeMBR_Baseline_CED_Detail_yr!J10</f>
        <v>5.9470000000000002E-2</v>
      </c>
      <c r="K10" s="11">
        <f>AeMBR_Baseline_CED_Detail_yr!K10</f>
        <v>5.9470000000000002E-2</v>
      </c>
      <c r="L10" s="11">
        <f>AeMBR_Baseline_CED_Detail_yr!L10</f>
        <v>5.9470000000000002E-2</v>
      </c>
      <c r="M10" s="12">
        <f>AeMBR_Baseline_CED_Detail_yr!M10</f>
        <v>0.59450000000000003</v>
      </c>
      <c r="N10" s="12">
        <f>AeMBR_Baseline_CED_Detail_yr!N10</f>
        <v>0.59450000000000003</v>
      </c>
      <c r="O10" s="12">
        <f>AeMBR_Baseline_CED_Detail_yr!O10</f>
        <v>0.59450000000000003</v>
      </c>
      <c r="P10" s="12">
        <f>AeMBR_Baseline_CED_Detail_yr!P10</f>
        <v>0.59450000000000003</v>
      </c>
      <c r="Q10" s="12">
        <f>AeMBR_Baseline_CED_Detail_yr!Q10</f>
        <v>2.9816699999999998</v>
      </c>
      <c r="R10" s="12">
        <f>AeMBR_Baseline_CED_Detail_yr!R10</f>
        <v>2.9816699999999998</v>
      </c>
      <c r="S10" s="12">
        <f>AeMBR_Baseline_CED_Detail_yr!S10</f>
        <v>2.9816699999999998</v>
      </c>
      <c r="T10" s="12">
        <f>AeMBR_Baseline_CED_Detail_yr!T10</f>
        <v>5.9447900000000002</v>
      </c>
      <c r="U10" s="12">
        <f>AeMBR_Baseline_CED_Detail_yr!U10</f>
        <v>5.9447900000000002</v>
      </c>
      <c r="V10" s="12">
        <f>AeMBR_Baseline_CED_Detail_yr!V10</f>
        <v>5.9447900000000002</v>
      </c>
      <c r="W10" s="2" t="s">
        <v>1</v>
      </c>
    </row>
    <row r="11" spans="1:23" ht="15.75" customHeight="1" x14ac:dyDescent="0.2">
      <c r="B11" s="131"/>
      <c r="C11" s="120" t="s">
        <v>13</v>
      </c>
      <c r="D11" s="2" t="s">
        <v>3</v>
      </c>
      <c r="E11" s="7">
        <f>AeMBR_Baseline_CED_Detail_yr!E11</f>
        <v>1095.4754399999999</v>
      </c>
      <c r="F11" s="7">
        <f>AeMBR_Baseline_CED_Detail_yr!F11</f>
        <v>1095.4754399999999</v>
      </c>
      <c r="G11" s="7">
        <f>AeMBR_Baseline_CED_Detail_yr!G11</f>
        <v>1095.4754399999999</v>
      </c>
      <c r="H11" s="7">
        <f>AeMBR_Baseline_CED_Detail_yr!H11</f>
        <v>1095.4754399999999</v>
      </c>
      <c r="I11" s="7">
        <f>AeMBR_Baseline_CED_Detail_yr!I11</f>
        <v>2190.9508900000001</v>
      </c>
      <c r="J11" s="7">
        <f>AeMBR_Baseline_CED_Detail_yr!J11</f>
        <v>2190.9508900000001</v>
      </c>
      <c r="K11" s="7">
        <f>AeMBR_Baseline_CED_Detail_yr!K11</f>
        <v>2190.9508900000001</v>
      </c>
      <c r="L11" s="7">
        <f>AeMBR_Baseline_CED_Detail_yr!L11</f>
        <v>2190.9508900000001</v>
      </c>
      <c r="M11" s="7">
        <f>AeMBR_Baseline_CED_Detail_yr!M11</f>
        <v>22676.3</v>
      </c>
      <c r="N11" s="7">
        <f>AeMBR_Baseline_CED_Detail_yr!N11</f>
        <v>22676.3</v>
      </c>
      <c r="O11" s="7">
        <f>AeMBR_Baseline_CED_Detail_yr!O11</f>
        <v>22676.3</v>
      </c>
      <c r="P11" s="7">
        <f>AeMBR_Baseline_CED_Detail_yr!P11</f>
        <v>22676.3</v>
      </c>
      <c r="Q11" s="7">
        <f>AeMBR_Baseline_CED_Detail_yr!Q11</f>
        <v>113491</v>
      </c>
      <c r="R11" s="7">
        <f>AeMBR_Baseline_CED_Detail_yr!R11</f>
        <v>113491</v>
      </c>
      <c r="S11" s="7">
        <f>AeMBR_Baseline_CED_Detail_yr!S11</f>
        <v>113491</v>
      </c>
      <c r="T11" s="6">
        <f>AeMBR_Baseline_CED_Detail_yr!T11</f>
        <v>226983</v>
      </c>
      <c r="U11" s="7">
        <f>AeMBR_Baseline_CED_Detail_yr!U11</f>
        <v>226983</v>
      </c>
      <c r="V11" s="7">
        <f>AeMBR_Baseline_CED_Detail_yr!V11</f>
        <v>226983</v>
      </c>
      <c r="W11" s="2" t="s">
        <v>1</v>
      </c>
    </row>
    <row r="12" spans="1:23" x14ac:dyDescent="0.2">
      <c r="B12" s="131"/>
      <c r="C12" s="120"/>
      <c r="D12" s="2" t="s">
        <v>4</v>
      </c>
      <c r="E12" s="12">
        <f>AeMBR_Baseline_CED_Detail_yr!E12</f>
        <v>0.13147</v>
      </c>
      <c r="F12" s="12">
        <f>AeMBR_Baseline_CED_Detail_yr!F12</f>
        <v>0.13147</v>
      </c>
      <c r="G12" s="12">
        <f>AeMBR_Baseline_CED_Detail_yr!G12</f>
        <v>0.13147</v>
      </c>
      <c r="H12" s="12">
        <f>AeMBR_Baseline_CED_Detail_yr!H12</f>
        <v>0.13147</v>
      </c>
      <c r="I12" s="12">
        <f>AeMBR_Baseline_CED_Detail_yr!I12</f>
        <v>0.26294000000000001</v>
      </c>
      <c r="J12" s="12">
        <f>AeMBR_Baseline_CED_Detail_yr!J12</f>
        <v>0.26294000000000001</v>
      </c>
      <c r="K12" s="12">
        <f>AeMBR_Baseline_CED_Detail_yr!K12</f>
        <v>0.26294000000000001</v>
      </c>
      <c r="L12" s="12">
        <f>AeMBR_Baseline_CED_Detail_yr!L12</f>
        <v>0.26294000000000001</v>
      </c>
      <c r="M12" s="12">
        <f>AeMBR_Baseline_CED_Detail_yr!M12</f>
        <v>2.62927</v>
      </c>
      <c r="N12" s="12">
        <f>AeMBR_Baseline_CED_Detail_yr!N12</f>
        <v>2.62927</v>
      </c>
      <c r="O12" s="12">
        <f>AeMBR_Baseline_CED_Detail_yr!O12</f>
        <v>2.62927</v>
      </c>
      <c r="P12" s="12">
        <f>AeMBR_Baseline_CED_Detail_yr!P12</f>
        <v>2.62927</v>
      </c>
      <c r="Q12" s="10">
        <f>AeMBR_Baseline_CED_Detail_yr!Q12</f>
        <v>13.146430000000001</v>
      </c>
      <c r="R12" s="10">
        <f>AeMBR_Baseline_CED_Detail_yr!R12</f>
        <v>13.146430000000001</v>
      </c>
      <c r="S12" s="10">
        <f>AeMBR_Baseline_CED_Detail_yr!S12</f>
        <v>13.146430000000001</v>
      </c>
      <c r="T12" s="17">
        <f>AeMBR_Baseline_CED_Detail_yr!T12</f>
        <v>26.292860000000001</v>
      </c>
      <c r="U12" s="10">
        <f>AeMBR_Baseline_CED_Detail_yr!U12</f>
        <v>26.292860000000001</v>
      </c>
      <c r="V12" s="10">
        <f>AeMBR_Baseline_CED_Detail_yr!V12</f>
        <v>26.292860000000001</v>
      </c>
      <c r="W12" s="2" t="s">
        <v>1</v>
      </c>
    </row>
    <row r="13" spans="1:23" ht="15" customHeight="1" x14ac:dyDescent="0.2">
      <c r="B13" s="145" t="s">
        <v>16</v>
      </c>
      <c r="C13" s="146"/>
      <c r="D13" s="2" t="s">
        <v>78</v>
      </c>
      <c r="E13" s="6">
        <v>4435580</v>
      </c>
      <c r="F13" s="6">
        <f>E13</f>
        <v>4435580</v>
      </c>
      <c r="G13" s="7">
        <f>F13</f>
        <v>4435580</v>
      </c>
      <c r="H13" s="7">
        <f>G13</f>
        <v>4435580</v>
      </c>
      <c r="I13" s="6">
        <v>8871160</v>
      </c>
      <c r="J13" s="7">
        <f>I13</f>
        <v>8871160</v>
      </c>
      <c r="K13" s="7">
        <f>J13</f>
        <v>8871160</v>
      </c>
      <c r="L13" s="7">
        <f>K13</f>
        <v>8871160</v>
      </c>
      <c r="M13" s="6">
        <v>88711600</v>
      </c>
      <c r="N13" s="7">
        <f>M13</f>
        <v>88711600</v>
      </c>
      <c r="O13" s="7">
        <f>N13</f>
        <v>88711600</v>
      </c>
      <c r="P13" s="7">
        <f>O13</f>
        <v>88711600</v>
      </c>
      <c r="Q13" s="6">
        <v>443558000</v>
      </c>
      <c r="R13" s="7">
        <f>Q13</f>
        <v>443558000</v>
      </c>
      <c r="S13" s="7">
        <f>R13</f>
        <v>443558000</v>
      </c>
      <c r="T13" s="6">
        <v>887116000</v>
      </c>
      <c r="U13" s="7">
        <f>T13</f>
        <v>887116000</v>
      </c>
      <c r="V13" s="7">
        <f>U13</f>
        <v>887116000</v>
      </c>
      <c r="W13" s="2" t="s">
        <v>1</v>
      </c>
    </row>
    <row r="14" spans="1:23" x14ac:dyDescent="0.2">
      <c r="B14" s="147"/>
      <c r="C14" s="148"/>
      <c r="D14" s="2" t="s">
        <v>79</v>
      </c>
      <c r="E14" s="6">
        <v>11220.6</v>
      </c>
      <c r="F14" s="6">
        <f t="shared" ref="F14:H21" si="0">E14</f>
        <v>11220.6</v>
      </c>
      <c r="G14" s="7">
        <f t="shared" si="0"/>
        <v>11220.6</v>
      </c>
      <c r="H14" s="7">
        <f t="shared" si="0"/>
        <v>11220.6</v>
      </c>
      <c r="I14" s="6">
        <v>22441.200000000001</v>
      </c>
      <c r="J14" s="7">
        <f t="shared" ref="J14:L21" si="1">I14</f>
        <v>22441.200000000001</v>
      </c>
      <c r="K14" s="7">
        <f t="shared" si="1"/>
        <v>22441.200000000001</v>
      </c>
      <c r="L14" s="7">
        <f t="shared" si="1"/>
        <v>22441.200000000001</v>
      </c>
      <c r="M14" s="6">
        <v>224412</v>
      </c>
      <c r="N14" s="7">
        <f t="shared" ref="N14:P21" si="2">M14</f>
        <v>224412</v>
      </c>
      <c r="O14" s="7">
        <f t="shared" si="2"/>
        <v>224412</v>
      </c>
      <c r="P14" s="7">
        <f t="shared" si="2"/>
        <v>224412</v>
      </c>
      <c r="Q14" s="6">
        <v>1122060</v>
      </c>
      <c r="R14" s="7">
        <f t="shared" ref="R14:S21" si="3">Q14</f>
        <v>1122060</v>
      </c>
      <c r="S14" s="7">
        <f t="shared" si="3"/>
        <v>1122060</v>
      </c>
      <c r="T14" s="6">
        <v>2244120</v>
      </c>
      <c r="U14" s="7">
        <f t="shared" ref="U14:V21" si="4">T14</f>
        <v>2244120</v>
      </c>
      <c r="V14" s="7">
        <f t="shared" si="4"/>
        <v>2244120</v>
      </c>
      <c r="W14" s="2" t="s">
        <v>1</v>
      </c>
    </row>
    <row r="15" spans="1:23" x14ac:dyDescent="0.2">
      <c r="B15" s="147"/>
      <c r="C15" s="148"/>
      <c r="D15" s="2" t="s">
        <v>80</v>
      </c>
      <c r="E15" s="6">
        <v>236440</v>
      </c>
      <c r="F15" s="6">
        <f t="shared" si="0"/>
        <v>236440</v>
      </c>
      <c r="G15" s="7">
        <f t="shared" si="0"/>
        <v>236440</v>
      </c>
      <c r="H15" s="7">
        <f t="shared" si="0"/>
        <v>236440</v>
      </c>
      <c r="I15" s="6">
        <v>362395</v>
      </c>
      <c r="J15" s="7">
        <f t="shared" si="1"/>
        <v>362395</v>
      </c>
      <c r="K15" s="7">
        <f t="shared" si="1"/>
        <v>362395</v>
      </c>
      <c r="L15" s="7">
        <f t="shared" si="1"/>
        <v>362395</v>
      </c>
      <c r="M15" s="6">
        <v>962067</v>
      </c>
      <c r="N15" s="7">
        <f t="shared" si="2"/>
        <v>962067</v>
      </c>
      <c r="O15" s="7">
        <f t="shared" si="2"/>
        <v>962067</v>
      </c>
      <c r="P15" s="7">
        <f t="shared" si="2"/>
        <v>962067</v>
      </c>
      <c r="Q15" s="6">
        <v>2041480</v>
      </c>
      <c r="R15" s="7">
        <f t="shared" si="3"/>
        <v>2041480</v>
      </c>
      <c r="S15" s="7">
        <f t="shared" si="3"/>
        <v>2041480</v>
      </c>
      <c r="T15" s="6">
        <v>2041480</v>
      </c>
      <c r="U15" s="7">
        <f t="shared" si="4"/>
        <v>2041480</v>
      </c>
      <c r="V15" s="7">
        <f t="shared" si="4"/>
        <v>2041480</v>
      </c>
      <c r="W15" s="2" t="s">
        <v>1</v>
      </c>
    </row>
    <row r="16" spans="1:23" ht="14.25" customHeight="1" x14ac:dyDescent="0.2">
      <c r="B16" s="147"/>
      <c r="C16" s="148"/>
      <c r="D16" s="2" t="s">
        <v>81</v>
      </c>
      <c r="E16" s="6">
        <v>-282515</v>
      </c>
      <c r="F16" s="6">
        <f t="shared" si="0"/>
        <v>-282515</v>
      </c>
      <c r="G16" s="7">
        <f t="shared" si="0"/>
        <v>-282515</v>
      </c>
      <c r="H16" s="7">
        <f t="shared" si="0"/>
        <v>-282515</v>
      </c>
      <c r="I16" s="6">
        <v>-565030</v>
      </c>
      <c r="J16" s="7">
        <f t="shared" si="1"/>
        <v>-565030</v>
      </c>
      <c r="K16" s="7">
        <f t="shared" si="1"/>
        <v>-565030</v>
      </c>
      <c r="L16" s="7">
        <f t="shared" si="1"/>
        <v>-565030</v>
      </c>
      <c r="M16" s="6">
        <v>-5650000</v>
      </c>
      <c r="N16" s="7">
        <f t="shared" si="2"/>
        <v>-5650000</v>
      </c>
      <c r="O16" s="7">
        <f t="shared" si="2"/>
        <v>-5650000</v>
      </c>
      <c r="P16" s="7">
        <f t="shared" si="2"/>
        <v>-5650000</v>
      </c>
      <c r="Q16" s="6">
        <v>-28251500</v>
      </c>
      <c r="R16" s="7">
        <f t="shared" si="3"/>
        <v>-28251500</v>
      </c>
      <c r="S16" s="7">
        <f t="shared" si="3"/>
        <v>-28251500</v>
      </c>
      <c r="T16" s="6">
        <v>-56503000</v>
      </c>
      <c r="U16" s="7">
        <f t="shared" si="4"/>
        <v>-56503000</v>
      </c>
      <c r="V16" s="7">
        <f t="shared" si="4"/>
        <v>-56503000</v>
      </c>
      <c r="W16" s="2" t="s">
        <v>1</v>
      </c>
    </row>
    <row r="17" spans="1:23" x14ac:dyDescent="0.2">
      <c r="B17" s="147"/>
      <c r="C17" s="148"/>
      <c r="D17" s="2" t="s">
        <v>82</v>
      </c>
      <c r="E17" s="6">
        <v>38088.5</v>
      </c>
      <c r="F17" s="6">
        <f t="shared" si="0"/>
        <v>38088.5</v>
      </c>
      <c r="G17" s="7">
        <f t="shared" si="0"/>
        <v>38088.5</v>
      </c>
      <c r="H17" s="7">
        <f t="shared" si="0"/>
        <v>38088.5</v>
      </c>
      <c r="I17" s="6">
        <v>76170.7</v>
      </c>
      <c r="J17" s="7">
        <f t="shared" si="1"/>
        <v>76170.7</v>
      </c>
      <c r="K17" s="7">
        <f t="shared" si="1"/>
        <v>76170.7</v>
      </c>
      <c r="L17" s="7">
        <f t="shared" si="1"/>
        <v>76170.7</v>
      </c>
      <c r="M17" s="6">
        <v>761649</v>
      </c>
      <c r="N17" s="7">
        <f t="shared" si="2"/>
        <v>761649</v>
      </c>
      <c r="O17" s="7">
        <f t="shared" si="2"/>
        <v>761649</v>
      </c>
      <c r="P17" s="7">
        <f t="shared" si="2"/>
        <v>761649</v>
      </c>
      <c r="Q17" s="6">
        <v>3808220</v>
      </c>
      <c r="R17" s="7">
        <f t="shared" si="3"/>
        <v>3808220</v>
      </c>
      <c r="S17" s="7">
        <f t="shared" si="3"/>
        <v>3808220</v>
      </c>
      <c r="T17" s="6">
        <v>7616430</v>
      </c>
      <c r="U17" s="7">
        <f t="shared" si="4"/>
        <v>7616430</v>
      </c>
      <c r="V17" s="7">
        <f t="shared" si="4"/>
        <v>7616430</v>
      </c>
      <c r="W17" s="2" t="s">
        <v>1</v>
      </c>
    </row>
    <row r="18" spans="1:23" x14ac:dyDescent="0.2">
      <c r="B18" s="147"/>
      <c r="C18" s="148"/>
      <c r="D18" s="2" t="s">
        <v>83</v>
      </c>
      <c r="E18" s="6">
        <v>-3493500</v>
      </c>
      <c r="F18" s="6">
        <f t="shared" si="0"/>
        <v>-3493500</v>
      </c>
      <c r="G18" s="7">
        <f t="shared" si="0"/>
        <v>-3493500</v>
      </c>
      <c r="H18" s="7">
        <f t="shared" si="0"/>
        <v>-3493500</v>
      </c>
      <c r="I18" s="6">
        <v>-6987000</v>
      </c>
      <c r="J18" s="7">
        <f t="shared" si="1"/>
        <v>-6987000</v>
      </c>
      <c r="K18" s="7">
        <f t="shared" si="1"/>
        <v>-6987000</v>
      </c>
      <c r="L18" s="7">
        <f t="shared" si="1"/>
        <v>-6987000</v>
      </c>
      <c r="M18" s="6">
        <v>-69870000</v>
      </c>
      <c r="N18" s="7">
        <f t="shared" si="2"/>
        <v>-69870000</v>
      </c>
      <c r="O18" s="7">
        <f t="shared" si="2"/>
        <v>-69870000</v>
      </c>
      <c r="P18" s="7">
        <f t="shared" si="2"/>
        <v>-69870000</v>
      </c>
      <c r="Q18" s="6">
        <v>-349350000</v>
      </c>
      <c r="R18" s="7">
        <f t="shared" si="3"/>
        <v>-349350000</v>
      </c>
      <c r="S18" s="7">
        <f t="shared" si="3"/>
        <v>-349350000</v>
      </c>
      <c r="T18" s="6">
        <v>-698700000</v>
      </c>
      <c r="U18" s="7">
        <f t="shared" si="4"/>
        <v>-698700000</v>
      </c>
      <c r="V18" s="7">
        <f t="shared" si="4"/>
        <v>-698700000</v>
      </c>
      <c r="W18" s="2" t="s">
        <v>1</v>
      </c>
    </row>
    <row r="19" spans="1:23" x14ac:dyDescent="0.2">
      <c r="B19" s="147"/>
      <c r="C19" s="148"/>
      <c r="D19" s="2" t="s">
        <v>84</v>
      </c>
      <c r="E19" s="6">
        <v>1747.6079999999999</v>
      </c>
      <c r="F19" s="6">
        <f t="shared" si="0"/>
        <v>1747.6079999999999</v>
      </c>
      <c r="G19" s="7">
        <f t="shared" si="0"/>
        <v>1747.6079999999999</v>
      </c>
      <c r="H19" s="7">
        <f t="shared" si="0"/>
        <v>1747.6079999999999</v>
      </c>
      <c r="I19" s="6">
        <v>3495.2170000000001</v>
      </c>
      <c r="J19" s="7">
        <f t="shared" si="1"/>
        <v>3495.2170000000001</v>
      </c>
      <c r="K19" s="7">
        <f t="shared" si="1"/>
        <v>3495.2170000000001</v>
      </c>
      <c r="L19" s="7">
        <f t="shared" si="1"/>
        <v>3495.2170000000001</v>
      </c>
      <c r="M19" s="6">
        <v>34952.199999999997</v>
      </c>
      <c r="N19" s="7">
        <f t="shared" si="2"/>
        <v>34952.199999999997</v>
      </c>
      <c r="O19" s="7">
        <f t="shared" si="2"/>
        <v>34952.199999999997</v>
      </c>
      <c r="P19" s="7">
        <f t="shared" si="2"/>
        <v>34952.199999999997</v>
      </c>
      <c r="Q19" s="6">
        <v>174760</v>
      </c>
      <c r="R19" s="7">
        <f t="shared" si="3"/>
        <v>174760</v>
      </c>
      <c r="S19" s="7">
        <f t="shared" si="3"/>
        <v>174760</v>
      </c>
      <c r="T19" s="6">
        <v>349522</v>
      </c>
      <c r="U19" s="7">
        <f t="shared" si="4"/>
        <v>349522</v>
      </c>
      <c r="V19" s="7">
        <f t="shared" si="4"/>
        <v>349522</v>
      </c>
      <c r="W19" s="2" t="s">
        <v>1</v>
      </c>
    </row>
    <row r="20" spans="1:23" x14ac:dyDescent="0.2">
      <c r="B20" s="147"/>
      <c r="C20" s="148"/>
      <c r="D20" s="2" t="s">
        <v>17</v>
      </c>
      <c r="E20" s="6">
        <v>19700.8</v>
      </c>
      <c r="F20" s="6">
        <f t="shared" si="0"/>
        <v>19700.8</v>
      </c>
      <c r="G20" s="7">
        <f t="shared" si="0"/>
        <v>19700.8</v>
      </c>
      <c r="H20" s="7">
        <f t="shared" si="0"/>
        <v>19700.8</v>
      </c>
      <c r="I20" s="6">
        <v>39413.300000000003</v>
      </c>
      <c r="J20" s="7">
        <f t="shared" si="1"/>
        <v>39413.300000000003</v>
      </c>
      <c r="K20" s="7">
        <f t="shared" si="1"/>
        <v>39413.300000000003</v>
      </c>
      <c r="L20" s="7">
        <f t="shared" si="1"/>
        <v>39413.300000000003</v>
      </c>
      <c r="M20" s="6">
        <v>291739</v>
      </c>
      <c r="N20" s="7">
        <f t="shared" si="2"/>
        <v>291739</v>
      </c>
      <c r="O20" s="7">
        <f t="shared" si="2"/>
        <v>291739</v>
      </c>
      <c r="P20" s="7">
        <f t="shared" si="2"/>
        <v>291739</v>
      </c>
      <c r="Q20" s="6">
        <v>1215600</v>
      </c>
      <c r="R20" s="7">
        <f t="shared" si="3"/>
        <v>1215600</v>
      </c>
      <c r="S20" s="7">
        <f t="shared" si="3"/>
        <v>1215600</v>
      </c>
      <c r="T20" s="6">
        <v>2188000</v>
      </c>
      <c r="U20" s="7">
        <f t="shared" si="4"/>
        <v>2188000</v>
      </c>
      <c r="V20" s="7">
        <f t="shared" si="4"/>
        <v>2188000</v>
      </c>
      <c r="W20" s="2" t="s">
        <v>1</v>
      </c>
    </row>
    <row r="21" spans="1:23" ht="15" customHeight="1" x14ac:dyDescent="0.2">
      <c r="B21" s="127" t="s">
        <v>15</v>
      </c>
      <c r="C21" s="128"/>
      <c r="D21" s="2" t="s">
        <v>4</v>
      </c>
      <c r="E21" s="6">
        <f>25815.2+930.85937+6.07+5.9</f>
        <v>26758.02937</v>
      </c>
      <c r="F21" s="6">
        <f t="shared" si="0"/>
        <v>26758.02937</v>
      </c>
      <c r="G21" s="7">
        <f t="shared" si="0"/>
        <v>26758.02937</v>
      </c>
      <c r="H21" s="7">
        <f t="shared" si="0"/>
        <v>26758.02937</v>
      </c>
      <c r="I21" s="6">
        <f>26126+1358.39+6.22+5.9</f>
        <v>27496.510000000002</v>
      </c>
      <c r="J21" s="7">
        <f t="shared" si="1"/>
        <v>27496.510000000002</v>
      </c>
      <c r="K21" s="7">
        <f t="shared" si="1"/>
        <v>27496.510000000002</v>
      </c>
      <c r="L21" s="7">
        <f t="shared" si="1"/>
        <v>27496.510000000002</v>
      </c>
      <c r="M21" s="6">
        <f>7187.42+511317+10.28+6.45</f>
        <v>518521.15</v>
      </c>
      <c r="N21" s="7">
        <f t="shared" si="2"/>
        <v>518521.15</v>
      </c>
      <c r="O21" s="7">
        <f t="shared" si="2"/>
        <v>518521.15</v>
      </c>
      <c r="P21" s="7">
        <f t="shared" si="2"/>
        <v>518521.15</v>
      </c>
      <c r="Q21" s="6">
        <f>2134960+25862.6+25.5+6.5</f>
        <v>2160854.6</v>
      </c>
      <c r="R21" s="7">
        <f t="shared" si="3"/>
        <v>2160854.6</v>
      </c>
      <c r="S21" s="7">
        <f t="shared" si="3"/>
        <v>2160854.6</v>
      </c>
      <c r="T21" s="6">
        <f>45954+6.61178+44.75+3842900</f>
        <v>3888905.3617799999</v>
      </c>
      <c r="U21" s="7">
        <f t="shared" si="4"/>
        <v>3888905.3617799999</v>
      </c>
      <c r="V21" s="7">
        <f t="shared" si="4"/>
        <v>3888905.3617799999</v>
      </c>
      <c r="W21" s="2" t="s">
        <v>1</v>
      </c>
    </row>
    <row r="22" spans="1:23" x14ac:dyDescent="0.2">
      <c r="B22" s="130" t="s">
        <v>14</v>
      </c>
      <c r="C22" s="120" t="s">
        <v>7</v>
      </c>
      <c r="D22" s="2" t="s">
        <v>3</v>
      </c>
      <c r="E22" s="7">
        <f>AeMBR_Baseline_CED_Detail_yr!E24</f>
        <v>500775</v>
      </c>
      <c r="F22" s="7">
        <f>AeMBR_Baseline_CED_Detail_yr!F24</f>
        <v>500775</v>
      </c>
      <c r="G22" s="7">
        <f>AeMBR_Baseline_CED_Detail_yr!G24</f>
        <v>500775</v>
      </c>
      <c r="H22" s="7">
        <f>AeMBR_Baseline_CED_Detail_yr!H24</f>
        <v>500775</v>
      </c>
      <c r="I22" s="7">
        <f>AeMBR_Baseline_CED_Detail_yr!I24</f>
        <v>574884</v>
      </c>
      <c r="J22" s="7">
        <f>AeMBR_Baseline_CED_Detail_yr!J24</f>
        <v>574884</v>
      </c>
      <c r="K22" s="7">
        <f>AeMBR_Baseline_CED_Detail_yr!K24</f>
        <v>574884</v>
      </c>
      <c r="L22" s="7">
        <f>AeMBR_Baseline_CED_Detail_yr!L24</f>
        <v>574884</v>
      </c>
      <c r="M22" s="7">
        <f>AeMBR_Baseline_CED_Detail_yr!M24</f>
        <v>909245</v>
      </c>
      <c r="N22" s="7">
        <f>AeMBR_Baseline_CED_Detail_yr!N24</f>
        <v>909245</v>
      </c>
      <c r="O22" s="7">
        <f>AeMBR_Baseline_CED_Detail_yr!O24</f>
        <v>909245</v>
      </c>
      <c r="P22" s="7">
        <f>AeMBR_Baseline_CED_Detail_yr!P24</f>
        <v>909245</v>
      </c>
      <c r="Q22" s="7">
        <f>AeMBR_Baseline_CED_Detail_yr!Q24</f>
        <v>1252700</v>
      </c>
      <c r="R22" s="7">
        <f>AeMBR_Baseline_CED_Detail_yr!R24</f>
        <v>1252700</v>
      </c>
      <c r="S22" s="7">
        <f>AeMBR_Baseline_CED_Detail_yr!S24</f>
        <v>1252700</v>
      </c>
      <c r="T22" s="6">
        <f>AeMBR_Baseline_CED_Detail_yr!T24</f>
        <v>1435070</v>
      </c>
      <c r="U22" s="7">
        <f>AeMBR_Baseline_CED_Detail_yr!U24</f>
        <v>1435070</v>
      </c>
      <c r="V22" s="7">
        <f>AeMBR_Baseline_CED_Detail_yr!V24</f>
        <v>1435070</v>
      </c>
      <c r="W22" s="2" t="s">
        <v>1</v>
      </c>
    </row>
    <row r="23" spans="1:23" x14ac:dyDescent="0.2">
      <c r="B23" s="130"/>
      <c r="C23" s="120"/>
      <c r="D23" s="2" t="s">
        <v>17</v>
      </c>
      <c r="E23" s="7">
        <f>AeMBR_Baseline_CED_Detail_yr!E25</f>
        <v>32888.9</v>
      </c>
      <c r="F23" s="7">
        <f>AeMBR_Baseline_CED_Detail_yr!F25</f>
        <v>32888.9</v>
      </c>
      <c r="G23" s="7">
        <f>AeMBR_Baseline_CED_Detail_yr!G25</f>
        <v>32888.9</v>
      </c>
      <c r="H23" s="7">
        <f>AeMBR_Baseline_CED_Detail_yr!H25</f>
        <v>32888.9</v>
      </c>
      <c r="I23" s="7">
        <f>AeMBR_Baseline_CED_Detail_yr!I25</f>
        <v>65789.399999999994</v>
      </c>
      <c r="J23" s="7">
        <f>AeMBR_Baseline_CED_Detail_yr!J25</f>
        <v>65789.399999999994</v>
      </c>
      <c r="K23" s="7">
        <f>AeMBR_Baseline_CED_Detail_yr!K25</f>
        <v>65789.399999999994</v>
      </c>
      <c r="L23" s="7">
        <f>AeMBR_Baseline_CED_Detail_yr!L25</f>
        <v>65789.399999999994</v>
      </c>
      <c r="M23" s="7">
        <f>AeMBR_Baseline_CED_Detail_yr!M25</f>
        <v>1568860</v>
      </c>
      <c r="N23" s="7">
        <f>AeMBR_Baseline_CED_Detail_yr!N25</f>
        <v>1568860</v>
      </c>
      <c r="O23" s="7">
        <f>AeMBR_Baseline_CED_Detail_yr!O25</f>
        <v>1568860</v>
      </c>
      <c r="P23" s="7">
        <f>AeMBR_Baseline_CED_Detail_yr!P25</f>
        <v>1568860</v>
      </c>
      <c r="Q23" s="7">
        <f>AeMBR_Baseline_CED_Detail_yr!Q25</f>
        <v>3289350</v>
      </c>
      <c r="R23" s="7">
        <f>AeMBR_Baseline_CED_Detail_yr!R25</f>
        <v>3289350</v>
      </c>
      <c r="S23" s="7">
        <f>AeMBR_Baseline_CED_Detail_yr!S25</f>
        <v>3289350</v>
      </c>
      <c r="T23" s="6">
        <f>AeMBR_Baseline_CED_Detail_yr!T25</f>
        <v>6578710</v>
      </c>
      <c r="U23" s="7">
        <f>AeMBR_Baseline_CED_Detail_yr!U25</f>
        <v>6578710</v>
      </c>
      <c r="V23" s="7">
        <f>AeMBR_Baseline_CED_Detail_yr!V25</f>
        <v>6578710</v>
      </c>
      <c r="W23" s="2" t="s">
        <v>1</v>
      </c>
    </row>
    <row r="24" spans="1:23" x14ac:dyDescent="0.2">
      <c r="B24" s="130"/>
      <c r="C24" s="120"/>
      <c r="D24" s="2" t="s">
        <v>4</v>
      </c>
      <c r="E24" s="7">
        <f>AeMBR_Baseline_CED_Detail_yr!E26</f>
        <v>1312.49701</v>
      </c>
      <c r="F24" s="7">
        <f>AeMBR_Baseline_CED_Detail_yr!F26</f>
        <v>1312.49701</v>
      </c>
      <c r="G24" s="7">
        <f>AeMBR_Baseline_CED_Detail_yr!G26</f>
        <v>1312.49701</v>
      </c>
      <c r="H24" s="7">
        <f>AeMBR_Baseline_CED_Detail_yr!H26</f>
        <v>1312.49701</v>
      </c>
      <c r="I24" s="7">
        <f>AeMBR_Baseline_CED_Detail_yr!I26</f>
        <v>1329.27802</v>
      </c>
      <c r="J24" s="7">
        <f>AeMBR_Baseline_CED_Detail_yr!J26</f>
        <v>1329.27802</v>
      </c>
      <c r="K24" s="7">
        <f>AeMBR_Baseline_CED_Detail_yr!K26</f>
        <v>1329.27802</v>
      </c>
      <c r="L24" s="7">
        <f>AeMBR_Baseline_CED_Detail_yr!L26</f>
        <v>1329.27802</v>
      </c>
      <c r="M24" s="7">
        <f>AeMBR_Baseline_CED_Detail_yr!M26</f>
        <v>1719.1082200000001</v>
      </c>
      <c r="N24" s="7">
        <f>AeMBR_Baseline_CED_Detail_yr!N26</f>
        <v>1719.1082200000001</v>
      </c>
      <c r="O24" s="7">
        <f>AeMBR_Baseline_CED_Detail_yr!O26</f>
        <v>1719.1082200000001</v>
      </c>
      <c r="P24" s="7">
        <f>AeMBR_Baseline_CED_Detail_yr!P26</f>
        <v>1719.1082200000001</v>
      </c>
      <c r="Q24" s="7">
        <f>AeMBR_Baseline_CED_Detail_yr!Q26</f>
        <v>3419.19229</v>
      </c>
      <c r="R24" s="7">
        <f>AeMBR_Baseline_CED_Detail_yr!R26</f>
        <v>3419.19229</v>
      </c>
      <c r="S24" s="7">
        <f>AeMBR_Baseline_CED_Detail_yr!S26</f>
        <v>3419.19229</v>
      </c>
      <c r="T24" s="6">
        <f>AeMBR_Baseline_CED_Detail_yr!T26</f>
        <v>5543.3073800000002</v>
      </c>
      <c r="U24" s="7">
        <f>AeMBR_Baseline_CED_Detail_yr!U26</f>
        <v>5543.3073800000002</v>
      </c>
      <c r="V24" s="7">
        <f>AeMBR_Baseline_CED_Detail_yr!V26</f>
        <v>5543.3073800000002</v>
      </c>
      <c r="W24" s="2" t="s">
        <v>1</v>
      </c>
    </row>
    <row r="25" spans="1:23" ht="12.75" customHeight="1" x14ac:dyDescent="0.2">
      <c r="B25" s="121" t="s">
        <v>11</v>
      </c>
      <c r="C25" s="122"/>
      <c r="D25" s="2" t="s">
        <v>3</v>
      </c>
      <c r="E25" s="6">
        <f>AeMBR_Baseline_CED_Detail_yr!E27</f>
        <v>29255.1</v>
      </c>
      <c r="F25" s="6">
        <f>AeMBR_Baseline_CED_Detail_yr!F27</f>
        <v>14214.3</v>
      </c>
      <c r="G25" s="6">
        <f>AeMBR_Baseline_CED_Detail_yr!G27</f>
        <v>3966.79</v>
      </c>
      <c r="H25" s="6">
        <f>AeMBR_Baseline_CED_Detail_yr!H27</f>
        <v>1818.11</v>
      </c>
      <c r="I25" s="6">
        <f>AeMBR_Baseline_CED_Detail_yr!I27</f>
        <v>58344.9</v>
      </c>
      <c r="J25" s="6">
        <f>AeMBR_Baseline_CED_Detail_yr!J27</f>
        <v>28594</v>
      </c>
      <c r="K25" s="6">
        <f>AeMBR_Baseline_CED_Detail_yr!K27</f>
        <v>7768.3</v>
      </c>
      <c r="L25" s="6">
        <f>AeMBR_Baseline_CED_Detail_yr!L27</f>
        <v>3636.22</v>
      </c>
      <c r="M25" s="6">
        <f>AeMBR_Baseline_CED_Detail_yr!M27</f>
        <v>583780</v>
      </c>
      <c r="N25" s="6">
        <f>AeMBR_Baseline_CED_Detail_yr!N27</f>
        <v>285940</v>
      </c>
      <c r="O25" s="6">
        <f>AeMBR_Baseline_CED_Detail_yr!O27</f>
        <v>77848</v>
      </c>
      <c r="P25" s="6">
        <f>AeMBR_Baseline_CED_Detail_yr!P27</f>
        <v>36362.300000000003</v>
      </c>
      <c r="Q25" s="6">
        <f>AeMBR_Baseline_CED_Detail_yr!Q27</f>
        <v>1427220</v>
      </c>
      <c r="R25" s="6">
        <f>AeMBR_Baseline_CED_Detail_yr!R27</f>
        <v>389240</v>
      </c>
      <c r="S25" s="6">
        <f>AeMBR_Baseline_CED_Detail_yr!S27</f>
        <v>181646</v>
      </c>
      <c r="T25" s="6">
        <f>AeMBR_Baseline_CED_Detail_yr!T27</f>
        <v>2854270</v>
      </c>
      <c r="U25" s="6">
        <f>AeMBR_Baseline_CED_Detail_yr!U27</f>
        <v>778480</v>
      </c>
      <c r="V25" s="6">
        <f>AeMBR_Baseline_CED_Detail_yr!V27</f>
        <v>363290</v>
      </c>
      <c r="W25" s="2" t="s">
        <v>1</v>
      </c>
    </row>
    <row r="26" spans="1:23" x14ac:dyDescent="0.2">
      <c r="B26" s="123"/>
      <c r="C26" s="124"/>
      <c r="D26" s="2" t="s">
        <v>20</v>
      </c>
      <c r="E26" s="6">
        <f>AeMBR_Baseline_CED_Detail_yr!E28</f>
        <v>5822.8886400000001</v>
      </c>
      <c r="F26" s="6">
        <f>AeMBR_Baseline_CED_Detail_yr!F28</f>
        <v>2854.2760199999998</v>
      </c>
      <c r="G26" s="8">
        <f>AeMBR_Baseline_CED_Detail_yr!G28</f>
        <v>778.31899999999996</v>
      </c>
      <c r="H26" s="8">
        <f>AeMBR_Baseline_CED_Detail_yr!H28</f>
        <v>364.15</v>
      </c>
      <c r="I26" s="6">
        <f>AeMBR_Baseline_CED_Detail_yr!I28</f>
        <v>11665.7</v>
      </c>
      <c r="J26" s="6">
        <f>AeMBR_Baseline_CED_Detail_yr!J28</f>
        <v>5700.5365199999997</v>
      </c>
      <c r="K26" s="6">
        <f>AeMBR_Baseline_CED_Detail_yr!K28</f>
        <v>1551.54</v>
      </c>
      <c r="L26" s="8">
        <f>AeMBR_Baseline_CED_Detail_yr!L28</f>
        <v>725.10799999999995</v>
      </c>
      <c r="M26" s="6">
        <f>AeMBR_Baseline_CED_Detail_yr!M28</f>
        <v>116734</v>
      </c>
      <c r="N26" s="6">
        <f>AeMBR_Baseline_CED_Detail_yr!N28</f>
        <v>57005.4</v>
      </c>
      <c r="O26" s="6">
        <f>AeMBR_Baseline_CED_Detail_yr!O28</f>
        <v>15308</v>
      </c>
      <c r="P26" s="6">
        <f>AeMBR_Baseline_CED_Detail_yr!P28</f>
        <v>7260.89</v>
      </c>
      <c r="Q26" s="6">
        <f>AeMBR_Baseline_CED_Detail_yr!Q28</f>
        <v>285224</v>
      </c>
      <c r="R26" s="6">
        <f>AeMBR_Baseline_CED_Detail_yr!R28</f>
        <v>77818</v>
      </c>
      <c r="S26" s="6">
        <f>AeMBR_Baseline_CED_Detail_yr!S28</f>
        <v>36306.400000000001</v>
      </c>
      <c r="T26" s="6">
        <f>AeMBR_Baseline_CED_Detail_yr!T28</f>
        <v>570927</v>
      </c>
      <c r="U26" s="6">
        <f>AeMBR_Baseline_CED_Detail_yr!U28</f>
        <v>155517</v>
      </c>
      <c r="V26" s="6">
        <f>AeMBR_Baseline_CED_Detail_yr!V28</f>
        <v>72611.7</v>
      </c>
      <c r="W26" s="2" t="s">
        <v>1</v>
      </c>
    </row>
    <row r="27" spans="1:23" x14ac:dyDescent="0.2">
      <c r="B27" s="123"/>
      <c r="C27" s="124"/>
      <c r="D27" s="4" t="s">
        <v>21</v>
      </c>
      <c r="E27" s="6">
        <f>AeMBR_Baseline_CED_Detail_yr!E29</f>
        <v>1252.67309</v>
      </c>
      <c r="F27" s="8">
        <f>AeMBR_Baseline_CED_Detail_yr!F29</f>
        <v>612.41795999999999</v>
      </c>
      <c r="G27" s="8">
        <f>AeMBR_Baseline_CED_Detail_yr!G29</f>
        <v>167.02</v>
      </c>
      <c r="H27" s="17">
        <f>AeMBR_Baseline_CED_Detail_yr!H29</f>
        <v>77.944000000000003</v>
      </c>
      <c r="I27" s="6">
        <f>AeMBR_Baseline_CED_Detail_yr!I29</f>
        <v>2505.346</v>
      </c>
      <c r="J27" s="6">
        <f>AeMBR_Baseline_CED_Detail_yr!J29</f>
        <v>1224.83591</v>
      </c>
      <c r="K27" s="8">
        <f>AeMBR_Baseline_CED_Detail_yr!K29</f>
        <v>334.04599999999999</v>
      </c>
      <c r="L27" s="8">
        <f>AeMBR_Baseline_CED_Detail_yr!L29</f>
        <v>155.88800000000001</v>
      </c>
      <c r="M27" s="6">
        <f>AeMBR_Baseline_CED_Detail_yr!M29</f>
        <v>25053.5</v>
      </c>
      <c r="N27" s="6">
        <f>AeMBR_Baseline_CED_Detail_yr!N29</f>
        <v>12248.4</v>
      </c>
      <c r="O27" s="6">
        <f>AeMBR_Baseline_CED_Detail_yr!O29</f>
        <v>3340.46</v>
      </c>
      <c r="P27" s="6">
        <f>AeMBR_Baseline_CED_Detail_yr!P29</f>
        <v>1670.23</v>
      </c>
      <c r="Q27" s="6">
        <f>AeMBR_Baseline_CED_Detail_yr!Q29</f>
        <v>61241.8</v>
      </c>
      <c r="R27" s="6">
        <f>AeMBR_Baseline_CED_Detail_yr!R29</f>
        <v>16702.3</v>
      </c>
      <c r="S27" s="6">
        <f>AeMBR_Baseline_CED_Detail_yr!S29</f>
        <v>7794</v>
      </c>
      <c r="T27" s="6">
        <f>AeMBR_Baseline_CED_Detail_yr!T29</f>
        <v>122484</v>
      </c>
      <c r="U27" s="6">
        <f>AeMBR_Baseline_CED_Detail_yr!U29</f>
        <v>33404.6</v>
      </c>
      <c r="V27" s="6">
        <f>AeMBR_Baseline_CED_Detail_yr!V29</f>
        <v>15588.8</v>
      </c>
      <c r="W27" s="4" t="s">
        <v>1</v>
      </c>
    </row>
    <row r="28" spans="1:23" x14ac:dyDescent="0.2">
      <c r="B28" s="125"/>
      <c r="C28" s="126"/>
      <c r="D28" s="2" t="s">
        <v>22</v>
      </c>
      <c r="E28" s="6">
        <v>-851434</v>
      </c>
      <c r="F28" s="7">
        <f>E28</f>
        <v>-851434</v>
      </c>
      <c r="G28" s="7">
        <f>F28</f>
        <v>-851434</v>
      </c>
      <c r="H28" s="7">
        <f>G28</f>
        <v>-851434</v>
      </c>
      <c r="I28" s="6">
        <v>-1704350</v>
      </c>
      <c r="J28" s="7">
        <f>I28</f>
        <v>-1704350</v>
      </c>
      <c r="K28" s="7">
        <f>J28</f>
        <v>-1704350</v>
      </c>
      <c r="L28" s="19">
        <f>K28</f>
        <v>-1704350</v>
      </c>
      <c r="M28" s="6">
        <v>-17102900</v>
      </c>
      <c r="N28" s="19">
        <f>M28</f>
        <v>-17102900</v>
      </c>
      <c r="O28" s="6">
        <f>N28</f>
        <v>-17102900</v>
      </c>
      <c r="P28" s="7">
        <f>O28</f>
        <v>-17102900</v>
      </c>
      <c r="Q28" s="6">
        <v>-85600500</v>
      </c>
      <c r="R28" s="7">
        <f>Q28</f>
        <v>-85600500</v>
      </c>
      <c r="S28" s="6">
        <f>R28</f>
        <v>-85600500</v>
      </c>
      <c r="T28" s="6">
        <v>-171149000</v>
      </c>
      <c r="U28" s="7">
        <f>T28</f>
        <v>-171149000</v>
      </c>
      <c r="V28" s="7">
        <f>U28</f>
        <v>-171149000</v>
      </c>
      <c r="W28" s="2" t="s">
        <v>1</v>
      </c>
    </row>
    <row r="29" spans="1:23" x14ac:dyDescent="0.2">
      <c r="D29" s="15" t="s">
        <v>23</v>
      </c>
      <c r="E29" s="16">
        <f t="shared" ref="E29:V29" si="5">SUM(E6:E28)</f>
        <v>761090.24037999962</v>
      </c>
      <c r="F29" s="16">
        <f t="shared" si="5"/>
        <v>741118.37035999936</v>
      </c>
      <c r="G29" s="16">
        <f t="shared" si="5"/>
        <v>727260.63513999921</v>
      </c>
      <c r="H29" s="16">
        <f t="shared" si="5"/>
        <v>724412.06604999956</v>
      </c>
      <c r="I29" s="16">
        <f t="shared" si="5"/>
        <v>928569.33344999887</v>
      </c>
      <c r="J29" s="16">
        <f t="shared" si="5"/>
        <v>888986.14083999768</v>
      </c>
      <c r="K29" s="16">
        <f t="shared" si="5"/>
        <v>861142.3233199981</v>
      </c>
      <c r="L29" s="20">
        <f t="shared" si="5"/>
        <v>855631.71084999898</v>
      </c>
      <c r="M29" s="16">
        <f t="shared" si="5"/>
        <v>2341027.1219900064</v>
      </c>
      <c r="N29" s="16">
        <f t="shared" si="5"/>
        <v>1942215.6846699975</v>
      </c>
      <c r="O29" s="16">
        <f t="shared" si="5"/>
        <v>1663735.1409100033</v>
      </c>
      <c r="P29" s="16">
        <f t="shared" si="5"/>
        <v>1608668.0349900089</v>
      </c>
      <c r="Q29" s="16">
        <f t="shared" si="5"/>
        <v>-2201010.8670499921</v>
      </c>
      <c r="R29" s="16">
        <f t="shared" si="5"/>
        <v>-3572020.2996100187</v>
      </c>
      <c r="S29" s="16">
        <f t="shared" si="5"/>
        <v>-3849107.5696100146</v>
      </c>
      <c r="T29" s="16">
        <f t="shared" si="5"/>
        <v>-8332108.0931899846</v>
      </c>
      <c r="U29" s="16">
        <f t="shared" si="5"/>
        <v>-11105282.993189991</v>
      </c>
      <c r="V29" s="16">
        <f t="shared" si="5"/>
        <v>-11661901.063190013</v>
      </c>
      <c r="W29" s="15" t="str">
        <f>W28</f>
        <v>MJ</v>
      </c>
    </row>
    <row r="32" spans="1:23" ht="15.75" x14ac:dyDescent="0.25">
      <c r="A32" s="42" t="s">
        <v>25</v>
      </c>
    </row>
    <row r="34" spans="2:23" ht="75" customHeight="1" x14ac:dyDescent="0.2">
      <c r="B34" s="13"/>
      <c r="C34" s="2"/>
      <c r="D34" s="2"/>
      <c r="E34" s="3" t="str">
        <f>E5</f>
        <v>0.05 MGD AnMBR [semi rural single family]</v>
      </c>
      <c r="F34" s="3" t="str">
        <f t="shared" ref="F34:V34" si="6">F5</f>
        <v>0.05 MGD AnMBR [single family]</v>
      </c>
      <c r="G34" s="3" t="str">
        <f t="shared" si="6"/>
        <v>0.05 MGD AnMBR [multi family]</v>
      </c>
      <c r="H34" s="3" t="str">
        <f t="shared" si="6"/>
        <v>0.05 MGD AnMBR [high density urban]</v>
      </c>
      <c r="I34" s="3" t="str">
        <f t="shared" si="6"/>
        <v>0.1 MGD AnMBR [semi rural single family]</v>
      </c>
      <c r="J34" s="3" t="str">
        <f t="shared" si="6"/>
        <v>0.1 MGD AnMBR [single family]</v>
      </c>
      <c r="K34" s="3" t="str">
        <f t="shared" si="6"/>
        <v>0.1 MGD AnMBR [multi family]</v>
      </c>
      <c r="L34" s="3" t="str">
        <f t="shared" si="6"/>
        <v>0.1 MGD AnMBR [high density urban]</v>
      </c>
      <c r="M34" s="3" t="str">
        <f t="shared" si="6"/>
        <v>1 MGD AnMBR [semi rural single family]</v>
      </c>
      <c r="N34" s="3" t="str">
        <f t="shared" si="6"/>
        <v>1 MGD AnMBR [single family]</v>
      </c>
      <c r="O34" s="3" t="str">
        <f t="shared" si="6"/>
        <v>1 MGD AnMBR [multi family]</v>
      </c>
      <c r="P34" s="3" t="str">
        <f t="shared" si="6"/>
        <v>1 MGD AnMBR [high density urban]</v>
      </c>
      <c r="Q34" s="3" t="str">
        <f t="shared" si="6"/>
        <v>5 MGD AnMBR [single family]</v>
      </c>
      <c r="R34" s="3" t="str">
        <f t="shared" si="6"/>
        <v>5 MGD AnMBR [multi family]</v>
      </c>
      <c r="S34" s="3" t="str">
        <f t="shared" si="6"/>
        <v>5 MGD AnMBR [high density urban]</v>
      </c>
      <c r="T34" s="3" t="str">
        <f t="shared" si="6"/>
        <v>10 MGD AnMBR [single family]</v>
      </c>
      <c r="U34" s="3" t="str">
        <f t="shared" si="6"/>
        <v>10 MGD AnMBR [multi family]</v>
      </c>
      <c r="V34" s="3" t="str">
        <f t="shared" si="6"/>
        <v>10 MGD AnMBR [high density urban]</v>
      </c>
      <c r="W34" s="2" t="s">
        <v>0</v>
      </c>
    </row>
    <row r="35" spans="2:23" ht="12.75" customHeight="1" x14ac:dyDescent="0.2">
      <c r="B35" s="134" t="str">
        <f>B6</f>
        <v>Wastewater collection</v>
      </c>
      <c r="C35" s="135"/>
      <c r="D35" s="82" t="str">
        <f t="shared" ref="D35" si="7">D6</f>
        <v>Pipe infrastructure</v>
      </c>
      <c r="E35" s="5">
        <f>E6/$E$29</f>
        <v>3.0036254293033947E-3</v>
      </c>
      <c r="F35" s="5">
        <f t="shared" ref="F35:V50" si="8">F6/$E$29</f>
        <v>1.599449126285222E-3</v>
      </c>
      <c r="G35" s="5">
        <f t="shared" si="8"/>
        <v>4.0048348254711092E-4</v>
      </c>
      <c r="H35" s="5">
        <f t="shared" si="8"/>
        <v>1.88453342836702E-4</v>
      </c>
      <c r="I35" s="5">
        <f t="shared" si="8"/>
        <v>5.6693014455758469E-3</v>
      </c>
      <c r="J35" s="5">
        <f t="shared" si="8"/>
        <v>2.9368788369746892E-3</v>
      </c>
      <c r="K35" s="5">
        <f t="shared" si="8"/>
        <v>8.0095626991043398E-4</v>
      </c>
      <c r="L35" s="5">
        <f t="shared" si="8"/>
        <v>3.6176725885031529E-4</v>
      </c>
      <c r="M35" s="5">
        <f t="shared" si="8"/>
        <v>6.0071720243282542E-2</v>
      </c>
      <c r="N35" s="5">
        <f t="shared" si="8"/>
        <v>2.9368790734775246E-2</v>
      </c>
      <c r="O35" s="5">
        <f t="shared" si="8"/>
        <v>8.009667811475718E-3</v>
      </c>
      <c r="P35" s="5">
        <f t="shared" si="8"/>
        <v>3.7378353433879588E-3</v>
      </c>
      <c r="Q35" s="5">
        <f t="shared" si="8"/>
        <v>0.12341427470296114</v>
      </c>
      <c r="R35" s="5">
        <f t="shared" si="8"/>
        <v>4.004833905737859E-2</v>
      </c>
      <c r="S35" s="5">
        <f t="shared" si="8"/>
        <v>1.8689242412171906E-2</v>
      </c>
      <c r="T35" s="5">
        <f t="shared" si="8"/>
        <v>0.29368790734775246</v>
      </c>
      <c r="U35" s="5">
        <f t="shared" si="8"/>
        <v>7.789549366760995E-2</v>
      </c>
      <c r="V35" s="5">
        <f t="shared" si="8"/>
        <v>3.7378484824343812E-2</v>
      </c>
      <c r="W35" s="2" t="s">
        <v>24</v>
      </c>
    </row>
    <row r="36" spans="2:23" x14ac:dyDescent="0.2">
      <c r="B36" s="136"/>
      <c r="C36" s="137"/>
      <c r="D36" s="82" t="str">
        <f t="shared" ref="D36" si="9">D7</f>
        <v>Pipe installation</v>
      </c>
      <c r="E36" s="5">
        <f t="shared" ref="E36:T57" si="10">E7/$E$29</f>
        <v>4.457158717875927E-4</v>
      </c>
      <c r="F36" s="5">
        <f t="shared" si="10"/>
        <v>2.179084702455189E-4</v>
      </c>
      <c r="G36" s="5">
        <f t="shared" si="10"/>
        <v>5.9429588766526265E-5</v>
      </c>
      <c r="H36" s="5">
        <f t="shared" si="10"/>
        <v>2.7733807215109161E-5</v>
      </c>
      <c r="I36" s="5">
        <f t="shared" si="10"/>
        <v>8.9144373952456898E-4</v>
      </c>
      <c r="J36" s="5">
        <f t="shared" si="10"/>
        <v>4.3581694049103781E-4</v>
      </c>
      <c r="K36" s="5">
        <f t="shared" si="10"/>
        <v>1.1885581393716838E-4</v>
      </c>
      <c r="L36" s="5">
        <f t="shared" si="10"/>
        <v>8.3196441946733395E-5</v>
      </c>
      <c r="M36" s="5">
        <f t="shared" si="10"/>
        <v>8.9144356871696546E-3</v>
      </c>
      <c r="N36" s="5">
        <f t="shared" si="10"/>
        <v>4.3581693654932393E-3</v>
      </c>
      <c r="O36" s="5">
        <f t="shared" si="10"/>
        <v>1.1885916439400611E-3</v>
      </c>
      <c r="P36" s="5">
        <f t="shared" si="10"/>
        <v>6.378744257154158E-4</v>
      </c>
      <c r="Q36" s="5">
        <f t="shared" si="10"/>
        <v>2.1790845710647249E-2</v>
      </c>
      <c r="R36" s="5">
        <f t="shared" si="10"/>
        <v>5.9429483654154886E-3</v>
      </c>
      <c r="S36" s="5">
        <f t="shared" si="10"/>
        <v>3.4112512055124054E-3</v>
      </c>
      <c r="T36" s="5">
        <f t="shared" si="10"/>
        <v>4.3581691421294498E-2</v>
      </c>
      <c r="U36" s="5">
        <f t="shared" si="8"/>
        <v>1.7828372090575258E-2</v>
      </c>
      <c r="V36" s="5">
        <f t="shared" si="8"/>
        <v>8.9580179041528069E-3</v>
      </c>
      <c r="W36" s="2" t="s">
        <v>24</v>
      </c>
    </row>
    <row r="37" spans="2:23" x14ac:dyDescent="0.2">
      <c r="B37" s="138"/>
      <c r="C37" s="139"/>
      <c r="D37" s="82" t="str">
        <f t="shared" ref="D37" si="11">D8</f>
        <v>Operation</v>
      </c>
      <c r="E37" s="5">
        <f t="shared" si="10"/>
        <v>2.0595130732689278E-4</v>
      </c>
      <c r="F37" s="5">
        <f t="shared" si="8"/>
        <v>1.0068731135185607E-4</v>
      </c>
      <c r="G37" s="5">
        <f t="shared" si="8"/>
        <v>2.7460173434315942E-5</v>
      </c>
      <c r="H37" s="5">
        <f t="shared" si="8"/>
        <v>1.2814511975781597E-5</v>
      </c>
      <c r="I37" s="5">
        <f t="shared" si="8"/>
        <v>4.1189596629629581E-4</v>
      </c>
      <c r="J37" s="5">
        <f t="shared" si="8"/>
        <v>2.0137460956466571E-4</v>
      </c>
      <c r="K37" s="5">
        <f t="shared" si="8"/>
        <v>5.4919900141053519E-5</v>
      </c>
      <c r="L37" s="5">
        <f t="shared" si="8"/>
        <v>3.8443535927344791E-5</v>
      </c>
      <c r="M37" s="5">
        <f t="shared" si="8"/>
        <v>4.1190253581950701E-3</v>
      </c>
      <c r="N37" s="5">
        <f t="shared" si="8"/>
        <v>2.0137461087857034E-3</v>
      </c>
      <c r="O37" s="5">
        <f t="shared" si="8"/>
        <v>5.4920349496441175E-4</v>
      </c>
      <c r="P37" s="5">
        <f t="shared" si="8"/>
        <v>2.9473903106154572E-4</v>
      </c>
      <c r="Q37" s="5">
        <f t="shared" si="8"/>
        <v>1.0068730557067564E-2</v>
      </c>
      <c r="R37" s="5">
        <f t="shared" si="8"/>
        <v>2.7460081460990984E-3</v>
      </c>
      <c r="S37" s="5">
        <f t="shared" si="8"/>
        <v>1.5762125650186237E-3</v>
      </c>
      <c r="T37" s="5">
        <f t="shared" si="8"/>
        <v>2.0137428108850514E-2</v>
      </c>
      <c r="U37" s="5">
        <f t="shared" si="8"/>
        <v>8.2368682022121234E-3</v>
      </c>
      <c r="V37" s="5">
        <f t="shared" si="8"/>
        <v>4.1391543773142102E-3</v>
      </c>
      <c r="W37" s="2" t="s">
        <v>24</v>
      </c>
    </row>
    <row r="38" spans="2:23" ht="25.5" customHeight="1" x14ac:dyDescent="0.2">
      <c r="B38" s="140" t="str">
        <f t="shared" ref="B38:D38" si="12">B9</f>
        <v>Pre Treatment</v>
      </c>
      <c r="C38" s="140" t="str">
        <f t="shared" si="12"/>
        <v>Preliminary treatment</v>
      </c>
      <c r="D38" s="82" t="str">
        <f t="shared" si="12"/>
        <v>Operation</v>
      </c>
      <c r="E38" s="5">
        <f t="shared" si="10"/>
        <v>5.75739875183814E-2</v>
      </c>
      <c r="F38" s="5">
        <f t="shared" si="8"/>
        <v>5.75739875183814E-2</v>
      </c>
      <c r="G38" s="5">
        <f t="shared" si="8"/>
        <v>5.75739875183814E-2</v>
      </c>
      <c r="H38" s="5">
        <f t="shared" si="8"/>
        <v>5.75739875183814E-2</v>
      </c>
      <c r="I38" s="5">
        <f t="shared" si="8"/>
        <v>7.9308203938948038E-2</v>
      </c>
      <c r="J38" s="5">
        <f t="shared" si="8"/>
        <v>7.9308203938948038E-2</v>
      </c>
      <c r="K38" s="5">
        <f t="shared" si="8"/>
        <v>7.9308203938948038E-2</v>
      </c>
      <c r="L38" s="5">
        <f t="shared" si="8"/>
        <v>7.9308203938948038E-2</v>
      </c>
      <c r="M38" s="5">
        <f t="shared" si="8"/>
        <v>0.2302959500735256</v>
      </c>
      <c r="N38" s="5">
        <f t="shared" si="8"/>
        <v>0.2302959500735256</v>
      </c>
      <c r="O38" s="5">
        <f t="shared" si="8"/>
        <v>0.2302959500735256</v>
      </c>
      <c r="P38" s="5">
        <f t="shared" si="8"/>
        <v>0.2302959500735256</v>
      </c>
      <c r="Q38" s="5">
        <f t="shared" si="8"/>
        <v>0.48506074629951518</v>
      </c>
      <c r="R38" s="5">
        <f t="shared" si="8"/>
        <v>0.48506074629951518</v>
      </c>
      <c r="S38" s="5">
        <f t="shared" si="8"/>
        <v>0.48506074629951518</v>
      </c>
      <c r="T38" s="5">
        <f t="shared" si="8"/>
        <v>0.66929776913926409</v>
      </c>
      <c r="U38" s="5">
        <f t="shared" si="8"/>
        <v>0.66929776913926409</v>
      </c>
      <c r="V38" s="5">
        <f t="shared" si="8"/>
        <v>0.66929776913926409</v>
      </c>
      <c r="W38" s="2" t="s">
        <v>24</v>
      </c>
    </row>
    <row r="39" spans="2:23" x14ac:dyDescent="0.2">
      <c r="B39" s="141"/>
      <c r="C39" s="142"/>
      <c r="D39" s="82" t="str">
        <f t="shared" ref="D39" si="13">D10</f>
        <v>Infrastructure</v>
      </c>
      <c r="E39" s="5">
        <f t="shared" si="10"/>
        <v>3.9193775478064705E-8</v>
      </c>
      <c r="F39" s="5">
        <f t="shared" si="8"/>
        <v>3.9193775478064705E-8</v>
      </c>
      <c r="G39" s="5">
        <f t="shared" si="8"/>
        <v>3.9193775478064705E-8</v>
      </c>
      <c r="H39" s="5">
        <f t="shared" si="8"/>
        <v>3.9193775478064705E-8</v>
      </c>
      <c r="I39" s="5">
        <f t="shared" si="8"/>
        <v>7.813790907410352E-8</v>
      </c>
      <c r="J39" s="5">
        <f t="shared" si="8"/>
        <v>7.813790907410352E-8</v>
      </c>
      <c r="K39" s="5">
        <f t="shared" si="8"/>
        <v>7.813790907410352E-8</v>
      </c>
      <c r="L39" s="5">
        <f t="shared" si="8"/>
        <v>7.813790907410352E-8</v>
      </c>
      <c r="M39" s="5">
        <f t="shared" si="8"/>
        <v>7.8111630981258687E-7</v>
      </c>
      <c r="N39" s="5">
        <f t="shared" si="8"/>
        <v>7.8111630981258687E-7</v>
      </c>
      <c r="O39" s="5">
        <f t="shared" si="8"/>
        <v>7.8111630981258687E-7</v>
      </c>
      <c r="P39" s="5">
        <f t="shared" si="8"/>
        <v>7.8111630981258687E-7</v>
      </c>
      <c r="Q39" s="5">
        <f t="shared" si="8"/>
        <v>3.9176300546322893E-6</v>
      </c>
      <c r="R39" s="5">
        <f t="shared" si="8"/>
        <v>3.9176300546322893E-6</v>
      </c>
      <c r="S39" s="5">
        <f t="shared" si="8"/>
        <v>3.9176300546322893E-6</v>
      </c>
      <c r="T39" s="5">
        <f t="shared" si="8"/>
        <v>7.8108871781509979E-6</v>
      </c>
      <c r="U39" s="5">
        <f t="shared" si="8"/>
        <v>7.8108871781509979E-6</v>
      </c>
      <c r="V39" s="5">
        <f t="shared" si="8"/>
        <v>7.8108871781509979E-6</v>
      </c>
      <c r="W39" s="2" t="s">
        <v>24</v>
      </c>
    </row>
    <row r="40" spans="2:23" ht="15.75" customHeight="1" x14ac:dyDescent="0.2">
      <c r="B40" s="141"/>
      <c r="C40" s="140" t="str">
        <f t="shared" ref="C40:D40" si="14">C11</f>
        <v>Fine screening</v>
      </c>
      <c r="D40" s="82" t="str">
        <f t="shared" si="14"/>
        <v>Operation</v>
      </c>
      <c r="E40" s="5">
        <f t="shared" si="10"/>
        <v>1.4393502660775776E-3</v>
      </c>
      <c r="F40" s="5">
        <f t="shared" si="8"/>
        <v>1.4393502660775776E-3</v>
      </c>
      <c r="G40" s="5">
        <f t="shared" si="8"/>
        <v>1.4393502660775776E-3</v>
      </c>
      <c r="H40" s="5">
        <f t="shared" si="8"/>
        <v>1.4393502660775776E-3</v>
      </c>
      <c r="I40" s="5">
        <f t="shared" si="8"/>
        <v>2.8787005452942018E-3</v>
      </c>
      <c r="J40" s="5">
        <f t="shared" si="8"/>
        <v>2.8787005452942018E-3</v>
      </c>
      <c r="K40" s="5">
        <f t="shared" si="8"/>
        <v>2.8787005452942018E-3</v>
      </c>
      <c r="L40" s="5">
        <f t="shared" si="8"/>
        <v>2.8787005452942018E-3</v>
      </c>
      <c r="M40" s="5">
        <f t="shared" si="8"/>
        <v>2.9794495838861502E-2</v>
      </c>
      <c r="N40" s="5">
        <f t="shared" si="8"/>
        <v>2.9794495838861502E-2</v>
      </c>
      <c r="O40" s="5">
        <f t="shared" si="8"/>
        <v>2.9794495838861502E-2</v>
      </c>
      <c r="P40" s="5">
        <f t="shared" si="8"/>
        <v>2.9794495838861502E-2</v>
      </c>
      <c r="Q40" s="5">
        <f t="shared" si="8"/>
        <v>0.14911635175263296</v>
      </c>
      <c r="R40" s="5">
        <f t="shared" si="8"/>
        <v>0.14911635175263296</v>
      </c>
      <c r="S40" s="5">
        <f t="shared" si="8"/>
        <v>0.14911635175263296</v>
      </c>
      <c r="T40" s="5">
        <f t="shared" si="8"/>
        <v>0.29823401740990818</v>
      </c>
      <c r="U40" s="5">
        <f t="shared" si="8"/>
        <v>0.29823401740990818</v>
      </c>
      <c r="V40" s="5">
        <f t="shared" si="8"/>
        <v>0.29823401740990818</v>
      </c>
      <c r="W40" s="2" t="s">
        <v>24</v>
      </c>
    </row>
    <row r="41" spans="2:23" x14ac:dyDescent="0.2">
      <c r="B41" s="142"/>
      <c r="C41" s="142"/>
      <c r="D41" s="82" t="str">
        <f t="shared" ref="D41" si="15">D12</f>
        <v>Infrastructure</v>
      </c>
      <c r="E41" s="5">
        <f t="shared" si="10"/>
        <v>1.7273904331549335E-7</v>
      </c>
      <c r="F41" s="5">
        <f t="shared" si="8"/>
        <v>1.7273904331549335E-7</v>
      </c>
      <c r="G41" s="5">
        <f t="shared" si="8"/>
        <v>1.7273904331549335E-7</v>
      </c>
      <c r="H41" s="5">
        <f t="shared" si="8"/>
        <v>1.7273904331549335E-7</v>
      </c>
      <c r="I41" s="5">
        <f t="shared" si="8"/>
        <v>3.454780866309867E-7</v>
      </c>
      <c r="J41" s="5">
        <f t="shared" si="8"/>
        <v>3.454780866309867E-7</v>
      </c>
      <c r="K41" s="5">
        <f t="shared" si="8"/>
        <v>3.454780866309867E-7</v>
      </c>
      <c r="L41" s="5">
        <f t="shared" si="8"/>
        <v>3.454780866309867E-7</v>
      </c>
      <c r="M41" s="5">
        <f t="shared" si="8"/>
        <v>3.4546100587063757E-6</v>
      </c>
      <c r="N41" s="5">
        <f t="shared" si="8"/>
        <v>3.4546100587063757E-6</v>
      </c>
      <c r="O41" s="5">
        <f t="shared" si="8"/>
        <v>3.4546100587063757E-6</v>
      </c>
      <c r="P41" s="5">
        <f t="shared" si="8"/>
        <v>3.4546100587063757E-6</v>
      </c>
      <c r="Q41" s="5">
        <f t="shared" si="8"/>
        <v>1.7273155405903256E-5</v>
      </c>
      <c r="R41" s="5">
        <f t="shared" si="8"/>
        <v>1.7273155405903256E-5</v>
      </c>
      <c r="S41" s="5">
        <f t="shared" si="8"/>
        <v>1.7273155405903256E-5</v>
      </c>
      <c r="T41" s="5">
        <f t="shared" si="8"/>
        <v>3.4546310811806513E-5</v>
      </c>
      <c r="U41" s="5">
        <f t="shared" si="8"/>
        <v>3.4546310811806513E-5</v>
      </c>
      <c r="V41" s="5">
        <f t="shared" si="8"/>
        <v>3.4546310811806513E-5</v>
      </c>
      <c r="W41" s="2" t="s">
        <v>24</v>
      </c>
    </row>
    <row r="42" spans="2:23" x14ac:dyDescent="0.2">
      <c r="B42" s="134" t="str">
        <f t="shared" ref="B42:D42" si="16">B13</f>
        <v>MBR operation</v>
      </c>
      <c r="C42" s="135"/>
      <c r="D42" s="82" t="str">
        <f t="shared" si="16"/>
        <v>Heating of influent</v>
      </c>
      <c r="E42" s="5">
        <f t="shared" si="10"/>
        <v>5.827929153033665</v>
      </c>
      <c r="F42" s="5">
        <f t="shared" si="8"/>
        <v>5.827929153033665</v>
      </c>
      <c r="G42" s="5">
        <f t="shared" si="8"/>
        <v>5.827929153033665</v>
      </c>
      <c r="H42" s="5">
        <f t="shared" si="8"/>
        <v>5.827929153033665</v>
      </c>
      <c r="I42" s="5">
        <f t="shared" si="8"/>
        <v>11.65585830606733</v>
      </c>
      <c r="J42" s="5">
        <f t="shared" si="8"/>
        <v>11.65585830606733</v>
      </c>
      <c r="K42" s="5">
        <f t="shared" si="8"/>
        <v>11.65585830606733</v>
      </c>
      <c r="L42" s="5">
        <f t="shared" si="8"/>
        <v>11.65585830606733</v>
      </c>
      <c r="M42" s="5">
        <f t="shared" si="8"/>
        <v>116.55858306067331</v>
      </c>
      <c r="N42" s="5">
        <f t="shared" si="8"/>
        <v>116.55858306067331</v>
      </c>
      <c r="O42" s="5">
        <f t="shared" si="8"/>
        <v>116.55858306067331</v>
      </c>
      <c r="P42" s="5">
        <f t="shared" si="8"/>
        <v>116.55858306067331</v>
      </c>
      <c r="Q42" s="5">
        <f t="shared" si="8"/>
        <v>582.7929153033665</v>
      </c>
      <c r="R42" s="5">
        <f t="shared" si="8"/>
        <v>582.7929153033665</v>
      </c>
      <c r="S42" s="5">
        <f t="shared" si="8"/>
        <v>582.7929153033665</v>
      </c>
      <c r="T42" s="5">
        <f t="shared" si="8"/>
        <v>1165.585830606733</v>
      </c>
      <c r="U42" s="5">
        <f t="shared" si="8"/>
        <v>1165.585830606733</v>
      </c>
      <c r="V42" s="5">
        <f t="shared" si="8"/>
        <v>1165.585830606733</v>
      </c>
      <c r="W42" s="2" t="s">
        <v>24</v>
      </c>
    </row>
    <row r="43" spans="2:23" x14ac:dyDescent="0.2">
      <c r="B43" s="136"/>
      <c r="C43" s="137"/>
      <c r="D43" s="82" t="str">
        <f t="shared" ref="D43" si="17">D14</f>
        <v>Grinder pump</v>
      </c>
      <c r="E43" s="5">
        <f t="shared" si="10"/>
        <v>1.4742798428735261E-2</v>
      </c>
      <c r="F43" s="5">
        <f t="shared" si="8"/>
        <v>1.4742798428735261E-2</v>
      </c>
      <c r="G43" s="5">
        <f t="shared" si="8"/>
        <v>1.4742798428735261E-2</v>
      </c>
      <c r="H43" s="5">
        <f t="shared" si="8"/>
        <v>1.4742798428735261E-2</v>
      </c>
      <c r="I43" s="5">
        <f t="shared" si="8"/>
        <v>2.9485596857470521E-2</v>
      </c>
      <c r="J43" s="5">
        <f t="shared" si="8"/>
        <v>2.9485596857470521E-2</v>
      </c>
      <c r="K43" s="5">
        <f t="shared" si="8"/>
        <v>2.9485596857470521E-2</v>
      </c>
      <c r="L43" s="5">
        <f t="shared" si="8"/>
        <v>2.9485596857470521E-2</v>
      </c>
      <c r="M43" s="5">
        <f t="shared" si="8"/>
        <v>0.2948559685747052</v>
      </c>
      <c r="N43" s="5">
        <f t="shared" si="8"/>
        <v>0.2948559685747052</v>
      </c>
      <c r="O43" s="5">
        <f t="shared" si="8"/>
        <v>0.2948559685747052</v>
      </c>
      <c r="P43" s="5">
        <f t="shared" si="8"/>
        <v>0.2948559685747052</v>
      </c>
      <c r="Q43" s="5">
        <f t="shared" si="8"/>
        <v>1.474279842873526</v>
      </c>
      <c r="R43" s="5">
        <f t="shared" si="8"/>
        <v>1.474279842873526</v>
      </c>
      <c r="S43" s="5">
        <f t="shared" si="8"/>
        <v>1.474279842873526</v>
      </c>
      <c r="T43" s="5">
        <f t="shared" si="8"/>
        <v>2.948559685747052</v>
      </c>
      <c r="U43" s="5">
        <f t="shared" si="8"/>
        <v>2.948559685747052</v>
      </c>
      <c r="V43" s="5">
        <f t="shared" si="8"/>
        <v>2.948559685747052</v>
      </c>
      <c r="W43" s="2" t="s">
        <v>24</v>
      </c>
    </row>
    <row r="44" spans="2:23" x14ac:dyDescent="0.2">
      <c r="B44" s="136"/>
      <c r="C44" s="137"/>
      <c r="D44" s="82" t="str">
        <f t="shared" ref="D44" si="18">D15</f>
        <v>Heat loss control</v>
      </c>
      <c r="E44" s="5">
        <f t="shared" si="10"/>
        <v>0.31065961361158628</v>
      </c>
      <c r="F44" s="5">
        <f t="shared" si="8"/>
        <v>0.31065961361158628</v>
      </c>
      <c r="G44" s="5">
        <f t="shared" si="8"/>
        <v>0.31065961361158628</v>
      </c>
      <c r="H44" s="5">
        <f t="shared" si="8"/>
        <v>0.31065961361158628</v>
      </c>
      <c r="I44" s="5">
        <f t="shared" si="8"/>
        <v>0.47615247282511763</v>
      </c>
      <c r="J44" s="5">
        <f t="shared" si="8"/>
        <v>0.47615247282511763</v>
      </c>
      <c r="K44" s="5">
        <f t="shared" si="8"/>
        <v>0.47615247282511763</v>
      </c>
      <c r="L44" s="5">
        <f t="shared" si="8"/>
        <v>0.47615247282511763</v>
      </c>
      <c r="M44" s="5">
        <f t="shared" si="8"/>
        <v>1.2640642974473777</v>
      </c>
      <c r="N44" s="5">
        <f t="shared" si="8"/>
        <v>1.2640642974473777</v>
      </c>
      <c r="O44" s="5">
        <f t="shared" si="8"/>
        <v>1.2640642974473777</v>
      </c>
      <c r="P44" s="5">
        <f t="shared" si="8"/>
        <v>1.2640642974473777</v>
      </c>
      <c r="Q44" s="5">
        <f t="shared" si="8"/>
        <v>2.6823100490432292</v>
      </c>
      <c r="R44" s="5">
        <f t="shared" si="8"/>
        <v>2.6823100490432292</v>
      </c>
      <c r="S44" s="5">
        <f t="shared" si="8"/>
        <v>2.6823100490432292</v>
      </c>
      <c r="T44" s="5">
        <f t="shared" si="8"/>
        <v>2.6823100490432292</v>
      </c>
      <c r="U44" s="5">
        <f t="shared" si="8"/>
        <v>2.6823100490432292</v>
      </c>
      <c r="V44" s="5">
        <f t="shared" si="8"/>
        <v>2.6823100490432292</v>
      </c>
      <c r="W44" s="2" t="s">
        <v>24</v>
      </c>
    </row>
    <row r="45" spans="2:23" ht="15.75" customHeight="1" x14ac:dyDescent="0.2">
      <c r="B45" s="136"/>
      <c r="C45" s="137"/>
      <c r="D45" s="82" t="str">
        <f t="shared" ref="D45" si="19">D16</f>
        <v>Recovery of methane</v>
      </c>
      <c r="E45" s="5">
        <f t="shared" si="10"/>
        <v>-0.37119777000286458</v>
      </c>
      <c r="F45" s="5">
        <f t="shared" si="8"/>
        <v>-0.37119777000286458</v>
      </c>
      <c r="G45" s="5">
        <f t="shared" si="8"/>
        <v>-0.37119777000286458</v>
      </c>
      <c r="H45" s="5">
        <f t="shared" si="8"/>
        <v>-0.37119777000286458</v>
      </c>
      <c r="I45" s="5">
        <f t="shared" si="8"/>
        <v>-0.74239554000572916</v>
      </c>
      <c r="J45" s="5">
        <f t="shared" si="8"/>
        <v>-0.74239554000572916</v>
      </c>
      <c r="K45" s="5">
        <f t="shared" si="8"/>
        <v>-0.74239554000572916</v>
      </c>
      <c r="L45" s="5">
        <f t="shared" si="8"/>
        <v>-0.74239554000572916</v>
      </c>
      <c r="M45" s="5">
        <f t="shared" si="8"/>
        <v>-7.4235612286646191</v>
      </c>
      <c r="N45" s="5">
        <f t="shared" si="8"/>
        <v>-7.4235612286646191</v>
      </c>
      <c r="O45" s="5">
        <f t="shared" si="8"/>
        <v>-7.4235612286646191</v>
      </c>
      <c r="P45" s="5">
        <f t="shared" si="8"/>
        <v>-7.4235612286646191</v>
      </c>
      <c r="Q45" s="5">
        <f t="shared" si="8"/>
        <v>-37.119777000286454</v>
      </c>
      <c r="R45" s="5">
        <f t="shared" si="8"/>
        <v>-37.119777000286454</v>
      </c>
      <c r="S45" s="5">
        <f t="shared" si="8"/>
        <v>-37.119777000286454</v>
      </c>
      <c r="T45" s="5">
        <f t="shared" si="8"/>
        <v>-74.239554000572909</v>
      </c>
      <c r="U45" s="5">
        <f t="shared" si="8"/>
        <v>-74.239554000572909</v>
      </c>
      <c r="V45" s="5">
        <f t="shared" si="8"/>
        <v>-74.239554000572909</v>
      </c>
      <c r="W45" s="2" t="s">
        <v>24</v>
      </c>
    </row>
    <row r="46" spans="2:23" x14ac:dyDescent="0.2">
      <c r="B46" s="136"/>
      <c r="C46" s="137"/>
      <c r="D46" s="82" t="str">
        <f t="shared" ref="D46" si="20">D17</f>
        <v>Effluent pumping out</v>
      </c>
      <c r="E46" s="5">
        <f t="shared" si="10"/>
        <v>5.0044656966016343E-2</v>
      </c>
      <c r="F46" s="5">
        <f t="shared" si="8"/>
        <v>5.0044656966016343E-2</v>
      </c>
      <c r="G46" s="5">
        <f t="shared" si="8"/>
        <v>5.0044656966016343E-2</v>
      </c>
      <c r="H46" s="5">
        <f t="shared" si="8"/>
        <v>5.0044656966016343E-2</v>
      </c>
      <c r="I46" s="5">
        <f t="shared" si="8"/>
        <v>0.10008103633278656</v>
      </c>
      <c r="J46" s="5">
        <f t="shared" si="8"/>
        <v>0.10008103633278656</v>
      </c>
      <c r="K46" s="5">
        <f t="shared" si="8"/>
        <v>0.10008103633278656</v>
      </c>
      <c r="L46" s="5">
        <f t="shared" si="8"/>
        <v>0.10008103633278656</v>
      </c>
      <c r="M46" s="5">
        <f t="shared" si="8"/>
        <v>1.0007341568586157</v>
      </c>
      <c r="N46" s="5">
        <f t="shared" si="8"/>
        <v>1.0007341568586157</v>
      </c>
      <c r="O46" s="5">
        <f t="shared" si="8"/>
        <v>1.0007341568586157</v>
      </c>
      <c r="P46" s="5">
        <f t="shared" si="8"/>
        <v>1.0007341568586157</v>
      </c>
      <c r="Q46" s="5">
        <f t="shared" si="8"/>
        <v>5.0036379366770216</v>
      </c>
      <c r="R46" s="5">
        <f t="shared" si="8"/>
        <v>5.0036379366770216</v>
      </c>
      <c r="S46" s="5">
        <f t="shared" si="8"/>
        <v>5.0036379366770216</v>
      </c>
      <c r="T46" s="5">
        <f t="shared" si="8"/>
        <v>10.007262734307622</v>
      </c>
      <c r="U46" s="5">
        <f t="shared" si="8"/>
        <v>10.007262734307622</v>
      </c>
      <c r="V46" s="5">
        <f t="shared" si="8"/>
        <v>10.007262734307622</v>
      </c>
      <c r="W46" s="2" t="s">
        <v>24</v>
      </c>
    </row>
    <row r="47" spans="2:23" x14ac:dyDescent="0.2">
      <c r="B47" s="136"/>
      <c r="C47" s="137"/>
      <c r="D47" s="82" t="str">
        <f t="shared" ref="D47" si="21">D18</f>
        <v>Heat recovery from discharge water</v>
      </c>
      <c r="E47" s="5">
        <f t="shared" si="10"/>
        <v>-4.5901258676707695</v>
      </c>
      <c r="F47" s="5">
        <f t="shared" si="8"/>
        <v>-4.5901258676707695</v>
      </c>
      <c r="G47" s="5">
        <f t="shared" si="8"/>
        <v>-4.5901258676707695</v>
      </c>
      <c r="H47" s="5">
        <f t="shared" si="8"/>
        <v>-4.5901258676707695</v>
      </c>
      <c r="I47" s="5">
        <f t="shared" si="8"/>
        <v>-9.1802517353415389</v>
      </c>
      <c r="J47" s="5">
        <f t="shared" si="8"/>
        <v>-9.1802517353415389</v>
      </c>
      <c r="K47" s="5">
        <f t="shared" si="8"/>
        <v>-9.1802517353415389</v>
      </c>
      <c r="L47" s="5">
        <f t="shared" si="8"/>
        <v>-9.1802517353415389</v>
      </c>
      <c r="M47" s="5">
        <f t="shared" si="8"/>
        <v>-91.802517353415382</v>
      </c>
      <c r="N47" s="5">
        <f t="shared" si="8"/>
        <v>-91.802517353415382</v>
      </c>
      <c r="O47" s="5">
        <f t="shared" si="8"/>
        <v>-91.802517353415382</v>
      </c>
      <c r="P47" s="5">
        <f t="shared" si="8"/>
        <v>-91.802517353415382</v>
      </c>
      <c r="Q47" s="5">
        <f t="shared" si="8"/>
        <v>-459.01258676707693</v>
      </c>
      <c r="R47" s="5">
        <f t="shared" si="8"/>
        <v>-459.01258676707693</v>
      </c>
      <c r="S47" s="5">
        <f t="shared" si="8"/>
        <v>-459.01258676707693</v>
      </c>
      <c r="T47" s="5">
        <f t="shared" si="8"/>
        <v>-918.02517353415385</v>
      </c>
      <c r="U47" s="5">
        <f t="shared" si="8"/>
        <v>-918.02517353415385</v>
      </c>
      <c r="V47" s="5">
        <f t="shared" si="8"/>
        <v>-918.02517353415385</v>
      </c>
      <c r="W47" s="2" t="s">
        <v>24</v>
      </c>
    </row>
    <row r="48" spans="2:23" x14ac:dyDescent="0.2">
      <c r="B48" s="136"/>
      <c r="C48" s="137"/>
      <c r="D48" s="82" t="str">
        <f t="shared" ref="D48" si="22">D19</f>
        <v>Biogas recirculation pump</v>
      </c>
      <c r="E48" s="5">
        <f t="shared" si="10"/>
        <v>2.2961902640184278E-3</v>
      </c>
      <c r="F48" s="5">
        <f t="shared" si="8"/>
        <v>2.2961902640184278E-3</v>
      </c>
      <c r="G48" s="5">
        <f t="shared" si="8"/>
        <v>2.2961902640184278E-3</v>
      </c>
      <c r="H48" s="5">
        <f t="shared" si="8"/>
        <v>2.2961902640184278E-3</v>
      </c>
      <c r="I48" s="5">
        <f t="shared" si="8"/>
        <v>4.5923818419414978E-3</v>
      </c>
      <c r="J48" s="5">
        <f t="shared" si="8"/>
        <v>4.5923818419414978E-3</v>
      </c>
      <c r="K48" s="5">
        <f t="shared" si="8"/>
        <v>4.5923818419414978E-3</v>
      </c>
      <c r="L48" s="5">
        <f t="shared" si="8"/>
        <v>4.5923818419414978E-3</v>
      </c>
      <c r="M48" s="5">
        <f t="shared" si="8"/>
        <v>4.5923857836554241E-2</v>
      </c>
      <c r="N48" s="5">
        <f t="shared" si="8"/>
        <v>4.5923857836554241E-2</v>
      </c>
      <c r="O48" s="5">
        <f t="shared" si="8"/>
        <v>4.5923857836554241E-2</v>
      </c>
      <c r="P48" s="5">
        <f t="shared" si="8"/>
        <v>4.5923857836554241E-2</v>
      </c>
      <c r="Q48" s="5">
        <f t="shared" si="8"/>
        <v>0.22961797527812899</v>
      </c>
      <c r="R48" s="5">
        <f t="shared" si="8"/>
        <v>0.22961797527812899</v>
      </c>
      <c r="S48" s="5">
        <f t="shared" si="8"/>
        <v>0.22961797527812899</v>
      </c>
      <c r="T48" s="5">
        <f t="shared" si="8"/>
        <v>0.45923857836554244</v>
      </c>
      <c r="U48" s="5">
        <f t="shared" si="8"/>
        <v>0.45923857836554244</v>
      </c>
      <c r="V48" s="5">
        <f t="shared" si="8"/>
        <v>0.45923857836554244</v>
      </c>
      <c r="W48" s="2" t="s">
        <v>24</v>
      </c>
    </row>
    <row r="49" spans="2:23" x14ac:dyDescent="0.2">
      <c r="B49" s="138"/>
      <c r="C49" s="139"/>
      <c r="D49" s="82" t="str">
        <f t="shared" ref="D49" si="23">D20</f>
        <v xml:space="preserve">Sodium hypochlorite, 15% </v>
      </c>
      <c r="E49" s="5">
        <f t="shared" si="10"/>
        <v>2.5884972575871842E-2</v>
      </c>
      <c r="F49" s="5">
        <f t="shared" si="8"/>
        <v>2.5884972575871842E-2</v>
      </c>
      <c r="G49" s="5">
        <f t="shared" si="8"/>
        <v>2.5884972575871842E-2</v>
      </c>
      <c r="H49" s="5">
        <f t="shared" si="8"/>
        <v>2.5884972575871842E-2</v>
      </c>
      <c r="I49" s="5">
        <f t="shared" si="8"/>
        <v>5.1785317836057915E-2</v>
      </c>
      <c r="J49" s="5">
        <f t="shared" si="8"/>
        <v>5.1785317836057915E-2</v>
      </c>
      <c r="K49" s="5">
        <f t="shared" si="8"/>
        <v>5.1785317836057915E-2</v>
      </c>
      <c r="L49" s="5">
        <f t="shared" si="8"/>
        <v>5.1785317836057915E-2</v>
      </c>
      <c r="M49" s="5">
        <f t="shared" si="8"/>
        <v>0.38331722642290039</v>
      </c>
      <c r="N49" s="5">
        <f t="shared" si="8"/>
        <v>0.38331722642290039</v>
      </c>
      <c r="O49" s="5">
        <f t="shared" si="8"/>
        <v>0.38331722642290039</v>
      </c>
      <c r="P49" s="5">
        <f t="shared" si="8"/>
        <v>0.38331722642290039</v>
      </c>
      <c r="Q49" s="5">
        <f t="shared" si="8"/>
        <v>1.5971824831087984</v>
      </c>
      <c r="R49" s="5">
        <f t="shared" si="8"/>
        <v>1.5971824831087984</v>
      </c>
      <c r="S49" s="5">
        <f t="shared" si="8"/>
        <v>1.5971824831087984</v>
      </c>
      <c r="T49" s="5">
        <f t="shared" si="8"/>
        <v>2.8748233572244577</v>
      </c>
      <c r="U49" s="5">
        <f t="shared" si="8"/>
        <v>2.8748233572244577</v>
      </c>
      <c r="V49" s="5">
        <f t="shared" si="8"/>
        <v>2.8748233572244577</v>
      </c>
      <c r="W49" s="2" t="s">
        <v>24</v>
      </c>
    </row>
    <row r="50" spans="2:23" x14ac:dyDescent="0.2">
      <c r="B50" s="143" t="str">
        <f t="shared" ref="B50:D50" si="24">B21</f>
        <v>MBR</v>
      </c>
      <c r="C50" s="144"/>
      <c r="D50" s="82" t="str">
        <f t="shared" si="24"/>
        <v>Infrastructure</v>
      </c>
      <c r="E50" s="5">
        <f t="shared" si="10"/>
        <v>3.5157499006478084E-2</v>
      </c>
      <c r="F50" s="5">
        <f t="shared" si="8"/>
        <v>3.5157499006478084E-2</v>
      </c>
      <c r="G50" s="5">
        <f t="shared" si="8"/>
        <v>3.5157499006478084E-2</v>
      </c>
      <c r="H50" s="5">
        <f t="shared" si="8"/>
        <v>3.5157499006478084E-2</v>
      </c>
      <c r="I50" s="5">
        <f t="shared" si="8"/>
        <v>3.6127792134440527E-2</v>
      </c>
      <c r="J50" s="5">
        <f t="shared" si="8"/>
        <v>3.6127792134440527E-2</v>
      </c>
      <c r="K50" s="5">
        <f t="shared" si="8"/>
        <v>3.6127792134440527E-2</v>
      </c>
      <c r="L50" s="5">
        <f t="shared" si="8"/>
        <v>3.6127792134440527E-2</v>
      </c>
      <c r="M50" s="5">
        <f t="shared" si="8"/>
        <v>0.68128734608541441</v>
      </c>
      <c r="N50" s="5">
        <f t="shared" si="8"/>
        <v>0.68128734608541441</v>
      </c>
      <c r="O50" s="5">
        <f t="shared" si="8"/>
        <v>0.68128734608541441</v>
      </c>
      <c r="P50" s="5">
        <f t="shared" si="8"/>
        <v>0.68128734608541441</v>
      </c>
      <c r="Q50" s="5">
        <f t="shared" si="8"/>
        <v>2.8391568901489546</v>
      </c>
      <c r="R50" s="5">
        <f t="shared" si="8"/>
        <v>2.8391568901489546</v>
      </c>
      <c r="S50" s="5">
        <f t="shared" si="8"/>
        <v>2.8391568901489546</v>
      </c>
      <c r="T50" s="5">
        <f t="shared" si="8"/>
        <v>5.1096508080807013</v>
      </c>
      <c r="U50" s="5">
        <f t="shared" ref="F50:V57" si="25">U21/$E$29</f>
        <v>5.1096508080807013</v>
      </c>
      <c r="V50" s="5">
        <f t="shared" si="25"/>
        <v>5.1096508080807013</v>
      </c>
      <c r="W50" s="2" t="s">
        <v>24</v>
      </c>
    </row>
    <row r="51" spans="2:23" x14ac:dyDescent="0.2">
      <c r="B51" s="140" t="str">
        <f t="shared" ref="B51:D51" si="26">B22</f>
        <v>Post treatment</v>
      </c>
      <c r="C51" s="140" t="str">
        <f t="shared" si="26"/>
        <v>Chlorination</v>
      </c>
      <c r="D51" s="82" t="str">
        <f t="shared" si="26"/>
        <v>Operation</v>
      </c>
      <c r="E51" s="5">
        <f t="shared" si="10"/>
        <v>0.65797059721849993</v>
      </c>
      <c r="F51" s="5">
        <f t="shared" si="25"/>
        <v>0.65797059721849993</v>
      </c>
      <c r="G51" s="5">
        <f t="shared" si="25"/>
        <v>0.65797059721849993</v>
      </c>
      <c r="H51" s="5">
        <f t="shared" si="25"/>
        <v>0.65797059721849993</v>
      </c>
      <c r="I51" s="5">
        <f t="shared" si="25"/>
        <v>0.75534275635037706</v>
      </c>
      <c r="J51" s="5">
        <f t="shared" si="25"/>
        <v>0.75534275635037706</v>
      </c>
      <c r="K51" s="5">
        <f t="shared" si="25"/>
        <v>0.75534275635037706</v>
      </c>
      <c r="L51" s="5">
        <f t="shared" si="25"/>
        <v>0.75534275635037706</v>
      </c>
      <c r="M51" s="5">
        <f t="shared" si="25"/>
        <v>1.1946612264348957</v>
      </c>
      <c r="N51" s="5">
        <f t="shared" si="25"/>
        <v>1.1946612264348957</v>
      </c>
      <c r="O51" s="5">
        <f t="shared" si="25"/>
        <v>1.1946612264348957</v>
      </c>
      <c r="P51" s="5">
        <f t="shared" si="25"/>
        <v>1.1946612264348957</v>
      </c>
      <c r="Q51" s="5">
        <f t="shared" si="25"/>
        <v>1.645928345335959</v>
      </c>
      <c r="R51" s="5">
        <f t="shared" si="25"/>
        <v>1.645928345335959</v>
      </c>
      <c r="S51" s="5">
        <f t="shared" si="25"/>
        <v>1.645928345335959</v>
      </c>
      <c r="T51" s="5">
        <f t="shared" si="25"/>
        <v>1.885545134941546</v>
      </c>
      <c r="U51" s="5">
        <f t="shared" si="25"/>
        <v>1.885545134941546</v>
      </c>
      <c r="V51" s="5">
        <f t="shared" si="25"/>
        <v>1.885545134941546</v>
      </c>
      <c r="W51" s="2" t="s">
        <v>24</v>
      </c>
    </row>
    <row r="52" spans="2:23" ht="15" customHeight="1" x14ac:dyDescent="0.2">
      <c r="B52" s="141"/>
      <c r="C52" s="141"/>
      <c r="D52" s="82" t="str">
        <f t="shared" ref="D52" si="27">D23</f>
        <v xml:space="preserve">Sodium hypochlorite, 15% </v>
      </c>
      <c r="E52" s="5">
        <f t="shared" si="10"/>
        <v>4.3212878388217309E-2</v>
      </c>
      <c r="F52" s="5">
        <f t="shared" si="25"/>
        <v>4.3212878388217309E-2</v>
      </c>
      <c r="G52" s="5">
        <f t="shared" si="25"/>
        <v>4.3212878388217309E-2</v>
      </c>
      <c r="H52" s="5">
        <f t="shared" si="25"/>
        <v>4.3212878388217309E-2</v>
      </c>
      <c r="I52" s="5">
        <f t="shared" si="25"/>
        <v>8.6440998070284603E-2</v>
      </c>
      <c r="J52" s="5">
        <f t="shared" si="25"/>
        <v>8.6440998070284603E-2</v>
      </c>
      <c r="K52" s="5">
        <f t="shared" si="25"/>
        <v>8.6440998070284603E-2</v>
      </c>
      <c r="L52" s="5">
        <f t="shared" si="25"/>
        <v>8.6440998070284603E-2</v>
      </c>
      <c r="M52" s="5">
        <f t="shared" si="25"/>
        <v>2.0613324370270396</v>
      </c>
      <c r="N52" s="5">
        <f t="shared" si="25"/>
        <v>2.0613324370270396</v>
      </c>
      <c r="O52" s="5">
        <f t="shared" si="25"/>
        <v>2.0613324370270396</v>
      </c>
      <c r="P52" s="5">
        <f t="shared" si="25"/>
        <v>2.0613324370270396</v>
      </c>
      <c r="Q52" s="5">
        <f t="shared" si="25"/>
        <v>4.3218922349571613</v>
      </c>
      <c r="R52" s="5">
        <f t="shared" si="25"/>
        <v>4.3218922349571613</v>
      </c>
      <c r="S52" s="5">
        <f t="shared" si="25"/>
        <v>4.3218922349571613</v>
      </c>
      <c r="T52" s="5">
        <f t="shared" si="25"/>
        <v>8.643797608960746</v>
      </c>
      <c r="U52" s="5">
        <f t="shared" si="25"/>
        <v>8.643797608960746</v>
      </c>
      <c r="V52" s="5">
        <f t="shared" si="25"/>
        <v>8.643797608960746</v>
      </c>
      <c r="W52" s="2" t="s">
        <v>24</v>
      </c>
    </row>
    <row r="53" spans="2:23" x14ac:dyDescent="0.2">
      <c r="B53" s="142"/>
      <c r="C53" s="142"/>
      <c r="D53" s="82" t="str">
        <f t="shared" ref="D53" si="28">D24</f>
        <v>Infrastructure</v>
      </c>
      <c r="E53" s="5">
        <f t="shared" si="10"/>
        <v>1.7244959143671219E-3</v>
      </c>
      <c r="F53" s="5">
        <f t="shared" si="25"/>
        <v>1.7244959143671219E-3</v>
      </c>
      <c r="G53" s="5">
        <f t="shared" si="25"/>
        <v>1.7244959143671219E-3</v>
      </c>
      <c r="H53" s="5">
        <f t="shared" si="25"/>
        <v>1.7244959143671219E-3</v>
      </c>
      <c r="I53" s="5">
        <f t="shared" si="25"/>
        <v>1.7465445613076233E-3</v>
      </c>
      <c r="J53" s="5">
        <f t="shared" si="25"/>
        <v>1.7465445613076233E-3</v>
      </c>
      <c r="K53" s="5">
        <f t="shared" si="25"/>
        <v>1.7465445613076233E-3</v>
      </c>
      <c r="L53" s="5">
        <f t="shared" si="25"/>
        <v>1.7465445613076233E-3</v>
      </c>
      <c r="M53" s="5">
        <f t="shared" si="25"/>
        <v>2.2587442707735655E-3</v>
      </c>
      <c r="N53" s="5">
        <f t="shared" si="25"/>
        <v>2.2587442707735655E-3</v>
      </c>
      <c r="O53" s="5">
        <f t="shared" si="25"/>
        <v>2.2587442707735655E-3</v>
      </c>
      <c r="P53" s="5">
        <f t="shared" si="25"/>
        <v>2.2587442707735655E-3</v>
      </c>
      <c r="Q53" s="5">
        <f t="shared" si="25"/>
        <v>4.4924926225474318E-3</v>
      </c>
      <c r="R53" s="5">
        <f t="shared" si="25"/>
        <v>4.4924926225474318E-3</v>
      </c>
      <c r="S53" s="5">
        <f t="shared" si="25"/>
        <v>4.4924926225474318E-3</v>
      </c>
      <c r="T53" s="5">
        <f t="shared" si="25"/>
        <v>7.2833772999537083E-3</v>
      </c>
      <c r="U53" s="5">
        <f t="shared" si="25"/>
        <v>7.2833772999537083E-3</v>
      </c>
      <c r="V53" s="5">
        <f t="shared" si="25"/>
        <v>7.2833772999537083E-3</v>
      </c>
      <c r="W53" s="2" t="s">
        <v>24</v>
      </c>
    </row>
    <row r="54" spans="2:23" ht="25.5" customHeight="1" x14ac:dyDescent="0.2">
      <c r="B54" s="134" t="str">
        <f t="shared" ref="B54:D54" si="29">B25</f>
        <v>Recycled water delivery</v>
      </c>
      <c r="C54" s="135"/>
      <c r="D54" s="83" t="str">
        <f t="shared" si="29"/>
        <v>Operation</v>
      </c>
      <c r="E54" s="5">
        <f t="shared" si="10"/>
        <v>3.8438411699240047E-2</v>
      </c>
      <c r="F54" s="5">
        <f t="shared" si="25"/>
        <v>1.8676234756213713E-2</v>
      </c>
      <c r="G54" s="5">
        <f t="shared" si="25"/>
        <v>5.2119837957972604E-3</v>
      </c>
      <c r="H54" s="5">
        <f t="shared" si="25"/>
        <v>2.3888231691057398E-3</v>
      </c>
      <c r="I54" s="5">
        <f t="shared" si="25"/>
        <v>7.6659634961117579E-2</v>
      </c>
      <c r="J54" s="5">
        <f t="shared" si="25"/>
        <v>3.7569789340254178E-2</v>
      </c>
      <c r="K54" s="5">
        <f t="shared" si="25"/>
        <v>1.0206805432324842E-2</v>
      </c>
      <c r="L54" s="5">
        <f t="shared" si="25"/>
        <v>4.7776463382114796E-3</v>
      </c>
      <c r="M54" s="5">
        <f t="shared" si="25"/>
        <v>0.76703125204775768</v>
      </c>
      <c r="N54" s="5">
        <f t="shared" si="25"/>
        <v>0.37569789340254178</v>
      </c>
      <c r="O54" s="5">
        <f t="shared" si="25"/>
        <v>0.10228484858921827</v>
      </c>
      <c r="P54" s="5">
        <f t="shared" si="25"/>
        <v>4.7776594772579027E-2</v>
      </c>
      <c r="Q54" s="5">
        <f t="shared" si="25"/>
        <v>1.8752309834999499</v>
      </c>
      <c r="R54" s="5">
        <f t="shared" si="25"/>
        <v>0.51142424294609135</v>
      </c>
      <c r="S54" s="5">
        <f t="shared" si="25"/>
        <v>0.23866552264460414</v>
      </c>
      <c r="T54" s="5">
        <f t="shared" si="25"/>
        <v>3.7502386032107187</v>
      </c>
      <c r="U54" s="5">
        <f t="shared" si="25"/>
        <v>1.0228484858921827</v>
      </c>
      <c r="V54" s="5">
        <f t="shared" si="25"/>
        <v>0.47732841747992377</v>
      </c>
      <c r="W54" s="2" t="s">
        <v>24</v>
      </c>
    </row>
    <row r="55" spans="2:23" x14ac:dyDescent="0.2">
      <c r="B55" s="136"/>
      <c r="C55" s="137"/>
      <c r="D55" s="83" t="str">
        <f t="shared" ref="D55" si="30">D26</f>
        <v>Pipe infrastructure</v>
      </c>
      <c r="E55" s="5">
        <f t="shared" si="10"/>
        <v>7.6507204153514431E-3</v>
      </c>
      <c r="F55" s="5">
        <f t="shared" si="25"/>
        <v>3.7502465129166649E-3</v>
      </c>
      <c r="G55" s="5">
        <f t="shared" si="25"/>
        <v>1.0226369472447817E-3</v>
      </c>
      <c r="H55" s="5">
        <f t="shared" si="25"/>
        <v>4.7845837547225145E-4</v>
      </c>
      <c r="I55" s="5">
        <f t="shared" si="25"/>
        <v>1.5327617384996965E-2</v>
      </c>
      <c r="J55" s="5">
        <f t="shared" si="25"/>
        <v>7.4899613968953498E-3</v>
      </c>
      <c r="K55" s="5">
        <f t="shared" si="25"/>
        <v>2.0385756086234164E-3</v>
      </c>
      <c r="L55" s="5">
        <f t="shared" si="25"/>
        <v>9.5272276732646791E-4</v>
      </c>
      <c r="M55" s="5">
        <f t="shared" si="25"/>
        <v>0.15337734450742224</v>
      </c>
      <c r="N55" s="5">
        <f t="shared" si="25"/>
        <v>7.4899659692835061E-2</v>
      </c>
      <c r="O55" s="5">
        <f t="shared" si="25"/>
        <v>2.011325226343327E-2</v>
      </c>
      <c r="P55" s="5">
        <f t="shared" si="25"/>
        <v>9.5401170778050704E-3</v>
      </c>
      <c r="Q55" s="5">
        <f t="shared" si="25"/>
        <v>0.37475713767869684</v>
      </c>
      <c r="R55" s="5">
        <f t="shared" si="25"/>
        <v>0.10224543144995103</v>
      </c>
      <c r="S55" s="5">
        <f t="shared" si="25"/>
        <v>4.770314750307772E-2</v>
      </c>
      <c r="T55" s="5">
        <f t="shared" si="25"/>
        <v>0.75014363568102738</v>
      </c>
      <c r="U55" s="5">
        <f t="shared" si="25"/>
        <v>0.20433450824747532</v>
      </c>
      <c r="V55" s="5">
        <f t="shared" si="25"/>
        <v>9.540484971104897E-2</v>
      </c>
      <c r="W55" s="2" t="s">
        <v>24</v>
      </c>
    </row>
    <row r="56" spans="2:23" ht="12.75" customHeight="1" x14ac:dyDescent="0.2">
      <c r="B56" s="136"/>
      <c r="C56" s="137"/>
      <c r="D56" s="83" t="str">
        <f t="shared" ref="D56" si="31">D27</f>
        <v>Pipe installation</v>
      </c>
      <c r="E56" s="5">
        <f t="shared" si="10"/>
        <v>1.6458929881620363E-3</v>
      </c>
      <c r="F56" s="5">
        <f t="shared" si="25"/>
        <v>8.0465880063608486E-4</v>
      </c>
      <c r="G56" s="5">
        <f t="shared" si="25"/>
        <v>2.194483533471796E-4</v>
      </c>
      <c r="H56" s="5">
        <f t="shared" si="25"/>
        <v>1.0241098343487346E-4</v>
      </c>
      <c r="I56" s="5">
        <f t="shared" si="25"/>
        <v>3.2917857398212366E-3</v>
      </c>
      <c r="J56" s="5">
        <f t="shared" si="25"/>
        <v>1.6093175881331232E-3</v>
      </c>
      <c r="K56" s="5">
        <f t="shared" si="25"/>
        <v>4.389045901222126E-4</v>
      </c>
      <c r="L56" s="5">
        <f t="shared" si="25"/>
        <v>2.0482196686974691E-4</v>
      </c>
      <c r="M56" s="5">
        <f t="shared" si="25"/>
        <v>3.2917909954398056E-2</v>
      </c>
      <c r="N56" s="5">
        <f t="shared" si="25"/>
        <v>1.60932296200311E-2</v>
      </c>
      <c r="O56" s="5">
        <f t="shared" si="25"/>
        <v>4.3890459012221258E-3</v>
      </c>
      <c r="P56" s="5">
        <f t="shared" si="25"/>
        <v>2.1945229506110629E-3</v>
      </c>
      <c r="Q56" s="5">
        <f t="shared" si="25"/>
        <v>8.0465885319227062E-2</v>
      </c>
      <c r="R56" s="5">
        <f t="shared" si="25"/>
        <v>2.1945229506110629E-2</v>
      </c>
      <c r="S56" s="5">
        <f t="shared" si="25"/>
        <v>1.0240572781630449E-2</v>
      </c>
      <c r="T56" s="5">
        <f t="shared" si="25"/>
        <v>0.16093229620031099</v>
      </c>
      <c r="U56" s="5">
        <f t="shared" si="25"/>
        <v>4.3890459012221258E-2</v>
      </c>
      <c r="V56" s="5">
        <f t="shared" si="25"/>
        <v>2.048219668697469E-2</v>
      </c>
      <c r="W56" s="2" t="s">
        <v>24</v>
      </c>
    </row>
    <row r="57" spans="2:23" x14ac:dyDescent="0.2">
      <c r="B57" s="138"/>
      <c r="C57" s="139"/>
      <c r="D57" s="81" t="str">
        <f t="shared" ref="D57" si="32">D28</f>
        <v>Displaced drinking water</v>
      </c>
      <c r="E57" s="5">
        <f t="shared" si="10"/>
        <v>-1.118703085162271</v>
      </c>
      <c r="F57" s="5">
        <f t="shared" si="25"/>
        <v>-1.118703085162271</v>
      </c>
      <c r="G57" s="5">
        <f t="shared" si="25"/>
        <v>-1.118703085162271</v>
      </c>
      <c r="H57" s="5">
        <f t="shared" si="25"/>
        <v>-1.118703085162271</v>
      </c>
      <c r="I57" s="5">
        <f t="shared" si="25"/>
        <v>-2.2393533770043437</v>
      </c>
      <c r="J57" s="5">
        <f t="shared" si="25"/>
        <v>-2.2393533770043437</v>
      </c>
      <c r="K57" s="5">
        <f t="shared" si="25"/>
        <v>-2.2393533770043437</v>
      </c>
      <c r="L57" s="5">
        <f t="shared" si="25"/>
        <v>-2.2393533770043437</v>
      </c>
      <c r="M57" s="5">
        <f t="shared" si="25"/>
        <v>-22.471579705792585</v>
      </c>
      <c r="N57" s="5">
        <f t="shared" si="25"/>
        <v>-22.471579705792585</v>
      </c>
      <c r="O57" s="5">
        <f t="shared" si="25"/>
        <v>-22.471579705792585</v>
      </c>
      <c r="P57" s="5">
        <f t="shared" si="25"/>
        <v>-22.471579705792585</v>
      </c>
      <c r="Q57" s="5">
        <f t="shared" si="25"/>
        <v>-112.4708943281957</v>
      </c>
      <c r="R57" s="5">
        <f t="shared" si="25"/>
        <v>-112.4708943281957</v>
      </c>
      <c r="S57" s="5">
        <f t="shared" si="25"/>
        <v>-112.4708943281957</v>
      </c>
      <c r="T57" s="5">
        <f t="shared" si="25"/>
        <v>-224.87346561499484</v>
      </c>
      <c r="U57" s="5">
        <f t="shared" si="25"/>
        <v>-224.87346561499484</v>
      </c>
      <c r="V57" s="5">
        <f t="shared" si="25"/>
        <v>-224.87346561499484</v>
      </c>
      <c r="W57" s="2" t="s">
        <v>24</v>
      </c>
    </row>
    <row r="62" spans="2:23" x14ac:dyDescent="0.2">
      <c r="D62" s="119" t="s">
        <v>173</v>
      </c>
    </row>
    <row r="63" spans="2:23" ht="26.25" customHeight="1" x14ac:dyDescent="0.2">
      <c r="D63" s="3"/>
      <c r="E63" s="3" t="str">
        <f>E5</f>
        <v>0.05 MGD AnMBR [semi rural single family]</v>
      </c>
      <c r="F63" s="3" t="str">
        <f t="shared" ref="F63:V63" si="33">F5</f>
        <v>0.05 MGD AnMBR [single family]</v>
      </c>
      <c r="G63" s="3" t="str">
        <f t="shared" si="33"/>
        <v>0.05 MGD AnMBR [multi family]</v>
      </c>
      <c r="H63" s="3" t="str">
        <f t="shared" si="33"/>
        <v>0.05 MGD AnMBR [high density urban]</v>
      </c>
      <c r="I63" s="3" t="str">
        <f t="shared" si="33"/>
        <v>0.1 MGD AnMBR [semi rural single family]</v>
      </c>
      <c r="J63" s="3" t="str">
        <f t="shared" si="33"/>
        <v>0.1 MGD AnMBR [single family]</v>
      </c>
      <c r="K63" s="3" t="str">
        <f t="shared" si="33"/>
        <v>0.1 MGD AnMBR [multi family]</v>
      </c>
      <c r="L63" s="3" t="str">
        <f t="shared" si="33"/>
        <v>0.1 MGD AnMBR [high density urban]</v>
      </c>
      <c r="M63" s="3" t="str">
        <f t="shared" si="33"/>
        <v>1 MGD AnMBR [semi rural single family]</v>
      </c>
      <c r="N63" s="3" t="str">
        <f t="shared" si="33"/>
        <v>1 MGD AnMBR [single family]</v>
      </c>
      <c r="O63" s="3" t="str">
        <f t="shared" si="33"/>
        <v>1 MGD AnMBR [multi family]</v>
      </c>
      <c r="P63" s="3" t="str">
        <f t="shared" si="33"/>
        <v>1 MGD AnMBR [high density urban]</v>
      </c>
      <c r="Q63" s="3" t="str">
        <f t="shared" si="33"/>
        <v>5 MGD AnMBR [single family]</v>
      </c>
      <c r="R63" s="3" t="str">
        <f t="shared" si="33"/>
        <v>5 MGD AnMBR [multi family]</v>
      </c>
      <c r="S63" s="3" t="str">
        <f t="shared" si="33"/>
        <v>5 MGD AnMBR [high density urban]</v>
      </c>
      <c r="T63" s="3" t="str">
        <f t="shared" si="33"/>
        <v>10 MGD AnMBR [single family]</v>
      </c>
      <c r="U63" s="3" t="str">
        <f t="shared" si="33"/>
        <v>10 MGD AnMBR [multi family]</v>
      </c>
      <c r="V63" s="3" t="str">
        <f t="shared" si="33"/>
        <v>10 MGD AnMBR [high density urban]</v>
      </c>
      <c r="W63" s="1" t="s">
        <v>0</v>
      </c>
    </row>
    <row r="64" spans="2:23" x14ac:dyDescent="0.2">
      <c r="D64" s="3" t="s">
        <v>12</v>
      </c>
      <c r="E64" s="86">
        <f>SUM(E6:E8)</f>
        <v>2782.0075300000003</v>
      </c>
      <c r="F64" s="86">
        <f t="shared" ref="F64:V64" si="34">SUM(F6:F8)</f>
        <v>1459.8052599999999</v>
      </c>
      <c r="G64" s="111">
        <f t="shared" si="34"/>
        <v>370.93502000000001</v>
      </c>
      <c r="H64" s="111">
        <f t="shared" si="34"/>
        <v>174.29093</v>
      </c>
      <c r="I64" s="86">
        <f t="shared" si="34"/>
        <v>5306.8091299999996</v>
      </c>
      <c r="J64" s="86">
        <f t="shared" si="34"/>
        <v>2720.1900900000001</v>
      </c>
      <c r="K64" s="111">
        <f t="shared" si="34"/>
        <v>741.85900000000004</v>
      </c>
      <c r="L64" s="111">
        <f t="shared" si="34"/>
        <v>367.91653000000002</v>
      </c>
      <c r="M64" s="86">
        <f t="shared" si="34"/>
        <v>55639.64</v>
      </c>
      <c r="N64" s="86">
        <f t="shared" si="34"/>
        <v>27201.902679999999</v>
      </c>
      <c r="O64" s="86">
        <f t="shared" si="34"/>
        <v>7418.6989199999998</v>
      </c>
      <c r="P64" s="86">
        <f t="shared" si="34"/>
        <v>3554.6329999999998</v>
      </c>
      <c r="Q64" s="86">
        <f t="shared" si="34"/>
        <v>118177.41256</v>
      </c>
      <c r="R64" s="86">
        <f t="shared" si="34"/>
        <v>37093.480000000003</v>
      </c>
      <c r="S64" s="86">
        <f t="shared" si="34"/>
        <v>18020.11</v>
      </c>
      <c r="T64" s="86">
        <f t="shared" si="34"/>
        <v>272019</v>
      </c>
      <c r="U64" s="86">
        <f t="shared" si="34"/>
        <v>79123.5</v>
      </c>
      <c r="V64" s="86">
        <f t="shared" si="34"/>
        <v>38416.53</v>
      </c>
      <c r="W64" s="1" t="s">
        <v>160</v>
      </c>
    </row>
    <row r="65" spans="4:23" x14ac:dyDescent="0.2">
      <c r="D65" s="3" t="s">
        <v>55</v>
      </c>
      <c r="E65" s="86">
        <f>SUM(E9:E12)</f>
        <v>44914.636740000002</v>
      </c>
      <c r="F65" s="86">
        <f t="shared" ref="F65:V65" si="35">SUM(F9:F12)</f>
        <v>44914.636740000002</v>
      </c>
      <c r="G65" s="86">
        <f t="shared" si="35"/>
        <v>44914.636740000002</v>
      </c>
      <c r="H65" s="86">
        <f t="shared" si="35"/>
        <v>44914.636740000002</v>
      </c>
      <c r="I65" s="86">
        <f t="shared" si="35"/>
        <v>62551.973299999998</v>
      </c>
      <c r="J65" s="86">
        <f t="shared" si="35"/>
        <v>62551.973299999998</v>
      </c>
      <c r="K65" s="86">
        <f t="shared" si="35"/>
        <v>62551.973299999998</v>
      </c>
      <c r="L65" s="86">
        <f t="shared" si="35"/>
        <v>62551.973299999998</v>
      </c>
      <c r="M65" s="86">
        <f t="shared" si="35"/>
        <v>197955.52377</v>
      </c>
      <c r="N65" s="86">
        <f t="shared" si="35"/>
        <v>197955.52377</v>
      </c>
      <c r="O65" s="86">
        <f t="shared" si="35"/>
        <v>197955.52377</v>
      </c>
      <c r="P65" s="86">
        <f t="shared" si="35"/>
        <v>197955.52377</v>
      </c>
      <c r="Q65" s="86">
        <f t="shared" si="35"/>
        <v>482682.12810000003</v>
      </c>
      <c r="R65" s="86">
        <f t="shared" si="35"/>
        <v>482682.12810000003</v>
      </c>
      <c r="S65" s="86">
        <f t="shared" si="35"/>
        <v>482682.12810000003</v>
      </c>
      <c r="T65" s="86">
        <f t="shared" si="35"/>
        <v>736411.23765000002</v>
      </c>
      <c r="U65" s="86">
        <f t="shared" si="35"/>
        <v>736411.23765000002</v>
      </c>
      <c r="V65" s="86">
        <f t="shared" si="35"/>
        <v>736411.23765000002</v>
      </c>
      <c r="W65" s="1" t="s">
        <v>160</v>
      </c>
    </row>
    <row r="66" spans="4:23" x14ac:dyDescent="0.2">
      <c r="D66" s="3" t="s">
        <v>16</v>
      </c>
      <c r="E66" s="86">
        <f>SUM(E13:E20)</f>
        <v>966762.50799999968</v>
      </c>
      <c r="F66" s="86">
        <f t="shared" ref="F66:V66" si="36">SUM(F13:F20)</f>
        <v>966762.50799999968</v>
      </c>
      <c r="G66" s="86">
        <f t="shared" si="36"/>
        <v>966762.50799999968</v>
      </c>
      <c r="H66" s="86">
        <f t="shared" si="36"/>
        <v>966762.50799999968</v>
      </c>
      <c r="I66" s="86">
        <f t="shared" si="36"/>
        <v>1823045.4169999985</v>
      </c>
      <c r="J66" s="86">
        <f t="shared" si="36"/>
        <v>1823045.4169999985</v>
      </c>
      <c r="K66" s="86">
        <f t="shared" si="36"/>
        <v>1823045.4169999985</v>
      </c>
      <c r="L66" s="86">
        <f t="shared" si="36"/>
        <v>1823045.4169999985</v>
      </c>
      <c r="M66" s="86">
        <f t="shared" si="36"/>
        <v>15466419.199999999</v>
      </c>
      <c r="N66" s="86">
        <f t="shared" si="36"/>
        <v>15466419.199999999</v>
      </c>
      <c r="O66" s="86">
        <f t="shared" si="36"/>
        <v>15466419.199999999</v>
      </c>
      <c r="P66" s="86">
        <f t="shared" si="36"/>
        <v>15466419.199999999</v>
      </c>
      <c r="Q66" s="86">
        <f t="shared" si="36"/>
        <v>74318620</v>
      </c>
      <c r="R66" s="86">
        <f t="shared" si="36"/>
        <v>74318620</v>
      </c>
      <c r="S66" s="86">
        <f t="shared" si="36"/>
        <v>74318620</v>
      </c>
      <c r="T66" s="86">
        <f t="shared" si="36"/>
        <v>146352552</v>
      </c>
      <c r="U66" s="86">
        <f t="shared" si="36"/>
        <v>146352552</v>
      </c>
      <c r="V66" s="86">
        <f t="shared" si="36"/>
        <v>146352552</v>
      </c>
      <c r="W66" s="1" t="s">
        <v>160</v>
      </c>
    </row>
    <row r="67" spans="4:23" x14ac:dyDescent="0.2">
      <c r="D67" s="3" t="s">
        <v>56</v>
      </c>
      <c r="E67" s="86">
        <f>E21</f>
        <v>26758.02937</v>
      </c>
      <c r="F67" s="86">
        <f t="shared" ref="F67:V67" si="37">F21</f>
        <v>26758.02937</v>
      </c>
      <c r="G67" s="86">
        <f t="shared" si="37"/>
        <v>26758.02937</v>
      </c>
      <c r="H67" s="86">
        <f t="shared" si="37"/>
        <v>26758.02937</v>
      </c>
      <c r="I67" s="86">
        <f t="shared" si="37"/>
        <v>27496.510000000002</v>
      </c>
      <c r="J67" s="86">
        <f t="shared" si="37"/>
        <v>27496.510000000002</v>
      </c>
      <c r="K67" s="86">
        <f t="shared" si="37"/>
        <v>27496.510000000002</v>
      </c>
      <c r="L67" s="86">
        <f t="shared" si="37"/>
        <v>27496.510000000002</v>
      </c>
      <c r="M67" s="86">
        <f t="shared" si="37"/>
        <v>518521.15</v>
      </c>
      <c r="N67" s="86">
        <f t="shared" si="37"/>
        <v>518521.15</v>
      </c>
      <c r="O67" s="86">
        <f t="shared" si="37"/>
        <v>518521.15</v>
      </c>
      <c r="P67" s="86">
        <f t="shared" si="37"/>
        <v>518521.15</v>
      </c>
      <c r="Q67" s="86">
        <f t="shared" si="37"/>
        <v>2160854.6</v>
      </c>
      <c r="R67" s="86">
        <f t="shared" si="37"/>
        <v>2160854.6</v>
      </c>
      <c r="S67" s="86">
        <f t="shared" si="37"/>
        <v>2160854.6</v>
      </c>
      <c r="T67" s="86">
        <f t="shared" si="37"/>
        <v>3888905.3617799999</v>
      </c>
      <c r="U67" s="86">
        <f t="shared" si="37"/>
        <v>3888905.3617799999</v>
      </c>
      <c r="V67" s="86">
        <f t="shared" si="37"/>
        <v>3888905.3617799999</v>
      </c>
      <c r="W67" s="1" t="s">
        <v>160</v>
      </c>
    </row>
    <row r="68" spans="4:23" x14ac:dyDescent="0.2">
      <c r="D68" s="3" t="s">
        <v>14</v>
      </c>
      <c r="E68" s="86">
        <f>SUM(E22:E24)</f>
        <v>534976.39701000007</v>
      </c>
      <c r="F68" s="86">
        <f t="shared" ref="F68:V68" si="38">SUM(F22:F24)</f>
        <v>534976.39701000007</v>
      </c>
      <c r="G68" s="86">
        <f t="shared" si="38"/>
        <v>534976.39701000007</v>
      </c>
      <c r="H68" s="86">
        <f t="shared" si="38"/>
        <v>534976.39701000007</v>
      </c>
      <c r="I68" s="86">
        <f t="shared" si="38"/>
        <v>642002.67801999999</v>
      </c>
      <c r="J68" s="86">
        <f t="shared" si="38"/>
        <v>642002.67801999999</v>
      </c>
      <c r="K68" s="86">
        <f t="shared" si="38"/>
        <v>642002.67801999999</v>
      </c>
      <c r="L68" s="86">
        <f t="shared" si="38"/>
        <v>642002.67801999999</v>
      </c>
      <c r="M68" s="86">
        <f t="shared" si="38"/>
        <v>2479824.1082199998</v>
      </c>
      <c r="N68" s="86">
        <f t="shared" si="38"/>
        <v>2479824.1082199998</v>
      </c>
      <c r="O68" s="86">
        <f t="shared" si="38"/>
        <v>2479824.1082199998</v>
      </c>
      <c r="P68" s="86">
        <f t="shared" si="38"/>
        <v>2479824.1082199998</v>
      </c>
      <c r="Q68" s="86">
        <f t="shared" si="38"/>
        <v>4545469.1922899997</v>
      </c>
      <c r="R68" s="86">
        <f t="shared" si="38"/>
        <v>4545469.1922899997</v>
      </c>
      <c r="S68" s="86">
        <f t="shared" si="38"/>
        <v>4545469.1922899997</v>
      </c>
      <c r="T68" s="86">
        <f t="shared" si="38"/>
        <v>8019323.3073800001</v>
      </c>
      <c r="U68" s="86">
        <f t="shared" si="38"/>
        <v>8019323.3073800001</v>
      </c>
      <c r="V68" s="86">
        <f t="shared" si="38"/>
        <v>8019323.3073800001</v>
      </c>
      <c r="W68" s="1" t="s">
        <v>160</v>
      </c>
    </row>
    <row r="69" spans="4:23" x14ac:dyDescent="0.2">
      <c r="D69" s="3" t="s">
        <v>11</v>
      </c>
      <c r="E69" s="86">
        <f>SUM(E25:E28)</f>
        <v>-815103.33826999995</v>
      </c>
      <c r="F69" s="86">
        <f t="shared" ref="F69:V69" si="39">SUM(F25:F28)</f>
        <v>-833753.00601999997</v>
      </c>
      <c r="G69" s="86">
        <f t="shared" si="39"/>
        <v>-846521.87100000004</v>
      </c>
      <c r="H69" s="86">
        <f t="shared" si="39"/>
        <v>-849173.79599999997</v>
      </c>
      <c r="I69" s="86">
        <f t="shared" si="39"/>
        <v>-1631834.054</v>
      </c>
      <c r="J69" s="86">
        <f t="shared" si="39"/>
        <v>-1668830.62757</v>
      </c>
      <c r="K69" s="86">
        <f t="shared" si="39"/>
        <v>-1694696.1140000001</v>
      </c>
      <c r="L69" s="86">
        <f t="shared" si="39"/>
        <v>-1699832.784</v>
      </c>
      <c r="M69" s="86">
        <f t="shared" si="39"/>
        <v>-16377332.5</v>
      </c>
      <c r="N69" s="86">
        <f t="shared" si="39"/>
        <v>-16747706.199999999</v>
      </c>
      <c r="O69" s="86">
        <f t="shared" si="39"/>
        <v>-17006403.539999999</v>
      </c>
      <c r="P69" s="86">
        <f t="shared" si="39"/>
        <v>-17057606.579999998</v>
      </c>
      <c r="Q69" s="86">
        <f t="shared" si="39"/>
        <v>-83826814.200000003</v>
      </c>
      <c r="R69" s="86">
        <f t="shared" si="39"/>
        <v>-85116739.700000003</v>
      </c>
      <c r="S69" s="86">
        <f t="shared" si="39"/>
        <v>-85374753.599999994</v>
      </c>
      <c r="T69" s="86">
        <f t="shared" si="39"/>
        <v>-167601319</v>
      </c>
      <c r="U69" s="86">
        <f t="shared" si="39"/>
        <v>-170181598.40000001</v>
      </c>
      <c r="V69" s="86">
        <f t="shared" si="39"/>
        <v>-170697509.5</v>
      </c>
      <c r="W69" s="1" t="s">
        <v>160</v>
      </c>
    </row>
    <row r="70" spans="4:23" x14ac:dyDescent="0.2">
      <c r="D70" s="43" t="s">
        <v>57</v>
      </c>
      <c r="E70" s="88">
        <f>SUM(E64:E69)</f>
        <v>761090.24037999986</v>
      </c>
      <c r="F70" s="88">
        <f t="shared" ref="F70:V70" si="40">SUM(F64:F69)</f>
        <v>741118.37035999983</v>
      </c>
      <c r="G70" s="88">
        <f t="shared" si="40"/>
        <v>727260.63513999968</v>
      </c>
      <c r="H70" s="88">
        <f t="shared" si="40"/>
        <v>724412.06604999967</v>
      </c>
      <c r="I70" s="88">
        <f t="shared" si="40"/>
        <v>928569.3334499984</v>
      </c>
      <c r="J70" s="88">
        <f t="shared" si="40"/>
        <v>888986.14083999814</v>
      </c>
      <c r="K70" s="88">
        <f t="shared" si="40"/>
        <v>861142.32331999857</v>
      </c>
      <c r="L70" s="88">
        <f t="shared" si="40"/>
        <v>855631.71084999852</v>
      </c>
      <c r="M70" s="88">
        <f t="shared" si="40"/>
        <v>2341027.121989999</v>
      </c>
      <c r="N70" s="88">
        <f t="shared" si="40"/>
        <v>1942215.6846699975</v>
      </c>
      <c r="O70" s="88">
        <f t="shared" si="40"/>
        <v>1663735.1409099996</v>
      </c>
      <c r="P70" s="88">
        <f t="shared" si="40"/>
        <v>1608668.0349900015</v>
      </c>
      <c r="Q70" s="88">
        <f t="shared" si="40"/>
        <v>-2201010.8670500219</v>
      </c>
      <c r="R70" s="88">
        <f t="shared" si="40"/>
        <v>-3572020.2996100187</v>
      </c>
      <c r="S70" s="88">
        <f t="shared" si="40"/>
        <v>-3849107.5696099997</v>
      </c>
      <c r="T70" s="88">
        <f t="shared" si="40"/>
        <v>-8332108.0931900144</v>
      </c>
      <c r="U70" s="88">
        <f t="shared" si="40"/>
        <v>-11105282.99319002</v>
      </c>
      <c r="V70" s="88">
        <f t="shared" si="40"/>
        <v>-11661901.063190013</v>
      </c>
    </row>
  </sheetData>
  <mergeCells count="18">
    <mergeCell ref="B6:C8"/>
    <mergeCell ref="B9:B12"/>
    <mergeCell ref="C9:C10"/>
    <mergeCell ref="C11:C12"/>
    <mergeCell ref="B38:B41"/>
    <mergeCell ref="C38:C39"/>
    <mergeCell ref="C40:C41"/>
    <mergeCell ref="B13:C20"/>
    <mergeCell ref="B35:C37"/>
    <mergeCell ref="B25:C28"/>
    <mergeCell ref="B21:C21"/>
    <mergeCell ref="B22:B24"/>
    <mergeCell ref="C22:C24"/>
    <mergeCell ref="B54:C57"/>
    <mergeCell ref="B51:B53"/>
    <mergeCell ref="C51:C53"/>
    <mergeCell ref="B50:C50"/>
    <mergeCell ref="B42:C49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8"/>
  <sheetViews>
    <sheetView showGridLines="0" zoomScale="85" zoomScaleNormal="85" workbookViewId="0">
      <pane ySplit="5" topLeftCell="A6" activePane="bottomLeft" state="frozen"/>
      <selection pane="bottomLeft"/>
    </sheetView>
  </sheetViews>
  <sheetFormatPr defaultRowHeight="12.75" x14ac:dyDescent="0.2"/>
  <cols>
    <col min="1" max="1" width="1.85546875" style="1" customWidth="1"/>
    <col min="2" max="3" width="13.7109375" style="1" customWidth="1"/>
    <col min="4" max="4" width="54.85546875" style="1" customWidth="1"/>
    <col min="5" max="5" width="19.42578125" style="1" customWidth="1"/>
    <col min="6" max="8" width="20.140625" style="1" customWidth="1"/>
    <col min="9" max="9" width="19.42578125" style="1" customWidth="1"/>
    <col min="10" max="12" width="20.140625" style="1" customWidth="1"/>
    <col min="13" max="13" width="19.42578125" style="1" customWidth="1"/>
    <col min="14" max="22" width="20.140625" style="1" customWidth="1"/>
    <col min="23" max="16384" width="9.140625" style="1"/>
  </cols>
  <sheetData>
    <row r="1" spans="1:23" ht="15.75" x14ac:dyDescent="0.25">
      <c r="A1" s="42" t="s">
        <v>85</v>
      </c>
    </row>
    <row r="2" spans="1:23" x14ac:dyDescent="0.2">
      <c r="A2" s="41" t="s">
        <v>52</v>
      </c>
    </row>
    <row r="4" spans="1:23" x14ac:dyDescent="0.2">
      <c r="D4" s="44" t="s">
        <v>53</v>
      </c>
      <c r="E4" s="45">
        <f>F4</f>
        <v>69129.535959999994</v>
      </c>
      <c r="F4" s="46">
        <f>G4</f>
        <v>69129.535959999994</v>
      </c>
      <c r="G4" s="46">
        <f>H4</f>
        <v>69129.535959999994</v>
      </c>
      <c r="H4" s="46">
        <v>69129.535959999994</v>
      </c>
      <c r="I4" s="46">
        <f>J4</f>
        <v>138259.07190000001</v>
      </c>
      <c r="J4" s="46">
        <f>K4</f>
        <v>138259.07190000001</v>
      </c>
      <c r="K4" s="46">
        <f>L4</f>
        <v>138259.07190000001</v>
      </c>
      <c r="L4" s="46">
        <v>138259.07190000001</v>
      </c>
      <c r="M4" s="46">
        <f>N4</f>
        <v>1382590.719</v>
      </c>
      <c r="N4" s="46">
        <f>O4</f>
        <v>1382590.719</v>
      </c>
      <c r="O4" s="46">
        <f>P4</f>
        <v>1382590.719</v>
      </c>
      <c r="P4" s="46">
        <v>1382590.719</v>
      </c>
      <c r="Q4" s="46">
        <f>R4</f>
        <v>6912953.5959999999</v>
      </c>
      <c r="R4" s="46">
        <f>S4</f>
        <v>6912953.5959999999</v>
      </c>
      <c r="S4" s="46">
        <v>6912953.5959999999</v>
      </c>
      <c r="T4" s="46">
        <v>13825907.189999999</v>
      </c>
      <c r="U4" s="46">
        <f>T4</f>
        <v>13825907.189999999</v>
      </c>
      <c r="V4" s="47">
        <f>U4</f>
        <v>13825907.189999999</v>
      </c>
    </row>
    <row r="5" spans="1:23" ht="75" customHeight="1" x14ac:dyDescent="0.2">
      <c r="B5" s="13"/>
      <c r="C5" s="14"/>
      <c r="D5" s="2"/>
      <c r="E5" s="3" t="str">
        <f>AnMBR_35_CED_Detail_yr!E5</f>
        <v>0.05 MGD AnMBR [semi rural single family]</v>
      </c>
      <c r="F5" s="3" t="str">
        <f>AnMBR_35_CED_Detail_yr!F5</f>
        <v>0.05 MGD AnMBR [single family]</v>
      </c>
      <c r="G5" s="3" t="str">
        <f>AnMBR_35_CED_Detail_yr!G5</f>
        <v>0.05 MGD AnMBR [multi family]</v>
      </c>
      <c r="H5" s="3" t="str">
        <f>AnMBR_35_CED_Detail_yr!H5</f>
        <v>0.05 MGD AnMBR [high density urban]</v>
      </c>
      <c r="I5" s="3" t="str">
        <f>AnMBR_35_CED_Detail_yr!I5</f>
        <v>0.1 MGD AnMBR [semi rural single family]</v>
      </c>
      <c r="J5" s="3" t="str">
        <f>AnMBR_35_CED_Detail_yr!J5</f>
        <v>0.1 MGD AnMBR [single family]</v>
      </c>
      <c r="K5" s="3" t="str">
        <f>AnMBR_35_CED_Detail_yr!K5</f>
        <v>0.1 MGD AnMBR [multi family]</v>
      </c>
      <c r="L5" s="3" t="str">
        <f>AnMBR_35_CED_Detail_yr!L5</f>
        <v>0.1 MGD AnMBR [high density urban]</v>
      </c>
      <c r="M5" s="3" t="str">
        <f>AnMBR_35_CED_Detail_yr!M5</f>
        <v>1 MGD AnMBR [semi rural single family]</v>
      </c>
      <c r="N5" s="3" t="str">
        <f>AnMBR_35_CED_Detail_yr!N5</f>
        <v>1 MGD AnMBR [single family]</v>
      </c>
      <c r="O5" s="3" t="str">
        <f>AnMBR_35_CED_Detail_yr!O5</f>
        <v>1 MGD AnMBR [multi family]</v>
      </c>
      <c r="P5" s="3" t="str">
        <f>AnMBR_35_CED_Detail_yr!P5</f>
        <v>1 MGD AnMBR [high density urban]</v>
      </c>
      <c r="Q5" s="3" t="str">
        <f>AnMBR_35_CED_Detail_yr!Q5</f>
        <v>5 MGD AnMBR [single family]</v>
      </c>
      <c r="R5" s="3" t="str">
        <f>AnMBR_35_CED_Detail_yr!R5</f>
        <v>5 MGD AnMBR [multi family]</v>
      </c>
      <c r="S5" s="3" t="str">
        <f>AnMBR_35_CED_Detail_yr!S5</f>
        <v>5 MGD AnMBR [high density urban]</v>
      </c>
      <c r="T5" s="3" t="str">
        <f>AnMBR_35_CED_Detail_yr!T5</f>
        <v>10 MGD AnMBR [single family]</v>
      </c>
      <c r="U5" s="3" t="str">
        <f>AnMBR_35_CED_Detail_yr!U5</f>
        <v>10 MGD AnMBR [multi family]</v>
      </c>
      <c r="V5" s="3" t="str">
        <f>AnMBR_35_CED_Detail_yr!V5</f>
        <v>10 MGD AnMBR [high density urban]</v>
      </c>
      <c r="W5" s="2" t="s">
        <v>0</v>
      </c>
    </row>
    <row r="6" spans="1:23" ht="12.75" customHeight="1" x14ac:dyDescent="0.2">
      <c r="B6" s="120" t="s">
        <v>12</v>
      </c>
      <c r="C6" s="120"/>
      <c r="D6" s="2" t="s">
        <v>20</v>
      </c>
      <c r="E6" s="6">
        <f>AeMBR_Baseline_CED_Detail_yr!E6</f>
        <v>2286.0300000000002</v>
      </c>
      <c r="F6" s="6">
        <f>AeMBR_Baseline_CED_Detail_yr!F6</f>
        <v>1217.32512</v>
      </c>
      <c r="G6" s="8">
        <f>AeMBR_Baseline_CED_Detail_yr!G6</f>
        <v>304.80407000000002</v>
      </c>
      <c r="H6" s="8">
        <f>AeMBR_Baseline_CED_Detail_yr!H6</f>
        <v>143.43</v>
      </c>
      <c r="I6" s="6">
        <f>AeMBR_Baseline_CED_Detail_yr!I6</f>
        <v>4314.8500000000004</v>
      </c>
      <c r="J6" s="6">
        <f>AeMBR_Baseline_CED_Detail_yr!J6</f>
        <v>2235.22982</v>
      </c>
      <c r="K6" s="8">
        <f>AeMBR_Baseline_CED_Detail_yr!K6</f>
        <v>609.6</v>
      </c>
      <c r="L6" s="8">
        <f>AeMBR_Baseline_CED_Detail_yr!L6</f>
        <v>275.33753000000002</v>
      </c>
      <c r="M6" s="6">
        <f>AeMBR_Baseline_CED_Detail_yr!M6</f>
        <v>45720</v>
      </c>
      <c r="N6" s="6">
        <f>AeMBR_Baseline_CED_Detail_yr!N6</f>
        <v>22352.3</v>
      </c>
      <c r="O6" s="6">
        <f>AeMBR_Baseline_CED_Detail_yr!O6</f>
        <v>6096.08</v>
      </c>
      <c r="P6" s="6">
        <f>AeMBR_Baseline_CED_Detail_yr!P6</f>
        <v>2844.83</v>
      </c>
      <c r="Q6" s="6">
        <f>AeMBR_Baseline_CED_Detail_yr!Q6</f>
        <v>93929.4</v>
      </c>
      <c r="R6" s="6">
        <f>AeMBR_Baseline_CED_Detail_yr!R6</f>
        <v>30480.400000000001</v>
      </c>
      <c r="S6" s="6">
        <f>AeMBR_Baseline_CED_Detail_yr!S6</f>
        <v>14224.2</v>
      </c>
      <c r="T6" s="6">
        <f>AeMBR_Baseline_CED_Detail_yr!T6</f>
        <v>223523</v>
      </c>
      <c r="U6" s="6">
        <f>AeMBR_Baseline_CED_Detail_yr!U6</f>
        <v>59285.5</v>
      </c>
      <c r="V6" s="6">
        <f>AeMBR_Baseline_CED_Detail_yr!V6</f>
        <v>28448.400000000001</v>
      </c>
      <c r="W6" s="2" t="s">
        <v>1</v>
      </c>
    </row>
    <row r="7" spans="1:23" x14ac:dyDescent="0.2">
      <c r="B7" s="120"/>
      <c r="C7" s="120"/>
      <c r="D7" s="2" t="s">
        <v>21</v>
      </c>
      <c r="E7" s="8">
        <f>AeMBR_Baseline_CED_Detail_yr!E7</f>
        <v>339.23</v>
      </c>
      <c r="F7" s="8">
        <f>AeMBR_Baseline_CED_Detail_yr!F7</f>
        <v>165.84800999999999</v>
      </c>
      <c r="G7" s="17">
        <f>AeMBR_Baseline_CED_Detail_yr!G7</f>
        <v>45.231279999999998</v>
      </c>
      <c r="H7" s="17">
        <f>AeMBR_Baseline_CED_Detail_yr!H7</f>
        <v>21.10793</v>
      </c>
      <c r="I7" s="8">
        <f>AeMBR_Baseline_CED_Detail_yr!I7</f>
        <v>678.46912999999995</v>
      </c>
      <c r="J7" s="8">
        <f>AeMBR_Baseline_CED_Detail_yr!J7</f>
        <v>331.69601999999998</v>
      </c>
      <c r="K7" s="17">
        <f>AeMBR_Baseline_CED_Detail_yr!K7</f>
        <v>90.46</v>
      </c>
      <c r="L7" s="17">
        <f>AeMBR_Baseline_CED_Detail_yr!L7</f>
        <v>63.32</v>
      </c>
      <c r="M7" s="6">
        <f>AeMBR_Baseline_CED_Detail_yr!M7</f>
        <v>6784.69</v>
      </c>
      <c r="N7" s="6">
        <f>AeMBR_Baseline_CED_Detail_yr!N7</f>
        <v>3316.9601699999998</v>
      </c>
      <c r="O7" s="8">
        <f>AeMBR_Baseline_CED_Detail_yr!O7</f>
        <v>904.62549999999999</v>
      </c>
      <c r="P7" s="8">
        <f>AeMBR_Baseline_CED_Detail_yr!P7</f>
        <v>485.48</v>
      </c>
      <c r="Q7" s="6">
        <f>AeMBR_Baseline_CED_Detail_yr!Q7</f>
        <v>16584.8</v>
      </c>
      <c r="R7" s="6">
        <f>AeMBR_Baseline_CED_Detail_yr!R7</f>
        <v>4523.12</v>
      </c>
      <c r="S7" s="6">
        <f>AeMBR_Baseline_CED_Detail_yr!S7</f>
        <v>2596.27</v>
      </c>
      <c r="T7" s="6">
        <f>AeMBR_Baseline_CED_Detail_yr!T7</f>
        <v>33169.599999999999</v>
      </c>
      <c r="U7" s="6">
        <f>AeMBR_Baseline_CED_Detail_yr!U7</f>
        <v>13569</v>
      </c>
      <c r="V7" s="6">
        <f>AeMBR_Baseline_CED_Detail_yr!V7</f>
        <v>6817.86</v>
      </c>
      <c r="W7" s="2" t="s">
        <v>1</v>
      </c>
    </row>
    <row r="8" spans="1:23" x14ac:dyDescent="0.2">
      <c r="B8" s="120"/>
      <c r="C8" s="120"/>
      <c r="D8" s="2" t="s">
        <v>3</v>
      </c>
      <c r="E8" s="8">
        <f>AeMBR_Baseline_CED_Detail_yr!E8</f>
        <v>156.74753000000001</v>
      </c>
      <c r="F8" s="17">
        <f>AeMBR_Baseline_CED_Detail_yr!F8</f>
        <v>76.632130000000004</v>
      </c>
      <c r="G8" s="17">
        <f>AeMBR_Baseline_CED_Detail_yr!G8</f>
        <v>20.89967</v>
      </c>
      <c r="H8" s="18">
        <f>AeMBR_Baseline_CED_Detail_yr!H8</f>
        <v>9.7530000000000001</v>
      </c>
      <c r="I8" s="8">
        <f>AeMBR_Baseline_CED_Detail_yr!I8</f>
        <v>313.49</v>
      </c>
      <c r="J8" s="8">
        <f>AeMBR_Baseline_CED_Detail_yr!J8</f>
        <v>153.26425</v>
      </c>
      <c r="K8" s="17">
        <f>AeMBR_Baseline_CED_Detail_yr!K8</f>
        <v>41.798999999999999</v>
      </c>
      <c r="L8" s="17">
        <f>AeMBR_Baseline_CED_Detail_yr!L8</f>
        <v>29.259</v>
      </c>
      <c r="M8" s="6">
        <f>AeMBR_Baseline_CED_Detail_yr!M8</f>
        <v>3134.95</v>
      </c>
      <c r="N8" s="6">
        <f>AeMBR_Baseline_CED_Detail_yr!N8</f>
        <v>1532.6425099999999</v>
      </c>
      <c r="O8" s="8">
        <f>AeMBR_Baseline_CED_Detail_yr!O8</f>
        <v>417.99342000000001</v>
      </c>
      <c r="P8" s="8">
        <f>AeMBR_Baseline_CED_Detail_yr!P8</f>
        <v>224.32300000000001</v>
      </c>
      <c r="Q8" s="6">
        <f>AeMBR_Baseline_CED_Detail_yr!Q8</f>
        <v>7663.2125599999999</v>
      </c>
      <c r="R8" s="6">
        <f>AeMBR_Baseline_CED_Detail_yr!R8</f>
        <v>2089.96</v>
      </c>
      <c r="S8" s="6">
        <f>AeMBR_Baseline_CED_Detail_yr!S8</f>
        <v>1199.6400000000001</v>
      </c>
      <c r="T8" s="6">
        <f>AeMBR_Baseline_CED_Detail_yr!T8</f>
        <v>15326.4</v>
      </c>
      <c r="U8" s="6">
        <f>AeMBR_Baseline_CED_Detail_yr!U8</f>
        <v>6269</v>
      </c>
      <c r="V8" s="6">
        <f>AeMBR_Baseline_CED_Detail_yr!V8</f>
        <v>3150.27</v>
      </c>
      <c r="W8" s="2" t="s">
        <v>1</v>
      </c>
    </row>
    <row r="9" spans="1:23" x14ac:dyDescent="0.2">
      <c r="B9" s="131" t="s">
        <v>19</v>
      </c>
      <c r="C9" s="132" t="s">
        <v>10</v>
      </c>
      <c r="D9" s="2" t="s">
        <v>3</v>
      </c>
      <c r="E9" s="7">
        <f>AeMBR_Baseline_CED_Detail_yr!E9</f>
        <v>43819</v>
      </c>
      <c r="F9" s="7">
        <f>AeMBR_Baseline_CED_Detail_yr!F9</f>
        <v>43819</v>
      </c>
      <c r="G9" s="7">
        <f>AeMBR_Baseline_CED_Detail_yr!G9</f>
        <v>43819</v>
      </c>
      <c r="H9" s="7">
        <f>AeMBR_Baseline_CED_Detail_yr!H9</f>
        <v>43819</v>
      </c>
      <c r="I9" s="7">
        <f>AeMBR_Baseline_CED_Detail_yr!I9</f>
        <v>60360.7</v>
      </c>
      <c r="J9" s="7">
        <f>AeMBR_Baseline_CED_Detail_yr!J9</f>
        <v>60360.7</v>
      </c>
      <c r="K9" s="7">
        <f>AeMBR_Baseline_CED_Detail_yr!K9</f>
        <v>60360.7</v>
      </c>
      <c r="L9" s="7">
        <f>AeMBR_Baseline_CED_Detail_yr!L9</f>
        <v>60360.7</v>
      </c>
      <c r="M9" s="7">
        <f>AeMBR_Baseline_CED_Detail_yr!M9</f>
        <v>175276</v>
      </c>
      <c r="N9" s="7">
        <f>AeMBR_Baseline_CED_Detail_yr!N9</f>
        <v>175276</v>
      </c>
      <c r="O9" s="7">
        <f>AeMBR_Baseline_CED_Detail_yr!O9</f>
        <v>175276</v>
      </c>
      <c r="P9" s="7">
        <f>AeMBR_Baseline_CED_Detail_yr!P9</f>
        <v>175276</v>
      </c>
      <c r="Q9" s="7">
        <f>AeMBR_Baseline_CED_Detail_yr!Q9</f>
        <v>369175</v>
      </c>
      <c r="R9" s="7">
        <f>AeMBR_Baseline_CED_Detail_yr!R9</f>
        <v>369175</v>
      </c>
      <c r="S9" s="7">
        <f>AeMBR_Baseline_CED_Detail_yr!S9</f>
        <v>369175</v>
      </c>
      <c r="T9" s="7">
        <f>AeMBR_Baseline_CED_Detail_yr!T9</f>
        <v>509396</v>
      </c>
      <c r="U9" s="7">
        <f>AeMBR_Baseline_CED_Detail_yr!U9</f>
        <v>509396</v>
      </c>
      <c r="V9" s="7">
        <f>AeMBR_Baseline_CED_Detail_yr!V9</f>
        <v>509396</v>
      </c>
      <c r="W9" s="2" t="s">
        <v>1</v>
      </c>
    </row>
    <row r="10" spans="1:23" x14ac:dyDescent="0.2">
      <c r="B10" s="131"/>
      <c r="C10" s="132"/>
      <c r="D10" s="2" t="s">
        <v>4</v>
      </c>
      <c r="E10" s="11">
        <f>AeMBR_Baseline_CED_Detail_yr!E10</f>
        <v>2.9829999999999999E-2</v>
      </c>
      <c r="F10" s="11">
        <f>AeMBR_Baseline_CED_Detail_yr!F10</f>
        <v>2.9829999999999999E-2</v>
      </c>
      <c r="G10" s="11">
        <f>AeMBR_Baseline_CED_Detail_yr!G10</f>
        <v>2.9829999999999999E-2</v>
      </c>
      <c r="H10" s="11">
        <f>AeMBR_Baseline_CED_Detail_yr!H10</f>
        <v>2.9829999999999999E-2</v>
      </c>
      <c r="I10" s="11">
        <f>AeMBR_Baseline_CED_Detail_yr!I10</f>
        <v>5.9470000000000002E-2</v>
      </c>
      <c r="J10" s="11">
        <f>AeMBR_Baseline_CED_Detail_yr!J10</f>
        <v>5.9470000000000002E-2</v>
      </c>
      <c r="K10" s="11">
        <f>AeMBR_Baseline_CED_Detail_yr!K10</f>
        <v>5.9470000000000002E-2</v>
      </c>
      <c r="L10" s="11">
        <f>AeMBR_Baseline_CED_Detail_yr!L10</f>
        <v>5.9470000000000002E-2</v>
      </c>
      <c r="M10" s="12">
        <f>AeMBR_Baseline_CED_Detail_yr!M10</f>
        <v>0.59450000000000003</v>
      </c>
      <c r="N10" s="12">
        <f>AeMBR_Baseline_CED_Detail_yr!N10</f>
        <v>0.59450000000000003</v>
      </c>
      <c r="O10" s="12">
        <f>AeMBR_Baseline_CED_Detail_yr!O10</f>
        <v>0.59450000000000003</v>
      </c>
      <c r="P10" s="12">
        <f>AeMBR_Baseline_CED_Detail_yr!P10</f>
        <v>0.59450000000000003</v>
      </c>
      <c r="Q10" s="12">
        <f>AeMBR_Baseline_CED_Detail_yr!Q10</f>
        <v>2.9816699999999998</v>
      </c>
      <c r="R10" s="12">
        <f>AeMBR_Baseline_CED_Detail_yr!R10</f>
        <v>2.9816699999999998</v>
      </c>
      <c r="S10" s="12">
        <f>AeMBR_Baseline_CED_Detail_yr!S10</f>
        <v>2.9816699999999998</v>
      </c>
      <c r="T10" s="12">
        <f>AeMBR_Baseline_CED_Detail_yr!T10</f>
        <v>5.9447900000000002</v>
      </c>
      <c r="U10" s="12">
        <f>AeMBR_Baseline_CED_Detail_yr!U10</f>
        <v>5.9447900000000002</v>
      </c>
      <c r="V10" s="12">
        <f>AeMBR_Baseline_CED_Detail_yr!V10</f>
        <v>5.9447900000000002</v>
      </c>
      <c r="W10" s="2" t="s">
        <v>1</v>
      </c>
    </row>
    <row r="11" spans="1:23" ht="15.75" customHeight="1" x14ac:dyDescent="0.2">
      <c r="B11" s="131"/>
      <c r="C11" s="120" t="s">
        <v>13</v>
      </c>
      <c r="D11" s="2" t="s">
        <v>3</v>
      </c>
      <c r="E11" s="7">
        <f>AeMBR_Baseline_CED_Detail_yr!E11</f>
        <v>1095.4754399999999</v>
      </c>
      <c r="F11" s="7">
        <f>AeMBR_Baseline_CED_Detail_yr!F11</f>
        <v>1095.4754399999999</v>
      </c>
      <c r="G11" s="7">
        <f>AeMBR_Baseline_CED_Detail_yr!G11</f>
        <v>1095.4754399999999</v>
      </c>
      <c r="H11" s="7">
        <f>AeMBR_Baseline_CED_Detail_yr!H11</f>
        <v>1095.4754399999999</v>
      </c>
      <c r="I11" s="7">
        <f>AeMBR_Baseline_CED_Detail_yr!I11</f>
        <v>2190.9508900000001</v>
      </c>
      <c r="J11" s="7">
        <f>AeMBR_Baseline_CED_Detail_yr!J11</f>
        <v>2190.9508900000001</v>
      </c>
      <c r="K11" s="7">
        <f>AeMBR_Baseline_CED_Detail_yr!K11</f>
        <v>2190.9508900000001</v>
      </c>
      <c r="L11" s="7">
        <f>AeMBR_Baseline_CED_Detail_yr!L11</f>
        <v>2190.9508900000001</v>
      </c>
      <c r="M11" s="7">
        <f>AeMBR_Baseline_CED_Detail_yr!M11</f>
        <v>22676.3</v>
      </c>
      <c r="N11" s="7">
        <f>AeMBR_Baseline_CED_Detail_yr!N11</f>
        <v>22676.3</v>
      </c>
      <c r="O11" s="7">
        <f>AeMBR_Baseline_CED_Detail_yr!O11</f>
        <v>22676.3</v>
      </c>
      <c r="P11" s="7">
        <f>AeMBR_Baseline_CED_Detail_yr!P11</f>
        <v>22676.3</v>
      </c>
      <c r="Q11" s="7">
        <f>AeMBR_Baseline_CED_Detail_yr!Q11</f>
        <v>113491</v>
      </c>
      <c r="R11" s="7">
        <f>AeMBR_Baseline_CED_Detail_yr!R11</f>
        <v>113491</v>
      </c>
      <c r="S11" s="7">
        <f>AeMBR_Baseline_CED_Detail_yr!S11</f>
        <v>113491</v>
      </c>
      <c r="T11" s="7">
        <f>AeMBR_Baseline_CED_Detail_yr!T11</f>
        <v>226983</v>
      </c>
      <c r="U11" s="7">
        <f>AeMBR_Baseline_CED_Detail_yr!U11</f>
        <v>226983</v>
      </c>
      <c r="V11" s="7">
        <f>AeMBR_Baseline_CED_Detail_yr!V11</f>
        <v>226983</v>
      </c>
      <c r="W11" s="2" t="s">
        <v>1</v>
      </c>
    </row>
    <row r="12" spans="1:23" x14ac:dyDescent="0.2">
      <c r="B12" s="131"/>
      <c r="C12" s="120"/>
      <c r="D12" s="2" t="s">
        <v>4</v>
      </c>
      <c r="E12" s="12">
        <f>AeMBR_Baseline_CED_Detail_yr!E12</f>
        <v>0.13147</v>
      </c>
      <c r="F12" s="12">
        <f>AeMBR_Baseline_CED_Detail_yr!F12</f>
        <v>0.13147</v>
      </c>
      <c r="G12" s="12">
        <f>AeMBR_Baseline_CED_Detail_yr!G12</f>
        <v>0.13147</v>
      </c>
      <c r="H12" s="12">
        <f>AeMBR_Baseline_CED_Detail_yr!H12</f>
        <v>0.13147</v>
      </c>
      <c r="I12" s="12">
        <f>AeMBR_Baseline_CED_Detail_yr!I12</f>
        <v>0.26294000000000001</v>
      </c>
      <c r="J12" s="12">
        <f>AeMBR_Baseline_CED_Detail_yr!J12</f>
        <v>0.26294000000000001</v>
      </c>
      <c r="K12" s="12">
        <f>AeMBR_Baseline_CED_Detail_yr!K12</f>
        <v>0.26294000000000001</v>
      </c>
      <c r="L12" s="12">
        <f>AeMBR_Baseline_CED_Detail_yr!L12</f>
        <v>0.26294000000000001</v>
      </c>
      <c r="M12" s="12">
        <f>AeMBR_Baseline_CED_Detail_yr!M12</f>
        <v>2.62927</v>
      </c>
      <c r="N12" s="12">
        <f>AeMBR_Baseline_CED_Detail_yr!N12</f>
        <v>2.62927</v>
      </c>
      <c r="O12" s="12">
        <f>AeMBR_Baseline_CED_Detail_yr!O12</f>
        <v>2.62927</v>
      </c>
      <c r="P12" s="12">
        <f>AeMBR_Baseline_CED_Detail_yr!P12</f>
        <v>2.62927</v>
      </c>
      <c r="Q12" s="10">
        <f>AeMBR_Baseline_CED_Detail_yr!Q12</f>
        <v>13.146430000000001</v>
      </c>
      <c r="R12" s="10">
        <f>AeMBR_Baseline_CED_Detail_yr!R12</f>
        <v>13.146430000000001</v>
      </c>
      <c r="S12" s="10">
        <f>AeMBR_Baseline_CED_Detail_yr!S12</f>
        <v>13.146430000000001</v>
      </c>
      <c r="T12" s="10">
        <f>AeMBR_Baseline_CED_Detail_yr!T12</f>
        <v>26.292860000000001</v>
      </c>
      <c r="U12" s="10">
        <f>AeMBR_Baseline_CED_Detail_yr!U12</f>
        <v>26.292860000000001</v>
      </c>
      <c r="V12" s="10">
        <f>AeMBR_Baseline_CED_Detail_yr!V12</f>
        <v>26.292860000000001</v>
      </c>
      <c r="W12" s="2" t="s">
        <v>1</v>
      </c>
    </row>
    <row r="13" spans="1:23" ht="15" customHeight="1" x14ac:dyDescent="0.2">
      <c r="B13" s="145" t="s">
        <v>16</v>
      </c>
      <c r="C13" s="146"/>
      <c r="D13" s="2" t="s">
        <v>78</v>
      </c>
      <c r="E13" s="6">
        <v>0</v>
      </c>
      <c r="F13" s="6">
        <f>E13</f>
        <v>0</v>
      </c>
      <c r="G13" s="7">
        <f>F13</f>
        <v>0</v>
      </c>
      <c r="H13" s="7">
        <f>G13</f>
        <v>0</v>
      </c>
      <c r="I13" s="6">
        <v>0</v>
      </c>
      <c r="J13" s="7">
        <f>I13</f>
        <v>0</v>
      </c>
      <c r="K13" s="7">
        <f>J13</f>
        <v>0</v>
      </c>
      <c r="L13" s="7">
        <f>K13</f>
        <v>0</v>
      </c>
      <c r="M13" s="6">
        <v>0</v>
      </c>
      <c r="N13" s="7">
        <f>M13</f>
        <v>0</v>
      </c>
      <c r="O13" s="7">
        <f>N13</f>
        <v>0</v>
      </c>
      <c r="P13" s="7">
        <f>O13</f>
        <v>0</v>
      </c>
      <c r="Q13" s="6">
        <v>0</v>
      </c>
      <c r="R13" s="7">
        <f>Q13</f>
        <v>0</v>
      </c>
      <c r="S13" s="7">
        <f>R13</f>
        <v>0</v>
      </c>
      <c r="T13" s="6">
        <v>0</v>
      </c>
      <c r="U13" s="7">
        <f>T13</f>
        <v>0</v>
      </c>
      <c r="V13" s="7">
        <f>U13</f>
        <v>0</v>
      </c>
      <c r="W13" s="2" t="s">
        <v>1</v>
      </c>
    </row>
    <row r="14" spans="1:23" x14ac:dyDescent="0.2">
      <c r="B14" s="147"/>
      <c r="C14" s="148"/>
      <c r="D14" s="2" t="s">
        <v>79</v>
      </c>
      <c r="E14" s="6">
        <f>AnMBR_35_CED_Detail_yr!E14</f>
        <v>11220.6</v>
      </c>
      <c r="F14" s="6">
        <f>AnMBR_35_CED_Detail_yr!F14</f>
        <v>11220.6</v>
      </c>
      <c r="G14" s="6">
        <f>AnMBR_35_CED_Detail_yr!G14</f>
        <v>11220.6</v>
      </c>
      <c r="H14" s="6">
        <f>AnMBR_35_CED_Detail_yr!H14</f>
        <v>11220.6</v>
      </c>
      <c r="I14" s="6">
        <f>AnMBR_35_CED_Detail_yr!I14</f>
        <v>22441.200000000001</v>
      </c>
      <c r="J14" s="6">
        <f>AnMBR_35_CED_Detail_yr!J14</f>
        <v>22441.200000000001</v>
      </c>
      <c r="K14" s="6">
        <f>AnMBR_35_CED_Detail_yr!K14</f>
        <v>22441.200000000001</v>
      </c>
      <c r="L14" s="6">
        <f>AnMBR_35_CED_Detail_yr!L14</f>
        <v>22441.200000000001</v>
      </c>
      <c r="M14" s="6">
        <f>AnMBR_35_CED_Detail_yr!M14</f>
        <v>224412</v>
      </c>
      <c r="N14" s="6">
        <f>AnMBR_35_CED_Detail_yr!N14</f>
        <v>224412</v>
      </c>
      <c r="O14" s="6">
        <f>AnMBR_35_CED_Detail_yr!O14</f>
        <v>224412</v>
      </c>
      <c r="P14" s="6">
        <f>AnMBR_35_CED_Detail_yr!P14</f>
        <v>224412</v>
      </c>
      <c r="Q14" s="6">
        <f>AnMBR_35_CED_Detail_yr!Q14</f>
        <v>1122060</v>
      </c>
      <c r="R14" s="6">
        <f>AnMBR_35_CED_Detail_yr!R14</f>
        <v>1122060</v>
      </c>
      <c r="S14" s="6">
        <f>AnMBR_35_CED_Detail_yr!S14</f>
        <v>1122060</v>
      </c>
      <c r="T14" s="6">
        <f>AnMBR_35_CED_Detail_yr!T14</f>
        <v>2244120</v>
      </c>
      <c r="U14" s="6">
        <f>AnMBR_35_CED_Detail_yr!U14</f>
        <v>2244120</v>
      </c>
      <c r="V14" s="6">
        <f>AnMBR_35_CED_Detail_yr!V14</f>
        <v>2244120</v>
      </c>
      <c r="W14" s="2" t="s">
        <v>1</v>
      </c>
    </row>
    <row r="15" spans="1:23" x14ac:dyDescent="0.2">
      <c r="B15" s="147"/>
      <c r="C15" s="148"/>
      <c r="D15" s="2" t="s">
        <v>80</v>
      </c>
      <c r="E15" s="6">
        <v>0</v>
      </c>
      <c r="F15" s="6">
        <f t="shared" ref="F15:H18" si="0">E15</f>
        <v>0</v>
      </c>
      <c r="G15" s="7">
        <f t="shared" si="0"/>
        <v>0</v>
      </c>
      <c r="H15" s="7">
        <f t="shared" si="0"/>
        <v>0</v>
      </c>
      <c r="I15" s="6">
        <v>0</v>
      </c>
      <c r="J15" s="6">
        <f t="shared" ref="J15:L18" si="1">I15</f>
        <v>0</v>
      </c>
      <c r="K15" s="7">
        <f t="shared" si="1"/>
        <v>0</v>
      </c>
      <c r="L15" s="7">
        <f t="shared" si="1"/>
        <v>0</v>
      </c>
      <c r="M15" s="6">
        <v>0</v>
      </c>
      <c r="N15" s="7">
        <f t="shared" ref="N15:P18" si="2">M15</f>
        <v>0</v>
      </c>
      <c r="O15" s="7">
        <f t="shared" si="2"/>
        <v>0</v>
      </c>
      <c r="P15" s="7">
        <f t="shared" si="2"/>
        <v>0</v>
      </c>
      <c r="Q15" s="6">
        <v>0</v>
      </c>
      <c r="R15" s="7">
        <f t="shared" ref="R15:S18" si="3">Q15</f>
        <v>0</v>
      </c>
      <c r="S15" s="7">
        <f t="shared" si="3"/>
        <v>0</v>
      </c>
      <c r="T15" s="6">
        <v>0</v>
      </c>
      <c r="U15" s="7">
        <f t="shared" ref="U15:V18" si="4">T15</f>
        <v>0</v>
      </c>
      <c r="V15" s="7">
        <f t="shared" si="4"/>
        <v>0</v>
      </c>
      <c r="W15" s="2" t="s">
        <v>1</v>
      </c>
    </row>
    <row r="16" spans="1:23" ht="14.25" customHeight="1" x14ac:dyDescent="0.2">
      <c r="B16" s="147"/>
      <c r="C16" s="148"/>
      <c r="D16" s="2" t="s">
        <v>81</v>
      </c>
      <c r="E16" s="18">
        <v>-251125</v>
      </c>
      <c r="F16" s="6">
        <f t="shared" si="0"/>
        <v>-251125</v>
      </c>
      <c r="G16" s="7">
        <f t="shared" si="0"/>
        <v>-251125</v>
      </c>
      <c r="H16" s="7">
        <f t="shared" si="0"/>
        <v>-251125</v>
      </c>
      <c r="I16" s="18">
        <f>-502249</f>
        <v>-502249</v>
      </c>
      <c r="J16" s="7">
        <f t="shared" si="1"/>
        <v>-502249</v>
      </c>
      <c r="K16" s="7">
        <f t="shared" si="1"/>
        <v>-502249</v>
      </c>
      <c r="L16" s="7">
        <f t="shared" si="1"/>
        <v>-502249</v>
      </c>
      <c r="M16" s="6">
        <v>-5022490</v>
      </c>
      <c r="N16" s="7">
        <f t="shared" si="2"/>
        <v>-5022490</v>
      </c>
      <c r="O16" s="7">
        <f t="shared" si="2"/>
        <v>-5022490</v>
      </c>
      <c r="P16" s="7">
        <f t="shared" si="2"/>
        <v>-5022490</v>
      </c>
      <c r="Q16" s="6">
        <v>-25112500</v>
      </c>
      <c r="R16" s="7">
        <f t="shared" si="3"/>
        <v>-25112500</v>
      </c>
      <c r="S16" s="7">
        <f t="shared" si="3"/>
        <v>-25112500</v>
      </c>
      <c r="T16" s="6">
        <v>-50224900</v>
      </c>
      <c r="U16" s="7">
        <f t="shared" si="4"/>
        <v>-50224900</v>
      </c>
      <c r="V16" s="7">
        <f t="shared" si="4"/>
        <v>-50224900</v>
      </c>
      <c r="W16" s="2" t="s">
        <v>1</v>
      </c>
    </row>
    <row r="17" spans="1:23" x14ac:dyDescent="0.2">
      <c r="B17" s="147"/>
      <c r="C17" s="148"/>
      <c r="D17" s="2" t="s">
        <v>82</v>
      </c>
      <c r="E17" s="6">
        <f>AnMBR_35_CED_Detail_yr!E17</f>
        <v>38088.5</v>
      </c>
      <c r="F17" s="6">
        <f>AnMBR_35_CED_Detail_yr!F17</f>
        <v>38088.5</v>
      </c>
      <c r="G17" s="6">
        <f>AnMBR_35_CED_Detail_yr!G17</f>
        <v>38088.5</v>
      </c>
      <c r="H17" s="6">
        <f>AnMBR_35_CED_Detail_yr!H17</f>
        <v>38088.5</v>
      </c>
      <c r="I17" s="6">
        <f>AnMBR_35_CED_Detail_yr!I17</f>
        <v>76170.7</v>
      </c>
      <c r="J17" s="6">
        <f>AnMBR_35_CED_Detail_yr!J17</f>
        <v>76170.7</v>
      </c>
      <c r="K17" s="6">
        <f>AnMBR_35_CED_Detail_yr!K17</f>
        <v>76170.7</v>
      </c>
      <c r="L17" s="6">
        <f>AnMBR_35_CED_Detail_yr!L17</f>
        <v>76170.7</v>
      </c>
      <c r="M17" s="6">
        <f>AnMBR_35_CED_Detail_yr!M17</f>
        <v>761649</v>
      </c>
      <c r="N17" s="6">
        <f>AnMBR_35_CED_Detail_yr!N17</f>
        <v>761649</v>
      </c>
      <c r="O17" s="6">
        <f>AnMBR_35_CED_Detail_yr!O17</f>
        <v>761649</v>
      </c>
      <c r="P17" s="6">
        <f>AnMBR_35_CED_Detail_yr!P17</f>
        <v>761649</v>
      </c>
      <c r="Q17" s="6">
        <f>AnMBR_35_CED_Detail_yr!Q17</f>
        <v>3808220</v>
      </c>
      <c r="R17" s="6">
        <f>AnMBR_35_CED_Detail_yr!R17</f>
        <v>3808220</v>
      </c>
      <c r="S17" s="6">
        <f>AnMBR_35_CED_Detail_yr!S17</f>
        <v>3808220</v>
      </c>
      <c r="T17" s="6">
        <f>AnMBR_35_CED_Detail_yr!T17</f>
        <v>7616430</v>
      </c>
      <c r="U17" s="6">
        <f>AnMBR_35_CED_Detail_yr!U17</f>
        <v>7616430</v>
      </c>
      <c r="V17" s="6">
        <f>AnMBR_35_CED_Detail_yr!V17</f>
        <v>7616430</v>
      </c>
      <c r="W17" s="2" t="s">
        <v>1</v>
      </c>
    </row>
    <row r="18" spans="1:23" x14ac:dyDescent="0.2">
      <c r="B18" s="147"/>
      <c r="C18" s="148"/>
      <c r="D18" s="2" t="s">
        <v>83</v>
      </c>
      <c r="E18" s="6">
        <v>0</v>
      </c>
      <c r="F18" s="6">
        <f t="shared" si="0"/>
        <v>0</v>
      </c>
      <c r="G18" s="7">
        <f t="shared" si="0"/>
        <v>0</v>
      </c>
      <c r="H18" s="7">
        <f t="shared" si="0"/>
        <v>0</v>
      </c>
      <c r="I18" s="6">
        <v>0</v>
      </c>
      <c r="J18" s="7">
        <f t="shared" si="1"/>
        <v>0</v>
      </c>
      <c r="K18" s="7">
        <f t="shared" si="1"/>
        <v>0</v>
      </c>
      <c r="L18" s="7">
        <f t="shared" si="1"/>
        <v>0</v>
      </c>
      <c r="M18" s="6">
        <v>0</v>
      </c>
      <c r="N18" s="6">
        <f t="shared" si="2"/>
        <v>0</v>
      </c>
      <c r="O18" s="7">
        <f t="shared" si="2"/>
        <v>0</v>
      </c>
      <c r="P18" s="7">
        <f t="shared" si="2"/>
        <v>0</v>
      </c>
      <c r="Q18" s="6">
        <v>0</v>
      </c>
      <c r="R18" s="7">
        <f t="shared" si="3"/>
        <v>0</v>
      </c>
      <c r="S18" s="7">
        <f t="shared" si="3"/>
        <v>0</v>
      </c>
      <c r="T18" s="6">
        <v>0</v>
      </c>
      <c r="U18" s="7">
        <f t="shared" si="4"/>
        <v>0</v>
      </c>
      <c r="V18" s="7">
        <f t="shared" si="4"/>
        <v>0</v>
      </c>
      <c r="W18" s="2" t="s">
        <v>1</v>
      </c>
    </row>
    <row r="19" spans="1:23" x14ac:dyDescent="0.2">
      <c r="B19" s="147"/>
      <c r="C19" s="148"/>
      <c r="D19" s="2" t="s">
        <v>84</v>
      </c>
      <c r="E19" s="6">
        <f>AnMBR_35_CED_Detail_yr!E19</f>
        <v>1747.6079999999999</v>
      </c>
      <c r="F19" s="6">
        <f>AnMBR_35_CED_Detail_yr!F19</f>
        <v>1747.6079999999999</v>
      </c>
      <c r="G19" s="6">
        <f>AnMBR_35_CED_Detail_yr!G19</f>
        <v>1747.6079999999999</v>
      </c>
      <c r="H19" s="6">
        <f>AnMBR_35_CED_Detail_yr!H19</f>
        <v>1747.6079999999999</v>
      </c>
      <c r="I19" s="6">
        <f>AnMBR_35_CED_Detail_yr!I19</f>
        <v>3495.2170000000001</v>
      </c>
      <c r="J19" s="6">
        <f>AnMBR_35_CED_Detail_yr!J19</f>
        <v>3495.2170000000001</v>
      </c>
      <c r="K19" s="6">
        <f>AnMBR_35_CED_Detail_yr!K19</f>
        <v>3495.2170000000001</v>
      </c>
      <c r="L19" s="6">
        <f>AnMBR_35_CED_Detail_yr!L19</f>
        <v>3495.2170000000001</v>
      </c>
      <c r="M19" s="6">
        <f>AnMBR_35_CED_Detail_yr!M19</f>
        <v>34952.199999999997</v>
      </c>
      <c r="N19" s="6">
        <f>AnMBR_35_CED_Detail_yr!N19</f>
        <v>34952.199999999997</v>
      </c>
      <c r="O19" s="6">
        <f>AnMBR_35_CED_Detail_yr!O19</f>
        <v>34952.199999999997</v>
      </c>
      <c r="P19" s="6">
        <f>AnMBR_35_CED_Detail_yr!P19</f>
        <v>34952.199999999997</v>
      </c>
      <c r="Q19" s="6">
        <f>AnMBR_35_CED_Detail_yr!Q19</f>
        <v>174760</v>
      </c>
      <c r="R19" s="6">
        <f>AnMBR_35_CED_Detail_yr!R19</f>
        <v>174760</v>
      </c>
      <c r="S19" s="6">
        <f>AnMBR_35_CED_Detail_yr!S19</f>
        <v>174760</v>
      </c>
      <c r="T19" s="6">
        <f>AnMBR_35_CED_Detail_yr!T19</f>
        <v>349522</v>
      </c>
      <c r="U19" s="6">
        <f>AnMBR_35_CED_Detail_yr!U19</f>
        <v>349522</v>
      </c>
      <c r="V19" s="6">
        <f>AnMBR_35_CED_Detail_yr!V19</f>
        <v>349522</v>
      </c>
      <c r="W19" s="2" t="s">
        <v>1</v>
      </c>
    </row>
    <row r="20" spans="1:23" x14ac:dyDescent="0.2">
      <c r="B20" s="147"/>
      <c r="C20" s="148"/>
      <c r="D20" s="2" t="s">
        <v>17</v>
      </c>
      <c r="E20" s="18">
        <f>AnMBR_35_CED_Detail_yr!E20</f>
        <v>19700.8</v>
      </c>
      <c r="F20" s="18">
        <f>AnMBR_35_CED_Detail_yr!F20</f>
        <v>19700.8</v>
      </c>
      <c r="G20" s="18">
        <f>AnMBR_35_CED_Detail_yr!G20</f>
        <v>19700.8</v>
      </c>
      <c r="H20" s="18">
        <f>AnMBR_35_CED_Detail_yr!H20</f>
        <v>19700.8</v>
      </c>
      <c r="I20" s="18">
        <f>AnMBR_35_CED_Detail_yr!I20</f>
        <v>39413.300000000003</v>
      </c>
      <c r="J20" s="18">
        <f>AnMBR_35_CED_Detail_yr!J20</f>
        <v>39413.300000000003</v>
      </c>
      <c r="K20" s="18">
        <f>AnMBR_35_CED_Detail_yr!K20</f>
        <v>39413.300000000003</v>
      </c>
      <c r="L20" s="18">
        <f>AnMBR_35_CED_Detail_yr!L20</f>
        <v>39413.300000000003</v>
      </c>
      <c r="M20" s="18">
        <f>AnMBR_35_CED_Detail_yr!M20</f>
        <v>291739</v>
      </c>
      <c r="N20" s="18">
        <f>AnMBR_35_CED_Detail_yr!N20</f>
        <v>291739</v>
      </c>
      <c r="O20" s="18">
        <f>AnMBR_35_CED_Detail_yr!O20</f>
        <v>291739</v>
      </c>
      <c r="P20" s="18">
        <f>AnMBR_35_CED_Detail_yr!P20</f>
        <v>291739</v>
      </c>
      <c r="Q20" s="18">
        <f>AnMBR_35_CED_Detail_yr!Q20</f>
        <v>1215600</v>
      </c>
      <c r="R20" s="18">
        <f>AnMBR_35_CED_Detail_yr!R20</f>
        <v>1215600</v>
      </c>
      <c r="S20" s="18">
        <f>AnMBR_35_CED_Detail_yr!S20</f>
        <v>1215600</v>
      </c>
      <c r="T20" s="18">
        <f>AnMBR_35_CED_Detail_yr!T20</f>
        <v>2188000</v>
      </c>
      <c r="U20" s="18">
        <f>AnMBR_35_CED_Detail_yr!U20</f>
        <v>2188000</v>
      </c>
      <c r="V20" s="18">
        <f>AnMBR_35_CED_Detail_yr!V20</f>
        <v>2188000</v>
      </c>
      <c r="W20" s="2" t="s">
        <v>1</v>
      </c>
    </row>
    <row r="21" spans="1:23" ht="15" customHeight="1" x14ac:dyDescent="0.2">
      <c r="B21" s="127" t="s">
        <v>15</v>
      </c>
      <c r="C21" s="128"/>
      <c r="D21" s="2" t="s">
        <v>4</v>
      </c>
      <c r="E21" s="18">
        <f>AnMBR_35_CED_Detail_yr!E21</f>
        <v>26758.02937</v>
      </c>
      <c r="F21" s="18">
        <f>AnMBR_35_CED_Detail_yr!F21</f>
        <v>26758.02937</v>
      </c>
      <c r="G21" s="18">
        <f>AnMBR_35_CED_Detail_yr!G21</f>
        <v>26758.02937</v>
      </c>
      <c r="H21" s="18">
        <f>AnMBR_35_CED_Detail_yr!H21</f>
        <v>26758.02937</v>
      </c>
      <c r="I21" s="18">
        <f>AnMBR_35_CED_Detail_yr!I21</f>
        <v>27496.510000000002</v>
      </c>
      <c r="J21" s="18">
        <f>AnMBR_35_CED_Detail_yr!J21</f>
        <v>27496.510000000002</v>
      </c>
      <c r="K21" s="18">
        <f>AnMBR_35_CED_Detail_yr!K21</f>
        <v>27496.510000000002</v>
      </c>
      <c r="L21" s="18">
        <f>AnMBR_35_CED_Detail_yr!L21</f>
        <v>27496.510000000002</v>
      </c>
      <c r="M21" s="18">
        <f>AnMBR_35_CED_Detail_yr!M21</f>
        <v>518521.15</v>
      </c>
      <c r="N21" s="18">
        <f>AnMBR_35_CED_Detail_yr!N21</f>
        <v>518521.15</v>
      </c>
      <c r="O21" s="18">
        <f>AnMBR_35_CED_Detail_yr!O21</f>
        <v>518521.15</v>
      </c>
      <c r="P21" s="18">
        <f>AnMBR_35_CED_Detail_yr!P21</f>
        <v>518521.15</v>
      </c>
      <c r="Q21" s="18">
        <f>AnMBR_35_CED_Detail_yr!Q21</f>
        <v>2160854.6</v>
      </c>
      <c r="R21" s="18">
        <f>AnMBR_35_CED_Detail_yr!R21</f>
        <v>2160854.6</v>
      </c>
      <c r="S21" s="18">
        <f>AnMBR_35_CED_Detail_yr!S21</f>
        <v>2160854.6</v>
      </c>
      <c r="T21" s="18">
        <f>AnMBR_35_CED_Detail_yr!T21</f>
        <v>3888905.3617799999</v>
      </c>
      <c r="U21" s="18">
        <f>AnMBR_35_CED_Detail_yr!U21</f>
        <v>3888905.3617799999</v>
      </c>
      <c r="V21" s="18">
        <f>AnMBR_35_CED_Detail_yr!V21</f>
        <v>3888905.3617799999</v>
      </c>
      <c r="W21" s="2" t="s">
        <v>1</v>
      </c>
    </row>
    <row r="22" spans="1:23" x14ac:dyDescent="0.2">
      <c r="B22" s="130" t="s">
        <v>14</v>
      </c>
      <c r="C22" s="120" t="s">
        <v>7</v>
      </c>
      <c r="D22" s="2" t="s">
        <v>3</v>
      </c>
      <c r="E22" s="7">
        <f>AeMBR_Baseline_CED_Detail_yr!E24</f>
        <v>500775</v>
      </c>
      <c r="F22" s="7">
        <f>AeMBR_Baseline_CED_Detail_yr!F24</f>
        <v>500775</v>
      </c>
      <c r="G22" s="7">
        <f>AeMBR_Baseline_CED_Detail_yr!G24</f>
        <v>500775</v>
      </c>
      <c r="H22" s="7">
        <f>AeMBR_Baseline_CED_Detail_yr!H24</f>
        <v>500775</v>
      </c>
      <c r="I22" s="7">
        <f>AeMBR_Baseline_CED_Detail_yr!I24</f>
        <v>574884</v>
      </c>
      <c r="J22" s="7">
        <f>AeMBR_Baseline_CED_Detail_yr!J24</f>
        <v>574884</v>
      </c>
      <c r="K22" s="7">
        <f>AeMBR_Baseline_CED_Detail_yr!K24</f>
        <v>574884</v>
      </c>
      <c r="L22" s="7">
        <f>AeMBR_Baseline_CED_Detail_yr!L24</f>
        <v>574884</v>
      </c>
      <c r="M22" s="7">
        <f>AeMBR_Baseline_CED_Detail_yr!M24</f>
        <v>909245</v>
      </c>
      <c r="N22" s="7">
        <f>AeMBR_Baseline_CED_Detail_yr!N24</f>
        <v>909245</v>
      </c>
      <c r="O22" s="7">
        <f>AeMBR_Baseline_CED_Detail_yr!O24</f>
        <v>909245</v>
      </c>
      <c r="P22" s="7">
        <f>AeMBR_Baseline_CED_Detail_yr!P24</f>
        <v>909245</v>
      </c>
      <c r="Q22" s="7">
        <f>AeMBR_Baseline_CED_Detail_yr!Q24</f>
        <v>1252700</v>
      </c>
      <c r="R22" s="7">
        <f>AeMBR_Baseline_CED_Detail_yr!R24</f>
        <v>1252700</v>
      </c>
      <c r="S22" s="7">
        <f>AeMBR_Baseline_CED_Detail_yr!S24</f>
        <v>1252700</v>
      </c>
      <c r="T22" s="7">
        <f>AeMBR_Baseline_CED_Detail_yr!T24</f>
        <v>1435070</v>
      </c>
      <c r="U22" s="7">
        <f>AeMBR_Baseline_CED_Detail_yr!U24</f>
        <v>1435070</v>
      </c>
      <c r="V22" s="7">
        <f>AeMBR_Baseline_CED_Detail_yr!V24</f>
        <v>1435070</v>
      </c>
      <c r="W22" s="2" t="s">
        <v>1</v>
      </c>
    </row>
    <row r="23" spans="1:23" x14ac:dyDescent="0.2">
      <c r="B23" s="130"/>
      <c r="C23" s="120"/>
      <c r="D23" s="2" t="s">
        <v>17</v>
      </c>
      <c r="E23" s="7">
        <f>AeMBR_Baseline_CED_Detail_yr!E25</f>
        <v>32888.9</v>
      </c>
      <c r="F23" s="7">
        <f>AeMBR_Baseline_CED_Detail_yr!F25</f>
        <v>32888.9</v>
      </c>
      <c r="G23" s="7">
        <f>AeMBR_Baseline_CED_Detail_yr!G25</f>
        <v>32888.9</v>
      </c>
      <c r="H23" s="7">
        <f>AeMBR_Baseline_CED_Detail_yr!H25</f>
        <v>32888.9</v>
      </c>
      <c r="I23" s="7">
        <f>AeMBR_Baseline_CED_Detail_yr!I25</f>
        <v>65789.399999999994</v>
      </c>
      <c r="J23" s="7">
        <f>AeMBR_Baseline_CED_Detail_yr!J25</f>
        <v>65789.399999999994</v>
      </c>
      <c r="K23" s="7">
        <f>AeMBR_Baseline_CED_Detail_yr!K25</f>
        <v>65789.399999999994</v>
      </c>
      <c r="L23" s="7">
        <f>AeMBR_Baseline_CED_Detail_yr!L25</f>
        <v>65789.399999999994</v>
      </c>
      <c r="M23" s="7">
        <f>AeMBR_Baseline_CED_Detail_yr!M25</f>
        <v>1568860</v>
      </c>
      <c r="N23" s="7">
        <f>AeMBR_Baseline_CED_Detail_yr!N25</f>
        <v>1568860</v>
      </c>
      <c r="O23" s="7">
        <f>AeMBR_Baseline_CED_Detail_yr!O25</f>
        <v>1568860</v>
      </c>
      <c r="P23" s="7">
        <f>AeMBR_Baseline_CED_Detail_yr!P25</f>
        <v>1568860</v>
      </c>
      <c r="Q23" s="7">
        <f>AeMBR_Baseline_CED_Detail_yr!Q25</f>
        <v>3289350</v>
      </c>
      <c r="R23" s="7">
        <f>AeMBR_Baseline_CED_Detail_yr!R25</f>
        <v>3289350</v>
      </c>
      <c r="S23" s="7">
        <f>AeMBR_Baseline_CED_Detail_yr!S25</f>
        <v>3289350</v>
      </c>
      <c r="T23" s="7">
        <f>AeMBR_Baseline_CED_Detail_yr!T25</f>
        <v>6578710</v>
      </c>
      <c r="U23" s="7">
        <f>AeMBR_Baseline_CED_Detail_yr!U25</f>
        <v>6578710</v>
      </c>
      <c r="V23" s="7">
        <f>AeMBR_Baseline_CED_Detail_yr!V25</f>
        <v>6578710</v>
      </c>
      <c r="W23" s="2" t="s">
        <v>1</v>
      </c>
    </row>
    <row r="24" spans="1:23" x14ac:dyDescent="0.2">
      <c r="B24" s="130"/>
      <c r="C24" s="120"/>
      <c r="D24" s="2" t="s">
        <v>4</v>
      </c>
      <c r="E24" s="7">
        <f>AeMBR_Baseline_CED_Detail_yr!E26</f>
        <v>1312.49701</v>
      </c>
      <c r="F24" s="7">
        <f>AeMBR_Baseline_CED_Detail_yr!F26</f>
        <v>1312.49701</v>
      </c>
      <c r="G24" s="7">
        <f>AeMBR_Baseline_CED_Detail_yr!G26</f>
        <v>1312.49701</v>
      </c>
      <c r="H24" s="7">
        <f>AeMBR_Baseline_CED_Detail_yr!H26</f>
        <v>1312.49701</v>
      </c>
      <c r="I24" s="7">
        <f>AeMBR_Baseline_CED_Detail_yr!I26</f>
        <v>1329.27802</v>
      </c>
      <c r="J24" s="7">
        <f>AeMBR_Baseline_CED_Detail_yr!J26</f>
        <v>1329.27802</v>
      </c>
      <c r="K24" s="7">
        <f>AeMBR_Baseline_CED_Detail_yr!K26</f>
        <v>1329.27802</v>
      </c>
      <c r="L24" s="7">
        <f>AeMBR_Baseline_CED_Detail_yr!L26</f>
        <v>1329.27802</v>
      </c>
      <c r="M24" s="7">
        <f>AeMBR_Baseline_CED_Detail_yr!M26</f>
        <v>1719.1082200000001</v>
      </c>
      <c r="N24" s="7">
        <f>AeMBR_Baseline_CED_Detail_yr!N26</f>
        <v>1719.1082200000001</v>
      </c>
      <c r="O24" s="7">
        <f>AeMBR_Baseline_CED_Detail_yr!O26</f>
        <v>1719.1082200000001</v>
      </c>
      <c r="P24" s="7">
        <f>AeMBR_Baseline_CED_Detail_yr!P26</f>
        <v>1719.1082200000001</v>
      </c>
      <c r="Q24" s="7">
        <f>AeMBR_Baseline_CED_Detail_yr!Q26</f>
        <v>3419.19229</v>
      </c>
      <c r="R24" s="7">
        <f>AeMBR_Baseline_CED_Detail_yr!R26</f>
        <v>3419.19229</v>
      </c>
      <c r="S24" s="7">
        <f>AeMBR_Baseline_CED_Detail_yr!S26</f>
        <v>3419.19229</v>
      </c>
      <c r="T24" s="7">
        <f>AeMBR_Baseline_CED_Detail_yr!T26</f>
        <v>5543.3073800000002</v>
      </c>
      <c r="U24" s="7">
        <f>AeMBR_Baseline_CED_Detail_yr!U26</f>
        <v>5543.3073800000002</v>
      </c>
      <c r="V24" s="7">
        <f>AeMBR_Baseline_CED_Detail_yr!V26</f>
        <v>5543.3073800000002</v>
      </c>
      <c r="W24" s="2" t="s">
        <v>1</v>
      </c>
    </row>
    <row r="25" spans="1:23" ht="12.75" customHeight="1" x14ac:dyDescent="0.2">
      <c r="B25" s="121" t="s">
        <v>11</v>
      </c>
      <c r="C25" s="122"/>
      <c r="D25" s="2" t="s">
        <v>3</v>
      </c>
      <c r="E25" s="6">
        <f>AeMBR_Baseline_CED_Detail_yr!E27</f>
        <v>29255.1</v>
      </c>
      <c r="F25" s="6">
        <f>AeMBR_Baseline_CED_Detail_yr!F27</f>
        <v>14214.3</v>
      </c>
      <c r="G25" s="6">
        <f>AeMBR_Baseline_CED_Detail_yr!G27</f>
        <v>3966.79</v>
      </c>
      <c r="H25" s="6">
        <f>AeMBR_Baseline_CED_Detail_yr!H27</f>
        <v>1818.11</v>
      </c>
      <c r="I25" s="6">
        <f>AeMBR_Baseline_CED_Detail_yr!I27</f>
        <v>58344.9</v>
      </c>
      <c r="J25" s="6">
        <f>AeMBR_Baseline_CED_Detail_yr!J27</f>
        <v>28594</v>
      </c>
      <c r="K25" s="6">
        <f>AeMBR_Baseline_CED_Detail_yr!K27</f>
        <v>7768.3</v>
      </c>
      <c r="L25" s="6">
        <f>AeMBR_Baseline_CED_Detail_yr!L27</f>
        <v>3636.22</v>
      </c>
      <c r="M25" s="6">
        <f>AeMBR_Baseline_CED_Detail_yr!M27</f>
        <v>583780</v>
      </c>
      <c r="N25" s="6">
        <f>AeMBR_Baseline_CED_Detail_yr!N27</f>
        <v>285940</v>
      </c>
      <c r="O25" s="6">
        <f>AeMBR_Baseline_CED_Detail_yr!O27</f>
        <v>77848</v>
      </c>
      <c r="P25" s="6">
        <f>AeMBR_Baseline_CED_Detail_yr!P27</f>
        <v>36362.300000000003</v>
      </c>
      <c r="Q25" s="6">
        <f>AeMBR_Baseline_CED_Detail_yr!Q27</f>
        <v>1427220</v>
      </c>
      <c r="R25" s="6">
        <f>AeMBR_Baseline_CED_Detail_yr!R27</f>
        <v>389240</v>
      </c>
      <c r="S25" s="6">
        <f>AeMBR_Baseline_CED_Detail_yr!S27</f>
        <v>181646</v>
      </c>
      <c r="T25" s="6">
        <f>AeMBR_Baseline_CED_Detail_yr!T27</f>
        <v>2854270</v>
      </c>
      <c r="U25" s="6">
        <f>AeMBR_Baseline_CED_Detail_yr!U27</f>
        <v>778480</v>
      </c>
      <c r="V25" s="6">
        <f>AeMBR_Baseline_CED_Detail_yr!V27</f>
        <v>363290</v>
      </c>
      <c r="W25" s="2" t="s">
        <v>1</v>
      </c>
    </row>
    <row r="26" spans="1:23" x14ac:dyDescent="0.2">
      <c r="B26" s="123"/>
      <c r="C26" s="124"/>
      <c r="D26" s="2" t="s">
        <v>20</v>
      </c>
      <c r="E26" s="6">
        <f>AeMBR_Baseline_CED_Detail_yr!E28</f>
        <v>5822.8886400000001</v>
      </c>
      <c r="F26" s="6">
        <f>AeMBR_Baseline_CED_Detail_yr!F28</f>
        <v>2854.2760199999998</v>
      </c>
      <c r="G26" s="6">
        <f>AeMBR_Baseline_CED_Detail_yr!G28</f>
        <v>778.31899999999996</v>
      </c>
      <c r="H26" s="6">
        <f>AeMBR_Baseline_CED_Detail_yr!H28</f>
        <v>364.15</v>
      </c>
      <c r="I26" s="6">
        <f>AeMBR_Baseline_CED_Detail_yr!I28</f>
        <v>11665.7</v>
      </c>
      <c r="J26" s="6">
        <f>AeMBR_Baseline_CED_Detail_yr!J28</f>
        <v>5700.5365199999997</v>
      </c>
      <c r="K26" s="6">
        <f>AeMBR_Baseline_CED_Detail_yr!K28</f>
        <v>1551.54</v>
      </c>
      <c r="L26" s="6">
        <f>AeMBR_Baseline_CED_Detail_yr!L28</f>
        <v>725.10799999999995</v>
      </c>
      <c r="M26" s="6">
        <f>AeMBR_Baseline_CED_Detail_yr!M28</f>
        <v>116734</v>
      </c>
      <c r="N26" s="6">
        <f>AeMBR_Baseline_CED_Detail_yr!N28</f>
        <v>57005.4</v>
      </c>
      <c r="O26" s="6">
        <f>AeMBR_Baseline_CED_Detail_yr!O28</f>
        <v>15308</v>
      </c>
      <c r="P26" s="6">
        <f>AeMBR_Baseline_CED_Detail_yr!P28</f>
        <v>7260.89</v>
      </c>
      <c r="Q26" s="6">
        <f>AeMBR_Baseline_CED_Detail_yr!Q28</f>
        <v>285224</v>
      </c>
      <c r="R26" s="6">
        <f>AeMBR_Baseline_CED_Detail_yr!R28</f>
        <v>77818</v>
      </c>
      <c r="S26" s="6">
        <f>AeMBR_Baseline_CED_Detail_yr!S28</f>
        <v>36306.400000000001</v>
      </c>
      <c r="T26" s="6">
        <f>AeMBR_Baseline_CED_Detail_yr!T28</f>
        <v>570927</v>
      </c>
      <c r="U26" s="6">
        <f>AeMBR_Baseline_CED_Detail_yr!U28</f>
        <v>155517</v>
      </c>
      <c r="V26" s="6">
        <f>AeMBR_Baseline_CED_Detail_yr!V28</f>
        <v>72611.7</v>
      </c>
      <c r="W26" s="2" t="s">
        <v>1</v>
      </c>
    </row>
    <row r="27" spans="1:23" x14ac:dyDescent="0.2">
      <c r="B27" s="123"/>
      <c r="C27" s="124"/>
      <c r="D27" s="4" t="s">
        <v>21</v>
      </c>
      <c r="E27" s="6">
        <f>AeMBR_Baseline_CED_Detail_yr!E29</f>
        <v>1252.67309</v>
      </c>
      <c r="F27" s="6">
        <f>AeMBR_Baseline_CED_Detail_yr!F29</f>
        <v>612.41795999999999</v>
      </c>
      <c r="G27" s="6">
        <f>AeMBR_Baseline_CED_Detail_yr!G29</f>
        <v>167.02</v>
      </c>
      <c r="H27" s="6">
        <f>AeMBR_Baseline_CED_Detail_yr!H29</f>
        <v>77.944000000000003</v>
      </c>
      <c r="I27" s="6">
        <f>AeMBR_Baseline_CED_Detail_yr!I29</f>
        <v>2505.346</v>
      </c>
      <c r="J27" s="6">
        <f>AeMBR_Baseline_CED_Detail_yr!J29</f>
        <v>1224.83591</v>
      </c>
      <c r="K27" s="6">
        <f>AeMBR_Baseline_CED_Detail_yr!K29</f>
        <v>334.04599999999999</v>
      </c>
      <c r="L27" s="6">
        <f>AeMBR_Baseline_CED_Detail_yr!L29</f>
        <v>155.88800000000001</v>
      </c>
      <c r="M27" s="6">
        <f>AeMBR_Baseline_CED_Detail_yr!M29</f>
        <v>25053.5</v>
      </c>
      <c r="N27" s="6">
        <f>AeMBR_Baseline_CED_Detail_yr!N29</f>
        <v>12248.4</v>
      </c>
      <c r="O27" s="6">
        <f>AeMBR_Baseline_CED_Detail_yr!O29</f>
        <v>3340.46</v>
      </c>
      <c r="P27" s="6">
        <f>AeMBR_Baseline_CED_Detail_yr!P29</f>
        <v>1670.23</v>
      </c>
      <c r="Q27" s="6">
        <f>AeMBR_Baseline_CED_Detail_yr!Q29</f>
        <v>61241.8</v>
      </c>
      <c r="R27" s="6">
        <f>AeMBR_Baseline_CED_Detail_yr!R29</f>
        <v>16702.3</v>
      </c>
      <c r="S27" s="6">
        <f>AeMBR_Baseline_CED_Detail_yr!S29</f>
        <v>7794</v>
      </c>
      <c r="T27" s="6">
        <f>AeMBR_Baseline_CED_Detail_yr!T29</f>
        <v>122484</v>
      </c>
      <c r="U27" s="6">
        <f>AeMBR_Baseline_CED_Detail_yr!U29</f>
        <v>33404.6</v>
      </c>
      <c r="V27" s="6">
        <f>AeMBR_Baseline_CED_Detail_yr!V29</f>
        <v>15588.8</v>
      </c>
      <c r="W27" s="4" t="s">
        <v>1</v>
      </c>
    </row>
    <row r="28" spans="1:23" x14ac:dyDescent="0.2">
      <c r="B28" s="125"/>
      <c r="C28" s="126"/>
      <c r="D28" s="2" t="s">
        <v>22</v>
      </c>
      <c r="E28" s="6">
        <f>AnMBR_35_CED_Detail_yr!E28</f>
        <v>-851434</v>
      </c>
      <c r="F28" s="6">
        <f>AnMBR_35_CED_Detail_yr!F28</f>
        <v>-851434</v>
      </c>
      <c r="G28" s="6">
        <f>AnMBR_35_CED_Detail_yr!G28</f>
        <v>-851434</v>
      </c>
      <c r="H28" s="6">
        <f>AnMBR_35_CED_Detail_yr!H28</f>
        <v>-851434</v>
      </c>
      <c r="I28" s="6">
        <f>AnMBR_35_CED_Detail_yr!I28</f>
        <v>-1704350</v>
      </c>
      <c r="J28" s="6">
        <f>AnMBR_35_CED_Detail_yr!J28</f>
        <v>-1704350</v>
      </c>
      <c r="K28" s="6">
        <f>AnMBR_35_CED_Detail_yr!K28</f>
        <v>-1704350</v>
      </c>
      <c r="L28" s="6">
        <f>AnMBR_35_CED_Detail_yr!L28</f>
        <v>-1704350</v>
      </c>
      <c r="M28" s="6">
        <f>AnMBR_35_CED_Detail_yr!M28</f>
        <v>-17102900</v>
      </c>
      <c r="N28" s="6">
        <f>AnMBR_35_CED_Detail_yr!N28</f>
        <v>-17102900</v>
      </c>
      <c r="O28" s="6">
        <f>AnMBR_35_CED_Detail_yr!O28</f>
        <v>-17102900</v>
      </c>
      <c r="P28" s="6">
        <f>AnMBR_35_CED_Detail_yr!P28</f>
        <v>-17102900</v>
      </c>
      <c r="Q28" s="6">
        <f>AnMBR_35_CED_Detail_yr!Q28</f>
        <v>-85600500</v>
      </c>
      <c r="R28" s="6">
        <f>AnMBR_35_CED_Detail_yr!R28</f>
        <v>-85600500</v>
      </c>
      <c r="S28" s="6">
        <f>AnMBR_35_CED_Detail_yr!S28</f>
        <v>-85600500</v>
      </c>
      <c r="T28" s="6">
        <f>AnMBR_35_CED_Detail_yr!T28</f>
        <v>-171149000</v>
      </c>
      <c r="U28" s="6">
        <f>AnMBR_35_CED_Detail_yr!U28</f>
        <v>-171149000</v>
      </c>
      <c r="V28" s="6">
        <f>AnMBR_35_CED_Detail_yr!V28</f>
        <v>-171149000</v>
      </c>
      <c r="W28" s="2" t="s">
        <v>1</v>
      </c>
    </row>
    <row r="29" spans="1:23" x14ac:dyDescent="0.2">
      <c r="D29" s="15" t="s">
        <v>23</v>
      </c>
      <c r="E29" s="16">
        <f t="shared" ref="E29:V29" si="5">SUM(E6:E28)</f>
        <v>-386039.75962000003</v>
      </c>
      <c r="F29" s="16">
        <f t="shared" si="5"/>
        <v>-406011.62964</v>
      </c>
      <c r="G29" s="16">
        <f t="shared" si="5"/>
        <v>-419869.36485999997</v>
      </c>
      <c r="H29" s="16">
        <f t="shared" si="5"/>
        <v>-422717.93394999992</v>
      </c>
      <c r="I29" s="16">
        <f t="shared" si="5"/>
        <v>-1255204.66655</v>
      </c>
      <c r="J29" s="16">
        <f t="shared" si="5"/>
        <v>-1294787.85916</v>
      </c>
      <c r="K29" s="16">
        <f t="shared" si="5"/>
        <v>-1322631.67668</v>
      </c>
      <c r="L29" s="20">
        <f t="shared" si="5"/>
        <v>-1328142.2891500001</v>
      </c>
      <c r="M29" s="16">
        <f t="shared" si="5"/>
        <v>-16835129.878010001</v>
      </c>
      <c r="N29" s="16">
        <f t="shared" si="5"/>
        <v>-17233941.315329999</v>
      </c>
      <c r="O29" s="16">
        <f t="shared" si="5"/>
        <v>-17512421.85909</v>
      </c>
      <c r="P29" s="16">
        <f t="shared" si="5"/>
        <v>-17567488.965009999</v>
      </c>
      <c r="Q29" s="16">
        <f t="shared" si="5"/>
        <v>-95311490.867049992</v>
      </c>
      <c r="R29" s="16">
        <f t="shared" si="5"/>
        <v>-96682500.299610004</v>
      </c>
      <c r="S29" s="16">
        <f t="shared" si="5"/>
        <v>-96959587.56961</v>
      </c>
      <c r="T29" s="16">
        <f t="shared" si="5"/>
        <v>-192511488.09319001</v>
      </c>
      <c r="U29" s="16">
        <f t="shared" si="5"/>
        <v>-195284662.99318999</v>
      </c>
      <c r="V29" s="16">
        <f t="shared" si="5"/>
        <v>-195841281.06319001</v>
      </c>
      <c r="W29" s="15" t="str">
        <f>W28</f>
        <v>MJ</v>
      </c>
    </row>
    <row r="32" spans="1:23" ht="15.75" x14ac:dyDescent="0.25">
      <c r="A32" s="42" t="s">
        <v>25</v>
      </c>
    </row>
    <row r="34" spans="2:23" ht="75" customHeight="1" x14ac:dyDescent="0.2">
      <c r="B34" s="13"/>
      <c r="C34" s="2"/>
      <c r="D34" s="2"/>
      <c r="E34" s="3" t="str">
        <f>E5</f>
        <v>0.05 MGD AnMBR [semi rural single family]</v>
      </c>
      <c r="F34" s="3" t="str">
        <f t="shared" ref="F34:V34" si="6">F5</f>
        <v>0.05 MGD AnMBR [single family]</v>
      </c>
      <c r="G34" s="3" t="str">
        <f t="shared" si="6"/>
        <v>0.05 MGD AnMBR [multi family]</v>
      </c>
      <c r="H34" s="3" t="str">
        <f t="shared" si="6"/>
        <v>0.05 MGD AnMBR [high density urban]</v>
      </c>
      <c r="I34" s="3" t="str">
        <f t="shared" si="6"/>
        <v>0.1 MGD AnMBR [semi rural single family]</v>
      </c>
      <c r="J34" s="3" t="str">
        <f t="shared" si="6"/>
        <v>0.1 MGD AnMBR [single family]</v>
      </c>
      <c r="K34" s="3" t="str">
        <f t="shared" si="6"/>
        <v>0.1 MGD AnMBR [multi family]</v>
      </c>
      <c r="L34" s="3" t="str">
        <f t="shared" si="6"/>
        <v>0.1 MGD AnMBR [high density urban]</v>
      </c>
      <c r="M34" s="3" t="str">
        <f t="shared" si="6"/>
        <v>1 MGD AnMBR [semi rural single family]</v>
      </c>
      <c r="N34" s="3" t="str">
        <f t="shared" si="6"/>
        <v>1 MGD AnMBR [single family]</v>
      </c>
      <c r="O34" s="3" t="str">
        <f t="shared" si="6"/>
        <v>1 MGD AnMBR [multi family]</v>
      </c>
      <c r="P34" s="3" t="str">
        <f t="shared" si="6"/>
        <v>1 MGD AnMBR [high density urban]</v>
      </c>
      <c r="Q34" s="3" t="str">
        <f t="shared" si="6"/>
        <v>5 MGD AnMBR [single family]</v>
      </c>
      <c r="R34" s="3" t="str">
        <f t="shared" si="6"/>
        <v>5 MGD AnMBR [multi family]</v>
      </c>
      <c r="S34" s="3" t="str">
        <f t="shared" si="6"/>
        <v>5 MGD AnMBR [high density urban]</v>
      </c>
      <c r="T34" s="3" t="str">
        <f t="shared" si="6"/>
        <v>10 MGD AnMBR [single family]</v>
      </c>
      <c r="U34" s="3" t="str">
        <f t="shared" si="6"/>
        <v>10 MGD AnMBR [multi family]</v>
      </c>
      <c r="V34" s="3" t="str">
        <f t="shared" si="6"/>
        <v>10 MGD AnMBR [high density urban]</v>
      </c>
      <c r="W34" s="2" t="s">
        <v>0</v>
      </c>
    </row>
    <row r="35" spans="2:23" ht="12.75" customHeight="1" x14ac:dyDescent="0.2">
      <c r="B35" s="134" t="str">
        <f>B6</f>
        <v>Wastewater collection</v>
      </c>
      <c r="C35" s="135"/>
      <c r="D35" s="82" t="str">
        <f t="shared" ref="D35:D37" si="7">D6</f>
        <v>Pipe infrastructure</v>
      </c>
      <c r="E35" s="5">
        <f>E6/$E$29</f>
        <v>-5.9217475481029829E-3</v>
      </c>
      <c r="F35" s="5">
        <f t="shared" ref="F35:V50" si="8">F6/$E$29</f>
        <v>-3.1533672106683502E-3</v>
      </c>
      <c r="G35" s="5">
        <f t="shared" si="8"/>
        <v>-7.8956652107553711E-4</v>
      </c>
      <c r="H35" s="5">
        <f t="shared" si="8"/>
        <v>-3.7154204049133689E-4</v>
      </c>
      <c r="I35" s="5">
        <f t="shared" si="8"/>
        <v>-1.1177216575430837E-2</v>
      </c>
      <c r="J35" s="5">
        <f t="shared" si="8"/>
        <v>-5.7901544188097582E-3</v>
      </c>
      <c r="K35" s="5">
        <f t="shared" si="8"/>
        <v>-1.5791119562401099E-3</v>
      </c>
      <c r="L35" s="5">
        <f t="shared" si="8"/>
        <v>-7.1323619689078071E-4</v>
      </c>
      <c r="M35" s="5">
        <f t="shared" si="8"/>
        <v>-0.11843339671800823</v>
      </c>
      <c r="N35" s="5">
        <f t="shared" si="8"/>
        <v>-5.7901548850829737E-2</v>
      </c>
      <c r="O35" s="5">
        <f t="shared" si="8"/>
        <v>-1.5791326794941288E-2</v>
      </c>
      <c r="P35" s="5">
        <f t="shared" si="8"/>
        <v>-7.3692668413230834E-3</v>
      </c>
      <c r="Q35" s="5">
        <f t="shared" si="8"/>
        <v>-0.24331535200534737</v>
      </c>
      <c r="R35" s="5">
        <f t="shared" si="8"/>
        <v>-7.8956633974706439E-2</v>
      </c>
      <c r="S35" s="5">
        <f t="shared" si="8"/>
        <v>-3.6846463726953035E-2</v>
      </c>
      <c r="T35" s="5">
        <f t="shared" si="8"/>
        <v>-0.57901548850829732</v>
      </c>
      <c r="U35" s="5">
        <f t="shared" si="8"/>
        <v>-0.15357355951718016</v>
      </c>
      <c r="V35" s="5">
        <f t="shared" si="8"/>
        <v>-7.3692927453906071E-2</v>
      </c>
      <c r="W35" s="2" t="s">
        <v>24</v>
      </c>
    </row>
    <row r="36" spans="2:23" x14ac:dyDescent="0.2">
      <c r="B36" s="136"/>
      <c r="C36" s="137"/>
      <c r="D36" s="82" t="str">
        <f t="shared" si="7"/>
        <v>Pipe installation</v>
      </c>
      <c r="E36" s="5">
        <f t="shared" ref="E36:T51" si="9">E7/$E$29</f>
        <v>-8.7874368260389189E-4</v>
      </c>
      <c r="F36" s="5">
        <f t="shared" si="9"/>
        <v>-4.2961380496986428E-4</v>
      </c>
      <c r="G36" s="5">
        <f t="shared" si="9"/>
        <v>-1.1716741312999369E-4</v>
      </c>
      <c r="H36" s="5">
        <f t="shared" si="9"/>
        <v>-5.4678124400392555E-5</v>
      </c>
      <c r="I36" s="5">
        <f t="shared" si="9"/>
        <v>-1.7575110156214325E-3</v>
      </c>
      <c r="J36" s="5">
        <f t="shared" si="9"/>
        <v>-8.5922760993972856E-4</v>
      </c>
      <c r="K36" s="5">
        <f t="shared" si="9"/>
        <v>-2.3432819481870133E-4</v>
      </c>
      <c r="L36" s="5">
        <f t="shared" si="9"/>
        <v>-1.6402455555958621E-4</v>
      </c>
      <c r="M36" s="5">
        <f t="shared" si="9"/>
        <v>-1.7575106788685547E-2</v>
      </c>
      <c r="N36" s="5">
        <f t="shared" si="9"/>
        <v>-8.5922760216850837E-3</v>
      </c>
      <c r="O36" s="5">
        <f t="shared" si="9"/>
        <v>-2.3433480035591984E-3</v>
      </c>
      <c r="P36" s="5">
        <f t="shared" si="9"/>
        <v>-1.2575906701368907E-3</v>
      </c>
      <c r="Q36" s="5">
        <f t="shared" si="9"/>
        <v>-4.2961377906579681E-2</v>
      </c>
      <c r="R36" s="5">
        <f t="shared" si="9"/>
        <v>-1.171672058974535E-2</v>
      </c>
      <c r="S36" s="5">
        <f t="shared" si="9"/>
        <v>-6.7253953389558889E-3</v>
      </c>
      <c r="T36" s="5">
        <f t="shared" si="9"/>
        <v>-8.5922755813159363E-2</v>
      </c>
      <c r="U36" s="5">
        <f t="shared" si="8"/>
        <v>-3.5149229222805202E-2</v>
      </c>
      <c r="V36" s="5">
        <f t="shared" si="8"/>
        <v>-1.7661030580661409E-2</v>
      </c>
      <c r="W36" s="2" t="s">
        <v>24</v>
      </c>
    </row>
    <row r="37" spans="2:23" x14ac:dyDescent="0.2">
      <c r="B37" s="138"/>
      <c r="C37" s="139"/>
      <c r="D37" s="82" t="str">
        <f t="shared" si="7"/>
        <v>Operation</v>
      </c>
      <c r="E37" s="5">
        <f t="shared" si="9"/>
        <v>-4.0603986012812554E-4</v>
      </c>
      <c r="F37" s="5">
        <f t="shared" si="8"/>
        <v>-1.9850838699991209E-4</v>
      </c>
      <c r="G37" s="5">
        <f t="shared" si="8"/>
        <v>-5.4138646290145569E-5</v>
      </c>
      <c r="H37" s="5">
        <f t="shared" si="8"/>
        <v>-2.5264237055790339E-5</v>
      </c>
      <c r="I37" s="5">
        <f t="shared" si="8"/>
        <v>-8.1206661279808405E-4</v>
      </c>
      <c r="J37" s="5">
        <f t="shared" si="8"/>
        <v>-3.9701674809575666E-4</v>
      </c>
      <c r="K37" s="5">
        <f t="shared" si="8"/>
        <v>-1.0827641184199533E-4</v>
      </c>
      <c r="L37" s="5">
        <f t="shared" si="8"/>
        <v>-7.5792711167371014E-5</v>
      </c>
      <c r="M37" s="5">
        <f t="shared" si="8"/>
        <v>-8.120795648318458E-3</v>
      </c>
      <c r="N37" s="5">
        <f t="shared" si="8"/>
        <v>-3.9701675068616335E-3</v>
      </c>
      <c r="O37" s="5">
        <f t="shared" si="8"/>
        <v>-1.0827729776110464E-3</v>
      </c>
      <c r="P37" s="5">
        <f t="shared" si="8"/>
        <v>-5.8108781391018728E-4</v>
      </c>
      <c r="Q37" s="5">
        <f t="shared" si="8"/>
        <v>-1.9850837560212237E-2</v>
      </c>
      <c r="R37" s="5">
        <f t="shared" si="8"/>
        <v>-5.4138464961672903E-3</v>
      </c>
      <c r="S37" s="5">
        <f t="shared" si="8"/>
        <v>-3.1075555564040115E-3</v>
      </c>
      <c r="T37" s="5">
        <f t="shared" si="8"/>
        <v>-3.9701610049406852E-2</v>
      </c>
      <c r="U37" s="5">
        <f t="shared" si="8"/>
        <v>-1.6239259930559791E-2</v>
      </c>
      <c r="V37" s="5">
        <f t="shared" si="8"/>
        <v>-8.1604806797646503E-3</v>
      </c>
      <c r="W37" s="2" t="s">
        <v>24</v>
      </c>
    </row>
    <row r="38" spans="2:23" ht="25.5" customHeight="1" x14ac:dyDescent="0.2">
      <c r="B38" s="140" t="str">
        <f t="shared" ref="B38:D39" si="10">B9</f>
        <v>Pre Treatment</v>
      </c>
      <c r="C38" s="140" t="str">
        <f t="shared" si="10"/>
        <v>Preliminary treatment</v>
      </c>
      <c r="D38" s="82" t="str">
        <f t="shared" si="10"/>
        <v>Operation</v>
      </c>
      <c r="E38" s="5">
        <f t="shared" si="9"/>
        <v>-0.11350903348176734</v>
      </c>
      <c r="F38" s="5">
        <f t="shared" si="8"/>
        <v>-0.11350903348176734</v>
      </c>
      <c r="G38" s="5">
        <f t="shared" si="8"/>
        <v>-0.11350903348176734</v>
      </c>
      <c r="H38" s="5">
        <f t="shared" si="8"/>
        <v>-0.11350903348176734</v>
      </c>
      <c r="I38" s="5">
        <f t="shared" si="8"/>
        <v>-0.1563587648573202</v>
      </c>
      <c r="J38" s="5">
        <f t="shared" si="8"/>
        <v>-0.1563587648573202</v>
      </c>
      <c r="K38" s="5">
        <f t="shared" si="8"/>
        <v>-0.1563587648573202</v>
      </c>
      <c r="L38" s="5">
        <f t="shared" si="8"/>
        <v>-0.1563587648573202</v>
      </c>
      <c r="M38" s="5">
        <f t="shared" si="8"/>
        <v>-0.45403613392706937</v>
      </c>
      <c r="N38" s="5">
        <f t="shared" si="8"/>
        <v>-0.45403613392706937</v>
      </c>
      <c r="O38" s="5">
        <f t="shared" si="8"/>
        <v>-0.45403613392706937</v>
      </c>
      <c r="P38" s="5">
        <f t="shared" si="8"/>
        <v>-0.45403613392706937</v>
      </c>
      <c r="Q38" s="5">
        <f t="shared" si="8"/>
        <v>-0.95631341280338344</v>
      </c>
      <c r="R38" s="5">
        <f t="shared" si="8"/>
        <v>-0.95631341280338344</v>
      </c>
      <c r="S38" s="5">
        <f t="shared" si="8"/>
        <v>-0.95631341280338344</v>
      </c>
      <c r="T38" s="5">
        <f t="shared" si="8"/>
        <v>-1.3195428380263894</v>
      </c>
      <c r="U38" s="5">
        <f t="shared" si="8"/>
        <v>-1.3195428380263894</v>
      </c>
      <c r="V38" s="5">
        <f t="shared" si="8"/>
        <v>-1.3195428380263894</v>
      </c>
      <c r="W38" s="2" t="s">
        <v>24</v>
      </c>
    </row>
    <row r="39" spans="2:23" x14ac:dyDescent="0.2">
      <c r="B39" s="141"/>
      <c r="C39" s="142"/>
      <c r="D39" s="82" t="str">
        <f t="shared" si="10"/>
        <v>Infrastructure</v>
      </c>
      <c r="E39" s="5">
        <f t="shared" si="9"/>
        <v>-7.7271833422969934E-8</v>
      </c>
      <c r="F39" s="5">
        <f t="shared" si="8"/>
        <v>-7.7271833422969934E-8</v>
      </c>
      <c r="G39" s="5">
        <f t="shared" si="8"/>
        <v>-7.7271833422969934E-8</v>
      </c>
      <c r="H39" s="5">
        <f t="shared" si="8"/>
        <v>-7.7271833422969934E-8</v>
      </c>
      <c r="I39" s="5">
        <f t="shared" si="8"/>
        <v>-1.5405148956299104E-7</v>
      </c>
      <c r="J39" s="5">
        <f t="shared" si="8"/>
        <v>-1.5405148956299104E-7</v>
      </c>
      <c r="K39" s="5">
        <f t="shared" si="8"/>
        <v>-1.5405148956299104E-7</v>
      </c>
      <c r="L39" s="5">
        <f t="shared" si="8"/>
        <v>-1.5405148956299104E-7</v>
      </c>
      <c r="M39" s="5">
        <f t="shared" si="8"/>
        <v>-1.5399968142794378E-6</v>
      </c>
      <c r="N39" s="5">
        <f t="shared" si="8"/>
        <v>-1.5399968142794378E-6</v>
      </c>
      <c r="O39" s="5">
        <f t="shared" si="8"/>
        <v>-1.5399968142794378E-6</v>
      </c>
      <c r="P39" s="5">
        <f t="shared" si="8"/>
        <v>-1.5399968142794378E-6</v>
      </c>
      <c r="Q39" s="5">
        <f t="shared" si="8"/>
        <v>-7.723738101316351E-6</v>
      </c>
      <c r="R39" s="5">
        <f t="shared" si="8"/>
        <v>-7.723738101316351E-6</v>
      </c>
      <c r="S39" s="5">
        <f t="shared" si="8"/>
        <v>-7.723738101316351E-6</v>
      </c>
      <c r="T39" s="5">
        <f t="shared" si="8"/>
        <v>-1.5399424157376383E-5</v>
      </c>
      <c r="U39" s="5">
        <f t="shared" si="8"/>
        <v>-1.5399424157376383E-5</v>
      </c>
      <c r="V39" s="5">
        <f t="shared" si="8"/>
        <v>-1.5399424157376383E-5</v>
      </c>
      <c r="W39" s="2" t="s">
        <v>24</v>
      </c>
    </row>
    <row r="40" spans="2:23" ht="15.75" customHeight="1" x14ac:dyDescent="0.2">
      <c r="B40" s="141"/>
      <c r="C40" s="140" t="str">
        <f t="shared" ref="C40:D41" si="11">C11</f>
        <v>Fine screening</v>
      </c>
      <c r="D40" s="82" t="str">
        <f t="shared" si="11"/>
        <v>Operation</v>
      </c>
      <c r="E40" s="5">
        <f t="shared" si="9"/>
        <v>-2.8377269768231545E-3</v>
      </c>
      <c r="F40" s="5">
        <f t="shared" si="8"/>
        <v>-2.8377269768231545E-3</v>
      </c>
      <c r="G40" s="5">
        <f t="shared" si="8"/>
        <v>-2.8377269768231545E-3</v>
      </c>
      <c r="H40" s="5">
        <f t="shared" si="8"/>
        <v>-2.8377269768231545E-3</v>
      </c>
      <c r="I40" s="5">
        <f t="shared" si="8"/>
        <v>-5.675453979550377E-3</v>
      </c>
      <c r="J40" s="5">
        <f t="shared" si="8"/>
        <v>-5.675453979550377E-3</v>
      </c>
      <c r="K40" s="5">
        <f t="shared" si="8"/>
        <v>-5.675453979550377E-3</v>
      </c>
      <c r="L40" s="5">
        <f t="shared" si="8"/>
        <v>-5.675453979550377E-3</v>
      </c>
      <c r="M40" s="5">
        <f t="shared" si="8"/>
        <v>-5.8740840638595145E-2</v>
      </c>
      <c r="N40" s="5">
        <f t="shared" si="8"/>
        <v>-5.8740840638595145E-2</v>
      </c>
      <c r="O40" s="5">
        <f t="shared" si="8"/>
        <v>-5.8740840638595145E-2</v>
      </c>
      <c r="P40" s="5">
        <f t="shared" si="8"/>
        <v>-5.8740840638595145E-2</v>
      </c>
      <c r="Q40" s="5">
        <f t="shared" si="8"/>
        <v>-0.29398785273235944</v>
      </c>
      <c r="R40" s="5">
        <f t="shared" si="8"/>
        <v>-0.29398785273235944</v>
      </c>
      <c r="S40" s="5">
        <f t="shared" si="8"/>
        <v>-0.29398785273235944</v>
      </c>
      <c r="T40" s="5">
        <f t="shared" si="8"/>
        <v>-0.58797829587147121</v>
      </c>
      <c r="U40" s="5">
        <f t="shared" si="8"/>
        <v>-0.58797829587147121</v>
      </c>
      <c r="V40" s="5">
        <f t="shared" si="8"/>
        <v>-0.58797829587147121</v>
      </c>
      <c r="W40" s="2" t="s">
        <v>24</v>
      </c>
    </row>
    <row r="41" spans="2:23" x14ac:dyDescent="0.2">
      <c r="B41" s="142"/>
      <c r="C41" s="142"/>
      <c r="D41" s="82" t="str">
        <f t="shared" si="11"/>
        <v>Infrastructure</v>
      </c>
      <c r="E41" s="5">
        <f t="shared" si="9"/>
        <v>-3.4056077573308275E-7</v>
      </c>
      <c r="F41" s="5">
        <f t="shared" si="8"/>
        <v>-3.4056077573308275E-7</v>
      </c>
      <c r="G41" s="5">
        <f t="shared" si="8"/>
        <v>-3.4056077573308275E-7</v>
      </c>
      <c r="H41" s="5">
        <f t="shared" si="8"/>
        <v>-3.4056077573308275E-7</v>
      </c>
      <c r="I41" s="5">
        <f t="shared" si="8"/>
        <v>-6.811215514661655E-7</v>
      </c>
      <c r="J41" s="5">
        <f t="shared" si="8"/>
        <v>-6.811215514661655E-7</v>
      </c>
      <c r="K41" s="5">
        <f t="shared" si="8"/>
        <v>-6.811215514661655E-7</v>
      </c>
      <c r="L41" s="5">
        <f t="shared" si="8"/>
        <v>-6.811215514661655E-7</v>
      </c>
      <c r="M41" s="5">
        <f t="shared" si="8"/>
        <v>-6.8108787617838475E-6</v>
      </c>
      <c r="N41" s="5">
        <f t="shared" si="8"/>
        <v>-6.8108787617838475E-6</v>
      </c>
      <c r="O41" s="5">
        <f t="shared" si="8"/>
        <v>-6.8108787617838475E-6</v>
      </c>
      <c r="P41" s="5">
        <f t="shared" si="8"/>
        <v>-6.8108787617838475E-6</v>
      </c>
      <c r="Q41" s="5">
        <f t="shared" si="8"/>
        <v>-3.4054601041459431E-5</v>
      </c>
      <c r="R41" s="5">
        <f t="shared" si="8"/>
        <v>-3.4054601041459431E-5</v>
      </c>
      <c r="S41" s="5">
        <f t="shared" si="8"/>
        <v>-3.4054601041459431E-5</v>
      </c>
      <c r="T41" s="5">
        <f t="shared" si="8"/>
        <v>-6.8109202082918861E-5</v>
      </c>
      <c r="U41" s="5">
        <f t="shared" si="8"/>
        <v>-6.8109202082918861E-5</v>
      </c>
      <c r="V41" s="5">
        <f t="shared" si="8"/>
        <v>-6.8109202082918861E-5</v>
      </c>
      <c r="W41" s="2" t="s">
        <v>24</v>
      </c>
    </row>
    <row r="42" spans="2:23" x14ac:dyDescent="0.2">
      <c r="B42" s="134" t="str">
        <f t="shared" ref="B42:D49" si="12">B13</f>
        <v>MBR operation</v>
      </c>
      <c r="C42" s="135"/>
      <c r="D42" s="82" t="str">
        <f t="shared" si="12"/>
        <v>Heating of influent</v>
      </c>
      <c r="E42" s="5">
        <f t="shared" si="9"/>
        <v>0</v>
      </c>
      <c r="F42" s="5">
        <f t="shared" si="8"/>
        <v>0</v>
      </c>
      <c r="G42" s="5">
        <f t="shared" si="8"/>
        <v>0</v>
      </c>
      <c r="H42" s="5">
        <f t="shared" si="8"/>
        <v>0</v>
      </c>
      <c r="I42" s="5">
        <f t="shared" si="8"/>
        <v>0</v>
      </c>
      <c r="J42" s="5">
        <f t="shared" si="8"/>
        <v>0</v>
      </c>
      <c r="K42" s="5">
        <f t="shared" si="8"/>
        <v>0</v>
      </c>
      <c r="L42" s="5">
        <f t="shared" si="8"/>
        <v>0</v>
      </c>
      <c r="M42" s="5">
        <f t="shared" si="8"/>
        <v>0</v>
      </c>
      <c r="N42" s="5">
        <f t="shared" si="8"/>
        <v>0</v>
      </c>
      <c r="O42" s="5">
        <f t="shared" si="8"/>
        <v>0</v>
      </c>
      <c r="P42" s="5">
        <f t="shared" si="8"/>
        <v>0</v>
      </c>
      <c r="Q42" s="5">
        <f t="shared" si="8"/>
        <v>0</v>
      </c>
      <c r="R42" s="5">
        <f t="shared" si="8"/>
        <v>0</v>
      </c>
      <c r="S42" s="5">
        <f t="shared" si="8"/>
        <v>0</v>
      </c>
      <c r="T42" s="5">
        <f t="shared" si="8"/>
        <v>0</v>
      </c>
      <c r="U42" s="5">
        <f t="shared" si="8"/>
        <v>0</v>
      </c>
      <c r="V42" s="5">
        <f t="shared" si="8"/>
        <v>0</v>
      </c>
      <c r="W42" s="2" t="s">
        <v>24</v>
      </c>
    </row>
    <row r="43" spans="2:23" x14ac:dyDescent="0.2">
      <c r="B43" s="136"/>
      <c r="C43" s="137"/>
      <c r="D43" s="82" t="str">
        <f t="shared" si="12"/>
        <v>Grinder pump</v>
      </c>
      <c r="E43" s="5">
        <f t="shared" si="9"/>
        <v>-2.9065918005557377E-2</v>
      </c>
      <c r="F43" s="5">
        <f t="shared" si="8"/>
        <v>-2.9065918005557377E-2</v>
      </c>
      <c r="G43" s="5">
        <f t="shared" si="8"/>
        <v>-2.9065918005557377E-2</v>
      </c>
      <c r="H43" s="5">
        <f t="shared" si="8"/>
        <v>-2.9065918005557377E-2</v>
      </c>
      <c r="I43" s="5">
        <f t="shared" si="8"/>
        <v>-5.8131836011114754E-2</v>
      </c>
      <c r="J43" s="5">
        <f t="shared" si="8"/>
        <v>-5.8131836011114754E-2</v>
      </c>
      <c r="K43" s="5">
        <f t="shared" si="8"/>
        <v>-5.8131836011114754E-2</v>
      </c>
      <c r="L43" s="5">
        <f t="shared" si="8"/>
        <v>-5.8131836011114754E-2</v>
      </c>
      <c r="M43" s="5">
        <f t="shared" si="8"/>
        <v>-0.58131836011114757</v>
      </c>
      <c r="N43" s="5">
        <f t="shared" si="8"/>
        <v>-0.58131836011114757</v>
      </c>
      <c r="O43" s="5">
        <f t="shared" si="8"/>
        <v>-0.58131836011114757</v>
      </c>
      <c r="P43" s="5">
        <f t="shared" si="8"/>
        <v>-0.58131836011114757</v>
      </c>
      <c r="Q43" s="5">
        <f t="shared" si="8"/>
        <v>-2.9065918005557374</v>
      </c>
      <c r="R43" s="5">
        <f t="shared" si="8"/>
        <v>-2.9065918005557374</v>
      </c>
      <c r="S43" s="5">
        <f t="shared" si="8"/>
        <v>-2.9065918005557374</v>
      </c>
      <c r="T43" s="5">
        <f t="shared" si="8"/>
        <v>-5.8131836011114748</v>
      </c>
      <c r="U43" s="5">
        <f t="shared" si="8"/>
        <v>-5.8131836011114748</v>
      </c>
      <c r="V43" s="5">
        <f t="shared" si="8"/>
        <v>-5.8131836011114748</v>
      </c>
      <c r="W43" s="2" t="s">
        <v>24</v>
      </c>
    </row>
    <row r="44" spans="2:23" x14ac:dyDescent="0.2">
      <c r="B44" s="136"/>
      <c r="C44" s="137"/>
      <c r="D44" s="82" t="str">
        <f t="shared" si="12"/>
        <v>Heat loss control</v>
      </c>
      <c r="E44" s="5">
        <f t="shared" si="9"/>
        <v>0</v>
      </c>
      <c r="F44" s="5">
        <f t="shared" si="8"/>
        <v>0</v>
      </c>
      <c r="G44" s="5">
        <f t="shared" si="8"/>
        <v>0</v>
      </c>
      <c r="H44" s="5">
        <f t="shared" si="8"/>
        <v>0</v>
      </c>
      <c r="I44" s="5">
        <f t="shared" si="8"/>
        <v>0</v>
      </c>
      <c r="J44" s="5">
        <f t="shared" si="8"/>
        <v>0</v>
      </c>
      <c r="K44" s="5">
        <f t="shared" si="8"/>
        <v>0</v>
      </c>
      <c r="L44" s="5">
        <f t="shared" si="8"/>
        <v>0</v>
      </c>
      <c r="M44" s="5">
        <f t="shared" si="8"/>
        <v>0</v>
      </c>
      <c r="N44" s="5">
        <f t="shared" si="8"/>
        <v>0</v>
      </c>
      <c r="O44" s="5">
        <f t="shared" si="8"/>
        <v>0</v>
      </c>
      <c r="P44" s="5">
        <f t="shared" si="8"/>
        <v>0</v>
      </c>
      <c r="Q44" s="5">
        <f t="shared" si="8"/>
        <v>0</v>
      </c>
      <c r="R44" s="5">
        <f t="shared" si="8"/>
        <v>0</v>
      </c>
      <c r="S44" s="5">
        <f t="shared" si="8"/>
        <v>0</v>
      </c>
      <c r="T44" s="5">
        <f t="shared" si="8"/>
        <v>0</v>
      </c>
      <c r="U44" s="5">
        <f t="shared" si="8"/>
        <v>0</v>
      </c>
      <c r="V44" s="5">
        <f t="shared" si="8"/>
        <v>0</v>
      </c>
      <c r="W44" s="2" t="s">
        <v>24</v>
      </c>
    </row>
    <row r="45" spans="2:23" ht="15.75" customHeight="1" x14ac:dyDescent="0.2">
      <c r="B45" s="136"/>
      <c r="C45" s="137"/>
      <c r="D45" s="82" t="str">
        <f t="shared" si="12"/>
        <v>Recovery of methane</v>
      </c>
      <c r="E45" s="5">
        <f t="shared" si="9"/>
        <v>0.65051589568700385</v>
      </c>
      <c r="F45" s="5">
        <f t="shared" si="8"/>
        <v>0.65051589568700385</v>
      </c>
      <c r="G45" s="5">
        <f t="shared" si="8"/>
        <v>0.65051589568700385</v>
      </c>
      <c r="H45" s="5">
        <f t="shared" si="8"/>
        <v>0.65051589568700385</v>
      </c>
      <c r="I45" s="5">
        <f t="shared" si="8"/>
        <v>1.3010292009672555</v>
      </c>
      <c r="J45" s="5">
        <f t="shared" si="8"/>
        <v>1.3010292009672555</v>
      </c>
      <c r="K45" s="5">
        <f t="shared" si="8"/>
        <v>1.3010292009672555</v>
      </c>
      <c r="L45" s="5">
        <f t="shared" si="8"/>
        <v>1.3010292009672555</v>
      </c>
      <c r="M45" s="5">
        <f t="shared" si="8"/>
        <v>13.010292009672554</v>
      </c>
      <c r="N45" s="5">
        <f t="shared" si="8"/>
        <v>13.010292009672554</v>
      </c>
      <c r="O45" s="5">
        <f t="shared" si="8"/>
        <v>13.010292009672554</v>
      </c>
      <c r="P45" s="5">
        <f t="shared" si="8"/>
        <v>13.010292009672554</v>
      </c>
      <c r="Q45" s="5">
        <f t="shared" si="8"/>
        <v>65.051589568700393</v>
      </c>
      <c r="R45" s="5">
        <f t="shared" si="8"/>
        <v>65.051589568700393</v>
      </c>
      <c r="S45" s="5">
        <f t="shared" si="8"/>
        <v>65.051589568700393</v>
      </c>
      <c r="T45" s="5">
        <f t="shared" si="8"/>
        <v>130.10292009672554</v>
      </c>
      <c r="U45" s="5">
        <f t="shared" si="8"/>
        <v>130.10292009672554</v>
      </c>
      <c r="V45" s="5">
        <f t="shared" si="8"/>
        <v>130.10292009672554</v>
      </c>
      <c r="W45" s="2" t="s">
        <v>24</v>
      </c>
    </row>
    <row r="46" spans="2:23" x14ac:dyDescent="0.2">
      <c r="B46" s="136"/>
      <c r="C46" s="137"/>
      <c r="D46" s="82" t="str">
        <f t="shared" si="12"/>
        <v>Effluent pumping out</v>
      </c>
      <c r="E46" s="5">
        <f t="shared" si="9"/>
        <v>-9.8664707587354697E-2</v>
      </c>
      <c r="F46" s="5">
        <f t="shared" si="8"/>
        <v>-9.8664707587354697E-2</v>
      </c>
      <c r="G46" s="5">
        <f t="shared" si="8"/>
        <v>-9.8664707587354697E-2</v>
      </c>
      <c r="H46" s="5">
        <f t="shared" si="8"/>
        <v>-9.8664707587354697E-2</v>
      </c>
      <c r="I46" s="5">
        <f t="shared" si="8"/>
        <v>-0.1973130956121695</v>
      </c>
      <c r="J46" s="5">
        <f t="shared" si="8"/>
        <v>-0.1973130956121695</v>
      </c>
      <c r="K46" s="5">
        <f t="shared" si="8"/>
        <v>-0.1973130956121695</v>
      </c>
      <c r="L46" s="5">
        <f t="shared" si="8"/>
        <v>-0.1973130956121695</v>
      </c>
      <c r="M46" s="5">
        <f t="shared" si="8"/>
        <v>-1.972980712530058</v>
      </c>
      <c r="N46" s="5">
        <f t="shared" si="8"/>
        <v>-1.972980712530058</v>
      </c>
      <c r="O46" s="5">
        <f t="shared" si="8"/>
        <v>-1.972980712530058</v>
      </c>
      <c r="P46" s="5">
        <f t="shared" si="8"/>
        <v>-1.972980712530058</v>
      </c>
      <c r="Q46" s="5">
        <f t="shared" si="8"/>
        <v>-9.864838802481481</v>
      </c>
      <c r="R46" s="5">
        <f t="shared" si="8"/>
        <v>-9.864838802481481</v>
      </c>
      <c r="S46" s="5">
        <f t="shared" si="8"/>
        <v>-9.864838802481481</v>
      </c>
      <c r="T46" s="5">
        <f t="shared" si="8"/>
        <v>-19.729651700895438</v>
      </c>
      <c r="U46" s="5">
        <f t="shared" si="8"/>
        <v>-19.729651700895438</v>
      </c>
      <c r="V46" s="5">
        <f t="shared" si="8"/>
        <v>-19.729651700895438</v>
      </c>
      <c r="W46" s="2" t="s">
        <v>24</v>
      </c>
    </row>
    <row r="47" spans="2:23" x14ac:dyDescent="0.2">
      <c r="B47" s="136"/>
      <c r="C47" s="137"/>
      <c r="D47" s="82" t="str">
        <f t="shared" si="12"/>
        <v>Heat recovery from discharge water</v>
      </c>
      <c r="E47" s="5">
        <f t="shared" si="9"/>
        <v>0</v>
      </c>
      <c r="F47" s="5">
        <f t="shared" si="8"/>
        <v>0</v>
      </c>
      <c r="G47" s="5">
        <f t="shared" si="8"/>
        <v>0</v>
      </c>
      <c r="H47" s="5">
        <f t="shared" si="8"/>
        <v>0</v>
      </c>
      <c r="I47" s="5">
        <f t="shared" si="8"/>
        <v>0</v>
      </c>
      <c r="J47" s="5">
        <f t="shared" si="8"/>
        <v>0</v>
      </c>
      <c r="K47" s="5">
        <f t="shared" si="8"/>
        <v>0</v>
      </c>
      <c r="L47" s="5">
        <f t="shared" si="8"/>
        <v>0</v>
      </c>
      <c r="M47" s="5">
        <f t="shared" si="8"/>
        <v>0</v>
      </c>
      <c r="N47" s="5">
        <f t="shared" si="8"/>
        <v>0</v>
      </c>
      <c r="O47" s="5">
        <f t="shared" si="8"/>
        <v>0</v>
      </c>
      <c r="P47" s="5">
        <f t="shared" si="8"/>
        <v>0</v>
      </c>
      <c r="Q47" s="5">
        <f t="shared" si="8"/>
        <v>0</v>
      </c>
      <c r="R47" s="5">
        <f t="shared" si="8"/>
        <v>0</v>
      </c>
      <c r="S47" s="5">
        <f t="shared" si="8"/>
        <v>0</v>
      </c>
      <c r="T47" s="5">
        <f t="shared" si="8"/>
        <v>0</v>
      </c>
      <c r="U47" s="5">
        <f t="shared" si="8"/>
        <v>0</v>
      </c>
      <c r="V47" s="5">
        <f t="shared" si="8"/>
        <v>0</v>
      </c>
      <c r="W47" s="2" t="s">
        <v>24</v>
      </c>
    </row>
    <row r="48" spans="2:23" x14ac:dyDescent="0.2">
      <c r="B48" s="136"/>
      <c r="C48" s="137"/>
      <c r="D48" s="82" t="str">
        <f t="shared" si="12"/>
        <v>Biogas recirculation pump</v>
      </c>
      <c r="E48" s="5">
        <f t="shared" si="9"/>
        <v>-4.5270155636825222E-3</v>
      </c>
      <c r="F48" s="5">
        <f t="shared" si="8"/>
        <v>-4.5270155636825222E-3</v>
      </c>
      <c r="G48" s="5">
        <f t="shared" si="8"/>
        <v>-4.5270155636825222E-3</v>
      </c>
      <c r="H48" s="5">
        <f t="shared" si="8"/>
        <v>-4.5270155636825222E-3</v>
      </c>
      <c r="I48" s="5">
        <f t="shared" si="8"/>
        <v>-9.0540337177717981E-3</v>
      </c>
      <c r="J48" s="5">
        <f t="shared" si="8"/>
        <v>-9.0540337177717981E-3</v>
      </c>
      <c r="K48" s="5">
        <f t="shared" si="8"/>
        <v>-9.0540337177717981E-3</v>
      </c>
      <c r="L48" s="5">
        <f t="shared" si="8"/>
        <v>-9.0540337177717981E-3</v>
      </c>
      <c r="M48" s="5">
        <f t="shared" si="8"/>
        <v>-9.054041488992054E-2</v>
      </c>
      <c r="N48" s="5">
        <f t="shared" si="8"/>
        <v>-9.054041488992054E-2</v>
      </c>
      <c r="O48" s="5">
        <f t="shared" si="8"/>
        <v>-9.054041488992054E-2</v>
      </c>
      <c r="P48" s="5">
        <f t="shared" si="8"/>
        <v>-9.054041488992054E-2</v>
      </c>
      <c r="Q48" s="5">
        <f t="shared" si="8"/>
        <v>-0.45269948404285038</v>
      </c>
      <c r="R48" s="5">
        <f t="shared" si="8"/>
        <v>-0.45269948404285038</v>
      </c>
      <c r="S48" s="5">
        <f t="shared" si="8"/>
        <v>-0.45269948404285038</v>
      </c>
      <c r="T48" s="5">
        <f t="shared" si="8"/>
        <v>-0.90540414889920551</v>
      </c>
      <c r="U48" s="5">
        <f t="shared" si="8"/>
        <v>-0.90540414889920551</v>
      </c>
      <c r="V48" s="5">
        <f t="shared" si="8"/>
        <v>-0.90540414889920551</v>
      </c>
      <c r="W48" s="2" t="s">
        <v>24</v>
      </c>
    </row>
    <row r="49" spans="2:23" x14ac:dyDescent="0.2">
      <c r="B49" s="138"/>
      <c r="C49" s="139"/>
      <c r="D49" s="82" t="str">
        <f t="shared" si="12"/>
        <v xml:space="preserve">Sodium hypochlorite, 15% </v>
      </c>
      <c r="E49" s="5">
        <f t="shared" si="9"/>
        <v>-5.1033085346940871E-2</v>
      </c>
      <c r="F49" s="5">
        <f t="shared" si="8"/>
        <v>-5.1033085346940871E-2</v>
      </c>
      <c r="G49" s="5">
        <f t="shared" si="8"/>
        <v>-5.1033085346940871E-2</v>
      </c>
      <c r="H49" s="5">
        <f t="shared" si="8"/>
        <v>-5.1033085346940871E-2</v>
      </c>
      <c r="I49" s="5">
        <f t="shared" si="8"/>
        <v>-0.10209647845288439</v>
      </c>
      <c r="J49" s="5">
        <f t="shared" si="8"/>
        <v>-0.10209647845288439</v>
      </c>
      <c r="K49" s="5">
        <f t="shared" si="8"/>
        <v>-0.10209647845288439</v>
      </c>
      <c r="L49" s="5">
        <f t="shared" si="8"/>
        <v>-0.10209647845288439</v>
      </c>
      <c r="M49" s="5">
        <f t="shared" si="8"/>
        <v>-0.75572267552744976</v>
      </c>
      <c r="N49" s="5">
        <f t="shared" si="8"/>
        <v>-0.75572267552744976</v>
      </c>
      <c r="O49" s="5">
        <f t="shared" si="8"/>
        <v>-0.75572267552744976</v>
      </c>
      <c r="P49" s="5">
        <f t="shared" si="8"/>
        <v>-0.75572267552744976</v>
      </c>
      <c r="Q49" s="5">
        <f t="shared" si="8"/>
        <v>-3.1488984481717153</v>
      </c>
      <c r="R49" s="5">
        <f t="shared" si="8"/>
        <v>-3.1488984481717153</v>
      </c>
      <c r="S49" s="5">
        <f t="shared" si="8"/>
        <v>-3.1488984481717153</v>
      </c>
      <c r="T49" s="5">
        <f t="shared" si="8"/>
        <v>-5.6678099741688985</v>
      </c>
      <c r="U49" s="5">
        <f t="shared" si="8"/>
        <v>-5.6678099741688985</v>
      </c>
      <c r="V49" s="5">
        <f t="shared" si="8"/>
        <v>-5.6678099741688985</v>
      </c>
      <c r="W49" s="2" t="s">
        <v>24</v>
      </c>
    </row>
    <row r="50" spans="2:23" x14ac:dyDescent="0.2">
      <c r="B50" s="143" t="str">
        <f t="shared" ref="B50:D53" si="13">B21</f>
        <v>MBR</v>
      </c>
      <c r="C50" s="144"/>
      <c r="D50" s="82" t="str">
        <f t="shared" si="13"/>
        <v>Infrastructure</v>
      </c>
      <c r="E50" s="5">
        <f t="shared" si="9"/>
        <v>-6.9314179959959019E-2</v>
      </c>
      <c r="F50" s="5">
        <f t="shared" si="8"/>
        <v>-6.9314179959959019E-2</v>
      </c>
      <c r="G50" s="5">
        <f t="shared" si="8"/>
        <v>-6.9314179959959019E-2</v>
      </c>
      <c r="H50" s="5">
        <f t="shared" si="8"/>
        <v>-6.9314179959959019E-2</v>
      </c>
      <c r="I50" s="5">
        <f t="shared" si="8"/>
        <v>-7.1227145170399839E-2</v>
      </c>
      <c r="J50" s="5">
        <f t="shared" si="8"/>
        <v>-7.1227145170399839E-2</v>
      </c>
      <c r="K50" s="5">
        <f t="shared" si="8"/>
        <v>-7.1227145170399839E-2</v>
      </c>
      <c r="L50" s="5">
        <f t="shared" si="8"/>
        <v>-7.1227145170399839E-2</v>
      </c>
      <c r="M50" s="5">
        <f t="shared" si="8"/>
        <v>-1.3431806882027091</v>
      </c>
      <c r="N50" s="5">
        <f t="shared" si="8"/>
        <v>-1.3431806882027091</v>
      </c>
      <c r="O50" s="5">
        <f t="shared" si="8"/>
        <v>-1.3431806882027091</v>
      </c>
      <c r="P50" s="5">
        <f t="shared" si="8"/>
        <v>-1.3431806882027091</v>
      </c>
      <c r="Q50" s="5">
        <f t="shared" si="8"/>
        <v>-5.5974923467133202</v>
      </c>
      <c r="R50" s="5">
        <f t="shared" si="8"/>
        <v>-5.5974923467133202</v>
      </c>
      <c r="S50" s="5">
        <f t="shared" si="8"/>
        <v>-5.5974923467133202</v>
      </c>
      <c r="T50" s="5">
        <f t="shared" si="8"/>
        <v>-10.073846708453194</v>
      </c>
      <c r="U50" s="5">
        <f t="shared" ref="F50:V57" si="14">U21/$E$29</f>
        <v>-10.073846708453194</v>
      </c>
      <c r="V50" s="5">
        <f t="shared" si="14"/>
        <v>-10.073846708453194</v>
      </c>
      <c r="W50" s="2" t="s">
        <v>24</v>
      </c>
    </row>
    <row r="51" spans="2:23" x14ac:dyDescent="0.2">
      <c r="B51" s="140" t="str">
        <f t="shared" si="13"/>
        <v>Post treatment</v>
      </c>
      <c r="C51" s="140" t="str">
        <f t="shared" si="13"/>
        <v>Chlorination</v>
      </c>
      <c r="D51" s="82" t="str">
        <f t="shared" si="13"/>
        <v>Operation</v>
      </c>
      <c r="E51" s="5">
        <f t="shared" si="9"/>
        <v>-1.2972109414142734</v>
      </c>
      <c r="F51" s="5">
        <f t="shared" si="14"/>
        <v>-1.2972109414142734</v>
      </c>
      <c r="G51" s="5">
        <f t="shared" si="14"/>
        <v>-1.2972109414142734</v>
      </c>
      <c r="H51" s="5">
        <f t="shared" si="14"/>
        <v>-1.2972109414142734</v>
      </c>
      <c r="I51" s="5">
        <f t="shared" si="14"/>
        <v>-1.4891833954250973</v>
      </c>
      <c r="J51" s="5">
        <f t="shared" si="14"/>
        <v>-1.4891833954250973</v>
      </c>
      <c r="K51" s="5">
        <f t="shared" si="14"/>
        <v>-1.4891833954250973</v>
      </c>
      <c r="L51" s="5">
        <f t="shared" si="14"/>
        <v>-1.4891833954250973</v>
      </c>
      <c r="M51" s="5">
        <f t="shared" si="14"/>
        <v>-2.3553143875517368</v>
      </c>
      <c r="N51" s="5">
        <f t="shared" si="14"/>
        <v>-2.3553143875517368</v>
      </c>
      <c r="O51" s="5">
        <f t="shared" si="14"/>
        <v>-2.3553143875517368</v>
      </c>
      <c r="P51" s="5">
        <f t="shared" si="14"/>
        <v>-2.3553143875517368</v>
      </c>
      <c r="Q51" s="5">
        <f t="shared" si="14"/>
        <v>-3.2450025386843597</v>
      </c>
      <c r="R51" s="5">
        <f t="shared" si="14"/>
        <v>-3.2450025386843597</v>
      </c>
      <c r="S51" s="5">
        <f t="shared" si="14"/>
        <v>-3.2450025386843597</v>
      </c>
      <c r="T51" s="5">
        <f t="shared" si="14"/>
        <v>-3.7174150181126877</v>
      </c>
      <c r="U51" s="5">
        <f t="shared" si="14"/>
        <v>-3.7174150181126877</v>
      </c>
      <c r="V51" s="5">
        <f t="shared" si="14"/>
        <v>-3.7174150181126877</v>
      </c>
      <c r="W51" s="2" t="s">
        <v>24</v>
      </c>
    </row>
    <row r="52" spans="2:23" ht="15" customHeight="1" x14ac:dyDescent="0.2">
      <c r="B52" s="141"/>
      <c r="C52" s="141"/>
      <c r="D52" s="82" t="str">
        <f t="shared" si="13"/>
        <v xml:space="preserve">Sodium hypochlorite, 15% </v>
      </c>
      <c r="E52" s="5">
        <f t="shared" ref="E52:E57" si="15">E23/$E$29</f>
        <v>-8.5195628637771248E-2</v>
      </c>
      <c r="F52" s="5">
        <f t="shared" si="14"/>
        <v>-8.5195628637771248E-2</v>
      </c>
      <c r="G52" s="5">
        <f t="shared" si="14"/>
        <v>-8.5195628637771248E-2</v>
      </c>
      <c r="H52" s="5">
        <f t="shared" si="14"/>
        <v>-8.5195628637771248E-2</v>
      </c>
      <c r="I52" s="5">
        <f t="shared" si="14"/>
        <v>-0.17042130599386987</v>
      </c>
      <c r="J52" s="5">
        <f t="shared" si="14"/>
        <v>-0.17042130599386987</v>
      </c>
      <c r="K52" s="5">
        <f t="shared" si="14"/>
        <v>-0.17042130599386987</v>
      </c>
      <c r="L52" s="5">
        <f t="shared" si="14"/>
        <v>-0.17042130599386987</v>
      </c>
      <c r="M52" s="5">
        <f t="shared" si="14"/>
        <v>-4.0639855375112512</v>
      </c>
      <c r="N52" s="5">
        <f t="shared" si="14"/>
        <v>-4.0639855375112512</v>
      </c>
      <c r="O52" s="5">
        <f t="shared" si="14"/>
        <v>-4.0639855375112512</v>
      </c>
      <c r="P52" s="5">
        <f t="shared" si="14"/>
        <v>-4.0639855375112512</v>
      </c>
      <c r="Q52" s="5">
        <f t="shared" si="14"/>
        <v>-8.52075445088321</v>
      </c>
      <c r="R52" s="5">
        <f t="shared" si="14"/>
        <v>-8.52075445088321</v>
      </c>
      <c r="S52" s="5">
        <f t="shared" si="14"/>
        <v>-8.52075445088321</v>
      </c>
      <c r="T52" s="5">
        <f t="shared" si="14"/>
        <v>-17.041534805833944</v>
      </c>
      <c r="U52" s="5">
        <f t="shared" si="14"/>
        <v>-17.041534805833944</v>
      </c>
      <c r="V52" s="5">
        <f t="shared" si="14"/>
        <v>-17.041534805833944</v>
      </c>
      <c r="W52" s="2" t="s">
        <v>24</v>
      </c>
    </row>
    <row r="53" spans="2:23" x14ac:dyDescent="0.2">
      <c r="B53" s="142"/>
      <c r="C53" s="142"/>
      <c r="D53" s="82" t="str">
        <f t="shared" si="13"/>
        <v>Infrastructure</v>
      </c>
      <c r="E53" s="5">
        <f t="shared" si="15"/>
        <v>-3.3999011171594409E-3</v>
      </c>
      <c r="F53" s="5">
        <f t="shared" si="14"/>
        <v>-3.3999011171594409E-3</v>
      </c>
      <c r="G53" s="5">
        <f t="shared" si="14"/>
        <v>-3.3999011171594409E-3</v>
      </c>
      <c r="H53" s="5">
        <f t="shared" si="14"/>
        <v>-3.3999011171594409E-3</v>
      </c>
      <c r="I53" s="5">
        <f t="shared" si="14"/>
        <v>-3.4433707587749013E-3</v>
      </c>
      <c r="J53" s="5">
        <f t="shared" si="14"/>
        <v>-3.4433707587749013E-3</v>
      </c>
      <c r="K53" s="5">
        <f t="shared" si="14"/>
        <v>-3.4433707587749013E-3</v>
      </c>
      <c r="L53" s="5">
        <f t="shared" si="14"/>
        <v>-3.4433707587749013E-3</v>
      </c>
      <c r="M53" s="5">
        <f t="shared" si="14"/>
        <v>-4.4531895411296808E-3</v>
      </c>
      <c r="N53" s="5">
        <f t="shared" si="14"/>
        <v>-4.4531895411296808E-3</v>
      </c>
      <c r="O53" s="5">
        <f t="shared" si="14"/>
        <v>-4.4531895411296808E-3</v>
      </c>
      <c r="P53" s="5">
        <f t="shared" si="14"/>
        <v>-4.4531895411296808E-3</v>
      </c>
      <c r="Q53" s="5">
        <f t="shared" si="14"/>
        <v>-8.8570987956414059E-3</v>
      </c>
      <c r="R53" s="5">
        <f t="shared" si="14"/>
        <v>-8.8570987956414059E-3</v>
      </c>
      <c r="S53" s="5">
        <f t="shared" si="14"/>
        <v>-8.8570987956414059E-3</v>
      </c>
      <c r="T53" s="5">
        <f t="shared" si="14"/>
        <v>-1.4359420867572241E-2</v>
      </c>
      <c r="U53" s="5">
        <f t="shared" si="14"/>
        <v>-1.4359420867572241E-2</v>
      </c>
      <c r="V53" s="5">
        <f t="shared" si="14"/>
        <v>-1.4359420867572241E-2</v>
      </c>
      <c r="W53" s="2" t="s">
        <v>24</v>
      </c>
    </row>
    <row r="54" spans="2:23" ht="25.5" customHeight="1" x14ac:dyDescent="0.2">
      <c r="B54" s="134" t="str">
        <f t="shared" ref="B54:D57" si="16">B25</f>
        <v>Recycled water delivery</v>
      </c>
      <c r="C54" s="135"/>
      <c r="D54" s="83" t="str">
        <f t="shared" si="16"/>
        <v>Operation</v>
      </c>
      <c r="E54" s="5">
        <f t="shared" si="15"/>
        <v>-7.5782608581036803E-2</v>
      </c>
      <c r="F54" s="5">
        <f t="shared" si="14"/>
        <v>-3.6820818700104646E-2</v>
      </c>
      <c r="G54" s="5">
        <f t="shared" si="14"/>
        <v>-1.0275599601203585E-2</v>
      </c>
      <c r="H54" s="5">
        <f t="shared" si="14"/>
        <v>-4.7096444205375751E-3</v>
      </c>
      <c r="I54" s="5">
        <f t="shared" si="14"/>
        <v>-0.15113702292590811</v>
      </c>
      <c r="J54" s="5">
        <f t="shared" si="14"/>
        <v>-7.4070090677050032E-2</v>
      </c>
      <c r="K54" s="5">
        <f t="shared" si="14"/>
        <v>-2.0123056774376716E-2</v>
      </c>
      <c r="L54" s="5">
        <f t="shared" si="14"/>
        <v>-9.4192888410751501E-3</v>
      </c>
      <c r="M54" s="5">
        <f t="shared" si="14"/>
        <v>-1.5122276538941131</v>
      </c>
      <c r="N54" s="5">
        <f t="shared" si="14"/>
        <v>-0.74070090677050038</v>
      </c>
      <c r="O54" s="5">
        <f t="shared" si="14"/>
        <v>-0.20165798485790695</v>
      </c>
      <c r="P54" s="5">
        <f t="shared" si="14"/>
        <v>-9.4193147451426762E-2</v>
      </c>
      <c r="Q54" s="5">
        <f t="shared" si="14"/>
        <v>-3.6970803251066431</v>
      </c>
      <c r="R54" s="5">
        <f t="shared" si="14"/>
        <v>-1.0082899242895347</v>
      </c>
      <c r="S54" s="5">
        <f t="shared" si="14"/>
        <v>-0.47053702493961774</v>
      </c>
      <c r="T54" s="5">
        <f t="shared" si="14"/>
        <v>-7.3937202810653844</v>
      </c>
      <c r="U54" s="5">
        <f t="shared" si="14"/>
        <v>-2.0165798485790694</v>
      </c>
      <c r="V54" s="5">
        <f t="shared" si="14"/>
        <v>-0.94106886906573084</v>
      </c>
      <c r="W54" s="2" t="s">
        <v>24</v>
      </c>
    </row>
    <row r="55" spans="2:23" x14ac:dyDescent="0.2">
      <c r="B55" s="136"/>
      <c r="C55" s="137"/>
      <c r="D55" s="83" t="str">
        <f t="shared" si="16"/>
        <v>Pipe infrastructure</v>
      </c>
      <c r="E55" s="5">
        <f t="shared" si="15"/>
        <v>-1.5083650051310224E-2</v>
      </c>
      <c r="F55" s="5">
        <f t="shared" si="14"/>
        <v>-7.3937358753140333E-3</v>
      </c>
      <c r="G55" s="5">
        <f t="shared" si="14"/>
        <v>-2.0161627930919391E-3</v>
      </c>
      <c r="H55" s="5">
        <f t="shared" si="14"/>
        <v>-9.4329661887276243E-4</v>
      </c>
      <c r="I55" s="5">
        <f t="shared" si="14"/>
        <v>-3.0218908051033874E-2</v>
      </c>
      <c r="J55" s="5">
        <f t="shared" si="14"/>
        <v>-1.4766708293496371E-2</v>
      </c>
      <c r="K55" s="5">
        <f t="shared" si="14"/>
        <v>-4.0191196925603344E-3</v>
      </c>
      <c r="L55" s="5">
        <f t="shared" si="14"/>
        <v>-1.8783246593919839E-3</v>
      </c>
      <c r="M55" s="5">
        <f t="shared" si="14"/>
        <v>-0.30238854183027064</v>
      </c>
      <c r="N55" s="5">
        <f t="shared" si="14"/>
        <v>-0.14766717308111871</v>
      </c>
      <c r="O55" s="5">
        <f t="shared" si="14"/>
        <v>-3.9653946565163391E-2</v>
      </c>
      <c r="P55" s="5">
        <f t="shared" si="14"/>
        <v>-1.8808658484160516E-2</v>
      </c>
      <c r="Q55" s="5">
        <f t="shared" si="14"/>
        <v>-0.73884617553580889</v>
      </c>
      <c r="R55" s="5">
        <f t="shared" si="14"/>
        <v>-0.20158027265533607</v>
      </c>
      <c r="S55" s="5">
        <f t="shared" si="14"/>
        <v>-9.4048343713969695E-2</v>
      </c>
      <c r="T55" s="5">
        <f t="shared" si="14"/>
        <v>-1.4789331559059993</v>
      </c>
      <c r="U55" s="5">
        <f t="shared" si="14"/>
        <v>-0.40285228690714103</v>
      </c>
      <c r="V55" s="5">
        <f t="shared" si="14"/>
        <v>-0.18809383798051177</v>
      </c>
      <c r="W55" s="2" t="s">
        <v>24</v>
      </c>
    </row>
    <row r="56" spans="2:23" ht="12.75" customHeight="1" x14ac:dyDescent="0.2">
      <c r="B56" s="136"/>
      <c r="C56" s="137"/>
      <c r="D56" s="83" t="str">
        <f t="shared" si="16"/>
        <v>Pipe installation</v>
      </c>
      <c r="E56" s="5">
        <f t="shared" si="15"/>
        <v>-3.2449328308386534E-3</v>
      </c>
      <c r="F56" s="5">
        <f t="shared" si="14"/>
        <v>-1.586411618851997E-3</v>
      </c>
      <c r="G56" s="5">
        <f t="shared" si="14"/>
        <v>-4.3264973577956554E-4</v>
      </c>
      <c r="H56" s="5">
        <f t="shared" si="14"/>
        <v>-2.0190666390613372E-4</v>
      </c>
      <c r="I56" s="5">
        <f t="shared" si="14"/>
        <v>-6.4898651954040914E-3</v>
      </c>
      <c r="J56" s="5">
        <f t="shared" si="14"/>
        <v>-3.1728232117999265E-3</v>
      </c>
      <c r="K56" s="5">
        <f t="shared" si="14"/>
        <v>-8.6531501399964516E-4</v>
      </c>
      <c r="L56" s="5">
        <f t="shared" si="14"/>
        <v>-4.0381332781226745E-4</v>
      </c>
      <c r="M56" s="5">
        <f t="shared" si="14"/>
        <v>-6.4898755570311009E-2</v>
      </c>
      <c r="N56" s="5">
        <f t="shared" si="14"/>
        <v>-3.1728338065635436E-2</v>
      </c>
      <c r="O56" s="5">
        <f t="shared" si="14"/>
        <v>-8.653150139996452E-3</v>
      </c>
      <c r="P56" s="5">
        <f t="shared" si="14"/>
        <v>-4.326575069998226E-3</v>
      </c>
      <c r="Q56" s="5">
        <f t="shared" si="14"/>
        <v>-0.15864117224682672</v>
      </c>
      <c r="R56" s="5">
        <f t="shared" si="14"/>
        <v>-4.3265750699982258E-2</v>
      </c>
      <c r="S56" s="5">
        <f t="shared" si="14"/>
        <v>-2.0189630227912429E-2</v>
      </c>
      <c r="T56" s="5">
        <f t="shared" si="14"/>
        <v>-0.31728338065635436</v>
      </c>
      <c r="U56" s="5">
        <f t="shared" si="14"/>
        <v>-8.6531501399964517E-2</v>
      </c>
      <c r="V56" s="5">
        <f t="shared" si="14"/>
        <v>-4.0381332781226742E-2</v>
      </c>
      <c r="W56" s="2" t="s">
        <v>24</v>
      </c>
    </row>
    <row r="57" spans="2:23" x14ac:dyDescent="0.2">
      <c r="B57" s="138"/>
      <c r="C57" s="139"/>
      <c r="D57" s="81" t="str">
        <f t="shared" si="16"/>
        <v>Displaced drinking water</v>
      </c>
      <c r="E57" s="5">
        <f t="shared" si="15"/>
        <v>2.2055603827909147</v>
      </c>
      <c r="F57" s="5">
        <f t="shared" si="14"/>
        <v>2.2055603827909147</v>
      </c>
      <c r="G57" s="5">
        <f t="shared" si="14"/>
        <v>2.2055603827909147</v>
      </c>
      <c r="H57" s="5">
        <f t="shared" si="14"/>
        <v>2.2055603827909147</v>
      </c>
      <c r="I57" s="5">
        <f t="shared" si="14"/>
        <v>4.4149597483888305</v>
      </c>
      <c r="J57" s="5">
        <f t="shared" si="14"/>
        <v>4.4149597483888305</v>
      </c>
      <c r="K57" s="5">
        <f t="shared" si="14"/>
        <v>4.4149597483888305</v>
      </c>
      <c r="L57" s="5">
        <f t="shared" si="14"/>
        <v>4.4149597483888305</v>
      </c>
      <c r="M57" s="5">
        <f t="shared" si="14"/>
        <v>44.303467644978632</v>
      </c>
      <c r="N57" s="5">
        <f t="shared" si="14"/>
        <v>44.303467644978632</v>
      </c>
      <c r="O57" s="5">
        <f t="shared" si="14"/>
        <v>44.303467644978632</v>
      </c>
      <c r="P57" s="5">
        <f t="shared" si="14"/>
        <v>44.303467644978632</v>
      </c>
      <c r="Q57" s="5">
        <f t="shared" si="14"/>
        <v>221.74011320559632</v>
      </c>
      <c r="R57" s="5">
        <f t="shared" si="14"/>
        <v>221.74011320559632</v>
      </c>
      <c r="S57" s="5">
        <f t="shared" si="14"/>
        <v>221.74011320559632</v>
      </c>
      <c r="T57" s="5">
        <f t="shared" si="14"/>
        <v>443.34552526006979</v>
      </c>
      <c r="U57" s="5">
        <f t="shared" si="14"/>
        <v>443.34552526006979</v>
      </c>
      <c r="V57" s="5">
        <f t="shared" si="14"/>
        <v>443.34552526006979</v>
      </c>
      <c r="W57" s="2" t="s">
        <v>24</v>
      </c>
    </row>
    <row r="60" spans="2:23" x14ac:dyDescent="0.2">
      <c r="D60" s="119" t="s">
        <v>173</v>
      </c>
    </row>
    <row r="61" spans="2:23" ht="25.5" customHeight="1" x14ac:dyDescent="0.2">
      <c r="D61" s="3"/>
      <c r="E61" s="3" t="str">
        <f>E5</f>
        <v>0.05 MGD AnMBR [semi rural single family]</v>
      </c>
      <c r="F61" s="3" t="str">
        <f t="shared" ref="F61:V61" si="17">F5</f>
        <v>0.05 MGD AnMBR [single family]</v>
      </c>
      <c r="G61" s="3" t="str">
        <f t="shared" si="17"/>
        <v>0.05 MGD AnMBR [multi family]</v>
      </c>
      <c r="H61" s="3" t="str">
        <f t="shared" si="17"/>
        <v>0.05 MGD AnMBR [high density urban]</v>
      </c>
      <c r="I61" s="3" t="str">
        <f t="shared" si="17"/>
        <v>0.1 MGD AnMBR [semi rural single family]</v>
      </c>
      <c r="J61" s="3" t="str">
        <f t="shared" si="17"/>
        <v>0.1 MGD AnMBR [single family]</v>
      </c>
      <c r="K61" s="3" t="str">
        <f t="shared" si="17"/>
        <v>0.1 MGD AnMBR [multi family]</v>
      </c>
      <c r="L61" s="3" t="str">
        <f t="shared" si="17"/>
        <v>0.1 MGD AnMBR [high density urban]</v>
      </c>
      <c r="M61" s="3" t="str">
        <f t="shared" si="17"/>
        <v>1 MGD AnMBR [semi rural single family]</v>
      </c>
      <c r="N61" s="3" t="str">
        <f t="shared" si="17"/>
        <v>1 MGD AnMBR [single family]</v>
      </c>
      <c r="O61" s="3" t="str">
        <f t="shared" si="17"/>
        <v>1 MGD AnMBR [multi family]</v>
      </c>
      <c r="P61" s="3" t="str">
        <f t="shared" si="17"/>
        <v>1 MGD AnMBR [high density urban]</v>
      </c>
      <c r="Q61" s="3" t="str">
        <f t="shared" si="17"/>
        <v>5 MGD AnMBR [single family]</v>
      </c>
      <c r="R61" s="3" t="str">
        <f t="shared" si="17"/>
        <v>5 MGD AnMBR [multi family]</v>
      </c>
      <c r="S61" s="3" t="str">
        <f t="shared" si="17"/>
        <v>5 MGD AnMBR [high density urban]</v>
      </c>
      <c r="T61" s="3" t="str">
        <f t="shared" si="17"/>
        <v>10 MGD AnMBR [single family]</v>
      </c>
      <c r="U61" s="3" t="str">
        <f t="shared" si="17"/>
        <v>10 MGD AnMBR [multi family]</v>
      </c>
      <c r="V61" s="3" t="str">
        <f t="shared" si="17"/>
        <v>10 MGD AnMBR [high density urban]</v>
      </c>
      <c r="W61" s="1" t="s">
        <v>0</v>
      </c>
    </row>
    <row r="62" spans="2:23" x14ac:dyDescent="0.2">
      <c r="D62" s="3" t="s">
        <v>12</v>
      </c>
      <c r="E62" s="86">
        <f>SUM(E6:E8)</f>
        <v>2782.0075300000003</v>
      </c>
      <c r="F62" s="86">
        <f t="shared" ref="F62:V62" si="18">SUM(F6:F8)</f>
        <v>1459.8052599999999</v>
      </c>
      <c r="G62" s="86">
        <f t="shared" si="18"/>
        <v>370.93502000000001</v>
      </c>
      <c r="H62" s="86">
        <f t="shared" si="18"/>
        <v>174.29093</v>
      </c>
      <c r="I62" s="86">
        <f t="shared" si="18"/>
        <v>5306.8091299999996</v>
      </c>
      <c r="J62" s="86">
        <f t="shared" si="18"/>
        <v>2720.1900900000001</v>
      </c>
      <c r="K62" s="86">
        <f t="shared" si="18"/>
        <v>741.85900000000004</v>
      </c>
      <c r="L62" s="86">
        <f t="shared" si="18"/>
        <v>367.91653000000002</v>
      </c>
      <c r="M62" s="86">
        <f t="shared" si="18"/>
        <v>55639.64</v>
      </c>
      <c r="N62" s="86">
        <f t="shared" si="18"/>
        <v>27201.902679999999</v>
      </c>
      <c r="O62" s="86">
        <f t="shared" si="18"/>
        <v>7418.6989199999998</v>
      </c>
      <c r="P62" s="86">
        <f t="shared" si="18"/>
        <v>3554.6329999999998</v>
      </c>
      <c r="Q62" s="86">
        <f t="shared" si="18"/>
        <v>118177.41256</v>
      </c>
      <c r="R62" s="86">
        <f t="shared" si="18"/>
        <v>37093.480000000003</v>
      </c>
      <c r="S62" s="86">
        <f t="shared" si="18"/>
        <v>18020.11</v>
      </c>
      <c r="T62" s="86">
        <f t="shared" si="18"/>
        <v>272019</v>
      </c>
      <c r="U62" s="86">
        <f t="shared" si="18"/>
        <v>79123.5</v>
      </c>
      <c r="V62" s="86">
        <f t="shared" si="18"/>
        <v>38416.53</v>
      </c>
      <c r="W62" s="1" t="s">
        <v>160</v>
      </c>
    </row>
    <row r="63" spans="2:23" x14ac:dyDescent="0.2">
      <c r="D63" s="3" t="s">
        <v>55</v>
      </c>
      <c r="E63" s="86">
        <f>SUM(E9:E12)</f>
        <v>44914.636740000002</v>
      </c>
      <c r="F63" s="86">
        <f t="shared" ref="F63:V63" si="19">SUM(F9:F12)</f>
        <v>44914.636740000002</v>
      </c>
      <c r="G63" s="86">
        <f t="shared" si="19"/>
        <v>44914.636740000002</v>
      </c>
      <c r="H63" s="86">
        <f t="shared" si="19"/>
        <v>44914.636740000002</v>
      </c>
      <c r="I63" s="86">
        <f t="shared" si="19"/>
        <v>62551.973299999998</v>
      </c>
      <c r="J63" s="86">
        <f t="shared" si="19"/>
        <v>62551.973299999998</v>
      </c>
      <c r="K63" s="86">
        <f t="shared" si="19"/>
        <v>62551.973299999998</v>
      </c>
      <c r="L63" s="86">
        <f t="shared" si="19"/>
        <v>62551.973299999998</v>
      </c>
      <c r="M63" s="86">
        <f t="shared" si="19"/>
        <v>197955.52377</v>
      </c>
      <c r="N63" s="86">
        <f t="shared" si="19"/>
        <v>197955.52377</v>
      </c>
      <c r="O63" s="86">
        <f t="shared" si="19"/>
        <v>197955.52377</v>
      </c>
      <c r="P63" s="86">
        <f t="shared" si="19"/>
        <v>197955.52377</v>
      </c>
      <c r="Q63" s="86">
        <f t="shared" si="19"/>
        <v>482682.12810000003</v>
      </c>
      <c r="R63" s="86">
        <f t="shared" si="19"/>
        <v>482682.12810000003</v>
      </c>
      <c r="S63" s="86">
        <f t="shared" si="19"/>
        <v>482682.12810000003</v>
      </c>
      <c r="T63" s="86">
        <f t="shared" si="19"/>
        <v>736411.23765000002</v>
      </c>
      <c r="U63" s="86">
        <f t="shared" si="19"/>
        <v>736411.23765000002</v>
      </c>
      <c r="V63" s="86">
        <f t="shared" si="19"/>
        <v>736411.23765000002</v>
      </c>
      <c r="W63" s="1" t="s">
        <v>160</v>
      </c>
    </row>
    <row r="64" spans="2:23" x14ac:dyDescent="0.2">
      <c r="D64" s="3" t="s">
        <v>16</v>
      </c>
      <c r="E64" s="86">
        <f>SUM(E13:E20)</f>
        <v>-180367.492</v>
      </c>
      <c r="F64" s="86">
        <f t="shared" ref="F64:V64" si="20">SUM(F13:F20)</f>
        <v>-180367.492</v>
      </c>
      <c r="G64" s="86">
        <f t="shared" si="20"/>
        <v>-180367.492</v>
      </c>
      <c r="H64" s="86">
        <f t="shared" si="20"/>
        <v>-180367.492</v>
      </c>
      <c r="I64" s="86">
        <f t="shared" si="20"/>
        <v>-360728.58299999998</v>
      </c>
      <c r="J64" s="86">
        <f t="shared" si="20"/>
        <v>-360728.58299999998</v>
      </c>
      <c r="K64" s="86">
        <f t="shared" si="20"/>
        <v>-360728.58299999998</v>
      </c>
      <c r="L64" s="86">
        <f t="shared" si="20"/>
        <v>-360728.58299999998</v>
      </c>
      <c r="M64" s="86">
        <f t="shared" si="20"/>
        <v>-3709737.8</v>
      </c>
      <c r="N64" s="86">
        <f t="shared" si="20"/>
        <v>-3709737.8</v>
      </c>
      <c r="O64" s="86">
        <f t="shared" si="20"/>
        <v>-3709737.8</v>
      </c>
      <c r="P64" s="86">
        <f t="shared" si="20"/>
        <v>-3709737.8</v>
      </c>
      <c r="Q64" s="86">
        <f t="shared" si="20"/>
        <v>-18791860</v>
      </c>
      <c r="R64" s="86">
        <f t="shared" si="20"/>
        <v>-18791860</v>
      </c>
      <c r="S64" s="86">
        <f t="shared" si="20"/>
        <v>-18791860</v>
      </c>
      <c r="T64" s="86">
        <f t="shared" si="20"/>
        <v>-37826828</v>
      </c>
      <c r="U64" s="86">
        <f t="shared" si="20"/>
        <v>-37826828</v>
      </c>
      <c r="V64" s="86">
        <f t="shared" si="20"/>
        <v>-37826828</v>
      </c>
      <c r="W64" s="1" t="s">
        <v>160</v>
      </c>
    </row>
    <row r="65" spans="4:23" x14ac:dyDescent="0.2">
      <c r="D65" s="3" t="s">
        <v>56</v>
      </c>
      <c r="E65" s="86">
        <f>E21</f>
        <v>26758.02937</v>
      </c>
      <c r="F65" s="86">
        <f t="shared" ref="F65:V65" si="21">F21</f>
        <v>26758.02937</v>
      </c>
      <c r="G65" s="86">
        <f t="shared" si="21"/>
        <v>26758.02937</v>
      </c>
      <c r="H65" s="86">
        <f t="shared" si="21"/>
        <v>26758.02937</v>
      </c>
      <c r="I65" s="86">
        <f t="shared" si="21"/>
        <v>27496.510000000002</v>
      </c>
      <c r="J65" s="86">
        <f t="shared" si="21"/>
        <v>27496.510000000002</v>
      </c>
      <c r="K65" s="86">
        <f t="shared" si="21"/>
        <v>27496.510000000002</v>
      </c>
      <c r="L65" s="86">
        <f t="shared" si="21"/>
        <v>27496.510000000002</v>
      </c>
      <c r="M65" s="86">
        <f t="shared" si="21"/>
        <v>518521.15</v>
      </c>
      <c r="N65" s="86">
        <f t="shared" si="21"/>
        <v>518521.15</v>
      </c>
      <c r="O65" s="86">
        <f t="shared" si="21"/>
        <v>518521.15</v>
      </c>
      <c r="P65" s="86">
        <f t="shared" si="21"/>
        <v>518521.15</v>
      </c>
      <c r="Q65" s="86">
        <f t="shared" si="21"/>
        <v>2160854.6</v>
      </c>
      <c r="R65" s="86">
        <f t="shared" si="21"/>
        <v>2160854.6</v>
      </c>
      <c r="S65" s="86">
        <f t="shared" si="21"/>
        <v>2160854.6</v>
      </c>
      <c r="T65" s="86">
        <f t="shared" si="21"/>
        <v>3888905.3617799999</v>
      </c>
      <c r="U65" s="86">
        <f t="shared" si="21"/>
        <v>3888905.3617799999</v>
      </c>
      <c r="V65" s="86">
        <f t="shared" si="21"/>
        <v>3888905.3617799999</v>
      </c>
      <c r="W65" s="1" t="s">
        <v>160</v>
      </c>
    </row>
    <row r="66" spans="4:23" x14ac:dyDescent="0.2">
      <c r="D66" s="3" t="s">
        <v>14</v>
      </c>
      <c r="E66" s="86">
        <f>SUM(E22:E24)</f>
        <v>534976.39701000007</v>
      </c>
      <c r="F66" s="86">
        <f t="shared" ref="F66:V66" si="22">SUM(F22:F24)</f>
        <v>534976.39701000007</v>
      </c>
      <c r="G66" s="86">
        <f t="shared" si="22"/>
        <v>534976.39701000007</v>
      </c>
      <c r="H66" s="86">
        <f t="shared" si="22"/>
        <v>534976.39701000007</v>
      </c>
      <c r="I66" s="86">
        <f t="shared" si="22"/>
        <v>642002.67801999999</v>
      </c>
      <c r="J66" s="86">
        <f t="shared" si="22"/>
        <v>642002.67801999999</v>
      </c>
      <c r="K66" s="86">
        <f t="shared" si="22"/>
        <v>642002.67801999999</v>
      </c>
      <c r="L66" s="86">
        <f t="shared" si="22"/>
        <v>642002.67801999999</v>
      </c>
      <c r="M66" s="86">
        <f t="shared" si="22"/>
        <v>2479824.1082199998</v>
      </c>
      <c r="N66" s="86">
        <f t="shared" si="22"/>
        <v>2479824.1082199998</v>
      </c>
      <c r="O66" s="86">
        <f t="shared" si="22"/>
        <v>2479824.1082199998</v>
      </c>
      <c r="P66" s="86">
        <f t="shared" si="22"/>
        <v>2479824.1082199998</v>
      </c>
      <c r="Q66" s="86">
        <f t="shared" si="22"/>
        <v>4545469.1922899997</v>
      </c>
      <c r="R66" s="86">
        <f t="shared" si="22"/>
        <v>4545469.1922899997</v>
      </c>
      <c r="S66" s="86">
        <f t="shared" si="22"/>
        <v>4545469.1922899997</v>
      </c>
      <c r="T66" s="86">
        <f t="shared" si="22"/>
        <v>8019323.3073800001</v>
      </c>
      <c r="U66" s="86">
        <f t="shared" si="22"/>
        <v>8019323.3073800001</v>
      </c>
      <c r="V66" s="86">
        <f t="shared" si="22"/>
        <v>8019323.3073800001</v>
      </c>
      <c r="W66" s="1" t="s">
        <v>160</v>
      </c>
    </row>
    <row r="67" spans="4:23" x14ac:dyDescent="0.2">
      <c r="D67" s="3" t="s">
        <v>11</v>
      </c>
      <c r="E67" s="86">
        <f>SUM(E25:E28)</f>
        <v>-815103.33826999995</v>
      </c>
      <c r="F67" s="86">
        <f t="shared" ref="F67:V67" si="23">SUM(F25:F28)</f>
        <v>-833753.00601999997</v>
      </c>
      <c r="G67" s="86">
        <f t="shared" si="23"/>
        <v>-846521.87100000004</v>
      </c>
      <c r="H67" s="86">
        <f t="shared" si="23"/>
        <v>-849173.79599999997</v>
      </c>
      <c r="I67" s="86">
        <f t="shared" si="23"/>
        <v>-1631834.054</v>
      </c>
      <c r="J67" s="86">
        <f t="shared" si="23"/>
        <v>-1668830.62757</v>
      </c>
      <c r="K67" s="86">
        <f t="shared" si="23"/>
        <v>-1694696.1140000001</v>
      </c>
      <c r="L67" s="86">
        <f t="shared" si="23"/>
        <v>-1699832.784</v>
      </c>
      <c r="M67" s="86">
        <f t="shared" si="23"/>
        <v>-16377332.5</v>
      </c>
      <c r="N67" s="86">
        <f t="shared" si="23"/>
        <v>-16747706.199999999</v>
      </c>
      <c r="O67" s="86">
        <f t="shared" si="23"/>
        <v>-17006403.539999999</v>
      </c>
      <c r="P67" s="86">
        <f t="shared" si="23"/>
        <v>-17057606.579999998</v>
      </c>
      <c r="Q67" s="86">
        <f t="shared" si="23"/>
        <v>-83826814.200000003</v>
      </c>
      <c r="R67" s="86">
        <f t="shared" si="23"/>
        <v>-85116739.700000003</v>
      </c>
      <c r="S67" s="86">
        <f t="shared" si="23"/>
        <v>-85374753.599999994</v>
      </c>
      <c r="T67" s="86">
        <f t="shared" si="23"/>
        <v>-167601319</v>
      </c>
      <c r="U67" s="86">
        <f t="shared" si="23"/>
        <v>-170181598.40000001</v>
      </c>
      <c r="V67" s="86">
        <f t="shared" si="23"/>
        <v>-170697509.5</v>
      </c>
      <c r="W67" s="1" t="s">
        <v>160</v>
      </c>
    </row>
    <row r="68" spans="4:23" x14ac:dyDescent="0.2">
      <c r="D68" s="43" t="s">
        <v>57</v>
      </c>
      <c r="E68" s="88">
        <f>SUM(E62:E67)</f>
        <v>-386039.75961999985</v>
      </c>
      <c r="F68" s="88">
        <f t="shared" ref="F68:V68" si="24">SUM(F62:F67)</f>
        <v>-406011.62963999988</v>
      </c>
      <c r="G68" s="88">
        <f t="shared" si="24"/>
        <v>-419869.36485999997</v>
      </c>
      <c r="H68" s="88">
        <f t="shared" si="24"/>
        <v>-422717.93394999986</v>
      </c>
      <c r="I68" s="88">
        <f t="shared" si="24"/>
        <v>-1255204.66655</v>
      </c>
      <c r="J68" s="88">
        <f t="shared" si="24"/>
        <v>-1294787.85916</v>
      </c>
      <c r="K68" s="88">
        <f t="shared" si="24"/>
        <v>-1322631.67668</v>
      </c>
      <c r="L68" s="88">
        <f t="shared" si="24"/>
        <v>-1328142.2891500001</v>
      </c>
      <c r="M68" s="88">
        <f t="shared" si="24"/>
        <v>-16835129.878010001</v>
      </c>
      <c r="N68" s="88">
        <f t="shared" si="24"/>
        <v>-17233941.315329999</v>
      </c>
      <c r="O68" s="88">
        <f t="shared" si="24"/>
        <v>-17512421.85909</v>
      </c>
      <c r="P68" s="88">
        <f t="shared" si="24"/>
        <v>-17567488.965009999</v>
      </c>
      <c r="Q68" s="88">
        <f t="shared" si="24"/>
        <v>-95311490.867050007</v>
      </c>
      <c r="R68" s="88">
        <f t="shared" si="24"/>
        <v>-96682500.299610004</v>
      </c>
      <c r="S68" s="88">
        <f t="shared" si="24"/>
        <v>-96959587.56961</v>
      </c>
      <c r="T68" s="88">
        <f t="shared" si="24"/>
        <v>-192511488.09319001</v>
      </c>
      <c r="U68" s="88">
        <f t="shared" si="24"/>
        <v>-195284662.99318999</v>
      </c>
      <c r="V68" s="88">
        <f t="shared" si="24"/>
        <v>-195841281.06318998</v>
      </c>
    </row>
  </sheetData>
  <mergeCells count="18">
    <mergeCell ref="B21:C21"/>
    <mergeCell ref="B6:C8"/>
    <mergeCell ref="B9:B12"/>
    <mergeCell ref="C9:C10"/>
    <mergeCell ref="C11:C12"/>
    <mergeCell ref="B13:C20"/>
    <mergeCell ref="B22:B24"/>
    <mergeCell ref="C22:C24"/>
    <mergeCell ref="B25:C28"/>
    <mergeCell ref="B35:C37"/>
    <mergeCell ref="B38:B41"/>
    <mergeCell ref="C38:C39"/>
    <mergeCell ref="C40:C41"/>
    <mergeCell ref="B42:C49"/>
    <mergeCell ref="B50:C50"/>
    <mergeCell ref="B51:B53"/>
    <mergeCell ref="C51:C53"/>
    <mergeCell ref="B54:C57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showGridLines="0" zoomScale="85" zoomScaleNormal="85" workbookViewId="0">
      <pane xSplit="2" topLeftCell="C1" activePane="topRight" state="frozen"/>
      <selection pane="topRight" activeCell="H1" sqref="H1"/>
    </sheetView>
  </sheetViews>
  <sheetFormatPr defaultRowHeight="15" x14ac:dyDescent="0.25"/>
  <cols>
    <col min="1" max="1" width="3.140625" customWidth="1"/>
    <col min="2" max="2" width="28.28515625" customWidth="1"/>
    <col min="3" max="3" width="18.5703125" customWidth="1"/>
    <col min="4" max="4" width="18.85546875" customWidth="1"/>
    <col min="5" max="5" width="19.140625" customWidth="1"/>
    <col min="6" max="6" width="17.85546875" customWidth="1"/>
    <col min="7" max="7" width="23.140625" customWidth="1"/>
    <col min="8" max="8" width="20.5703125" customWidth="1"/>
    <col min="9" max="9" width="21.42578125" customWidth="1"/>
    <col min="10" max="10" width="20.28515625" customWidth="1"/>
    <col min="11" max="11" width="21.85546875" customWidth="1"/>
    <col min="12" max="12" width="18.42578125" customWidth="1"/>
    <col min="13" max="13" width="17.7109375" customWidth="1"/>
    <col min="14" max="14" width="17" customWidth="1"/>
    <col min="15" max="16" width="16.42578125" customWidth="1"/>
    <col min="17" max="17" width="17.7109375" customWidth="1"/>
    <col min="18" max="18" width="14.28515625" customWidth="1"/>
    <col min="19" max="19" width="15.7109375" customWidth="1"/>
    <col min="20" max="20" width="18" customWidth="1"/>
    <col min="21" max="21" width="11.7109375" customWidth="1"/>
  </cols>
  <sheetData>
    <row r="1" spans="1:21" ht="15.75" x14ac:dyDescent="0.25">
      <c r="A1" s="42" t="s">
        <v>99</v>
      </c>
    </row>
    <row r="2" spans="1:21" x14ac:dyDescent="0.25">
      <c r="A2" s="41" t="s">
        <v>52</v>
      </c>
    </row>
    <row r="4" spans="1:21" x14ac:dyDescent="0.25">
      <c r="B4" s="55" t="str">
        <f>AeMBR_Baseline_CED_Detail_yr!D4</f>
        <v>Water treated per year (m3)</v>
      </c>
      <c r="C4" s="56">
        <f>AeMBR_Baseline_CED_Detail_yr!E4</f>
        <v>69129.535959999994</v>
      </c>
      <c r="D4" s="57">
        <f>AeMBR_Baseline_CED_Detail_yr!F4</f>
        <v>69129.535959999994</v>
      </c>
      <c r="E4" s="57">
        <f>AeMBR_Baseline_CED_Detail_yr!G4</f>
        <v>69129.535959999994</v>
      </c>
      <c r="F4" s="57">
        <f>AeMBR_Baseline_CED_Detail_yr!H4</f>
        <v>69129.535959999994</v>
      </c>
      <c r="G4" s="57">
        <f>AeMBR_Baseline_CED_Detail_yr!I4</f>
        <v>138259.07190000001</v>
      </c>
      <c r="H4" s="57">
        <f>AeMBR_Baseline_CED_Detail_yr!J4</f>
        <v>138259.07190000001</v>
      </c>
      <c r="I4" s="57">
        <f>AeMBR_Baseline_CED_Detail_yr!K4</f>
        <v>138259.07190000001</v>
      </c>
      <c r="J4" s="57">
        <f>AeMBR_Baseline_CED_Detail_yr!L4</f>
        <v>138259.07190000001</v>
      </c>
      <c r="K4" s="57">
        <f>AeMBR_Baseline_CED_Detail_yr!M4</f>
        <v>1382590.719</v>
      </c>
      <c r="L4" s="57">
        <f>AeMBR_Baseline_CED_Detail_yr!N4</f>
        <v>1382590.719</v>
      </c>
      <c r="M4" s="57">
        <f>AeMBR_Baseline_CED_Detail_yr!O4</f>
        <v>1382590.719</v>
      </c>
      <c r="N4" s="57">
        <f>AeMBR_Baseline_CED_Detail_yr!P4</f>
        <v>1382590.719</v>
      </c>
      <c r="O4" s="57">
        <f>AeMBR_Baseline_CED_Detail_yr!Q4</f>
        <v>6912953.5959999999</v>
      </c>
      <c r="P4" s="57">
        <f>AeMBR_Baseline_CED_Detail_yr!R4</f>
        <v>6912953.5959999999</v>
      </c>
      <c r="Q4" s="57">
        <f>AeMBR_Baseline_CED_Detail_yr!S4</f>
        <v>6912953.5959999999</v>
      </c>
      <c r="R4" s="57">
        <f>AeMBR_Baseline_CED_Detail_yr!T4</f>
        <v>13825907.189999999</v>
      </c>
      <c r="S4" s="57">
        <f>AeMBR_Baseline_CED_Detail_yr!U4</f>
        <v>13825907.189999999</v>
      </c>
      <c r="T4" s="58">
        <f>AeMBR_Baseline_CED_Detail_yr!V4</f>
        <v>13825907.189999999</v>
      </c>
    </row>
    <row r="5" spans="1:21" ht="93" customHeight="1" x14ac:dyDescent="0.25">
      <c r="C5" s="59" t="str">
        <f>AeMBR_Baseline_CED_Detail_yr!E5</f>
        <v>0.05 MGD AeMBR [semi rural single family]</v>
      </c>
      <c r="D5" s="59" t="str">
        <f>AeMBR_Baseline_CED_Detail_yr!F5</f>
        <v>0.05 MGD AeMBR [single family]</v>
      </c>
      <c r="E5" s="59" t="str">
        <f>AeMBR_Baseline_CED_Detail_yr!G5</f>
        <v>0.05 MGD AeMBR [multi family]</v>
      </c>
      <c r="F5" s="59" t="str">
        <f>AeMBR_Baseline_CED_Detail_yr!H5</f>
        <v>0.05 MGD AeMBR [high density urban]</v>
      </c>
      <c r="G5" s="59" t="str">
        <f>AeMBR_Baseline_CED_Detail_yr!I5</f>
        <v>0.1 MGD AeMBR [semi rural single family]</v>
      </c>
      <c r="H5" s="59" t="str">
        <f>AeMBR_Baseline_CED_Detail_yr!J5</f>
        <v>0.1 MGD AeMBR [single family]</v>
      </c>
      <c r="I5" s="59" t="str">
        <f>AeMBR_Baseline_CED_Detail_yr!K5</f>
        <v>0.1 MGD AeMBR [multi family]</v>
      </c>
      <c r="J5" s="59" t="str">
        <f>AeMBR_Baseline_CED_Detail_yr!L5</f>
        <v>0.1 MGD AeMBR [high density urban]</v>
      </c>
      <c r="K5" s="59" t="str">
        <f>AeMBR_Baseline_CED_Detail_yr!M5</f>
        <v>1 MGD AeMBR [semi rural single family]</v>
      </c>
      <c r="L5" s="59" t="str">
        <f>AeMBR_Baseline_CED_Detail_yr!N5</f>
        <v>1 MGD AeMBR [single family]</v>
      </c>
      <c r="M5" s="59" t="str">
        <f>AeMBR_Baseline_CED_Detail_yr!O5</f>
        <v>1 MGD AeMBR [multi family]</v>
      </c>
      <c r="N5" s="59" t="str">
        <f>AeMBR_Baseline_CED_Detail_yr!P5</f>
        <v>1 MGD AeMBR [high density urban]</v>
      </c>
      <c r="O5" s="59" t="str">
        <f>AeMBR_Baseline_CED_Detail_yr!Q5</f>
        <v>5 MGD AeMBR [single family]</v>
      </c>
      <c r="P5" s="59" t="str">
        <f>AeMBR_Baseline_CED_Detail_yr!R5</f>
        <v>5 MGD AeMBR [multi family]</v>
      </c>
      <c r="Q5" s="59" t="str">
        <f>AeMBR_Baseline_CED_Detail_yr!S5</f>
        <v>5 MGD AeMBR [high density urban]</v>
      </c>
      <c r="R5" s="59" t="str">
        <f>AeMBR_Baseline_CED_Detail_yr!T5</f>
        <v>10 MGD AeMBR [single family]</v>
      </c>
      <c r="S5" s="59" t="str">
        <f>AeMBR_Baseline_CED_Detail_yr!U5</f>
        <v>10 MGD AeMBR [multi family]</v>
      </c>
      <c r="T5" s="59" t="str">
        <f>AeMBR_Baseline_CED_Detail_yr!V5</f>
        <v>10 MGD AeMBR [high density urban]</v>
      </c>
      <c r="U5" s="59" t="str">
        <f>AeMBR_Baseline_CED_Detail_yr!W5</f>
        <v>Unit</v>
      </c>
    </row>
    <row r="6" spans="1:21" x14ac:dyDescent="0.25">
      <c r="B6" s="54" t="str">
        <f>AeMBR_Baseline_CED_Detail_yr!B6</f>
        <v>Wastewater collection</v>
      </c>
      <c r="C6" s="63">
        <v>273.81261000000001</v>
      </c>
      <c r="D6" s="63">
        <v>138.4699</v>
      </c>
      <c r="E6" s="67">
        <v>36.50835</v>
      </c>
      <c r="F6" s="54">
        <v>17.266590000000001</v>
      </c>
      <c r="G6" s="63">
        <v>516.80075999999997</v>
      </c>
      <c r="H6" s="63">
        <v>267.72788000000003</v>
      </c>
      <c r="I6" s="67">
        <v>73.016689999999997</v>
      </c>
      <c r="J6" s="67">
        <v>35.908639999999998</v>
      </c>
      <c r="K6" s="64">
        <v>5476.25</v>
      </c>
      <c r="L6" s="64">
        <v>2677.27</v>
      </c>
      <c r="M6" s="63">
        <v>730.16600000000005</v>
      </c>
      <c r="N6" s="54">
        <v>347.92</v>
      </c>
      <c r="O6" s="64">
        <v>11547.6</v>
      </c>
      <c r="P6" s="64">
        <v>3650.83</v>
      </c>
      <c r="Q6" s="64">
        <v>1758.78</v>
      </c>
      <c r="R6" s="64">
        <v>26770</v>
      </c>
      <c r="S6" s="64">
        <v>7638.32</v>
      </c>
      <c r="T6" s="64">
        <v>3701.92</v>
      </c>
      <c r="U6" s="54" t="s">
        <v>39</v>
      </c>
    </row>
    <row r="7" spans="1:21" x14ac:dyDescent="0.25">
      <c r="B7" s="60" t="str">
        <f>AeMBR_Baseline_CED_Detail_m3!B9</f>
        <v>Pre treatment</v>
      </c>
      <c r="C7" s="64">
        <v>2803.3273899999913</v>
      </c>
      <c r="D7" s="64">
        <f>C7</f>
        <v>2803.3273899999913</v>
      </c>
      <c r="E7" s="64">
        <f>D7</f>
        <v>2803.3273899999913</v>
      </c>
      <c r="F7" s="64">
        <f>E7</f>
        <v>2803.3273899999913</v>
      </c>
      <c r="G7" s="64">
        <v>3903.6092399999907</v>
      </c>
      <c r="H7" s="64">
        <f>G7</f>
        <v>3903.6092399999907</v>
      </c>
      <c r="I7" s="64">
        <f>H7</f>
        <v>3903.6092399999907</v>
      </c>
      <c r="J7" s="64">
        <f>I7</f>
        <v>3903.6092399999907</v>
      </c>
      <c r="K7" s="64">
        <v>12355.949999999953</v>
      </c>
      <c r="L7" s="64">
        <f>K7</f>
        <v>12355.949999999953</v>
      </c>
      <c r="M7" s="64">
        <f>L7</f>
        <v>12355.949999999953</v>
      </c>
      <c r="N7" s="64">
        <f>M7</f>
        <v>12355.949999999953</v>
      </c>
      <c r="O7" s="64">
        <f>23040+7083.72</f>
        <v>30123.72</v>
      </c>
      <c r="P7" s="64">
        <f>O7</f>
        <v>30123.72</v>
      </c>
      <c r="Q7" s="64">
        <f>P7</f>
        <v>30123.72</v>
      </c>
      <c r="R7" s="64">
        <v>45957</v>
      </c>
      <c r="S7" s="64">
        <f>R7</f>
        <v>45957</v>
      </c>
      <c r="T7" s="64">
        <f>S7</f>
        <v>45957</v>
      </c>
      <c r="U7" s="54" t="s">
        <v>39</v>
      </c>
    </row>
    <row r="8" spans="1:21" x14ac:dyDescent="0.25">
      <c r="B8" s="54" t="s">
        <v>16</v>
      </c>
      <c r="C8" s="64">
        <f>5993.26+41879</f>
        <v>47872.26</v>
      </c>
      <c r="D8" s="64">
        <f t="shared" ref="D8:F10" si="0">C8</f>
        <v>47872.26</v>
      </c>
      <c r="E8" s="64">
        <f t="shared" si="0"/>
        <v>47872.26</v>
      </c>
      <c r="F8" s="64">
        <f t="shared" si="0"/>
        <v>47872.26</v>
      </c>
      <c r="G8" s="64">
        <f>55031.7+11997.6</f>
        <v>67029.3</v>
      </c>
      <c r="H8" s="64">
        <f t="shared" ref="H8:J10" si="1">G8</f>
        <v>67029.3</v>
      </c>
      <c r="I8" s="64">
        <f t="shared" si="1"/>
        <v>67029.3</v>
      </c>
      <c r="J8" s="64">
        <f t="shared" si="1"/>
        <v>67029.3</v>
      </c>
      <c r="K8" s="64">
        <f>119722+258757</f>
        <v>378479</v>
      </c>
      <c r="L8" s="64">
        <f t="shared" ref="L8:N10" si="2">K8</f>
        <v>378479</v>
      </c>
      <c r="M8" s="64">
        <f t="shared" si="2"/>
        <v>378479</v>
      </c>
      <c r="N8" s="64">
        <f t="shared" si="2"/>
        <v>378479</v>
      </c>
      <c r="O8" s="64">
        <f>1298000+542889</f>
        <v>1840889</v>
      </c>
      <c r="P8" s="64">
        <f t="shared" ref="P8:T10" si="3">O8</f>
        <v>1840889</v>
      </c>
      <c r="Q8" s="64">
        <f t="shared" si="3"/>
        <v>1840889</v>
      </c>
      <c r="R8" s="64">
        <v>3575700</v>
      </c>
      <c r="S8" s="64">
        <f t="shared" si="3"/>
        <v>3575700</v>
      </c>
      <c r="T8" s="64">
        <f t="shared" si="3"/>
        <v>3575700</v>
      </c>
      <c r="U8" s="54" t="s">
        <v>39</v>
      </c>
    </row>
    <row r="9" spans="1:21" x14ac:dyDescent="0.25">
      <c r="B9" s="54" t="s">
        <v>56</v>
      </c>
      <c r="C9" s="64">
        <v>1054.71</v>
      </c>
      <c r="D9" s="64">
        <f t="shared" si="0"/>
        <v>1054.71</v>
      </c>
      <c r="E9" s="64">
        <f t="shared" si="0"/>
        <v>1054.71</v>
      </c>
      <c r="F9" s="64">
        <f t="shared" si="0"/>
        <v>1054.71</v>
      </c>
      <c r="G9" s="64">
        <v>1857.29</v>
      </c>
      <c r="H9" s="64">
        <f t="shared" si="1"/>
        <v>1857.29</v>
      </c>
      <c r="I9" s="64">
        <f t="shared" si="1"/>
        <v>1857.29</v>
      </c>
      <c r="J9" s="64">
        <f t="shared" si="1"/>
        <v>1857.29</v>
      </c>
      <c r="K9" s="64">
        <v>15779.8</v>
      </c>
      <c r="L9" s="64">
        <f t="shared" si="2"/>
        <v>15779.8</v>
      </c>
      <c r="M9" s="64">
        <f t="shared" si="2"/>
        <v>15779.8</v>
      </c>
      <c r="N9" s="64">
        <f t="shared" si="2"/>
        <v>15779.8</v>
      </c>
      <c r="O9" s="64">
        <v>70429.8</v>
      </c>
      <c r="P9" s="64">
        <f t="shared" si="3"/>
        <v>70429.8</v>
      </c>
      <c r="Q9" s="64">
        <f t="shared" si="3"/>
        <v>70429.8</v>
      </c>
      <c r="R9" s="64">
        <v>138680</v>
      </c>
      <c r="S9" s="64">
        <f t="shared" si="3"/>
        <v>138680</v>
      </c>
      <c r="T9" s="64">
        <f t="shared" si="3"/>
        <v>138680</v>
      </c>
      <c r="U9" s="54" t="s">
        <v>39</v>
      </c>
    </row>
    <row r="10" spans="1:21" x14ac:dyDescent="0.25">
      <c r="B10" s="54" t="s">
        <v>14</v>
      </c>
      <c r="C10" s="64">
        <v>33166</v>
      </c>
      <c r="D10" s="64">
        <f t="shared" si="0"/>
        <v>33166</v>
      </c>
      <c r="E10" s="64">
        <f t="shared" si="0"/>
        <v>33166</v>
      </c>
      <c r="F10" s="64">
        <f t="shared" si="0"/>
        <v>33166</v>
      </c>
      <c r="G10" s="64">
        <v>39466</v>
      </c>
      <c r="H10" s="64">
        <f t="shared" si="1"/>
        <v>39466</v>
      </c>
      <c r="I10" s="64">
        <f t="shared" si="1"/>
        <v>39466</v>
      </c>
      <c r="J10" s="64">
        <f t="shared" si="1"/>
        <v>39466</v>
      </c>
      <c r="K10" s="64">
        <v>90494</v>
      </c>
      <c r="L10" s="64">
        <f t="shared" si="2"/>
        <v>90494</v>
      </c>
      <c r="M10" s="64">
        <f t="shared" si="2"/>
        <v>90494</v>
      </c>
      <c r="N10" s="64">
        <f t="shared" si="2"/>
        <v>90494</v>
      </c>
      <c r="O10" s="64">
        <v>245966</v>
      </c>
      <c r="P10" s="64">
        <f t="shared" si="3"/>
        <v>245966</v>
      </c>
      <c r="Q10" s="64">
        <f t="shared" si="3"/>
        <v>245966</v>
      </c>
      <c r="R10" s="64">
        <v>424896</v>
      </c>
      <c r="S10" s="64">
        <f t="shared" si="3"/>
        <v>424896</v>
      </c>
      <c r="T10" s="64">
        <f t="shared" si="3"/>
        <v>424896</v>
      </c>
      <c r="U10" s="54" t="s">
        <v>39</v>
      </c>
    </row>
    <row r="11" spans="1:21" x14ac:dyDescent="0.25">
      <c r="B11" s="54" t="s">
        <v>11</v>
      </c>
      <c r="C11" s="64">
        <f>2210.69+-52014.6</f>
        <v>-49803.909999999996</v>
      </c>
      <c r="D11" s="64">
        <v>-50938.867289999987</v>
      </c>
      <c r="E11" s="64">
        <v>-51715.805739999989</v>
      </c>
      <c r="F11" s="64">
        <v>-51877.063979999992</v>
      </c>
      <c r="G11" s="64">
        <f>4412-104029</f>
        <v>-99617</v>
      </c>
      <c r="H11" s="64">
        <v>-101867.82712</v>
      </c>
      <c r="I11" s="64">
        <v>-103441.63268</v>
      </c>
      <c r="J11" s="64">
        <f>-107097+274.86</f>
        <v>-106822.14</v>
      </c>
      <c r="K11" s="64">
        <f>44145+-1040290</f>
        <v>-996145</v>
      </c>
      <c r="L11" s="64">
        <v>-1018682.02</v>
      </c>
      <c r="M11" s="64">
        <f>-536597-M10-M9-M8-M7-M6</f>
        <v>-1034435.916</v>
      </c>
      <c r="N11" s="64">
        <v>-1037646.67</v>
      </c>
      <c r="O11" s="64">
        <f>-2894450-O10-O9-O8-O7-O6</f>
        <v>-5093406.1199999992</v>
      </c>
      <c r="P11" s="64">
        <f>-2980800-P10-P9-P8-P7-P6</f>
        <v>-5171859.3499999996</v>
      </c>
      <c r="Q11" s="64">
        <v>-5187567.3</v>
      </c>
      <c r="R11" s="64">
        <v>-10186903</v>
      </c>
      <c r="S11" s="64">
        <v>-10343871.32</v>
      </c>
      <c r="T11" s="64">
        <v>-10375294.92</v>
      </c>
      <c r="U11" s="54" t="s">
        <v>39</v>
      </c>
    </row>
    <row r="12" spans="1:21" x14ac:dyDescent="0.25">
      <c r="B12" s="61" t="s">
        <v>57</v>
      </c>
      <c r="C12" s="62">
        <f>SUM(C6:C11)</f>
        <v>35366.19999999999</v>
      </c>
      <c r="D12" s="62">
        <f t="shared" ref="D12:T12" si="4">SUM(D6:D11)</f>
        <v>34095.9</v>
      </c>
      <c r="E12" s="62">
        <f t="shared" si="4"/>
        <v>33216.999999999993</v>
      </c>
      <c r="F12" s="62">
        <f t="shared" si="4"/>
        <v>33036.5</v>
      </c>
      <c r="G12" s="62">
        <f t="shared" si="4"/>
        <v>13155.999999999985</v>
      </c>
      <c r="H12" s="62">
        <f t="shared" si="4"/>
        <v>10656.099999999991</v>
      </c>
      <c r="I12" s="62">
        <f t="shared" si="4"/>
        <v>8887.583249999996</v>
      </c>
      <c r="J12" s="62">
        <f t="shared" si="4"/>
        <v>5469.967879999982</v>
      </c>
      <c r="K12" s="62">
        <f t="shared" si="4"/>
        <v>-493560.00000000006</v>
      </c>
      <c r="L12" s="62">
        <f t="shared" si="4"/>
        <v>-518896.00000000006</v>
      </c>
      <c r="M12" s="62">
        <f t="shared" si="4"/>
        <v>-536597</v>
      </c>
      <c r="N12" s="62">
        <f t="shared" si="4"/>
        <v>-540190.00000000012</v>
      </c>
      <c r="O12" s="62">
        <f t="shared" si="4"/>
        <v>-2894449.9999999991</v>
      </c>
      <c r="P12" s="62">
        <f t="shared" si="4"/>
        <v>-2980799.9999999995</v>
      </c>
      <c r="Q12" s="62">
        <f t="shared" si="4"/>
        <v>-2998400</v>
      </c>
      <c r="R12" s="62">
        <f t="shared" si="4"/>
        <v>-5974900</v>
      </c>
      <c r="S12" s="62">
        <f t="shared" si="4"/>
        <v>-6151000</v>
      </c>
      <c r="T12" s="62">
        <f t="shared" si="4"/>
        <v>-6186360</v>
      </c>
      <c r="U12" s="54" t="s">
        <v>39</v>
      </c>
    </row>
    <row r="15" spans="1:21" ht="15.75" x14ac:dyDescent="0.25">
      <c r="A15" s="42" t="s">
        <v>58</v>
      </c>
    </row>
    <row r="17" spans="2:20" ht="45" x14ac:dyDescent="0.25">
      <c r="C17" s="59" t="str">
        <f>C5</f>
        <v>0.05 MGD AeMBR [semi rural single family]</v>
      </c>
      <c r="D17" s="59" t="str">
        <f t="shared" ref="D17:T17" si="5">D5</f>
        <v>0.05 MGD AeMBR [single family]</v>
      </c>
      <c r="E17" s="59" t="str">
        <f t="shared" si="5"/>
        <v>0.05 MGD AeMBR [multi family]</v>
      </c>
      <c r="F17" s="59" t="str">
        <f t="shared" si="5"/>
        <v>0.05 MGD AeMBR [high density urban]</v>
      </c>
      <c r="G17" s="59" t="str">
        <f t="shared" si="5"/>
        <v>0.1 MGD AeMBR [semi rural single family]</v>
      </c>
      <c r="H17" s="59" t="str">
        <f t="shared" si="5"/>
        <v>0.1 MGD AeMBR [single family]</v>
      </c>
      <c r="I17" s="59" t="str">
        <f t="shared" si="5"/>
        <v>0.1 MGD AeMBR [multi family]</v>
      </c>
      <c r="J17" s="59" t="str">
        <f t="shared" si="5"/>
        <v>0.1 MGD AeMBR [high density urban]</v>
      </c>
      <c r="K17" s="59" t="str">
        <f t="shared" si="5"/>
        <v>1 MGD AeMBR [semi rural single family]</v>
      </c>
      <c r="L17" s="59" t="str">
        <f t="shared" si="5"/>
        <v>1 MGD AeMBR [single family]</v>
      </c>
      <c r="M17" s="59" t="str">
        <f t="shared" si="5"/>
        <v>1 MGD AeMBR [multi family]</v>
      </c>
      <c r="N17" s="59" t="str">
        <f t="shared" si="5"/>
        <v>1 MGD AeMBR [high density urban]</v>
      </c>
      <c r="O17" s="59" t="str">
        <f t="shared" si="5"/>
        <v>5 MGD AeMBR [single family]</v>
      </c>
      <c r="P17" s="59" t="str">
        <f t="shared" si="5"/>
        <v>5 MGD AeMBR [multi family]</v>
      </c>
      <c r="Q17" s="59" t="str">
        <f t="shared" si="5"/>
        <v>5 MGD AeMBR [high density urban]</v>
      </c>
      <c r="R17" s="59" t="str">
        <f t="shared" si="5"/>
        <v>10 MGD AeMBR [single family]</v>
      </c>
      <c r="S17" s="59" t="str">
        <f t="shared" si="5"/>
        <v>10 MGD AeMBR [multi family]</v>
      </c>
      <c r="T17" s="59" t="str">
        <f t="shared" si="5"/>
        <v>10 MGD AeMBR [high density urban]</v>
      </c>
    </row>
    <row r="18" spans="2:20" x14ac:dyDescent="0.25">
      <c r="B18" s="54" t="str">
        <f>B6</f>
        <v>Wastewater collection</v>
      </c>
      <c r="C18" s="65">
        <f>C6/C$12</f>
        <v>7.7422117728226407E-3</v>
      </c>
      <c r="D18" s="65">
        <f t="shared" ref="D18:T23" si="6">D6/D$12</f>
        <v>4.0611891752380782E-3</v>
      </c>
      <c r="E18" s="65">
        <f t="shared" si="6"/>
        <v>1.0990863112261796E-3</v>
      </c>
      <c r="F18" s="65">
        <f t="shared" si="6"/>
        <v>5.2265191530579812E-4</v>
      </c>
      <c r="G18" s="65">
        <f t="shared" si="6"/>
        <v>3.9282514442079704E-2</v>
      </c>
      <c r="H18" s="65">
        <f t="shared" si="6"/>
        <v>2.5124377586546696E-2</v>
      </c>
      <c r="I18" s="65">
        <f t="shared" si="6"/>
        <v>8.2155843659748595E-3</v>
      </c>
      <c r="J18" s="65">
        <f t="shared" si="6"/>
        <v>6.5646893707171309E-3</v>
      </c>
      <c r="K18" s="65">
        <f t="shared" si="6"/>
        <v>-1.109540886619661E-2</v>
      </c>
      <c r="L18" s="65">
        <f t="shared" si="6"/>
        <v>-5.1595502759705213E-3</v>
      </c>
      <c r="M18" s="65">
        <f t="shared" si="6"/>
        <v>-1.3607344058949268E-3</v>
      </c>
      <c r="N18" s="65">
        <f t="shared" si="6"/>
        <v>-6.440696791869526E-4</v>
      </c>
      <c r="O18" s="65">
        <f t="shared" si="6"/>
        <v>-3.9895662388363951E-3</v>
      </c>
      <c r="P18" s="65">
        <f t="shared" si="6"/>
        <v>-1.2247819377348365E-3</v>
      </c>
      <c r="Q18" s="65">
        <f t="shared" si="6"/>
        <v>-5.8657283884738527E-4</v>
      </c>
      <c r="R18" s="65">
        <f t="shared" si="6"/>
        <v>-4.4804097139701082E-3</v>
      </c>
      <c r="S18" s="65">
        <f t="shared" si="6"/>
        <v>-1.2418013331165663E-3</v>
      </c>
      <c r="T18" s="65">
        <f t="shared" si="6"/>
        <v>-5.9840035174157338E-4</v>
      </c>
    </row>
    <row r="19" spans="2:20" x14ac:dyDescent="0.25">
      <c r="B19" s="54" t="str">
        <f t="shared" ref="B19:B23" si="7">B7</f>
        <v>Pre treatment</v>
      </c>
      <c r="C19" s="65">
        <f t="shared" ref="C19:R23" si="8">C7/C$12</f>
        <v>7.9265722356373941E-2</v>
      </c>
      <c r="D19" s="65">
        <f t="shared" si="8"/>
        <v>8.2218899926383857E-2</v>
      </c>
      <c r="E19" s="65">
        <f t="shared" si="8"/>
        <v>8.4394358009452747E-2</v>
      </c>
      <c r="F19" s="65">
        <f t="shared" si="8"/>
        <v>8.4855459567447861E-2</v>
      </c>
      <c r="G19" s="65">
        <f t="shared" si="8"/>
        <v>0.29671702949224649</v>
      </c>
      <c r="H19" s="65">
        <f t="shared" si="8"/>
        <v>0.36632625819952835</v>
      </c>
      <c r="I19" s="65">
        <f t="shared" si="8"/>
        <v>0.43922055413658068</v>
      </c>
      <c r="J19" s="65">
        <f t="shared" si="8"/>
        <v>0.71364390534593114</v>
      </c>
      <c r="K19" s="65">
        <f t="shared" si="8"/>
        <v>-2.5034342329200002E-2</v>
      </c>
      <c r="L19" s="65">
        <f t="shared" si="8"/>
        <v>-2.3811997009034472E-2</v>
      </c>
      <c r="M19" s="65">
        <f t="shared" si="8"/>
        <v>-2.3026498470919431E-2</v>
      </c>
      <c r="N19" s="65">
        <f t="shared" si="8"/>
        <v>-2.2873340861548623E-2</v>
      </c>
      <c r="O19" s="65">
        <f t="shared" si="8"/>
        <v>-1.0407407279448604E-2</v>
      </c>
      <c r="P19" s="65">
        <f t="shared" si="8"/>
        <v>-1.0105917874396138E-2</v>
      </c>
      <c r="Q19" s="65">
        <f t="shared" si="8"/>
        <v>-1.004659818569904E-2</v>
      </c>
      <c r="R19" s="65">
        <f t="shared" si="8"/>
        <v>-7.6916768481480862E-3</v>
      </c>
      <c r="S19" s="65">
        <f t="shared" si="6"/>
        <v>-7.4714680539749636E-3</v>
      </c>
      <c r="T19" s="65">
        <f t="shared" si="6"/>
        <v>-7.4287626326304968E-3</v>
      </c>
    </row>
    <row r="20" spans="2:20" x14ac:dyDescent="0.25">
      <c r="B20" s="54" t="str">
        <f t="shared" si="7"/>
        <v>MBR operation</v>
      </c>
      <c r="C20" s="65">
        <f t="shared" si="8"/>
        <v>1.3536161645865266</v>
      </c>
      <c r="D20" s="65">
        <f t="shared" si="6"/>
        <v>1.4040474074595479</v>
      </c>
      <c r="E20" s="65">
        <f t="shared" si="6"/>
        <v>1.4411975795526391</v>
      </c>
      <c r="F20" s="65">
        <f t="shared" si="6"/>
        <v>1.4490717842386451</v>
      </c>
      <c r="G20" s="65">
        <f t="shared" si="6"/>
        <v>5.0949604743083059</v>
      </c>
      <c r="H20" s="65">
        <f t="shared" si="6"/>
        <v>6.2902281322435094</v>
      </c>
      <c r="I20" s="65">
        <f t="shared" si="6"/>
        <v>7.541904037860915</v>
      </c>
      <c r="J20" s="65">
        <f t="shared" si="6"/>
        <v>12.254057330954605</v>
      </c>
      <c r="K20" s="65">
        <f t="shared" si="6"/>
        <v>-0.76683483264446062</v>
      </c>
      <c r="L20" s="65">
        <f t="shared" si="6"/>
        <v>-0.72939278776479288</v>
      </c>
      <c r="M20" s="65">
        <f t="shared" si="6"/>
        <v>-0.70533193439396791</v>
      </c>
      <c r="N20" s="65">
        <f t="shared" si="6"/>
        <v>-0.70064051537422001</v>
      </c>
      <c r="O20" s="65">
        <f t="shared" si="6"/>
        <v>-0.63600649518906893</v>
      </c>
      <c r="P20" s="65">
        <f t="shared" si="6"/>
        <v>-0.61758219269994641</v>
      </c>
      <c r="Q20" s="65">
        <f t="shared" si="6"/>
        <v>-0.61395711045891144</v>
      </c>
      <c r="R20" s="65">
        <f t="shared" si="6"/>
        <v>-0.59845353060302264</v>
      </c>
      <c r="S20" s="65">
        <f t="shared" si="6"/>
        <v>-0.58132011055112986</v>
      </c>
      <c r="T20" s="65">
        <f t="shared" si="6"/>
        <v>-0.57799740073322603</v>
      </c>
    </row>
    <row r="21" spans="2:20" x14ac:dyDescent="0.25">
      <c r="B21" s="54" t="str">
        <f t="shared" si="7"/>
        <v>MBR infrastructure</v>
      </c>
      <c r="C21" s="65">
        <f t="shared" si="8"/>
        <v>2.9822542427515548E-2</v>
      </c>
      <c r="D21" s="65">
        <f t="shared" si="6"/>
        <v>3.0933631316375283E-2</v>
      </c>
      <c r="E21" s="65">
        <f t="shared" si="6"/>
        <v>3.1752114880934469E-2</v>
      </c>
      <c r="F21" s="65">
        <f t="shared" si="6"/>
        <v>3.1925597445249955E-2</v>
      </c>
      <c r="G21" s="65">
        <f t="shared" si="6"/>
        <v>0.14117436910915188</v>
      </c>
      <c r="H21" s="65">
        <f t="shared" si="6"/>
        <v>0.174293597094622</v>
      </c>
      <c r="I21" s="65">
        <f t="shared" si="6"/>
        <v>0.20897582028275244</v>
      </c>
      <c r="J21" s="65">
        <f t="shared" si="6"/>
        <v>0.33954312726238645</v>
      </c>
      <c r="K21" s="65">
        <f t="shared" si="6"/>
        <v>-3.1971391522813836E-2</v>
      </c>
      <c r="L21" s="65">
        <f t="shared" si="6"/>
        <v>-3.0410332706361193E-2</v>
      </c>
      <c r="M21" s="65">
        <f t="shared" si="6"/>
        <v>-2.9407171489963604E-2</v>
      </c>
      <c r="N21" s="65">
        <f t="shared" si="6"/>
        <v>-2.9211573705548041E-2</v>
      </c>
      <c r="O21" s="65">
        <f t="shared" si="6"/>
        <v>-2.433270569538255E-2</v>
      </c>
      <c r="P21" s="65">
        <f t="shared" si="6"/>
        <v>-2.3627818035426736E-2</v>
      </c>
      <c r="Q21" s="65">
        <f t="shared" si="6"/>
        <v>-2.3489127534685166E-2</v>
      </c>
      <c r="R21" s="65">
        <f t="shared" si="6"/>
        <v>-2.3210430300088705E-2</v>
      </c>
      <c r="S21" s="65">
        <f t="shared" si="6"/>
        <v>-2.2545927491464803E-2</v>
      </c>
      <c r="T21" s="65">
        <f t="shared" si="6"/>
        <v>-2.2417059466309751E-2</v>
      </c>
    </row>
    <row r="22" spans="2:20" x14ac:dyDescent="0.25">
      <c r="B22" s="54" t="str">
        <f t="shared" si="7"/>
        <v>Post treatment</v>
      </c>
      <c r="C22" s="65">
        <f t="shared" si="8"/>
        <v>0.93778805752385075</v>
      </c>
      <c r="D22" s="65">
        <f t="shared" si="6"/>
        <v>0.97272692611135059</v>
      </c>
      <c r="E22" s="65">
        <f t="shared" si="6"/>
        <v>0.99846464159918136</v>
      </c>
      <c r="F22" s="65">
        <f t="shared" si="6"/>
        <v>1.003919906769785</v>
      </c>
      <c r="G22" s="65">
        <f t="shared" si="6"/>
        <v>2.9998479781088512</v>
      </c>
      <c r="H22" s="65">
        <f t="shared" si="6"/>
        <v>3.7036063850752181</v>
      </c>
      <c r="I22" s="65">
        <f t="shared" si="6"/>
        <v>4.440577251414215</v>
      </c>
      <c r="J22" s="65">
        <f t="shared" si="6"/>
        <v>7.2150332261183463</v>
      </c>
      <c r="K22" s="65">
        <f t="shared" si="6"/>
        <v>-0.1833495421022773</v>
      </c>
      <c r="L22" s="65">
        <f t="shared" si="6"/>
        <v>-0.17439718170885879</v>
      </c>
      <c r="M22" s="65">
        <f t="shared" si="6"/>
        <v>-0.16864425257688731</v>
      </c>
      <c r="N22" s="65">
        <f t="shared" si="6"/>
        <v>-0.1675225383661304</v>
      </c>
      <c r="O22" s="65">
        <f t="shared" si="6"/>
        <v>-8.4978493323429355E-2</v>
      </c>
      <c r="P22" s="65">
        <f t="shared" si="6"/>
        <v>-8.2516774020397227E-2</v>
      </c>
      <c r="Q22" s="65">
        <f t="shared" si="6"/>
        <v>-8.2032417289220921E-2</v>
      </c>
      <c r="R22" s="65">
        <f t="shared" si="6"/>
        <v>-7.1113491439187271E-2</v>
      </c>
      <c r="S22" s="65">
        <f t="shared" si="6"/>
        <v>-6.9077548366119332E-2</v>
      </c>
      <c r="T22" s="65">
        <f t="shared" si="6"/>
        <v>-6.8682714875952899E-2</v>
      </c>
    </row>
    <row r="23" spans="2:20" x14ac:dyDescent="0.25">
      <c r="B23" s="54" t="str">
        <f t="shared" si="7"/>
        <v>Recycled water delivery</v>
      </c>
      <c r="C23" s="65">
        <f t="shared" si="8"/>
        <v>-1.4082346986670893</v>
      </c>
      <c r="D23" s="65">
        <f t="shared" si="6"/>
        <v>-1.4939880539888957</v>
      </c>
      <c r="E23" s="65">
        <f t="shared" si="6"/>
        <v>-1.5569077803534335</v>
      </c>
      <c r="F23" s="65">
        <f t="shared" si="6"/>
        <v>-1.5702953999364337</v>
      </c>
      <c r="G23" s="65">
        <f t="shared" si="6"/>
        <v>-7.5719823654606344</v>
      </c>
      <c r="H23" s="65">
        <f t="shared" si="6"/>
        <v>-9.5595787501994245</v>
      </c>
      <c r="I23" s="65">
        <f t="shared" si="6"/>
        <v>-11.638893248060437</v>
      </c>
      <c r="J23" s="65">
        <f t="shared" si="6"/>
        <v>-19.528842279051986</v>
      </c>
      <c r="K23" s="65">
        <f t="shared" si="6"/>
        <v>2.0182855174649483</v>
      </c>
      <c r="L23" s="65">
        <f t="shared" si="6"/>
        <v>1.9631718494650179</v>
      </c>
      <c r="M23" s="65">
        <f t="shared" si="6"/>
        <v>1.9277705913376333</v>
      </c>
      <c r="N23" s="65">
        <f t="shared" si="6"/>
        <v>1.9208920379866341</v>
      </c>
      <c r="O23" s="65">
        <f t="shared" si="6"/>
        <v>1.7597146677261659</v>
      </c>
      <c r="P23" s="65">
        <f t="shared" si="6"/>
        <v>1.7350574845679014</v>
      </c>
      <c r="Q23" s="65">
        <f t="shared" si="6"/>
        <v>1.7301118263073638</v>
      </c>
      <c r="R23" s="65">
        <f t="shared" si="6"/>
        <v>1.7049495389044169</v>
      </c>
      <c r="S23" s="65">
        <f t="shared" si="6"/>
        <v>1.6816568557958056</v>
      </c>
      <c r="T23" s="65">
        <f t="shared" si="6"/>
        <v>1.6771243380598606</v>
      </c>
    </row>
    <row r="24" spans="2:20" x14ac:dyDescent="0.25">
      <c r="B24" s="61" t="s">
        <v>57</v>
      </c>
      <c r="C24" s="66">
        <f>SUM(C18:C23)</f>
        <v>1</v>
      </c>
      <c r="D24" s="66">
        <f t="shared" ref="D24" si="9">SUM(D18:D23)</f>
        <v>1.0000000000000002</v>
      </c>
      <c r="E24" s="66">
        <f t="shared" ref="E24" si="10">SUM(E18:E23)</f>
        <v>1.0000000000000007</v>
      </c>
      <c r="F24" s="66">
        <f t="shared" ref="F24" si="11">SUM(F18:F23)</f>
        <v>1.0000000000000002</v>
      </c>
      <c r="G24" s="66">
        <f t="shared" ref="G24" si="12">SUM(G18:G23)</f>
        <v>1</v>
      </c>
      <c r="H24" s="66">
        <f t="shared" ref="H24" si="13">SUM(H18:H23)</f>
        <v>1</v>
      </c>
      <c r="I24" s="66">
        <f t="shared" ref="I24" si="14">SUM(I18:I23)</f>
        <v>1</v>
      </c>
      <c r="J24" s="66">
        <f t="shared" ref="J24" si="15">SUM(J18:J23)</f>
        <v>1</v>
      </c>
      <c r="K24" s="66">
        <f t="shared" ref="K24" si="16">SUM(K18:K23)</f>
        <v>1</v>
      </c>
      <c r="L24" s="66">
        <f t="shared" ref="L24" si="17">SUM(L18:L23)</f>
        <v>1</v>
      </c>
      <c r="M24" s="66">
        <f t="shared" ref="M24" si="18">SUM(M18:M23)</f>
        <v>1</v>
      </c>
      <c r="N24" s="66">
        <f t="shared" ref="N24" si="19">SUM(N18:N23)</f>
        <v>1</v>
      </c>
      <c r="O24" s="66">
        <f t="shared" ref="O24" si="20">SUM(O18:O23)</f>
        <v>1</v>
      </c>
      <c r="P24" s="66">
        <f t="shared" ref="P24" si="21">SUM(P18:P23)</f>
        <v>1</v>
      </c>
      <c r="Q24" s="66">
        <f t="shared" ref="Q24" si="22">SUM(Q18:Q23)</f>
        <v>0.99999999999999989</v>
      </c>
      <c r="R24" s="66">
        <f t="shared" ref="R24" si="23">SUM(R18:R23)</f>
        <v>1</v>
      </c>
      <c r="S24" s="66">
        <f t="shared" ref="S24" si="24">SUM(S18:S23)</f>
        <v>1</v>
      </c>
      <c r="T24" s="66">
        <f t="shared" ref="T24" si="25">SUM(T18:T23)</f>
        <v>0.99999999999999978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showGridLines="0" zoomScale="85" zoomScaleNormal="85" workbookViewId="0">
      <pane xSplit="2" topLeftCell="C1" activePane="topRight" state="frozen"/>
      <selection pane="topRight"/>
    </sheetView>
  </sheetViews>
  <sheetFormatPr defaultRowHeight="15" x14ac:dyDescent="0.25"/>
  <cols>
    <col min="1" max="1" width="3.140625" customWidth="1"/>
    <col min="2" max="2" width="28.28515625" customWidth="1"/>
    <col min="3" max="3" width="18.5703125" customWidth="1"/>
    <col min="4" max="4" width="18.85546875" customWidth="1"/>
    <col min="5" max="5" width="19.140625" customWidth="1"/>
    <col min="6" max="6" width="17.85546875" customWidth="1"/>
    <col min="7" max="7" width="23.140625" customWidth="1"/>
    <col min="8" max="8" width="20.5703125" customWidth="1"/>
    <col min="9" max="9" width="21.42578125" customWidth="1"/>
    <col min="10" max="10" width="20.28515625" customWidth="1"/>
    <col min="11" max="11" width="21.85546875" customWidth="1"/>
    <col min="12" max="12" width="18.42578125" customWidth="1"/>
    <col min="13" max="13" width="17.7109375" customWidth="1"/>
    <col min="14" max="14" width="17" customWidth="1"/>
    <col min="15" max="16" width="16.42578125" customWidth="1"/>
    <col min="17" max="17" width="17.7109375" customWidth="1"/>
    <col min="18" max="18" width="14.28515625" customWidth="1"/>
    <col min="19" max="19" width="15.7109375" customWidth="1"/>
    <col min="20" max="20" width="18" customWidth="1"/>
    <col min="21" max="21" width="11.7109375" customWidth="1"/>
  </cols>
  <sheetData>
    <row r="1" spans="1:21" ht="15.75" x14ac:dyDescent="0.25">
      <c r="A1" s="42" t="s">
        <v>100</v>
      </c>
    </row>
    <row r="2" spans="1:21" x14ac:dyDescent="0.25">
      <c r="A2" s="41" t="s">
        <v>52</v>
      </c>
    </row>
    <row r="4" spans="1:21" x14ac:dyDescent="0.25">
      <c r="B4" s="55" t="str">
        <f>AeMBR_Baseline_CED_Detail_yr!D4</f>
        <v>Water treated per year (m3)</v>
      </c>
      <c r="C4" s="56">
        <f>AeMBR_Baseline_CED_Detail_yr!E4</f>
        <v>69129.535959999994</v>
      </c>
      <c r="D4" s="57">
        <f>AeMBR_Baseline_CED_Detail_yr!F4</f>
        <v>69129.535959999994</v>
      </c>
      <c r="E4" s="57">
        <f>AeMBR_Baseline_CED_Detail_yr!G4</f>
        <v>69129.535959999994</v>
      </c>
      <c r="F4" s="57">
        <f>AeMBR_Baseline_CED_Detail_yr!H4</f>
        <v>69129.535959999994</v>
      </c>
      <c r="G4" s="57">
        <f>AeMBR_Baseline_CED_Detail_yr!I4</f>
        <v>138259.07190000001</v>
      </c>
      <c r="H4" s="57">
        <f>AeMBR_Baseline_CED_Detail_yr!J4</f>
        <v>138259.07190000001</v>
      </c>
      <c r="I4" s="57">
        <f>AeMBR_Baseline_CED_Detail_yr!K4</f>
        <v>138259.07190000001</v>
      </c>
      <c r="J4" s="57">
        <f>AeMBR_Baseline_CED_Detail_yr!L4</f>
        <v>138259.07190000001</v>
      </c>
      <c r="K4" s="57">
        <f>AeMBR_Baseline_CED_Detail_yr!M4</f>
        <v>1382590.719</v>
      </c>
      <c r="L4" s="57">
        <f>AeMBR_Baseline_CED_Detail_yr!N4</f>
        <v>1382590.719</v>
      </c>
      <c r="M4" s="57">
        <f>AeMBR_Baseline_CED_Detail_yr!O4</f>
        <v>1382590.719</v>
      </c>
      <c r="N4" s="57">
        <f>AeMBR_Baseline_CED_Detail_yr!P4</f>
        <v>1382590.719</v>
      </c>
      <c r="O4" s="57">
        <f>AeMBR_Baseline_CED_Detail_yr!Q4</f>
        <v>6912953.5959999999</v>
      </c>
      <c r="P4" s="57">
        <f>AeMBR_Baseline_CED_Detail_yr!R4</f>
        <v>6912953.5959999999</v>
      </c>
      <c r="Q4" s="57">
        <f>AeMBR_Baseline_CED_Detail_yr!S4</f>
        <v>6912953.5959999999</v>
      </c>
      <c r="R4" s="57">
        <f>AeMBR_Baseline_CED_Detail_yr!T4</f>
        <v>13825907.189999999</v>
      </c>
      <c r="S4" s="57">
        <f>AeMBR_Baseline_CED_Detail_yr!U4</f>
        <v>13825907.189999999</v>
      </c>
      <c r="T4" s="58">
        <f>AeMBR_Baseline_CED_Detail_yr!V4</f>
        <v>13825907.189999999</v>
      </c>
    </row>
    <row r="5" spans="1:21" ht="93" customHeight="1" x14ac:dyDescent="0.25">
      <c r="C5" s="59" t="str">
        <f>AnMBR_20_GWP_yr!C5</f>
        <v>0.05 MGD AnMBR [semi rural single family]</v>
      </c>
      <c r="D5" s="59" t="str">
        <f>AnMBR_20_GWP_yr!D5</f>
        <v>0.05 MGD AnMBR [single family]</v>
      </c>
      <c r="E5" s="59" t="str">
        <f>AnMBR_20_GWP_yr!E5</f>
        <v>0.05 MGD AnMBR [multi family]</v>
      </c>
      <c r="F5" s="59" t="str">
        <f>AnMBR_20_GWP_yr!F5</f>
        <v>0.05 MGD AnMBR [high density urban]</v>
      </c>
      <c r="G5" s="59" t="str">
        <f>AnMBR_20_GWP_yr!G5</f>
        <v>0.1 MGD AnMBR [semi rural single family]</v>
      </c>
      <c r="H5" s="59" t="str">
        <f>AnMBR_20_GWP_yr!H5</f>
        <v>0.1 MGD AnMBR [single family]</v>
      </c>
      <c r="I5" s="59" t="str">
        <f>AnMBR_20_GWP_yr!I5</f>
        <v>0.1 MGD AnMBR [multi family]</v>
      </c>
      <c r="J5" s="59" t="str">
        <f>AnMBR_20_GWP_yr!J5</f>
        <v>0.1 MGD AnMBR [high density urban]</v>
      </c>
      <c r="K5" s="59" t="str">
        <f>AnMBR_20_GWP_yr!K5</f>
        <v>1 MGD AnMBR [semi rural single family]</v>
      </c>
      <c r="L5" s="59" t="str">
        <f>AnMBR_20_GWP_yr!L5</f>
        <v>1 MGD AnMBR [single family]</v>
      </c>
      <c r="M5" s="59" t="str">
        <f>AnMBR_20_GWP_yr!M5</f>
        <v>1 MGD AnMBR [multi family]</v>
      </c>
      <c r="N5" s="59" t="str">
        <f>AnMBR_20_GWP_yr!N5</f>
        <v>1 MGD AnMBR [high density urban]</v>
      </c>
      <c r="O5" s="59" t="str">
        <f>AnMBR_20_GWP_yr!O5</f>
        <v>5 MGD AnMBR [single family]</v>
      </c>
      <c r="P5" s="59" t="str">
        <f>AnMBR_20_GWP_yr!P5</f>
        <v>5 MGD AnMBR [multi family]</v>
      </c>
      <c r="Q5" s="59" t="str">
        <f>AnMBR_20_GWP_yr!Q5</f>
        <v>5 MGD AnMBR [high density urban]</v>
      </c>
      <c r="R5" s="59" t="str">
        <f>AnMBR_20_GWP_yr!R5</f>
        <v>10 MGD AnMBR [single family]</v>
      </c>
      <c r="S5" s="59" t="str">
        <f>AnMBR_20_GWP_yr!S5</f>
        <v>10 MGD AnMBR [multi family]</v>
      </c>
      <c r="T5" s="59" t="str">
        <f>AnMBR_20_GWP_yr!T5</f>
        <v>10 MGD AnMBR [high density urban]</v>
      </c>
      <c r="U5" s="59" t="str">
        <f>AeMBR_Baseline_CED_Detail_yr!W5</f>
        <v>Unit</v>
      </c>
    </row>
    <row r="6" spans="1:21" x14ac:dyDescent="0.25">
      <c r="B6" s="54" t="str">
        <f>AeMBR_Baseline_CED_Detail_yr!B6</f>
        <v>Wastewater collection</v>
      </c>
      <c r="C6" s="63">
        <f>AeMBR_Baseline_GWP_yr!C6</f>
        <v>273.81261000000001</v>
      </c>
      <c r="D6" s="63">
        <f>AeMBR_Baseline_GWP_yr!D6</f>
        <v>138.4699</v>
      </c>
      <c r="E6" s="63">
        <f>AeMBR_Baseline_GWP_yr!E6</f>
        <v>36.50835</v>
      </c>
      <c r="F6" s="63">
        <f>AeMBR_Baseline_GWP_yr!F6</f>
        <v>17.266590000000001</v>
      </c>
      <c r="G6" s="63">
        <f>AeMBR_Baseline_GWP_yr!G6</f>
        <v>516.80075999999997</v>
      </c>
      <c r="H6" s="63">
        <f>AeMBR_Baseline_GWP_yr!H6</f>
        <v>267.72788000000003</v>
      </c>
      <c r="I6" s="63">
        <f>AeMBR_Baseline_GWP_yr!I6</f>
        <v>73.016689999999997</v>
      </c>
      <c r="J6" s="63">
        <f>AeMBR_Baseline_GWP_yr!J6</f>
        <v>35.908639999999998</v>
      </c>
      <c r="K6" s="63">
        <f>AeMBR_Baseline_GWP_yr!K6</f>
        <v>5476.25</v>
      </c>
      <c r="L6" s="63">
        <f>AeMBR_Baseline_GWP_yr!L6</f>
        <v>2677.27</v>
      </c>
      <c r="M6" s="63">
        <f>AeMBR_Baseline_GWP_yr!M6</f>
        <v>730.16600000000005</v>
      </c>
      <c r="N6" s="63">
        <f>AeMBR_Baseline_GWP_yr!N6</f>
        <v>347.92</v>
      </c>
      <c r="O6" s="63">
        <f>AeMBR_Baseline_GWP_yr!O6</f>
        <v>11547.6</v>
      </c>
      <c r="P6" s="63">
        <f>AeMBR_Baseline_GWP_yr!P6</f>
        <v>3650.83</v>
      </c>
      <c r="Q6" s="63">
        <f>AeMBR_Baseline_GWP_yr!Q6</f>
        <v>1758.78</v>
      </c>
      <c r="R6" s="63">
        <f>AeMBR_Baseline_GWP_yr!R6</f>
        <v>26770</v>
      </c>
      <c r="S6" s="63">
        <f>AeMBR_Baseline_GWP_yr!S6</f>
        <v>7638.32</v>
      </c>
      <c r="T6" s="63">
        <f>AeMBR_Baseline_GWP_yr!T6</f>
        <v>3701.92</v>
      </c>
      <c r="U6" s="54" t="s">
        <v>39</v>
      </c>
    </row>
    <row r="7" spans="1:21" x14ac:dyDescent="0.25">
      <c r="B7" s="60" t="str">
        <f>AeMBR_Baseline_CED_Detail_m3!B9</f>
        <v>Pre treatment</v>
      </c>
      <c r="C7" s="63">
        <f>AeMBR_Baseline_GWP_yr!C7</f>
        <v>2803.3273899999913</v>
      </c>
      <c r="D7" s="63">
        <f>AeMBR_Baseline_GWP_yr!D7</f>
        <v>2803.3273899999913</v>
      </c>
      <c r="E7" s="63">
        <f>AeMBR_Baseline_GWP_yr!E7</f>
        <v>2803.3273899999913</v>
      </c>
      <c r="F7" s="63">
        <f>AeMBR_Baseline_GWP_yr!F7</f>
        <v>2803.3273899999913</v>
      </c>
      <c r="G7" s="63">
        <f>AeMBR_Baseline_GWP_yr!G7</f>
        <v>3903.6092399999907</v>
      </c>
      <c r="H7" s="63">
        <f>AeMBR_Baseline_GWP_yr!H7</f>
        <v>3903.6092399999907</v>
      </c>
      <c r="I7" s="63">
        <f>AeMBR_Baseline_GWP_yr!I7</f>
        <v>3903.6092399999907</v>
      </c>
      <c r="J7" s="63">
        <f>AeMBR_Baseline_GWP_yr!J7</f>
        <v>3903.6092399999907</v>
      </c>
      <c r="K7" s="63">
        <f>AeMBR_Baseline_GWP_yr!K7</f>
        <v>12355.949999999953</v>
      </c>
      <c r="L7" s="63">
        <f>AeMBR_Baseline_GWP_yr!L7</f>
        <v>12355.949999999953</v>
      </c>
      <c r="M7" s="63">
        <f>AeMBR_Baseline_GWP_yr!M7</f>
        <v>12355.949999999953</v>
      </c>
      <c r="N7" s="63">
        <f>AeMBR_Baseline_GWP_yr!N7</f>
        <v>12355.949999999953</v>
      </c>
      <c r="O7" s="63">
        <f>AeMBR_Baseline_GWP_yr!O7</f>
        <v>30123.72</v>
      </c>
      <c r="P7" s="63">
        <f>AeMBR_Baseline_GWP_yr!P7</f>
        <v>30123.72</v>
      </c>
      <c r="Q7" s="63">
        <f>AeMBR_Baseline_GWP_yr!Q7</f>
        <v>30123.72</v>
      </c>
      <c r="R7" s="63">
        <f>AeMBR_Baseline_GWP_yr!R7</f>
        <v>45957</v>
      </c>
      <c r="S7" s="63">
        <f>AeMBR_Baseline_GWP_yr!S7</f>
        <v>45957</v>
      </c>
      <c r="T7" s="63">
        <f>AeMBR_Baseline_GWP_yr!T7</f>
        <v>45957</v>
      </c>
      <c r="U7" s="54" t="s">
        <v>39</v>
      </c>
    </row>
    <row r="8" spans="1:21" x14ac:dyDescent="0.25">
      <c r="B8" s="54" t="s">
        <v>16</v>
      </c>
      <c r="C8" s="114">
        <f>56666.6+1001</f>
        <v>57667.6</v>
      </c>
      <c r="D8" s="64">
        <f t="shared" ref="D8:F9" si="0">C8</f>
        <v>57667.6</v>
      </c>
      <c r="E8" s="64">
        <f t="shared" si="0"/>
        <v>57667.6</v>
      </c>
      <c r="F8" s="64">
        <f t="shared" si="0"/>
        <v>57667.6</v>
      </c>
      <c r="G8" s="114">
        <f>106665+2003</f>
        <v>108668</v>
      </c>
      <c r="H8" s="64">
        <f t="shared" ref="H8:J9" si="1">G8</f>
        <v>108668</v>
      </c>
      <c r="I8" s="64">
        <f t="shared" si="1"/>
        <v>108668</v>
      </c>
      <c r="J8" s="64">
        <f t="shared" si="1"/>
        <v>108668</v>
      </c>
      <c r="K8" s="114">
        <f>906027+14825.7</f>
        <v>920852.7</v>
      </c>
      <c r="L8" s="64">
        <f t="shared" ref="L8:N9" si="2">K8</f>
        <v>920852.7</v>
      </c>
      <c r="M8" s="64">
        <f t="shared" si="2"/>
        <v>920852.7</v>
      </c>
      <c r="N8" s="64">
        <f t="shared" si="2"/>
        <v>920852.7</v>
      </c>
      <c r="O8" s="114">
        <f>4363060+61774.7</f>
        <v>4424834.7</v>
      </c>
      <c r="P8" s="64">
        <f>O8</f>
        <v>4424834.7</v>
      </c>
      <c r="Q8" s="64">
        <f>P8</f>
        <v>4424834.7</v>
      </c>
      <c r="R8" s="114">
        <f>8602940+111196</f>
        <v>8714136</v>
      </c>
      <c r="S8" s="64">
        <f>R8</f>
        <v>8714136</v>
      </c>
      <c r="T8" s="64">
        <f>S8</f>
        <v>8714136</v>
      </c>
      <c r="U8" s="54" t="s">
        <v>39</v>
      </c>
    </row>
    <row r="9" spans="1:21" x14ac:dyDescent="0.25">
      <c r="B9" s="54" t="s">
        <v>56</v>
      </c>
      <c r="C9" s="114">
        <f>230+3063</f>
        <v>3293</v>
      </c>
      <c r="D9" s="64">
        <f t="shared" si="0"/>
        <v>3293</v>
      </c>
      <c r="E9" s="64">
        <f t="shared" si="0"/>
        <v>3293</v>
      </c>
      <c r="F9" s="64">
        <f t="shared" si="0"/>
        <v>3293</v>
      </c>
      <c r="G9" s="114">
        <f>335+3140</f>
        <v>3475</v>
      </c>
      <c r="H9" s="64">
        <f t="shared" si="1"/>
        <v>3475</v>
      </c>
      <c r="I9" s="64">
        <f t="shared" si="1"/>
        <v>3475</v>
      </c>
      <c r="J9" s="64">
        <f t="shared" si="1"/>
        <v>3475</v>
      </c>
      <c r="K9" s="114">
        <f>1300+41472.4</f>
        <v>42772.4</v>
      </c>
      <c r="L9" s="64">
        <f t="shared" si="2"/>
        <v>42772.4</v>
      </c>
      <c r="M9" s="64">
        <f t="shared" si="2"/>
        <v>42772.4</v>
      </c>
      <c r="N9" s="64">
        <f t="shared" si="2"/>
        <v>42772.4</v>
      </c>
      <c r="O9" s="114">
        <f>4654+173640</f>
        <v>178294</v>
      </c>
      <c r="P9" s="64">
        <f>O9</f>
        <v>178294</v>
      </c>
      <c r="Q9" s="64">
        <f>P9</f>
        <v>178294</v>
      </c>
      <c r="R9" s="114">
        <f>8225.78+312552</f>
        <v>320777.78000000003</v>
      </c>
      <c r="S9" s="64">
        <f>R9</f>
        <v>320777.78000000003</v>
      </c>
      <c r="T9" s="64">
        <f>S9</f>
        <v>320777.78000000003</v>
      </c>
      <c r="U9" s="54" t="s">
        <v>39</v>
      </c>
    </row>
    <row r="10" spans="1:21" x14ac:dyDescent="0.25">
      <c r="B10" s="54" t="s">
        <v>14</v>
      </c>
      <c r="C10" s="64">
        <f>AeMBR_Baseline_GWP_yr!C10</f>
        <v>33166</v>
      </c>
      <c r="D10" s="64">
        <f>AeMBR_Baseline_GWP_yr!D10</f>
        <v>33166</v>
      </c>
      <c r="E10" s="64">
        <f>AeMBR_Baseline_GWP_yr!E10</f>
        <v>33166</v>
      </c>
      <c r="F10" s="64">
        <f>AeMBR_Baseline_GWP_yr!F10</f>
        <v>33166</v>
      </c>
      <c r="G10" s="64">
        <f>AeMBR_Baseline_GWP_yr!G10</f>
        <v>39466</v>
      </c>
      <c r="H10" s="64">
        <f>AeMBR_Baseline_GWP_yr!H10</f>
        <v>39466</v>
      </c>
      <c r="I10" s="64">
        <f>AeMBR_Baseline_GWP_yr!I10</f>
        <v>39466</v>
      </c>
      <c r="J10" s="64">
        <f>AeMBR_Baseline_GWP_yr!J10</f>
        <v>39466</v>
      </c>
      <c r="K10" s="64">
        <f>AeMBR_Baseline_GWP_yr!K10</f>
        <v>90494</v>
      </c>
      <c r="L10" s="64">
        <f>AeMBR_Baseline_GWP_yr!L10</f>
        <v>90494</v>
      </c>
      <c r="M10" s="64">
        <f>AeMBR_Baseline_GWP_yr!M10</f>
        <v>90494</v>
      </c>
      <c r="N10" s="64">
        <f>AeMBR_Baseline_GWP_yr!N10</f>
        <v>90494</v>
      </c>
      <c r="O10" s="64">
        <f>AeMBR_Baseline_GWP_yr!O10</f>
        <v>245966</v>
      </c>
      <c r="P10" s="64">
        <f>AeMBR_Baseline_GWP_yr!P10</f>
        <v>245966</v>
      </c>
      <c r="Q10" s="64">
        <f>AeMBR_Baseline_GWP_yr!Q10</f>
        <v>245966</v>
      </c>
      <c r="R10" s="64">
        <f>AeMBR_Baseline_GWP_yr!R10</f>
        <v>424896</v>
      </c>
      <c r="S10" s="64">
        <f>AeMBR_Baseline_GWP_yr!S10</f>
        <v>424896</v>
      </c>
      <c r="T10" s="64">
        <f>AeMBR_Baseline_GWP_yr!T10</f>
        <v>424896</v>
      </c>
      <c r="U10" s="54" t="s">
        <v>39</v>
      </c>
    </row>
    <row r="11" spans="1:21" x14ac:dyDescent="0.25">
      <c r="B11" s="54" t="s">
        <v>11</v>
      </c>
      <c r="C11" s="114">
        <f>-52868+137.5</f>
        <v>-52730.5</v>
      </c>
      <c r="D11" s="64">
        <f>C11</f>
        <v>-52730.5</v>
      </c>
      <c r="E11" s="64">
        <f>D11</f>
        <v>-52730.5</v>
      </c>
      <c r="F11" s="64">
        <f>E11</f>
        <v>-52730.5</v>
      </c>
      <c r="G11" s="114">
        <f>-105829+2161</f>
        <v>-103668</v>
      </c>
      <c r="H11" s="64">
        <f>G11</f>
        <v>-103668</v>
      </c>
      <c r="I11" s="64">
        <f>H11</f>
        <v>-103668</v>
      </c>
      <c r="J11" s="64">
        <f>I11</f>
        <v>-103668</v>
      </c>
      <c r="K11" s="114">
        <f>-1061970+2966</f>
        <v>-1059004</v>
      </c>
      <c r="L11" s="64">
        <f>K11</f>
        <v>-1059004</v>
      </c>
      <c r="M11" s="64">
        <f>L11</f>
        <v>-1059004</v>
      </c>
      <c r="N11" s="64">
        <f>M11</f>
        <v>-1059004</v>
      </c>
      <c r="O11" s="114">
        <f>-5315200+107920</f>
        <v>-5207280</v>
      </c>
      <c r="P11" s="64">
        <f>O11</f>
        <v>-5207280</v>
      </c>
      <c r="Q11" s="64">
        <f>P11</f>
        <v>-5207280</v>
      </c>
      <c r="R11" s="114">
        <f>-10627000+58860.7</f>
        <v>-10568139.300000001</v>
      </c>
      <c r="S11" s="64">
        <f>R11</f>
        <v>-10568139.300000001</v>
      </c>
      <c r="T11" s="64">
        <f>S11</f>
        <v>-10568139.300000001</v>
      </c>
      <c r="U11" s="54" t="s">
        <v>39</v>
      </c>
    </row>
    <row r="12" spans="1:21" x14ac:dyDescent="0.25">
      <c r="B12" s="61" t="s">
        <v>57</v>
      </c>
      <c r="C12" s="62">
        <f>SUM(C6:C11)</f>
        <v>44473.239999999991</v>
      </c>
      <c r="D12" s="62">
        <f t="shared" ref="D12:T12" si="3">SUM(D6:D11)</f>
        <v>44337.897289999994</v>
      </c>
      <c r="E12" s="62">
        <f t="shared" si="3"/>
        <v>44235.935739999986</v>
      </c>
      <c r="F12" s="62">
        <f t="shared" si="3"/>
        <v>44216.693979999982</v>
      </c>
      <c r="G12" s="62">
        <f t="shared" si="3"/>
        <v>52361.409999999974</v>
      </c>
      <c r="H12" s="62">
        <f t="shared" si="3"/>
        <v>52112.337119999982</v>
      </c>
      <c r="I12" s="62">
        <f t="shared" si="3"/>
        <v>51917.62592999998</v>
      </c>
      <c r="J12" s="62">
        <f t="shared" si="3"/>
        <v>51880.517879999999</v>
      </c>
      <c r="K12" s="62">
        <f t="shared" si="3"/>
        <v>12947.299999999814</v>
      </c>
      <c r="L12" s="62">
        <f t="shared" si="3"/>
        <v>10148.319999999832</v>
      </c>
      <c r="M12" s="62">
        <f t="shared" si="3"/>
        <v>8201.2160000000149</v>
      </c>
      <c r="N12" s="62">
        <f t="shared" si="3"/>
        <v>7818.9699999999721</v>
      </c>
      <c r="O12" s="62">
        <f t="shared" si="3"/>
        <v>-316513.97999999952</v>
      </c>
      <c r="P12" s="62">
        <f t="shared" si="3"/>
        <v>-324410.75</v>
      </c>
      <c r="Q12" s="62">
        <f t="shared" si="3"/>
        <v>-326302.79999999981</v>
      </c>
      <c r="R12" s="62">
        <f t="shared" si="3"/>
        <v>-1035602.5200000014</v>
      </c>
      <c r="S12" s="62">
        <f t="shared" si="3"/>
        <v>-1054734.2000000011</v>
      </c>
      <c r="T12" s="62">
        <f t="shared" si="3"/>
        <v>-1058670.6000000015</v>
      </c>
      <c r="U12" s="54" t="s">
        <v>39</v>
      </c>
    </row>
    <row r="15" spans="1:21" ht="15.75" x14ac:dyDescent="0.25">
      <c r="A15" s="42" t="s">
        <v>58</v>
      </c>
    </row>
    <row r="17" spans="2:20" ht="45" x14ac:dyDescent="0.25">
      <c r="C17" s="59" t="str">
        <f>C5</f>
        <v>0.05 MGD AnMBR [semi rural single family]</v>
      </c>
      <c r="D17" s="59" t="str">
        <f t="shared" ref="D17:T17" si="4">D5</f>
        <v>0.05 MGD AnMBR [single family]</v>
      </c>
      <c r="E17" s="59" t="str">
        <f t="shared" si="4"/>
        <v>0.05 MGD AnMBR [multi family]</v>
      </c>
      <c r="F17" s="59" t="str">
        <f t="shared" si="4"/>
        <v>0.05 MGD AnMBR [high density urban]</v>
      </c>
      <c r="G17" s="59" t="str">
        <f t="shared" si="4"/>
        <v>0.1 MGD AnMBR [semi rural single family]</v>
      </c>
      <c r="H17" s="59" t="str">
        <f t="shared" si="4"/>
        <v>0.1 MGD AnMBR [single family]</v>
      </c>
      <c r="I17" s="59" t="str">
        <f t="shared" si="4"/>
        <v>0.1 MGD AnMBR [multi family]</v>
      </c>
      <c r="J17" s="59" t="str">
        <f t="shared" si="4"/>
        <v>0.1 MGD AnMBR [high density urban]</v>
      </c>
      <c r="K17" s="59" t="str">
        <f t="shared" si="4"/>
        <v>1 MGD AnMBR [semi rural single family]</v>
      </c>
      <c r="L17" s="59" t="str">
        <f t="shared" si="4"/>
        <v>1 MGD AnMBR [single family]</v>
      </c>
      <c r="M17" s="59" t="str">
        <f t="shared" si="4"/>
        <v>1 MGD AnMBR [multi family]</v>
      </c>
      <c r="N17" s="59" t="str">
        <f t="shared" si="4"/>
        <v>1 MGD AnMBR [high density urban]</v>
      </c>
      <c r="O17" s="59" t="str">
        <f t="shared" si="4"/>
        <v>5 MGD AnMBR [single family]</v>
      </c>
      <c r="P17" s="59" t="str">
        <f t="shared" si="4"/>
        <v>5 MGD AnMBR [multi family]</v>
      </c>
      <c r="Q17" s="59" t="str">
        <f t="shared" si="4"/>
        <v>5 MGD AnMBR [high density urban]</v>
      </c>
      <c r="R17" s="59" t="str">
        <f t="shared" si="4"/>
        <v>10 MGD AnMBR [single family]</v>
      </c>
      <c r="S17" s="59" t="str">
        <f t="shared" si="4"/>
        <v>10 MGD AnMBR [multi family]</v>
      </c>
      <c r="T17" s="59" t="str">
        <f t="shared" si="4"/>
        <v>10 MGD AnMBR [high density urban]</v>
      </c>
    </row>
    <row r="18" spans="2:20" x14ac:dyDescent="0.25">
      <c r="B18" s="54" t="str">
        <f>B6</f>
        <v>Wastewater collection</v>
      </c>
      <c r="C18" s="65">
        <f>C6/C$12</f>
        <v>6.1567947376894522E-3</v>
      </c>
      <c r="D18" s="65">
        <f t="shared" ref="D18:T23" si="5">D6/D$12</f>
        <v>3.1230596952830825E-3</v>
      </c>
      <c r="E18" s="65">
        <f t="shared" si="5"/>
        <v>8.253097711005946E-4</v>
      </c>
      <c r="F18" s="65">
        <f t="shared" si="5"/>
        <v>3.9049934415743507E-4</v>
      </c>
      <c r="G18" s="65">
        <f t="shared" si="5"/>
        <v>9.8698785995258772E-3</v>
      </c>
      <c r="H18" s="65">
        <f t="shared" si="5"/>
        <v>5.1375143544895785E-3</v>
      </c>
      <c r="I18" s="65">
        <f t="shared" si="5"/>
        <v>1.4063950092488373E-3</v>
      </c>
      <c r="J18" s="65">
        <f t="shared" si="5"/>
        <v>6.9214112478709121E-4</v>
      </c>
      <c r="K18" s="65">
        <f t="shared" si="5"/>
        <v>0.42296463355294761</v>
      </c>
      <c r="L18" s="65">
        <f t="shared" si="5"/>
        <v>0.26381410913333875</v>
      </c>
      <c r="M18" s="65">
        <f t="shared" si="5"/>
        <v>8.9031431436508768E-2</v>
      </c>
      <c r="N18" s="65">
        <f t="shared" si="5"/>
        <v>4.449690943947876E-2</v>
      </c>
      <c r="O18" s="65">
        <f t="shared" si="5"/>
        <v>-3.6483696549517393E-2</v>
      </c>
      <c r="P18" s="65">
        <f t="shared" si="5"/>
        <v>-1.1253726949553922E-2</v>
      </c>
      <c r="Q18" s="65">
        <f t="shared" si="5"/>
        <v>-5.3900242351582672E-3</v>
      </c>
      <c r="R18" s="65">
        <f t="shared" si="5"/>
        <v>-2.5849686035912662E-2</v>
      </c>
      <c r="S18" s="65">
        <f t="shared" si="5"/>
        <v>-7.2419383006637993E-3</v>
      </c>
      <c r="T18" s="65">
        <f t="shared" si="5"/>
        <v>-3.4967628268887363E-3</v>
      </c>
    </row>
    <row r="19" spans="2:20" x14ac:dyDescent="0.25">
      <c r="B19" s="54" t="str">
        <f t="shared" ref="B19:B23" si="6">B7</f>
        <v>Pre treatment</v>
      </c>
      <c r="C19" s="65">
        <f t="shared" ref="C19:R23" si="7">C7/C$12</f>
        <v>6.3034026529211543E-2</v>
      </c>
      <c r="D19" s="65">
        <f t="shared" si="7"/>
        <v>6.3226439712833565E-2</v>
      </c>
      <c r="E19" s="65">
        <f t="shared" si="7"/>
        <v>6.3372173394878703E-2</v>
      </c>
      <c r="F19" s="65">
        <f t="shared" si="7"/>
        <v>6.3399751036746152E-2</v>
      </c>
      <c r="G19" s="65">
        <f t="shared" si="7"/>
        <v>7.4551262847963651E-2</v>
      </c>
      <c r="H19" s="65">
        <f t="shared" si="7"/>
        <v>7.4907583419470944E-2</v>
      </c>
      <c r="I19" s="65">
        <f t="shared" si="7"/>
        <v>7.5188515847453966E-2</v>
      </c>
      <c r="J19" s="65">
        <f t="shared" si="7"/>
        <v>7.524229517193845E-2</v>
      </c>
      <c r="K19" s="65">
        <f t="shared" si="7"/>
        <v>0.95432638465163633</v>
      </c>
      <c r="L19" s="65">
        <f t="shared" si="7"/>
        <v>1.2175364986520092</v>
      </c>
      <c r="M19" s="65">
        <f t="shared" si="7"/>
        <v>1.5065997530122279</v>
      </c>
      <c r="N19" s="65">
        <f t="shared" si="7"/>
        <v>1.5802528977601906</v>
      </c>
      <c r="O19" s="65">
        <f t="shared" si="7"/>
        <v>-9.5173426462869179E-2</v>
      </c>
      <c r="P19" s="65">
        <f t="shared" si="7"/>
        <v>-9.2856725617138147E-2</v>
      </c>
      <c r="Q19" s="65">
        <f t="shared" si="7"/>
        <v>-9.2318300670420295E-2</v>
      </c>
      <c r="R19" s="65">
        <f t="shared" si="7"/>
        <v>-4.4377064667629369E-2</v>
      </c>
      <c r="S19" s="65">
        <f t="shared" si="5"/>
        <v>-4.3572115135737471E-2</v>
      </c>
      <c r="T19" s="65">
        <f t="shared" si="5"/>
        <v>-4.341010319923868E-2</v>
      </c>
    </row>
    <row r="20" spans="2:20" x14ac:dyDescent="0.25">
      <c r="B20" s="54" t="str">
        <f t="shared" si="6"/>
        <v>MBR operation</v>
      </c>
      <c r="C20" s="65">
        <f t="shared" si="7"/>
        <v>1.2966808804575518</v>
      </c>
      <c r="D20" s="65">
        <f t="shared" si="5"/>
        <v>1.3006390362360822</v>
      </c>
      <c r="E20" s="65">
        <f t="shared" si="5"/>
        <v>1.3036369421220255</v>
      </c>
      <c r="F20" s="65">
        <f t="shared" si="5"/>
        <v>1.3042042452582301</v>
      </c>
      <c r="G20" s="65">
        <f t="shared" si="5"/>
        <v>2.0753451826450062</v>
      </c>
      <c r="H20" s="65">
        <f t="shared" si="5"/>
        <v>2.0852643731899474</v>
      </c>
      <c r="I20" s="65">
        <f t="shared" si="5"/>
        <v>2.0930849216124785</v>
      </c>
      <c r="J20" s="65">
        <f t="shared" si="5"/>
        <v>2.0945820211615822</v>
      </c>
      <c r="K20" s="65">
        <f t="shared" si="5"/>
        <v>71.123145366216363</v>
      </c>
      <c r="L20" s="65">
        <f t="shared" si="5"/>
        <v>90.739422879847623</v>
      </c>
      <c r="M20" s="65">
        <f t="shared" si="5"/>
        <v>112.28245908899342</v>
      </c>
      <c r="N20" s="65">
        <f t="shared" si="5"/>
        <v>117.77161186192085</v>
      </c>
      <c r="O20" s="65">
        <f t="shared" si="5"/>
        <v>-13.9799028782236</v>
      </c>
      <c r="P20" s="65">
        <f t="shared" si="5"/>
        <v>-13.639605654251593</v>
      </c>
      <c r="Q20" s="65">
        <f t="shared" si="5"/>
        <v>-13.560517102519508</v>
      </c>
      <c r="R20" s="65">
        <f t="shared" si="5"/>
        <v>-8.4145565810326417</v>
      </c>
      <c r="S20" s="65">
        <f t="shared" si="5"/>
        <v>-8.2619260852639371</v>
      </c>
      <c r="T20" s="65">
        <f t="shared" si="5"/>
        <v>-8.231206193881258</v>
      </c>
    </row>
    <row r="21" spans="2:20" x14ac:dyDescent="0.25">
      <c r="B21" s="54" t="str">
        <f t="shared" si="6"/>
        <v>MBR infrastructure</v>
      </c>
      <c r="C21" s="65">
        <f t="shared" si="7"/>
        <v>7.4044526551247464E-2</v>
      </c>
      <c r="D21" s="65">
        <f t="shared" si="5"/>
        <v>7.4270549603684205E-2</v>
      </c>
      <c r="E21" s="65">
        <f t="shared" si="5"/>
        <v>7.4441739389324857E-2</v>
      </c>
      <c r="F21" s="65">
        <f t="shared" si="5"/>
        <v>7.4474134169539769E-2</v>
      </c>
      <c r="G21" s="65">
        <f t="shared" si="5"/>
        <v>6.6365668915332909E-2</v>
      </c>
      <c r="H21" s="65">
        <f t="shared" si="5"/>
        <v>6.6682866132026605E-2</v>
      </c>
      <c r="I21" s="65">
        <f t="shared" si="5"/>
        <v>6.693295268711455E-2</v>
      </c>
      <c r="J21" s="65">
        <f t="shared" si="5"/>
        <v>6.6980827138959934E-2</v>
      </c>
      <c r="K21" s="65">
        <f t="shared" si="5"/>
        <v>3.3035768075197622</v>
      </c>
      <c r="L21" s="65">
        <f t="shared" si="5"/>
        <v>4.2147271666641091</v>
      </c>
      <c r="M21" s="65">
        <f t="shared" si="5"/>
        <v>5.215372939817696</v>
      </c>
      <c r="N21" s="65">
        <f t="shared" si="5"/>
        <v>5.4703368858046719</v>
      </c>
      <c r="O21" s="65">
        <f t="shared" si="5"/>
        <v>-0.56330529223385417</v>
      </c>
      <c r="P21" s="65">
        <f t="shared" si="5"/>
        <v>-0.54959337814791898</v>
      </c>
      <c r="Q21" s="65">
        <f t="shared" si="5"/>
        <v>-0.54640658921713237</v>
      </c>
      <c r="R21" s="65">
        <f t="shared" si="5"/>
        <v>-0.30974990288745108</v>
      </c>
      <c r="S21" s="65">
        <f t="shared" si="5"/>
        <v>-0.30413139158661934</v>
      </c>
      <c r="T21" s="65">
        <f t="shared" si="5"/>
        <v>-0.30300055560246936</v>
      </c>
    </row>
    <row r="22" spans="2:20" x14ac:dyDescent="0.25">
      <c r="B22" s="54" t="str">
        <f t="shared" si="6"/>
        <v>Post treatment</v>
      </c>
      <c r="C22" s="65">
        <f t="shared" si="7"/>
        <v>0.74575182739103352</v>
      </c>
      <c r="D22" s="65">
        <f t="shared" si="5"/>
        <v>0.74802825634855463</v>
      </c>
      <c r="E22" s="65">
        <f t="shared" si="5"/>
        <v>0.74975242289290867</v>
      </c>
      <c r="F22" s="65">
        <f t="shared" si="5"/>
        <v>0.7500786923373689</v>
      </c>
      <c r="G22" s="65">
        <f t="shared" si="5"/>
        <v>0.75372301853597945</v>
      </c>
      <c r="H22" s="65">
        <f t="shared" si="5"/>
        <v>0.75732546611987406</v>
      </c>
      <c r="I22" s="65">
        <f t="shared" si="5"/>
        <v>0.76016572971213314</v>
      </c>
      <c r="J22" s="65">
        <f t="shared" si="5"/>
        <v>0.76070944571689003</v>
      </c>
      <c r="K22" s="65">
        <f t="shared" si="5"/>
        <v>6.9894109196513021</v>
      </c>
      <c r="L22" s="65">
        <f t="shared" si="5"/>
        <v>8.9171409652042399</v>
      </c>
      <c r="M22" s="65">
        <f t="shared" si="5"/>
        <v>11.034217364839536</v>
      </c>
      <c r="N22" s="65">
        <f t="shared" si="5"/>
        <v>11.573647168361092</v>
      </c>
      <c r="O22" s="65">
        <f t="shared" si="5"/>
        <v>-0.77710943447111047</v>
      </c>
      <c r="P22" s="65">
        <f t="shared" si="5"/>
        <v>-0.75819312399481209</v>
      </c>
      <c r="Q22" s="65">
        <f t="shared" si="5"/>
        <v>-0.75379678016860452</v>
      </c>
      <c r="R22" s="65">
        <f t="shared" si="5"/>
        <v>-0.41028868875290048</v>
      </c>
      <c r="S22" s="65">
        <f t="shared" si="5"/>
        <v>-0.40284651810854294</v>
      </c>
      <c r="T22" s="65">
        <f t="shared" si="5"/>
        <v>-0.40134863478781729</v>
      </c>
    </row>
    <row r="23" spans="2:20" x14ac:dyDescent="0.25">
      <c r="B23" s="54" t="str">
        <f t="shared" si="6"/>
        <v>Recycled water delivery</v>
      </c>
      <c r="C23" s="65">
        <f t="shared" si="7"/>
        <v>-1.1856680556667338</v>
      </c>
      <c r="D23" s="65">
        <f t="shared" si="5"/>
        <v>-1.1892873415964378</v>
      </c>
      <c r="E23" s="65">
        <f t="shared" si="5"/>
        <v>-1.1920285875702381</v>
      </c>
      <c r="F23" s="65">
        <f t="shared" si="5"/>
        <v>-1.1925473221460421</v>
      </c>
      <c r="G23" s="65">
        <f t="shared" si="5"/>
        <v>-1.9798550115438078</v>
      </c>
      <c r="H23" s="65">
        <f t="shared" si="5"/>
        <v>-1.9893178032158085</v>
      </c>
      <c r="I23" s="65">
        <f t="shared" si="5"/>
        <v>-1.9967785148684289</v>
      </c>
      <c r="J23" s="65">
        <f t="shared" si="5"/>
        <v>-1.9982067303141577</v>
      </c>
      <c r="K23" s="65">
        <f t="shared" si="5"/>
        <v>-81.793424111592017</v>
      </c>
      <c r="L23" s="65">
        <f t="shared" si="5"/>
        <v>-104.35264161950131</v>
      </c>
      <c r="M23" s="65">
        <f t="shared" si="5"/>
        <v>-129.12768057809942</v>
      </c>
      <c r="N23" s="65">
        <f t="shared" si="5"/>
        <v>-135.4403457232863</v>
      </c>
      <c r="O23" s="65">
        <f t="shared" si="5"/>
        <v>16.451974727940954</v>
      </c>
      <c r="P23" s="65">
        <f t="shared" si="5"/>
        <v>16.051502608961016</v>
      </c>
      <c r="Q23" s="65">
        <f t="shared" si="5"/>
        <v>15.958428796810825</v>
      </c>
      <c r="R23" s="65">
        <f t="shared" si="5"/>
        <v>10.204821923376535</v>
      </c>
      <c r="S23" s="65">
        <f t="shared" si="5"/>
        <v>10.0197180483955</v>
      </c>
      <c r="T23" s="65">
        <f t="shared" si="5"/>
        <v>9.9824622502976705</v>
      </c>
    </row>
    <row r="24" spans="2:20" x14ac:dyDescent="0.25">
      <c r="B24" s="61" t="s">
        <v>57</v>
      </c>
      <c r="C24" s="66">
        <f>SUM(C18:C23)</f>
        <v>1.0000000000000002</v>
      </c>
      <c r="D24" s="66">
        <f t="shared" ref="D24:T24" si="8">SUM(D18:D23)</f>
        <v>0.99999999999999978</v>
      </c>
      <c r="E24" s="66">
        <f t="shared" si="8"/>
        <v>1.0000000000000002</v>
      </c>
      <c r="F24" s="66">
        <f t="shared" si="8"/>
        <v>1.0000000000000004</v>
      </c>
      <c r="G24" s="66">
        <f t="shared" si="8"/>
        <v>1</v>
      </c>
      <c r="H24" s="66">
        <f t="shared" si="8"/>
        <v>1.0000000000000002</v>
      </c>
      <c r="I24" s="66">
        <f t="shared" si="8"/>
        <v>1.0000000000000002</v>
      </c>
      <c r="J24" s="66">
        <f t="shared" si="8"/>
        <v>1</v>
      </c>
      <c r="K24" s="66">
        <f t="shared" si="8"/>
        <v>1</v>
      </c>
      <c r="L24" s="66">
        <f t="shared" si="8"/>
        <v>1</v>
      </c>
      <c r="M24" s="66">
        <f t="shared" si="8"/>
        <v>0.99999999999997158</v>
      </c>
      <c r="N24" s="66">
        <f t="shared" si="8"/>
        <v>0.99999999999997158</v>
      </c>
      <c r="O24" s="66">
        <f t="shared" si="8"/>
        <v>1.0000000000000018</v>
      </c>
      <c r="P24" s="66">
        <f t="shared" si="8"/>
        <v>1</v>
      </c>
      <c r="Q24" s="66">
        <f t="shared" si="8"/>
        <v>1</v>
      </c>
      <c r="R24" s="66">
        <f t="shared" si="8"/>
        <v>1</v>
      </c>
      <c r="S24" s="66">
        <f t="shared" si="8"/>
        <v>1</v>
      </c>
      <c r="T24" s="66">
        <f t="shared" si="8"/>
        <v>0.99999999999999822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showGridLines="0" zoomScale="85" zoomScaleNormal="85" workbookViewId="0">
      <pane xSplit="2" topLeftCell="C1" activePane="topRight" state="frozen"/>
      <selection pane="topRight"/>
    </sheetView>
  </sheetViews>
  <sheetFormatPr defaultRowHeight="15" x14ac:dyDescent="0.25"/>
  <cols>
    <col min="1" max="1" width="3.140625" customWidth="1"/>
    <col min="2" max="2" width="28.28515625" customWidth="1"/>
    <col min="3" max="3" width="18.5703125" customWidth="1"/>
    <col min="4" max="4" width="18.85546875" customWidth="1"/>
    <col min="5" max="5" width="19.140625" customWidth="1"/>
    <col min="6" max="6" width="17.85546875" customWidth="1"/>
    <col min="7" max="7" width="23.140625" customWidth="1"/>
    <col min="8" max="8" width="20.5703125" customWidth="1"/>
    <col min="9" max="9" width="21.42578125" customWidth="1"/>
    <col min="10" max="10" width="20.28515625" customWidth="1"/>
    <col min="11" max="11" width="21.85546875" customWidth="1"/>
    <col min="12" max="12" width="18.42578125" customWidth="1"/>
    <col min="13" max="13" width="17.7109375" customWidth="1"/>
    <col min="14" max="14" width="17" customWidth="1"/>
    <col min="15" max="16" width="16.42578125" customWidth="1"/>
    <col min="17" max="17" width="17.7109375" customWidth="1"/>
    <col min="18" max="18" width="14.28515625" customWidth="1"/>
    <col min="19" max="19" width="15.7109375" customWidth="1"/>
    <col min="20" max="20" width="18" customWidth="1"/>
    <col min="21" max="21" width="11.7109375" customWidth="1"/>
  </cols>
  <sheetData>
    <row r="1" spans="1:21" ht="15.75" x14ac:dyDescent="0.25">
      <c r="A1" s="42" t="s">
        <v>101</v>
      </c>
    </row>
    <row r="2" spans="1:21" x14ac:dyDescent="0.25">
      <c r="A2" s="41" t="s">
        <v>52</v>
      </c>
    </row>
    <row r="4" spans="1:21" x14ac:dyDescent="0.25">
      <c r="B4" s="55" t="str">
        <f>AeMBR_Baseline_CED_Detail_yr!D4</f>
        <v>Water treated per year (m3)</v>
      </c>
      <c r="C4" s="56">
        <f>AeMBR_Baseline_CED_Detail_yr!E4</f>
        <v>69129.535959999994</v>
      </c>
      <c r="D4" s="57">
        <f>AeMBR_Baseline_CED_Detail_yr!F4</f>
        <v>69129.535959999994</v>
      </c>
      <c r="E4" s="57">
        <f>AeMBR_Baseline_CED_Detail_yr!G4</f>
        <v>69129.535959999994</v>
      </c>
      <c r="F4" s="57">
        <f>AeMBR_Baseline_CED_Detail_yr!H4</f>
        <v>69129.535959999994</v>
      </c>
      <c r="G4" s="57">
        <f>AeMBR_Baseline_CED_Detail_yr!I4</f>
        <v>138259.07190000001</v>
      </c>
      <c r="H4" s="57">
        <f>AeMBR_Baseline_CED_Detail_yr!J4</f>
        <v>138259.07190000001</v>
      </c>
      <c r="I4" s="57">
        <f>AeMBR_Baseline_CED_Detail_yr!K4</f>
        <v>138259.07190000001</v>
      </c>
      <c r="J4" s="57">
        <f>AeMBR_Baseline_CED_Detail_yr!L4</f>
        <v>138259.07190000001</v>
      </c>
      <c r="K4" s="57">
        <f>AeMBR_Baseline_CED_Detail_yr!M4</f>
        <v>1382590.719</v>
      </c>
      <c r="L4" s="57">
        <f>AeMBR_Baseline_CED_Detail_yr!N4</f>
        <v>1382590.719</v>
      </c>
      <c r="M4" s="57">
        <f>AeMBR_Baseline_CED_Detail_yr!O4</f>
        <v>1382590.719</v>
      </c>
      <c r="N4" s="57">
        <f>AeMBR_Baseline_CED_Detail_yr!P4</f>
        <v>1382590.719</v>
      </c>
      <c r="O4" s="57">
        <f>AeMBR_Baseline_CED_Detail_yr!Q4</f>
        <v>6912953.5959999999</v>
      </c>
      <c r="P4" s="57">
        <f>AeMBR_Baseline_CED_Detail_yr!R4</f>
        <v>6912953.5959999999</v>
      </c>
      <c r="Q4" s="57">
        <f>AeMBR_Baseline_CED_Detail_yr!S4</f>
        <v>6912953.5959999999</v>
      </c>
      <c r="R4" s="57">
        <f>AeMBR_Baseline_CED_Detail_yr!T4</f>
        <v>13825907.189999999</v>
      </c>
      <c r="S4" s="57">
        <f>AeMBR_Baseline_CED_Detail_yr!U4</f>
        <v>13825907.189999999</v>
      </c>
      <c r="T4" s="58">
        <f>AeMBR_Baseline_CED_Detail_yr!V4</f>
        <v>13825907.189999999</v>
      </c>
    </row>
    <row r="5" spans="1:21" ht="93" customHeight="1" x14ac:dyDescent="0.25">
      <c r="C5" s="59" t="str">
        <f>AnMBR_20_CED_Detail_yr!E5</f>
        <v>0.05 MGD AnMBR [semi rural single family]</v>
      </c>
      <c r="D5" s="59" t="str">
        <f>AnMBR_20_CED_Detail_yr!F5</f>
        <v>0.05 MGD AnMBR [single family]</v>
      </c>
      <c r="E5" s="59" t="str">
        <f>AnMBR_20_CED_Detail_yr!G5</f>
        <v>0.05 MGD AnMBR [multi family]</v>
      </c>
      <c r="F5" s="59" t="str">
        <f>AnMBR_20_CED_Detail_yr!H5</f>
        <v>0.05 MGD AnMBR [high density urban]</v>
      </c>
      <c r="G5" s="59" t="str">
        <f>AnMBR_20_CED_Detail_yr!I5</f>
        <v>0.1 MGD AnMBR [semi rural single family]</v>
      </c>
      <c r="H5" s="59" t="str">
        <f>AnMBR_20_CED_Detail_yr!J5</f>
        <v>0.1 MGD AnMBR [single family]</v>
      </c>
      <c r="I5" s="59" t="str">
        <f>AnMBR_20_CED_Detail_yr!K5</f>
        <v>0.1 MGD AnMBR [multi family]</v>
      </c>
      <c r="J5" s="59" t="str">
        <f>AnMBR_20_CED_Detail_yr!L5</f>
        <v>0.1 MGD AnMBR [high density urban]</v>
      </c>
      <c r="K5" s="59" t="str">
        <f>AnMBR_20_CED_Detail_yr!M5</f>
        <v>1 MGD AnMBR [semi rural single family]</v>
      </c>
      <c r="L5" s="59" t="str">
        <f>AnMBR_20_CED_Detail_yr!N5</f>
        <v>1 MGD AnMBR [single family]</v>
      </c>
      <c r="M5" s="59" t="str">
        <f>AnMBR_20_CED_Detail_yr!O5</f>
        <v>1 MGD AnMBR [multi family]</v>
      </c>
      <c r="N5" s="59" t="str">
        <f>AnMBR_20_CED_Detail_yr!P5</f>
        <v>1 MGD AnMBR [high density urban]</v>
      </c>
      <c r="O5" s="59" t="str">
        <f>AnMBR_20_CED_Detail_yr!Q5</f>
        <v>5 MGD AnMBR [single family]</v>
      </c>
      <c r="P5" s="59" t="str">
        <f>AnMBR_20_CED_Detail_yr!R5</f>
        <v>5 MGD AnMBR [multi family]</v>
      </c>
      <c r="Q5" s="59" t="str">
        <f>AnMBR_20_CED_Detail_yr!S5</f>
        <v>5 MGD AnMBR [high density urban]</v>
      </c>
      <c r="R5" s="59" t="str">
        <f>AnMBR_20_CED_Detail_yr!T5</f>
        <v>10 MGD AnMBR [single family]</v>
      </c>
      <c r="S5" s="59" t="str">
        <f>AnMBR_20_CED_Detail_yr!U5</f>
        <v>10 MGD AnMBR [multi family]</v>
      </c>
      <c r="T5" s="59" t="str">
        <f>AnMBR_20_CED_Detail_yr!V5</f>
        <v>10 MGD AnMBR [high density urban]</v>
      </c>
      <c r="U5" s="59" t="str">
        <f>AeMBR_Baseline_CED_Detail_yr!W5</f>
        <v>Unit</v>
      </c>
    </row>
    <row r="6" spans="1:21" x14ac:dyDescent="0.25">
      <c r="B6" s="54" t="str">
        <f>AeMBR_Baseline_CED_Detail_yr!B6</f>
        <v>Wastewater collection</v>
      </c>
      <c r="C6" s="63">
        <f>AeMBR_Baseline_GWP_yr!C6</f>
        <v>273.81261000000001</v>
      </c>
      <c r="D6" s="63">
        <f>AeMBR_Baseline_GWP_yr!D6</f>
        <v>138.4699</v>
      </c>
      <c r="E6" s="63">
        <f>AeMBR_Baseline_GWP_yr!E6</f>
        <v>36.50835</v>
      </c>
      <c r="F6" s="63">
        <f>AeMBR_Baseline_GWP_yr!F6</f>
        <v>17.266590000000001</v>
      </c>
      <c r="G6" s="63">
        <f>AeMBR_Baseline_GWP_yr!G6</f>
        <v>516.80075999999997</v>
      </c>
      <c r="H6" s="63">
        <f>AeMBR_Baseline_GWP_yr!H6</f>
        <v>267.72788000000003</v>
      </c>
      <c r="I6" s="63">
        <f>AeMBR_Baseline_GWP_yr!I6</f>
        <v>73.016689999999997</v>
      </c>
      <c r="J6" s="63">
        <f>AeMBR_Baseline_GWP_yr!J6</f>
        <v>35.908639999999998</v>
      </c>
      <c r="K6" s="63">
        <f>AeMBR_Baseline_GWP_yr!K6</f>
        <v>5476.25</v>
      </c>
      <c r="L6" s="63">
        <f>AeMBR_Baseline_GWP_yr!L6</f>
        <v>2677.27</v>
      </c>
      <c r="M6" s="63">
        <f>AeMBR_Baseline_GWP_yr!M6</f>
        <v>730.16600000000005</v>
      </c>
      <c r="N6" s="63">
        <f>AeMBR_Baseline_GWP_yr!N6</f>
        <v>347.92</v>
      </c>
      <c r="O6" s="63">
        <f>AeMBR_Baseline_GWP_yr!O6</f>
        <v>11547.6</v>
      </c>
      <c r="P6" s="63">
        <f>AeMBR_Baseline_GWP_yr!P6</f>
        <v>3650.83</v>
      </c>
      <c r="Q6" s="63">
        <f>AeMBR_Baseline_GWP_yr!Q6</f>
        <v>1758.78</v>
      </c>
      <c r="R6" s="63">
        <f>AeMBR_Baseline_GWP_yr!R6</f>
        <v>26770</v>
      </c>
      <c r="S6" s="63">
        <f>AeMBR_Baseline_GWP_yr!S6</f>
        <v>7638.32</v>
      </c>
      <c r="T6" s="63">
        <f>AeMBR_Baseline_GWP_yr!T6</f>
        <v>3701.92</v>
      </c>
      <c r="U6" s="54" t="s">
        <v>39</v>
      </c>
    </row>
    <row r="7" spans="1:21" x14ac:dyDescent="0.25">
      <c r="B7" s="60" t="str">
        <f>AeMBR_Baseline_CED_Detail_m3!B9</f>
        <v>Pre treatment</v>
      </c>
      <c r="C7" s="63">
        <f>AeMBR_Baseline_GWP_yr!C7</f>
        <v>2803.3273899999913</v>
      </c>
      <c r="D7" s="63">
        <f>AeMBR_Baseline_GWP_yr!D7</f>
        <v>2803.3273899999913</v>
      </c>
      <c r="E7" s="63">
        <f>AeMBR_Baseline_GWP_yr!E7</f>
        <v>2803.3273899999913</v>
      </c>
      <c r="F7" s="63">
        <f>AeMBR_Baseline_GWP_yr!F7</f>
        <v>2803.3273899999913</v>
      </c>
      <c r="G7" s="63">
        <f>AeMBR_Baseline_GWP_yr!G7</f>
        <v>3903.6092399999907</v>
      </c>
      <c r="H7" s="63">
        <f>AeMBR_Baseline_GWP_yr!H7</f>
        <v>3903.6092399999907</v>
      </c>
      <c r="I7" s="63">
        <f>AeMBR_Baseline_GWP_yr!I7</f>
        <v>3903.6092399999907</v>
      </c>
      <c r="J7" s="63">
        <f>AeMBR_Baseline_GWP_yr!J7</f>
        <v>3903.6092399999907</v>
      </c>
      <c r="K7" s="63">
        <f>AeMBR_Baseline_GWP_yr!K7</f>
        <v>12355.949999999953</v>
      </c>
      <c r="L7" s="63">
        <f>AeMBR_Baseline_GWP_yr!L7</f>
        <v>12355.949999999953</v>
      </c>
      <c r="M7" s="63">
        <f>AeMBR_Baseline_GWP_yr!M7</f>
        <v>12355.949999999953</v>
      </c>
      <c r="N7" s="63">
        <f>AeMBR_Baseline_GWP_yr!N7</f>
        <v>12355.949999999953</v>
      </c>
      <c r="O7" s="63">
        <f>AeMBR_Baseline_GWP_yr!O7</f>
        <v>30123.72</v>
      </c>
      <c r="P7" s="63">
        <f>AeMBR_Baseline_GWP_yr!P7</f>
        <v>30123.72</v>
      </c>
      <c r="Q7" s="63">
        <f>AeMBR_Baseline_GWP_yr!Q7</f>
        <v>30123.72</v>
      </c>
      <c r="R7" s="63">
        <f>AeMBR_Baseline_GWP_yr!R7</f>
        <v>45957</v>
      </c>
      <c r="S7" s="63">
        <f>AeMBR_Baseline_GWP_yr!S7</f>
        <v>45957</v>
      </c>
      <c r="T7" s="63">
        <f>AeMBR_Baseline_GWP_yr!T7</f>
        <v>45957</v>
      </c>
      <c r="U7" s="54" t="s">
        <v>39</v>
      </c>
    </row>
    <row r="8" spans="1:21" x14ac:dyDescent="0.25">
      <c r="B8" s="54" t="s">
        <v>16</v>
      </c>
      <c r="C8" s="114">
        <v>-13442.959010000002</v>
      </c>
      <c r="D8" s="64">
        <f>C8</f>
        <v>-13442.959010000002</v>
      </c>
      <c r="E8" s="64">
        <f>D8</f>
        <v>-13442.959010000002</v>
      </c>
      <c r="F8" s="64">
        <f>E8</f>
        <v>-13442.959010000002</v>
      </c>
      <c r="G8" s="114">
        <v>-22969.475559999999</v>
      </c>
      <c r="H8" s="64">
        <f>G8</f>
        <v>-22969.475559999999</v>
      </c>
      <c r="I8" s="64">
        <f>H8</f>
        <v>-22969.475559999999</v>
      </c>
      <c r="J8" s="64">
        <f>I8</f>
        <v>-22969.475559999999</v>
      </c>
      <c r="K8" s="114">
        <v>-234902.07490000001</v>
      </c>
      <c r="L8" s="64">
        <f>K8</f>
        <v>-234902.07490000001</v>
      </c>
      <c r="M8" s="64">
        <f>L8</f>
        <v>-234902.07490000001</v>
      </c>
      <c r="N8" s="64">
        <f>M8</f>
        <v>-234902.07490000001</v>
      </c>
      <c r="O8" s="114">
        <v>-1186865.1000000001</v>
      </c>
      <c r="P8" s="64">
        <f>O8</f>
        <v>-1186865.1000000001</v>
      </c>
      <c r="Q8" s="64">
        <f>P8</f>
        <v>-1186865.1000000001</v>
      </c>
      <c r="R8" s="114">
        <v>-2386084.7000000002</v>
      </c>
      <c r="S8" s="64">
        <f>R8</f>
        <v>-2386084.7000000002</v>
      </c>
      <c r="T8" s="64">
        <f>R8</f>
        <v>-2386084.7000000002</v>
      </c>
      <c r="U8" s="54" t="s">
        <v>39</v>
      </c>
    </row>
    <row r="9" spans="1:21" x14ac:dyDescent="0.25">
      <c r="B9" s="54" t="s">
        <v>56</v>
      </c>
      <c r="C9" s="64">
        <f>AnMBR_35_GWP_yr!C9</f>
        <v>3293</v>
      </c>
      <c r="D9" s="64">
        <f>AnMBR_35_GWP_yr!D9</f>
        <v>3293</v>
      </c>
      <c r="E9" s="64">
        <f>AnMBR_35_GWP_yr!E9</f>
        <v>3293</v>
      </c>
      <c r="F9" s="64">
        <f>AnMBR_35_GWP_yr!F9</f>
        <v>3293</v>
      </c>
      <c r="G9" s="64">
        <f>AnMBR_35_GWP_yr!G9</f>
        <v>3475</v>
      </c>
      <c r="H9" s="64">
        <f>AnMBR_35_GWP_yr!H9</f>
        <v>3475</v>
      </c>
      <c r="I9" s="64">
        <f>AnMBR_35_GWP_yr!I9</f>
        <v>3475</v>
      </c>
      <c r="J9" s="64">
        <f>AnMBR_35_GWP_yr!J9</f>
        <v>3475</v>
      </c>
      <c r="K9" s="64">
        <f>AnMBR_35_GWP_yr!K9</f>
        <v>42772.4</v>
      </c>
      <c r="L9" s="64">
        <f>AnMBR_35_GWP_yr!L9</f>
        <v>42772.4</v>
      </c>
      <c r="M9" s="64">
        <f>AnMBR_35_GWP_yr!M9</f>
        <v>42772.4</v>
      </c>
      <c r="N9" s="64">
        <f>AnMBR_35_GWP_yr!N9</f>
        <v>42772.4</v>
      </c>
      <c r="O9" s="64">
        <f>AnMBR_35_GWP_yr!O9</f>
        <v>178294</v>
      </c>
      <c r="P9" s="64">
        <f>AnMBR_35_GWP_yr!P9</f>
        <v>178294</v>
      </c>
      <c r="Q9" s="64">
        <f>AnMBR_35_GWP_yr!Q9</f>
        <v>178294</v>
      </c>
      <c r="R9" s="64">
        <f>AnMBR_35_GWP_yr!R9</f>
        <v>320777.78000000003</v>
      </c>
      <c r="S9" s="64">
        <f>AnMBR_35_GWP_yr!S9</f>
        <v>320777.78000000003</v>
      </c>
      <c r="T9" s="64">
        <f>AnMBR_35_GWP_yr!T9</f>
        <v>320777.78000000003</v>
      </c>
      <c r="U9" s="54" t="s">
        <v>39</v>
      </c>
    </row>
    <row r="10" spans="1:21" x14ac:dyDescent="0.25">
      <c r="B10" s="54" t="s">
        <v>14</v>
      </c>
      <c r="C10" s="64">
        <f>AeMBR_Baseline_GWP_yr!C10</f>
        <v>33166</v>
      </c>
      <c r="D10" s="64">
        <f>AeMBR_Baseline_GWP_yr!D10</f>
        <v>33166</v>
      </c>
      <c r="E10" s="64">
        <f>AeMBR_Baseline_GWP_yr!E10</f>
        <v>33166</v>
      </c>
      <c r="F10" s="64">
        <f>AeMBR_Baseline_GWP_yr!F10</f>
        <v>33166</v>
      </c>
      <c r="G10" s="64">
        <f>AeMBR_Baseline_GWP_yr!G10</f>
        <v>39466</v>
      </c>
      <c r="H10" s="64">
        <f>AeMBR_Baseline_GWP_yr!H10</f>
        <v>39466</v>
      </c>
      <c r="I10" s="64">
        <f>AeMBR_Baseline_GWP_yr!I10</f>
        <v>39466</v>
      </c>
      <c r="J10" s="64">
        <f>AeMBR_Baseline_GWP_yr!J10</f>
        <v>39466</v>
      </c>
      <c r="K10" s="64">
        <f>AeMBR_Baseline_GWP_yr!K10</f>
        <v>90494</v>
      </c>
      <c r="L10" s="64">
        <f>AeMBR_Baseline_GWP_yr!L10</f>
        <v>90494</v>
      </c>
      <c r="M10" s="64">
        <f>AeMBR_Baseline_GWP_yr!M10</f>
        <v>90494</v>
      </c>
      <c r="N10" s="64">
        <f>AeMBR_Baseline_GWP_yr!N10</f>
        <v>90494</v>
      </c>
      <c r="O10" s="64">
        <f>AeMBR_Baseline_GWP_yr!O10</f>
        <v>245966</v>
      </c>
      <c r="P10" s="64">
        <f>AeMBR_Baseline_GWP_yr!P10</f>
        <v>245966</v>
      </c>
      <c r="Q10" s="64">
        <f>AeMBR_Baseline_GWP_yr!Q10</f>
        <v>245966</v>
      </c>
      <c r="R10" s="64">
        <f>AeMBR_Baseline_GWP_yr!R10</f>
        <v>424896</v>
      </c>
      <c r="S10" s="64">
        <f>AeMBR_Baseline_GWP_yr!S10</f>
        <v>424896</v>
      </c>
      <c r="T10" s="64">
        <f>AeMBR_Baseline_GWP_yr!T10</f>
        <v>424896</v>
      </c>
      <c r="U10" s="54" t="s">
        <v>39</v>
      </c>
    </row>
    <row r="11" spans="1:21" x14ac:dyDescent="0.25">
      <c r="B11" s="54" t="s">
        <v>11</v>
      </c>
      <c r="C11" s="64">
        <f>AnMBR_35_GWP_yr!C11</f>
        <v>-52730.5</v>
      </c>
      <c r="D11" s="64">
        <f>AnMBR_35_GWP_yr!D11</f>
        <v>-52730.5</v>
      </c>
      <c r="E11" s="64">
        <f>AnMBR_35_GWP_yr!E11</f>
        <v>-52730.5</v>
      </c>
      <c r="F11" s="64">
        <f>AnMBR_35_GWP_yr!F11</f>
        <v>-52730.5</v>
      </c>
      <c r="G11" s="64">
        <f>AnMBR_35_GWP_yr!G11</f>
        <v>-103668</v>
      </c>
      <c r="H11" s="64">
        <f>AnMBR_35_GWP_yr!H11</f>
        <v>-103668</v>
      </c>
      <c r="I11" s="64">
        <f>AnMBR_35_GWP_yr!I11</f>
        <v>-103668</v>
      </c>
      <c r="J11" s="64">
        <f>AnMBR_35_GWP_yr!J11</f>
        <v>-103668</v>
      </c>
      <c r="K11" s="64">
        <f>AnMBR_35_GWP_yr!K11</f>
        <v>-1059004</v>
      </c>
      <c r="L11" s="64">
        <f>AnMBR_35_GWP_yr!L11</f>
        <v>-1059004</v>
      </c>
      <c r="M11" s="64">
        <f>AnMBR_35_GWP_yr!M11</f>
        <v>-1059004</v>
      </c>
      <c r="N11" s="64">
        <f>AnMBR_35_GWP_yr!N11</f>
        <v>-1059004</v>
      </c>
      <c r="O11" s="64">
        <f>AnMBR_35_GWP_yr!O11</f>
        <v>-5207280</v>
      </c>
      <c r="P11" s="64">
        <f>AnMBR_35_GWP_yr!P11</f>
        <v>-5207280</v>
      </c>
      <c r="Q11" s="64">
        <f>AnMBR_35_GWP_yr!Q11</f>
        <v>-5207280</v>
      </c>
      <c r="R11" s="64">
        <f>AnMBR_35_GWP_yr!R11</f>
        <v>-10568139.300000001</v>
      </c>
      <c r="S11" s="64">
        <f>AnMBR_35_GWP_yr!S11</f>
        <v>-10568139.300000001</v>
      </c>
      <c r="T11" s="64">
        <f>AnMBR_35_GWP_yr!T11</f>
        <v>-10568139.300000001</v>
      </c>
      <c r="U11" s="54" t="s">
        <v>39</v>
      </c>
    </row>
    <row r="12" spans="1:21" x14ac:dyDescent="0.25">
      <c r="B12" s="61" t="s">
        <v>57</v>
      </c>
      <c r="C12" s="62">
        <f>SUM(C6:C11)</f>
        <v>-26637.31901000001</v>
      </c>
      <c r="D12" s="62">
        <f t="shared" ref="D12:T12" si="0">SUM(D6:D11)</f>
        <v>-26772.661720000011</v>
      </c>
      <c r="E12" s="62">
        <f t="shared" si="0"/>
        <v>-26874.623270000011</v>
      </c>
      <c r="F12" s="62">
        <f t="shared" si="0"/>
        <v>-26893.865030000012</v>
      </c>
      <c r="G12" s="62">
        <f t="shared" si="0"/>
        <v>-79276.065560000017</v>
      </c>
      <c r="H12" s="62">
        <f t="shared" si="0"/>
        <v>-79525.13844000001</v>
      </c>
      <c r="I12" s="62">
        <f t="shared" si="0"/>
        <v>-79719.849630000012</v>
      </c>
      <c r="J12" s="62">
        <f t="shared" si="0"/>
        <v>-79756.957680000007</v>
      </c>
      <c r="K12" s="62">
        <f t="shared" si="0"/>
        <v>-1142807.4749</v>
      </c>
      <c r="L12" s="62">
        <f t="shared" si="0"/>
        <v>-1145606.4549</v>
      </c>
      <c r="M12" s="62">
        <f t="shared" si="0"/>
        <v>-1147553.5589000001</v>
      </c>
      <c r="N12" s="62">
        <f t="shared" si="0"/>
        <v>-1147935.8049000001</v>
      </c>
      <c r="O12" s="62">
        <f t="shared" si="0"/>
        <v>-5928213.7800000003</v>
      </c>
      <c r="P12" s="62">
        <f t="shared" si="0"/>
        <v>-5936110.5499999998</v>
      </c>
      <c r="Q12" s="62">
        <f t="shared" si="0"/>
        <v>-5938002.5999999996</v>
      </c>
      <c r="R12" s="62">
        <f t="shared" si="0"/>
        <v>-12135823.220000001</v>
      </c>
      <c r="S12" s="62">
        <f t="shared" si="0"/>
        <v>-12154954.9</v>
      </c>
      <c r="T12" s="62">
        <f t="shared" si="0"/>
        <v>-12158891.300000001</v>
      </c>
      <c r="U12" s="54" t="s">
        <v>39</v>
      </c>
    </row>
    <row r="15" spans="1:21" ht="15.75" x14ac:dyDescent="0.25">
      <c r="A15" s="42" t="s">
        <v>58</v>
      </c>
    </row>
    <row r="17" spans="2:20" ht="45" x14ac:dyDescent="0.25">
      <c r="C17" s="59" t="str">
        <f>C5</f>
        <v>0.05 MGD AnMBR [semi rural single family]</v>
      </c>
      <c r="D17" s="59" t="str">
        <f t="shared" ref="D17:T17" si="1">D5</f>
        <v>0.05 MGD AnMBR [single family]</v>
      </c>
      <c r="E17" s="59" t="str">
        <f t="shared" si="1"/>
        <v>0.05 MGD AnMBR [multi family]</v>
      </c>
      <c r="F17" s="59" t="str">
        <f t="shared" si="1"/>
        <v>0.05 MGD AnMBR [high density urban]</v>
      </c>
      <c r="G17" s="59" t="str">
        <f t="shared" si="1"/>
        <v>0.1 MGD AnMBR [semi rural single family]</v>
      </c>
      <c r="H17" s="59" t="str">
        <f t="shared" si="1"/>
        <v>0.1 MGD AnMBR [single family]</v>
      </c>
      <c r="I17" s="59" t="str">
        <f t="shared" si="1"/>
        <v>0.1 MGD AnMBR [multi family]</v>
      </c>
      <c r="J17" s="59" t="str">
        <f t="shared" si="1"/>
        <v>0.1 MGD AnMBR [high density urban]</v>
      </c>
      <c r="K17" s="59" t="str">
        <f t="shared" si="1"/>
        <v>1 MGD AnMBR [semi rural single family]</v>
      </c>
      <c r="L17" s="59" t="str">
        <f t="shared" si="1"/>
        <v>1 MGD AnMBR [single family]</v>
      </c>
      <c r="M17" s="59" t="str">
        <f t="shared" si="1"/>
        <v>1 MGD AnMBR [multi family]</v>
      </c>
      <c r="N17" s="59" t="str">
        <f t="shared" si="1"/>
        <v>1 MGD AnMBR [high density urban]</v>
      </c>
      <c r="O17" s="59" t="str">
        <f t="shared" si="1"/>
        <v>5 MGD AnMBR [single family]</v>
      </c>
      <c r="P17" s="59" t="str">
        <f t="shared" si="1"/>
        <v>5 MGD AnMBR [multi family]</v>
      </c>
      <c r="Q17" s="59" t="str">
        <f t="shared" si="1"/>
        <v>5 MGD AnMBR [high density urban]</v>
      </c>
      <c r="R17" s="59" t="str">
        <f t="shared" si="1"/>
        <v>10 MGD AnMBR [single family]</v>
      </c>
      <c r="S17" s="59" t="str">
        <f t="shared" si="1"/>
        <v>10 MGD AnMBR [multi family]</v>
      </c>
      <c r="T17" s="59" t="str">
        <f t="shared" si="1"/>
        <v>10 MGD AnMBR [high density urban]</v>
      </c>
    </row>
    <row r="18" spans="2:20" x14ac:dyDescent="0.25">
      <c r="B18" s="54" t="str">
        <f>B6</f>
        <v>Wastewater collection</v>
      </c>
      <c r="C18" s="65">
        <f>C6/C$12</f>
        <v>-1.0279285610432756E-2</v>
      </c>
      <c r="D18" s="65">
        <f t="shared" ref="D18:T23" si="2">D6/D$12</f>
        <v>-5.1720632579673118E-3</v>
      </c>
      <c r="E18" s="65">
        <f t="shared" si="2"/>
        <v>-1.3584692753908876E-3</v>
      </c>
      <c r="F18" s="65">
        <f t="shared" si="2"/>
        <v>-6.4202709356721993E-4</v>
      </c>
      <c r="G18" s="65">
        <f t="shared" si="2"/>
        <v>-6.5190011177946238E-3</v>
      </c>
      <c r="H18" s="65">
        <f t="shared" si="2"/>
        <v>-3.3665817532904378E-3</v>
      </c>
      <c r="I18" s="65">
        <f t="shared" si="2"/>
        <v>-9.1591605276338233E-4</v>
      </c>
      <c r="J18" s="65">
        <f t="shared" si="2"/>
        <v>-4.5022579903401344E-4</v>
      </c>
      <c r="K18" s="65">
        <f t="shared" si="2"/>
        <v>-4.7919270045719579E-3</v>
      </c>
      <c r="L18" s="65">
        <f t="shared" si="2"/>
        <v>-2.3369892763337292E-3</v>
      </c>
      <c r="M18" s="65">
        <f t="shared" si="2"/>
        <v>-6.3628054162448737E-4</v>
      </c>
      <c r="N18" s="65">
        <f t="shared" si="2"/>
        <v>-3.0308315022050238E-4</v>
      </c>
      <c r="O18" s="65">
        <f t="shared" si="2"/>
        <v>-1.9479054616684218E-3</v>
      </c>
      <c r="P18" s="65">
        <f t="shared" si="2"/>
        <v>-6.1502055415730086E-4</v>
      </c>
      <c r="Q18" s="65">
        <f t="shared" si="2"/>
        <v>-2.9619050688862954E-4</v>
      </c>
      <c r="R18" s="65">
        <f t="shared" si="2"/>
        <v>-2.205866014584217E-3</v>
      </c>
      <c r="S18" s="65">
        <f t="shared" si="2"/>
        <v>-6.2841203960370103E-4</v>
      </c>
      <c r="T18" s="65">
        <f t="shared" si="2"/>
        <v>-3.0446197014689984E-4</v>
      </c>
    </row>
    <row r="19" spans="2:20" x14ac:dyDescent="0.25">
      <c r="B19" s="54" t="str">
        <f t="shared" ref="B19:B23" si="3">B7</f>
        <v>Pre treatment</v>
      </c>
      <c r="C19" s="65">
        <f t="shared" ref="C19:R23" si="4">C7/C$12</f>
        <v>-0.10524059831049755</v>
      </c>
      <c r="D19" s="65">
        <f t="shared" si="4"/>
        <v>-0.10470857994316712</v>
      </c>
      <c r="E19" s="65">
        <f t="shared" si="4"/>
        <v>-0.10431131859360164</v>
      </c>
      <c r="F19" s="65">
        <f t="shared" si="4"/>
        <v>-0.10423668694971472</v>
      </c>
      <c r="G19" s="65">
        <f t="shared" si="4"/>
        <v>-4.9240703514045456E-2</v>
      </c>
      <c r="H19" s="65">
        <f t="shared" si="4"/>
        <v>-4.9086481539987244E-2</v>
      </c>
      <c r="I19" s="65">
        <f t="shared" si="4"/>
        <v>-4.8966590605948566E-2</v>
      </c>
      <c r="J19" s="65">
        <f t="shared" si="4"/>
        <v>-4.8943808208708375E-2</v>
      </c>
      <c r="K19" s="65">
        <f t="shared" si="4"/>
        <v>-1.0811926130498179E-2</v>
      </c>
      <c r="L19" s="65">
        <f t="shared" si="4"/>
        <v>-1.0785510108773351E-2</v>
      </c>
      <c r="M19" s="65">
        <f t="shared" si="4"/>
        <v>-1.0767209864996527E-2</v>
      </c>
      <c r="N19" s="65">
        <f t="shared" si="4"/>
        <v>-1.0763624540029323E-2</v>
      </c>
      <c r="O19" s="65">
        <f t="shared" si="4"/>
        <v>-5.0814159404352658E-3</v>
      </c>
      <c r="P19" s="65">
        <f t="shared" si="4"/>
        <v>-5.0746561652225295E-3</v>
      </c>
      <c r="Q19" s="65">
        <f t="shared" si="4"/>
        <v>-5.0730392068201527E-3</v>
      </c>
      <c r="R19" s="65">
        <f t="shared" si="4"/>
        <v>-3.7868877262699609E-3</v>
      </c>
      <c r="S19" s="65">
        <f t="shared" si="2"/>
        <v>-3.7809272332223953E-3</v>
      </c>
      <c r="T19" s="65">
        <f t="shared" si="2"/>
        <v>-3.7797031707981466E-3</v>
      </c>
    </row>
    <row r="20" spans="2:20" x14ac:dyDescent="0.25">
      <c r="B20" s="54" t="str">
        <f t="shared" si="3"/>
        <v>MBR operation</v>
      </c>
      <c r="C20" s="65">
        <f t="shared" si="4"/>
        <v>0.50466636694756462</v>
      </c>
      <c r="D20" s="65">
        <f t="shared" si="2"/>
        <v>0.50211514830285608</v>
      </c>
      <c r="E20" s="65">
        <f t="shared" si="2"/>
        <v>0.5002101378294036</v>
      </c>
      <c r="F20" s="65">
        <f t="shared" si="2"/>
        <v>0.49985225236329656</v>
      </c>
      <c r="G20" s="65">
        <f t="shared" si="2"/>
        <v>0.28974035729126307</v>
      </c>
      <c r="H20" s="65">
        <f t="shared" si="2"/>
        <v>0.28883288995881434</v>
      </c>
      <c r="I20" s="65">
        <f t="shared" si="2"/>
        <v>0.28812743208381786</v>
      </c>
      <c r="J20" s="65">
        <f t="shared" si="2"/>
        <v>0.28799337673031461</v>
      </c>
      <c r="K20" s="65">
        <f t="shared" si="2"/>
        <v>0.20554824855389997</v>
      </c>
      <c r="L20" s="65">
        <f t="shared" si="2"/>
        <v>0.20504604691713665</v>
      </c>
      <c r="M20" s="65">
        <f t="shared" si="2"/>
        <v>0.20469813637732773</v>
      </c>
      <c r="N20" s="65">
        <f t="shared" si="2"/>
        <v>0.20462997486210738</v>
      </c>
      <c r="O20" s="65">
        <f t="shared" si="2"/>
        <v>0.2002061909447537</v>
      </c>
      <c r="P20" s="65">
        <f t="shared" si="2"/>
        <v>0.19993985792599503</v>
      </c>
      <c r="Q20" s="65">
        <f t="shared" si="2"/>
        <v>0.19987615027315753</v>
      </c>
      <c r="R20" s="65">
        <f t="shared" si="2"/>
        <v>0.19661498497009253</v>
      </c>
      <c r="S20" s="65">
        <f t="shared" si="2"/>
        <v>0.19630551652643319</v>
      </c>
      <c r="T20" s="65">
        <f t="shared" si="2"/>
        <v>0.19624196327834595</v>
      </c>
    </row>
    <row r="21" spans="2:20" x14ac:dyDescent="0.25">
      <c r="B21" s="54" t="str">
        <f t="shared" si="3"/>
        <v>MBR infrastructure</v>
      </c>
      <c r="C21" s="65">
        <f t="shared" si="4"/>
        <v>-0.12362355230884021</v>
      </c>
      <c r="D21" s="65">
        <f t="shared" si="2"/>
        <v>-0.12299860336785366</v>
      </c>
      <c r="E21" s="65">
        <f t="shared" si="2"/>
        <v>-0.12253195019391983</v>
      </c>
      <c r="F21" s="65">
        <f t="shared" si="2"/>
        <v>-0.12244428223041463</v>
      </c>
      <c r="G21" s="65">
        <f t="shared" si="2"/>
        <v>-4.3834163255364246E-2</v>
      </c>
      <c r="H21" s="65">
        <f t="shared" si="2"/>
        <v>-4.3696874575349681E-2</v>
      </c>
      <c r="I21" s="65">
        <f t="shared" si="2"/>
        <v>-4.3590147449203101E-2</v>
      </c>
      <c r="J21" s="65">
        <f t="shared" si="2"/>
        <v>-4.356986651800783E-2</v>
      </c>
      <c r="K21" s="65">
        <f t="shared" si="2"/>
        <v>-3.7427476578014811E-2</v>
      </c>
      <c r="L21" s="65">
        <f t="shared" si="2"/>
        <v>-3.7336032646336309E-2</v>
      </c>
      <c r="M21" s="65">
        <f t="shared" si="2"/>
        <v>-3.7272682976993203E-2</v>
      </c>
      <c r="N21" s="65">
        <f t="shared" si="2"/>
        <v>-3.7260271713300229E-2</v>
      </c>
      <c r="O21" s="65">
        <f t="shared" si="2"/>
        <v>-3.0075501089638502E-2</v>
      </c>
      <c r="P21" s="65">
        <f t="shared" si="2"/>
        <v>-3.003549184238154E-2</v>
      </c>
      <c r="Q21" s="65">
        <f t="shared" si="2"/>
        <v>-3.0025921511048177E-2</v>
      </c>
      <c r="R21" s="65">
        <f t="shared" si="2"/>
        <v>-2.6432304935964619E-2</v>
      </c>
      <c r="S21" s="65">
        <f t="shared" si="2"/>
        <v>-2.6390700964262732E-2</v>
      </c>
      <c r="T21" s="65">
        <f t="shared" si="2"/>
        <v>-2.6382157063942171E-2</v>
      </c>
    </row>
    <row r="22" spans="2:20" x14ac:dyDescent="0.25">
      <c r="B22" s="54" t="str">
        <f t="shared" si="3"/>
        <v>Post treatment</v>
      </c>
      <c r="C22" s="65">
        <f t="shared" si="4"/>
        <v>-1.2450952735727283</v>
      </c>
      <c r="D22" s="65">
        <f t="shared" si="2"/>
        <v>-1.2388009958391237</v>
      </c>
      <c r="E22" s="65">
        <f t="shared" si="2"/>
        <v>-1.2341010203861358</v>
      </c>
      <c r="F22" s="65">
        <f t="shared" si="2"/>
        <v>-1.233218057835995</v>
      </c>
      <c r="G22" s="65">
        <f t="shared" si="2"/>
        <v>-0.49782995310394401</v>
      </c>
      <c r="H22" s="65">
        <f t="shared" si="2"/>
        <v>-0.49627074877431671</v>
      </c>
      <c r="I22" s="65">
        <f t="shared" si="2"/>
        <v>-0.49505863574971215</v>
      </c>
      <c r="J22" s="65">
        <f t="shared" si="2"/>
        <v>-0.4948283027337258</v>
      </c>
      <c r="K22" s="65">
        <f t="shared" si="2"/>
        <v>-7.9185691367584521E-2</v>
      </c>
      <c r="L22" s="65">
        <f t="shared" si="2"/>
        <v>-7.8992222514929197E-2</v>
      </c>
      <c r="M22" s="65">
        <f t="shared" si="2"/>
        <v>-7.8858192977715139E-2</v>
      </c>
      <c r="N22" s="65">
        <f t="shared" si="2"/>
        <v>-7.8831934341383469E-2</v>
      </c>
      <c r="O22" s="65">
        <f t="shared" si="2"/>
        <v>-4.1490743945472218E-2</v>
      </c>
      <c r="P22" s="65">
        <f t="shared" si="2"/>
        <v>-4.1435549073458547E-2</v>
      </c>
      <c r="Q22" s="65">
        <f t="shared" si="2"/>
        <v>-4.1422346295368749E-2</v>
      </c>
      <c r="R22" s="65">
        <f t="shared" si="2"/>
        <v>-3.5011716329203413E-2</v>
      </c>
      <c r="S22" s="65">
        <f t="shared" si="2"/>
        <v>-3.4956608518555671E-2</v>
      </c>
      <c r="T22" s="65">
        <f t="shared" si="2"/>
        <v>-3.4945291434589923E-2</v>
      </c>
    </row>
    <row r="23" spans="2:20" x14ac:dyDescent="0.25">
      <c r="B23" s="54" t="str">
        <f t="shared" si="3"/>
        <v>Recycled water delivery</v>
      </c>
      <c r="C23" s="65">
        <f t="shared" si="4"/>
        <v>1.9795723428549343</v>
      </c>
      <c r="D23" s="65">
        <f t="shared" si="2"/>
        <v>1.9695650941052558</v>
      </c>
      <c r="E23" s="65">
        <f t="shared" si="2"/>
        <v>1.9620926206196445</v>
      </c>
      <c r="F23" s="65">
        <f t="shared" si="2"/>
        <v>1.960688801746395</v>
      </c>
      <c r="G23" s="65">
        <f t="shared" si="2"/>
        <v>1.3076834636998851</v>
      </c>
      <c r="H23" s="65">
        <f t="shared" si="2"/>
        <v>1.3035877966841296</v>
      </c>
      <c r="I23" s="65">
        <f t="shared" si="2"/>
        <v>1.3004038577738093</v>
      </c>
      <c r="J23" s="65">
        <f t="shared" si="2"/>
        <v>1.2997988265291613</v>
      </c>
      <c r="K23" s="65">
        <f t="shared" si="2"/>
        <v>0.92666877252676949</v>
      </c>
      <c r="L23" s="65">
        <f t="shared" si="2"/>
        <v>0.92440470762923599</v>
      </c>
      <c r="M23" s="65">
        <f t="shared" si="2"/>
        <v>0.92283622998400161</v>
      </c>
      <c r="N23" s="65">
        <f t="shared" si="2"/>
        <v>0.92252893888282617</v>
      </c>
      <c r="O23" s="65">
        <f t="shared" si="2"/>
        <v>0.87838937549246066</v>
      </c>
      <c r="P23" s="65">
        <f t="shared" si="2"/>
        <v>0.87722085970922492</v>
      </c>
      <c r="Q23" s="65">
        <f t="shared" si="2"/>
        <v>0.87694134724696826</v>
      </c>
      <c r="R23" s="65">
        <f t="shared" si="2"/>
        <v>0.87082179003592974</v>
      </c>
      <c r="S23" s="65">
        <f t="shared" si="2"/>
        <v>0.86945113222921133</v>
      </c>
      <c r="T23" s="65">
        <f t="shared" si="2"/>
        <v>0.86916965036113125</v>
      </c>
    </row>
    <row r="24" spans="2:20" x14ac:dyDescent="0.25">
      <c r="B24" s="61" t="s">
        <v>57</v>
      </c>
      <c r="C24" s="66">
        <f>SUM(C18:C23)</f>
        <v>1</v>
      </c>
      <c r="D24" s="66">
        <f t="shared" ref="D24:T24" si="5">SUM(D18:D23)</f>
        <v>1</v>
      </c>
      <c r="E24" s="66">
        <f t="shared" si="5"/>
        <v>1</v>
      </c>
      <c r="F24" s="66">
        <f t="shared" si="5"/>
        <v>1</v>
      </c>
      <c r="G24" s="66">
        <f t="shared" si="5"/>
        <v>0.99999999999999978</v>
      </c>
      <c r="H24" s="66">
        <f t="shared" si="5"/>
        <v>0.99999999999999989</v>
      </c>
      <c r="I24" s="66">
        <f t="shared" si="5"/>
        <v>1</v>
      </c>
      <c r="J24" s="66">
        <f t="shared" si="5"/>
        <v>1</v>
      </c>
      <c r="K24" s="66">
        <f t="shared" si="5"/>
        <v>1</v>
      </c>
      <c r="L24" s="66">
        <f t="shared" si="5"/>
        <v>1</v>
      </c>
      <c r="M24" s="66">
        <f t="shared" si="5"/>
        <v>1</v>
      </c>
      <c r="N24" s="66">
        <f t="shared" si="5"/>
        <v>1</v>
      </c>
      <c r="O24" s="66">
        <f t="shared" si="5"/>
        <v>1</v>
      </c>
      <c r="P24" s="66">
        <f t="shared" si="5"/>
        <v>1</v>
      </c>
      <c r="Q24" s="66">
        <f t="shared" si="5"/>
        <v>1</v>
      </c>
      <c r="R24" s="66">
        <f t="shared" si="5"/>
        <v>1</v>
      </c>
      <c r="S24" s="66">
        <f t="shared" si="5"/>
        <v>1</v>
      </c>
      <c r="T24" s="66">
        <f t="shared" si="5"/>
        <v>1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showGridLines="0" zoomScale="85" zoomScaleNormal="85" workbookViewId="0"/>
  </sheetViews>
  <sheetFormatPr defaultRowHeight="15" x14ac:dyDescent="0.25"/>
  <cols>
    <col min="1" max="1" width="3.42578125" customWidth="1"/>
    <col min="2" max="2" width="25.85546875" customWidth="1"/>
    <col min="3" max="3" width="10.7109375" customWidth="1"/>
    <col min="4" max="4" width="15.5703125" customWidth="1"/>
    <col min="5" max="5" width="14" customWidth="1"/>
    <col min="6" max="6" width="10" customWidth="1"/>
    <col min="7" max="7" width="11.85546875" customWidth="1"/>
    <col min="8" max="8" width="15" customWidth="1"/>
    <col min="9" max="9" width="12" customWidth="1"/>
    <col min="10" max="10" width="13.5703125" customWidth="1"/>
    <col min="11" max="11" width="15.140625" customWidth="1"/>
    <col min="12" max="12" width="10.85546875" bestFit="1" customWidth="1"/>
    <col min="13" max="13" width="13.7109375" customWidth="1"/>
    <col min="14" max="14" width="10.85546875" bestFit="1" customWidth="1"/>
    <col min="15" max="15" width="11.85546875" bestFit="1" customWidth="1"/>
    <col min="16" max="16" width="13.140625" customWidth="1"/>
    <col min="17" max="17" width="11.85546875" bestFit="1" customWidth="1"/>
  </cols>
  <sheetData>
    <row r="1" spans="1:17" ht="15.75" x14ac:dyDescent="0.25">
      <c r="A1" s="42" t="s">
        <v>98</v>
      </c>
    </row>
    <row r="2" spans="1:17" ht="15.75" x14ac:dyDescent="0.25">
      <c r="A2" s="42" t="s">
        <v>159</v>
      </c>
    </row>
    <row r="4" spans="1:17" x14ac:dyDescent="0.25">
      <c r="B4" t="s">
        <v>53</v>
      </c>
      <c r="C4" s="149">
        <f>AnMBR_20_GWP_yr!C4</f>
        <v>69129.535959999994</v>
      </c>
      <c r="D4" s="150"/>
      <c r="E4" s="151"/>
      <c r="F4" s="149">
        <f>AnMBR_20_GWP_yr!G4</f>
        <v>138259.07190000001</v>
      </c>
      <c r="G4" s="150"/>
      <c r="H4" s="151"/>
      <c r="I4" s="149">
        <f>AnMBR_20_GWP_yr!K4</f>
        <v>1382590.719</v>
      </c>
      <c r="J4" s="150"/>
      <c r="K4" s="151"/>
      <c r="L4" s="149">
        <f>AnMBR_20_GWP_yr!O4</f>
        <v>6912953.5959999999</v>
      </c>
      <c r="M4" s="150"/>
      <c r="N4" s="151"/>
      <c r="O4" s="149">
        <f>AnMBR_20_GWP_yr!R4</f>
        <v>13825907.189999999</v>
      </c>
      <c r="P4" s="150"/>
      <c r="Q4" s="151"/>
    </row>
    <row r="5" spans="1:17" x14ac:dyDescent="0.25">
      <c r="B5" s="54"/>
      <c r="C5" s="152" t="s">
        <v>93</v>
      </c>
      <c r="D5" s="152"/>
      <c r="E5" s="152"/>
      <c r="F5" s="152" t="s">
        <v>94</v>
      </c>
      <c r="G5" s="152"/>
      <c r="H5" s="152"/>
      <c r="I5" s="152" t="s">
        <v>95</v>
      </c>
      <c r="J5" s="152"/>
      <c r="K5" s="152"/>
      <c r="L5" s="152" t="s">
        <v>96</v>
      </c>
      <c r="M5" s="152"/>
      <c r="N5" s="152"/>
      <c r="O5" s="152" t="s">
        <v>97</v>
      </c>
      <c r="P5" s="152"/>
      <c r="Q5" s="152"/>
    </row>
    <row r="6" spans="1:17" x14ac:dyDescent="0.25">
      <c r="B6" s="54"/>
      <c r="C6" s="54" t="s">
        <v>90</v>
      </c>
      <c r="D6" s="54" t="s">
        <v>91</v>
      </c>
      <c r="E6" s="54" t="s">
        <v>92</v>
      </c>
      <c r="F6" s="54" t="s">
        <v>90</v>
      </c>
      <c r="G6" s="54" t="s">
        <v>91</v>
      </c>
      <c r="H6" s="54" t="s">
        <v>92</v>
      </c>
      <c r="I6" s="54" t="s">
        <v>90</v>
      </c>
      <c r="J6" s="54" t="s">
        <v>91</v>
      </c>
      <c r="K6" s="54" t="s">
        <v>92</v>
      </c>
      <c r="L6" s="54" t="s">
        <v>90</v>
      </c>
      <c r="M6" s="54" t="s">
        <v>91</v>
      </c>
      <c r="N6" s="54" t="s">
        <v>92</v>
      </c>
      <c r="O6" s="54" t="s">
        <v>90</v>
      </c>
      <c r="P6" s="54" t="s">
        <v>91</v>
      </c>
      <c r="Q6" s="54" t="s">
        <v>92</v>
      </c>
    </row>
    <row r="7" spans="1:17" x14ac:dyDescent="0.25">
      <c r="B7" s="54" t="s">
        <v>12</v>
      </c>
      <c r="C7" s="63">
        <f>AeMBR_Baseline_CED_Detail_yr!H6+AeMBR_Baseline_CED_Detail_yr!H7+AeMBR_Baseline_CED_Detail_yr!H8</f>
        <v>174.29093</v>
      </c>
      <c r="D7" s="63">
        <f>C7</f>
        <v>174.29093</v>
      </c>
      <c r="E7" s="63">
        <f>D7</f>
        <v>174.29093</v>
      </c>
      <c r="F7" s="63">
        <f>AeMBR_Baseline_CED_Detail_yr!L68</f>
        <v>367.91653000000002</v>
      </c>
      <c r="G7" s="63">
        <f>AnMBR_35_CED_Detail_yr!L64</f>
        <v>367.91653000000002</v>
      </c>
      <c r="H7" s="63">
        <f>AnMBR_20_CED_Detail_yr!L62</f>
        <v>367.91653000000002</v>
      </c>
      <c r="I7" s="64">
        <f>AeMBR_Baseline_CED_Detail_yr!P68</f>
        <v>3554.6329999999998</v>
      </c>
      <c r="J7" s="64">
        <f>AnMBR_35_CED_Detail_yr!P64</f>
        <v>3554.6329999999998</v>
      </c>
      <c r="K7" s="64">
        <f>AnMBR_20_CED_Detail_yr!P62</f>
        <v>3554.6329999999998</v>
      </c>
      <c r="L7" s="64">
        <f>AeMBR_Baseline_CED_Detail_yr!S68</f>
        <v>18020.11</v>
      </c>
      <c r="M7" s="64">
        <f>AnMBR_35_CED_Detail_yr!S64</f>
        <v>18020.11</v>
      </c>
      <c r="N7" s="64">
        <f>AnMBR_20_CED_Detail_yr!S62</f>
        <v>18020.11</v>
      </c>
      <c r="O7" s="64">
        <f>AeMBR_Baseline_CED_Detail_yr!V68</f>
        <v>38416.53</v>
      </c>
      <c r="P7" s="64">
        <f>AnMBR_35_CED_Detail_yr!V64</f>
        <v>38416.53</v>
      </c>
      <c r="Q7" s="64">
        <f>AnMBR_20_CED_Detail_yr!V62</f>
        <v>38416.53</v>
      </c>
    </row>
    <row r="8" spans="1:17" x14ac:dyDescent="0.25">
      <c r="B8" s="54" t="s">
        <v>55</v>
      </c>
      <c r="C8" s="64">
        <f>SUM(AeMBR_Baseline_CED_Detail_yr!H9:H12)</f>
        <v>44914.636740000002</v>
      </c>
      <c r="D8" s="64">
        <f>C8</f>
        <v>44914.636740000002</v>
      </c>
      <c r="E8" s="64">
        <f>D8</f>
        <v>44914.636740000002</v>
      </c>
      <c r="F8" s="64">
        <f>AeMBR_Baseline_CED_Detail_yr!L69</f>
        <v>62551.973299999998</v>
      </c>
      <c r="G8" s="64">
        <f>AnMBR_35_CED_Detail_yr!L65</f>
        <v>62551.973299999998</v>
      </c>
      <c r="H8" s="64">
        <f>AnMBR_20_CED_Detail_yr!L63</f>
        <v>62551.973299999998</v>
      </c>
      <c r="I8" s="64">
        <f>AeMBR_Baseline_CED_Detail_yr!P69</f>
        <v>197955.52377</v>
      </c>
      <c r="J8" s="64">
        <f>AnMBR_35_CED_Detail_yr!P65</f>
        <v>197955.52377</v>
      </c>
      <c r="K8" s="64">
        <f>AnMBR_20_CED_Detail_yr!P63</f>
        <v>197955.52377</v>
      </c>
      <c r="L8" s="64">
        <f>AeMBR_Baseline_CED_Detail_yr!S69</f>
        <v>482682.12810000003</v>
      </c>
      <c r="M8" s="64">
        <f>AnMBR_35_CED_Detail_yr!S65</f>
        <v>482682.12810000003</v>
      </c>
      <c r="N8" s="64">
        <f>AnMBR_20_CED_Detail_yr!S63</f>
        <v>482682.12810000003</v>
      </c>
      <c r="O8" s="64">
        <f>AeMBR_Baseline_CED_Detail_yr!V69</f>
        <v>736411.23765000002</v>
      </c>
      <c r="P8" s="64">
        <f>AnMBR_35_CED_Detail_yr!V65</f>
        <v>736411.23765000002</v>
      </c>
      <c r="Q8" s="64">
        <f>AnMBR_20_CED_Detail_yr!V63</f>
        <v>736411.23765000002</v>
      </c>
    </row>
    <row r="9" spans="1:17" x14ac:dyDescent="0.25">
      <c r="B9" s="54" t="s">
        <v>16</v>
      </c>
      <c r="C9" s="64">
        <f>SUM(AeMBR_Baseline_CED_Detail_yr!H13:H22)</f>
        <v>764342.20019999996</v>
      </c>
      <c r="D9" s="64">
        <f>SUM(AnMBR_35_CED_Detail_yr!H13:H20)</f>
        <v>966762.50799999968</v>
      </c>
      <c r="E9" s="64">
        <f>SUM(AnMBR_20_CED_Detail_yr!$H$13:$H$20)</f>
        <v>-180367.492</v>
      </c>
      <c r="F9" s="64">
        <f>AeMBR_Baseline_CED_Detail_yr!L70</f>
        <v>1068206.4730200002</v>
      </c>
      <c r="G9" s="64">
        <f>AnMBR_35_CED_Detail_yr!L66</f>
        <v>1823045.4169999985</v>
      </c>
      <c r="H9" s="64">
        <f>AnMBR_20_CED_Detail_yr!L64</f>
        <v>-360728.58299999998</v>
      </c>
      <c r="I9" s="64">
        <f>AeMBR_Baseline_CED_Detail_yr!P70</f>
        <v>6074157.7066200003</v>
      </c>
      <c r="J9" s="64">
        <f>AnMBR_35_CED_Detail_yr!P66</f>
        <v>15466419.199999999</v>
      </c>
      <c r="K9" s="64">
        <f>AnMBR_20_CED_Detail_yr!P64</f>
        <v>-3709737.8</v>
      </c>
      <c r="L9" s="64">
        <f>AeMBR_Baseline_CED_Detail_yr!S70</f>
        <v>29519148.83035</v>
      </c>
      <c r="M9" s="64">
        <f>AnMBR_35_CED_Detail_yr!S66</f>
        <v>74318620</v>
      </c>
      <c r="N9" s="64">
        <f>AnMBR_20_CED_Detail_yr!S64</f>
        <v>-18791860</v>
      </c>
      <c r="O9" s="64">
        <f>AeMBR_Baseline_CED_Detail_yr!V70</f>
        <v>57388119.110730007</v>
      </c>
      <c r="P9" s="64">
        <f>AnMBR_35_CED_Detail_yr!V66</f>
        <v>146352552</v>
      </c>
      <c r="Q9" s="64">
        <f>AnMBR_20_CED_Detail_yr!V64</f>
        <v>-37826828</v>
      </c>
    </row>
    <row r="10" spans="1:17" x14ac:dyDescent="0.25">
      <c r="B10" s="54" t="s">
        <v>56</v>
      </c>
      <c r="C10" s="64">
        <f>AeMBR_Baseline_CED_Detail_yr!H23</f>
        <v>11101</v>
      </c>
      <c r="D10" s="64">
        <f>AnMBR_35_CED_Detail_yr!H21</f>
        <v>26758.02937</v>
      </c>
      <c r="E10" s="64">
        <f>D10</f>
        <v>26758.02937</v>
      </c>
      <c r="F10" s="64">
        <f>AeMBR_Baseline_CED_Detail_yr!L71</f>
        <v>20800.5</v>
      </c>
      <c r="G10" s="64">
        <f>AnMBR_35_CED_Detail_yr!L67</f>
        <v>27496.510000000002</v>
      </c>
      <c r="H10" s="64">
        <f>AnMBR_20_CED_Detail_yr!L65</f>
        <v>27496.510000000002</v>
      </c>
      <c r="I10" s="64">
        <f>AeMBR_Baseline_CED_Detail_yr!P71</f>
        <v>192694</v>
      </c>
      <c r="J10" s="64">
        <f>AnMBR_35_CED_Detail_yr!P67</f>
        <v>518521.15</v>
      </c>
      <c r="K10" s="64">
        <f>AnMBR_20_CED_Detail_yr!P65</f>
        <v>518521.15</v>
      </c>
      <c r="L10" s="64">
        <f>AeMBR_Baseline_CED_Detail_yr!S71</f>
        <v>859360</v>
      </c>
      <c r="M10" s="64">
        <f>AnMBR_35_CED_Detail_yr!S67</f>
        <v>2160854.6</v>
      </c>
      <c r="N10" s="64">
        <f>AnMBR_20_CED_Detail_yr!S65</f>
        <v>2160854.6</v>
      </c>
      <c r="O10" s="64">
        <f>AeMBR_Baseline_CED_Detail_yr!V71</f>
        <v>1705070</v>
      </c>
      <c r="P10" s="64">
        <f>AnMBR_35_CED_Detail_yr!V67</f>
        <v>3888905.3617799999</v>
      </c>
      <c r="Q10" s="64">
        <f>AnMBR_20_CED_Detail_yr!V65</f>
        <v>3888905.3617799999</v>
      </c>
    </row>
    <row r="11" spans="1:17" x14ac:dyDescent="0.25">
      <c r="B11" s="54" t="s">
        <v>14</v>
      </c>
      <c r="C11" s="64">
        <f>SUM(AeMBR_Baseline_CED_Detail_yr!H24:H26)</f>
        <v>534976.39701000007</v>
      </c>
      <c r="D11" s="64">
        <f>C11</f>
        <v>534976.39701000007</v>
      </c>
      <c r="E11" s="64">
        <f>D11</f>
        <v>534976.39701000007</v>
      </c>
      <c r="F11" s="64">
        <f>AeMBR_Baseline_CED_Detail_yr!L72</f>
        <v>642002.67801999999</v>
      </c>
      <c r="G11" s="64">
        <f>AnMBR_35_CED_Detail_yr!L68</f>
        <v>642002.67801999999</v>
      </c>
      <c r="H11" s="64">
        <f>AnMBR_20_CED_Detail_yr!L66</f>
        <v>642002.67801999999</v>
      </c>
      <c r="I11" s="64">
        <f>AeMBR_Baseline_CED_Detail_yr!P72</f>
        <v>2479824.1082199998</v>
      </c>
      <c r="J11" s="64">
        <f>AnMBR_35_CED_Detail_yr!P68</f>
        <v>2479824.1082199998</v>
      </c>
      <c r="K11" s="64">
        <f>AnMBR_20_CED_Detail_yr!P66</f>
        <v>2479824.1082199998</v>
      </c>
      <c r="L11" s="64">
        <f>AeMBR_Baseline_CED_Detail_yr!S72</f>
        <v>4545469.1922899997</v>
      </c>
      <c r="M11" s="64">
        <f>AnMBR_35_CED_Detail_yr!S68</f>
        <v>4545469.1922899997</v>
      </c>
      <c r="N11" s="64">
        <f>AnMBR_20_CED_Detail_yr!S66</f>
        <v>4545469.1922899997</v>
      </c>
      <c r="O11" s="64">
        <f>AeMBR_Baseline_CED_Detail_yr!V72</f>
        <v>8019323.3073800001</v>
      </c>
      <c r="P11" s="64">
        <f>AnMBR_35_CED_Detail_yr!V68</f>
        <v>8019323.3073800001</v>
      </c>
      <c r="Q11" s="64">
        <f>AnMBR_20_CED_Detail_yr!V66</f>
        <v>8019323.3073800001</v>
      </c>
    </row>
    <row r="12" spans="1:17" x14ac:dyDescent="0.25">
      <c r="B12" s="54" t="s">
        <v>11</v>
      </c>
      <c r="C12" s="64">
        <f>SUM(AeMBR_Baseline_CED_Detail_yr!H27:H30)</f>
        <v>-835425.79599999997</v>
      </c>
      <c r="D12" s="64">
        <f>SUM(AnMBR_35_CED_Detail_yr!H25:H28)</f>
        <v>-849173.79599999997</v>
      </c>
      <c r="E12" s="64">
        <f>D12</f>
        <v>-849173.79599999997</v>
      </c>
      <c r="F12" s="64">
        <f>AeMBR_Baseline_CED_Detail_yr!L73</f>
        <v>-1670852.784</v>
      </c>
      <c r="G12" s="64">
        <f>AnMBR_35_CED_Detail_yr!L69</f>
        <v>-1699832.784</v>
      </c>
      <c r="H12" s="64">
        <f>AnMBR_20_CED_Detail_yr!L67</f>
        <v>-1699832.784</v>
      </c>
      <c r="I12" s="64">
        <f>AeMBR_Baseline_CED_Detail_yr!P73</f>
        <v>-16708406.58</v>
      </c>
      <c r="J12" s="64">
        <f>AnMBR_35_CED_Detail_yr!P69</f>
        <v>-17057606.579999998</v>
      </c>
      <c r="K12" s="64">
        <f>AnMBR_20_CED_Detail_yr!P67</f>
        <v>-17057606.579999998</v>
      </c>
      <c r="L12" s="64">
        <f>AeMBR_Baseline_CED_Detail_yr!S73</f>
        <v>-83542853.599999994</v>
      </c>
      <c r="M12" s="64">
        <f>AnMBR_35_CED_Detail_yr!S69</f>
        <v>-85374753.599999994</v>
      </c>
      <c r="N12" s="64">
        <f>AnMBR_20_CED_Detail_yr!S67</f>
        <v>-85374753.599999994</v>
      </c>
      <c r="O12" s="64">
        <f>AeMBR_Baseline_CED_Detail_yr!V73</f>
        <v>-167085509.5</v>
      </c>
      <c r="P12" s="64">
        <f>AnMBR_35_CED_Detail_yr!V69</f>
        <v>-170697509.5</v>
      </c>
      <c r="Q12" s="64">
        <f>AnMBR_20_CED_Detail_yr!V67</f>
        <v>-170697509.5</v>
      </c>
    </row>
    <row r="13" spans="1:17" x14ac:dyDescent="0.25">
      <c r="B13" s="84" t="s">
        <v>57</v>
      </c>
      <c r="C13" s="64">
        <f>SUM(C7:C12)</f>
        <v>520082.72887999995</v>
      </c>
      <c r="D13" s="64">
        <f t="shared" ref="D13:Q13" si="0">SUM(D7:D12)</f>
        <v>724412.06604999967</v>
      </c>
      <c r="E13" s="64">
        <f t="shared" si="0"/>
        <v>-422717.93394999986</v>
      </c>
      <c r="F13" s="64">
        <f t="shared" si="0"/>
        <v>123076.75687000016</v>
      </c>
      <c r="G13" s="64">
        <f t="shared" si="0"/>
        <v>855631.71084999852</v>
      </c>
      <c r="H13" s="64">
        <f t="shared" si="0"/>
        <v>-1328142.2891500001</v>
      </c>
      <c r="I13" s="64">
        <f t="shared" si="0"/>
        <v>-7760220.6083899997</v>
      </c>
      <c r="J13" s="64">
        <f t="shared" si="0"/>
        <v>1608668.0349900015</v>
      </c>
      <c r="K13" s="64">
        <f t="shared" si="0"/>
        <v>-17567488.965009999</v>
      </c>
      <c r="L13" s="64">
        <f t="shared" si="0"/>
        <v>-48118173.339259997</v>
      </c>
      <c r="M13" s="64">
        <f t="shared" si="0"/>
        <v>-3849107.5696099997</v>
      </c>
      <c r="N13" s="64">
        <f t="shared" si="0"/>
        <v>-96959587.56961</v>
      </c>
      <c r="O13" s="64">
        <f t="shared" si="0"/>
        <v>-99198169.314239994</v>
      </c>
      <c r="P13" s="64">
        <f t="shared" si="0"/>
        <v>-11661901.063190013</v>
      </c>
      <c r="Q13" s="64">
        <f t="shared" si="0"/>
        <v>-195841281.06318998</v>
      </c>
    </row>
    <row r="35" spans="1:17" ht="15.75" x14ac:dyDescent="0.25">
      <c r="A35" s="42" t="s">
        <v>102</v>
      </c>
    </row>
    <row r="36" spans="1:17" ht="15.75" x14ac:dyDescent="0.25">
      <c r="A36" s="42" t="s">
        <v>159</v>
      </c>
    </row>
    <row r="38" spans="1:17" x14ac:dyDescent="0.25">
      <c r="B38" s="54"/>
      <c r="C38" s="152" t="s">
        <v>93</v>
      </c>
      <c r="D38" s="152"/>
      <c r="E38" s="152"/>
      <c r="F38" s="152" t="s">
        <v>94</v>
      </c>
      <c r="G38" s="152"/>
      <c r="H38" s="152"/>
      <c r="I38" s="152" t="s">
        <v>95</v>
      </c>
      <c r="J38" s="152"/>
      <c r="K38" s="152"/>
      <c r="L38" s="152" t="s">
        <v>96</v>
      </c>
      <c r="M38" s="152"/>
      <c r="N38" s="152"/>
      <c r="O38" s="152" t="s">
        <v>97</v>
      </c>
      <c r="P38" s="152"/>
      <c r="Q38" s="152"/>
    </row>
    <row r="39" spans="1:17" x14ac:dyDescent="0.25">
      <c r="B39" s="54"/>
      <c r="C39" s="54" t="s">
        <v>90</v>
      </c>
      <c r="D39" s="54" t="s">
        <v>91</v>
      </c>
      <c r="E39" s="54" t="s">
        <v>92</v>
      </c>
      <c r="F39" s="54" t="s">
        <v>90</v>
      </c>
      <c r="G39" s="54" t="s">
        <v>91</v>
      </c>
      <c r="H39" s="54" t="s">
        <v>92</v>
      </c>
      <c r="I39" s="54" t="s">
        <v>90</v>
      </c>
      <c r="J39" s="54" t="s">
        <v>91</v>
      </c>
      <c r="K39" s="54" t="s">
        <v>92</v>
      </c>
      <c r="L39" s="54" t="s">
        <v>90</v>
      </c>
      <c r="M39" s="54" t="s">
        <v>91</v>
      </c>
      <c r="N39" s="54" t="s">
        <v>92</v>
      </c>
      <c r="O39" s="54" t="s">
        <v>90</v>
      </c>
      <c r="P39" s="54" t="s">
        <v>91</v>
      </c>
      <c r="Q39" s="54" t="s">
        <v>92</v>
      </c>
    </row>
    <row r="40" spans="1:17" x14ac:dyDescent="0.25">
      <c r="B40" s="54" t="s">
        <v>12</v>
      </c>
      <c r="C40" s="67">
        <f>AeMBR_Baseline_GWP_yr!F6</f>
        <v>17.266590000000001</v>
      </c>
      <c r="D40" s="67">
        <f>AnMBR_35_GWP_yr!F6</f>
        <v>17.266590000000001</v>
      </c>
      <c r="E40" s="67">
        <f>AnMBR_20_GWP_yr!F6</f>
        <v>17.266590000000001</v>
      </c>
      <c r="F40" s="67">
        <f>AeMBR_Baseline_GWP_yr!J6</f>
        <v>35.908639999999998</v>
      </c>
      <c r="G40" s="67">
        <f>AnMBR_35_GWP_yr!J6</f>
        <v>35.908639999999998</v>
      </c>
      <c r="H40" s="67">
        <f>AnMBR_20_GWP_yr!J6</f>
        <v>35.908639999999998</v>
      </c>
      <c r="I40" s="63">
        <f>AeMBR_Baseline_GWP_yr!N6</f>
        <v>347.92</v>
      </c>
      <c r="J40" s="63">
        <f>AnMBR_35_GWP_yr!N6</f>
        <v>347.92</v>
      </c>
      <c r="K40" s="63">
        <f>AnMBR_20_GWP_yr!N6</f>
        <v>347.92</v>
      </c>
      <c r="L40" s="64">
        <f>AeMBR_Baseline_GWP_yr!Q6</f>
        <v>1758.78</v>
      </c>
      <c r="M40" s="64">
        <f>AnMBR_35_GWP_yr!Q6</f>
        <v>1758.78</v>
      </c>
      <c r="N40" s="64">
        <f>AnMBR_20_GWP_yr!Q6</f>
        <v>1758.78</v>
      </c>
      <c r="O40" s="64">
        <f>AeMBR_Baseline_GWP_yr!T6</f>
        <v>3701.92</v>
      </c>
      <c r="P40" s="64">
        <f>AnMBR_35_GWP_yr!T6</f>
        <v>3701.92</v>
      </c>
      <c r="Q40" s="64">
        <f>AnMBR_20_GWP_yr!T6</f>
        <v>3701.92</v>
      </c>
    </row>
    <row r="41" spans="1:17" x14ac:dyDescent="0.25">
      <c r="B41" s="54" t="s">
        <v>55</v>
      </c>
      <c r="C41" s="64">
        <f>AeMBR_Baseline_GWP_yr!F7</f>
        <v>2803.3273899999913</v>
      </c>
      <c r="D41" s="64">
        <f>AnMBR_35_GWP_yr!F7</f>
        <v>2803.3273899999913</v>
      </c>
      <c r="E41" s="64">
        <f>AnMBR_20_GWP_yr!F7</f>
        <v>2803.3273899999913</v>
      </c>
      <c r="F41" s="64">
        <f>AeMBR_Baseline_GWP_yr!J7</f>
        <v>3903.6092399999907</v>
      </c>
      <c r="G41" s="64">
        <f>AnMBR_35_GWP_yr!J7</f>
        <v>3903.6092399999907</v>
      </c>
      <c r="H41" s="64">
        <f>AnMBR_20_GWP_yr!J7</f>
        <v>3903.6092399999907</v>
      </c>
      <c r="I41" s="64">
        <f>AeMBR_Baseline_GWP_yr!N7</f>
        <v>12355.949999999953</v>
      </c>
      <c r="J41" s="64">
        <f>AnMBR_35_GWP_yr!N7</f>
        <v>12355.949999999953</v>
      </c>
      <c r="K41" s="64">
        <f>AnMBR_20_GWP_yr!N7</f>
        <v>12355.949999999953</v>
      </c>
      <c r="L41" s="64">
        <f>AeMBR_Baseline_GWP_yr!Q7</f>
        <v>30123.72</v>
      </c>
      <c r="M41" s="64">
        <f>AnMBR_35_GWP_yr!Q7</f>
        <v>30123.72</v>
      </c>
      <c r="N41" s="64">
        <f>AnMBR_20_GWP_yr!Q7</f>
        <v>30123.72</v>
      </c>
      <c r="O41" s="64">
        <f>AeMBR_Baseline_GWP_yr!T7</f>
        <v>45957</v>
      </c>
      <c r="P41" s="64">
        <f>AnMBR_35_GWP_yr!T7</f>
        <v>45957</v>
      </c>
      <c r="Q41" s="64">
        <f>AnMBR_20_GWP_yr!T7</f>
        <v>45957</v>
      </c>
    </row>
    <row r="42" spans="1:17" x14ac:dyDescent="0.25">
      <c r="B42" s="54" t="s">
        <v>16</v>
      </c>
      <c r="C42" s="64">
        <f>AeMBR_Baseline_GWP_yr!F8</f>
        <v>47872.26</v>
      </c>
      <c r="D42" s="64">
        <f>AnMBR_35_GWP_yr!F8</f>
        <v>57667.6</v>
      </c>
      <c r="E42" s="64">
        <f>AnMBR_20_GWP_yr!F8</f>
        <v>-13442.959010000002</v>
      </c>
      <c r="F42" s="64">
        <f>AeMBR_Baseline_GWP_yr!J8</f>
        <v>67029.3</v>
      </c>
      <c r="G42" s="64">
        <f>AnMBR_35_GWP_yr!J8</f>
        <v>108668</v>
      </c>
      <c r="H42" s="64">
        <f>AnMBR_20_GWP_yr!J8</f>
        <v>-22969.475559999999</v>
      </c>
      <c r="I42" s="64">
        <f>AeMBR_Baseline_GWP_yr!N8</f>
        <v>378479</v>
      </c>
      <c r="J42" s="64">
        <f>AnMBR_35_GWP_yr!N8</f>
        <v>920852.7</v>
      </c>
      <c r="K42" s="64">
        <f>AnMBR_20_GWP_yr!N8</f>
        <v>-234902.07490000001</v>
      </c>
      <c r="L42" s="64">
        <f>AeMBR_Baseline_GWP_yr!Q8</f>
        <v>1840889</v>
      </c>
      <c r="M42" s="64">
        <f>AnMBR_35_GWP_yr!Q8</f>
        <v>4424834.7</v>
      </c>
      <c r="N42" s="64">
        <f>AnMBR_20_GWP_yr!Q8</f>
        <v>-1186865.1000000001</v>
      </c>
      <c r="O42" s="64">
        <f>AeMBR_Baseline_GWP_yr!T8</f>
        <v>3575700</v>
      </c>
      <c r="P42" s="64">
        <f>AnMBR_35_GWP_yr!T8</f>
        <v>8714136</v>
      </c>
      <c r="Q42" s="64">
        <f>AnMBR_20_GWP_yr!T8</f>
        <v>-2386084.7000000002</v>
      </c>
    </row>
    <row r="43" spans="1:17" x14ac:dyDescent="0.25">
      <c r="B43" s="54" t="s">
        <v>56</v>
      </c>
      <c r="C43" s="64">
        <f>AeMBR_Baseline_GWP_yr!F9</f>
        <v>1054.71</v>
      </c>
      <c r="D43" s="64">
        <f>AnMBR_35_GWP_yr!F9</f>
        <v>3293</v>
      </c>
      <c r="E43" s="64">
        <f>AnMBR_20_GWP_yr!F9</f>
        <v>3293</v>
      </c>
      <c r="F43" s="64">
        <f>AeMBR_Baseline_GWP_yr!J9</f>
        <v>1857.29</v>
      </c>
      <c r="G43" s="64">
        <f>AnMBR_35_GWP_yr!J9</f>
        <v>3475</v>
      </c>
      <c r="H43" s="64">
        <f>AnMBR_20_GWP_yr!J9</f>
        <v>3475</v>
      </c>
      <c r="I43" s="64">
        <f>AeMBR_Baseline_GWP_yr!N9</f>
        <v>15779.8</v>
      </c>
      <c r="J43" s="64">
        <f>AnMBR_35_GWP_yr!N9</f>
        <v>42772.4</v>
      </c>
      <c r="K43" s="64">
        <f>AnMBR_20_GWP_yr!N9</f>
        <v>42772.4</v>
      </c>
      <c r="L43" s="64">
        <f>AeMBR_Baseline_GWP_yr!Q9</f>
        <v>70429.8</v>
      </c>
      <c r="M43" s="64">
        <f>AnMBR_35_GWP_yr!Q9</f>
        <v>178294</v>
      </c>
      <c r="N43" s="64">
        <f>AnMBR_20_GWP_yr!Q9</f>
        <v>178294</v>
      </c>
      <c r="O43" s="64">
        <f>AeMBR_Baseline_GWP_yr!T9</f>
        <v>138680</v>
      </c>
      <c r="P43" s="64">
        <f>AnMBR_35_GWP_yr!T9</f>
        <v>320777.78000000003</v>
      </c>
      <c r="Q43" s="64">
        <f>AnMBR_20_GWP_yr!T9</f>
        <v>320777.78000000003</v>
      </c>
    </row>
    <row r="44" spans="1:17" x14ac:dyDescent="0.25">
      <c r="B44" s="54" t="s">
        <v>14</v>
      </c>
      <c r="C44" s="64">
        <f>AeMBR_Baseline_GWP_yr!F10</f>
        <v>33166</v>
      </c>
      <c r="D44" s="64">
        <f>AnMBR_35_GWP_yr!F10</f>
        <v>33166</v>
      </c>
      <c r="E44" s="64">
        <f>AnMBR_20_GWP_yr!F10</f>
        <v>33166</v>
      </c>
      <c r="F44" s="64">
        <f>AeMBR_Baseline_GWP_yr!J10</f>
        <v>39466</v>
      </c>
      <c r="G44" s="64">
        <f>AnMBR_35_GWP_yr!J10</f>
        <v>39466</v>
      </c>
      <c r="H44" s="64">
        <f>AnMBR_20_GWP_yr!J10</f>
        <v>39466</v>
      </c>
      <c r="I44" s="64">
        <f>AeMBR_Baseline_GWP_yr!N10</f>
        <v>90494</v>
      </c>
      <c r="J44" s="64">
        <f>AnMBR_35_GWP_yr!N10</f>
        <v>90494</v>
      </c>
      <c r="K44" s="64">
        <f>AnMBR_20_GWP_yr!N10</f>
        <v>90494</v>
      </c>
      <c r="L44" s="64">
        <f>AeMBR_Baseline_GWP_yr!Q10</f>
        <v>245966</v>
      </c>
      <c r="M44" s="64">
        <f>AnMBR_35_GWP_yr!Q10</f>
        <v>245966</v>
      </c>
      <c r="N44" s="64">
        <f>AnMBR_20_GWP_yr!Q10</f>
        <v>245966</v>
      </c>
      <c r="O44" s="64">
        <f>AeMBR_Baseline_GWP_yr!T10</f>
        <v>424896</v>
      </c>
      <c r="P44" s="64">
        <f>AnMBR_35_GWP_yr!T10</f>
        <v>424896</v>
      </c>
      <c r="Q44" s="64">
        <f>AnMBR_20_GWP_yr!T10</f>
        <v>424896</v>
      </c>
    </row>
    <row r="45" spans="1:17" x14ac:dyDescent="0.25">
      <c r="B45" s="54" t="s">
        <v>11</v>
      </c>
      <c r="C45" s="64">
        <f>AeMBR_Baseline_GWP_yr!F11</f>
        <v>-51877.063979999992</v>
      </c>
      <c r="D45" s="64">
        <f>AnMBR_35_GWP_yr!F11</f>
        <v>-52730.5</v>
      </c>
      <c r="E45" s="64">
        <f>AnMBR_20_GWP_yr!F11</f>
        <v>-52730.5</v>
      </c>
      <c r="F45" s="64">
        <f>AeMBR_Baseline_GWP_yr!J11</f>
        <v>-106822.14</v>
      </c>
      <c r="G45" s="64">
        <f>AnMBR_35_GWP_yr!J11</f>
        <v>-103668</v>
      </c>
      <c r="H45" s="64">
        <f>AnMBR_20_GWP_yr!J11</f>
        <v>-103668</v>
      </c>
      <c r="I45" s="64">
        <f>AeMBR_Baseline_GWP_yr!N11</f>
        <v>-1037646.67</v>
      </c>
      <c r="J45" s="64">
        <f>AnMBR_35_GWP_yr!N11</f>
        <v>-1059004</v>
      </c>
      <c r="K45" s="64">
        <f>AnMBR_20_GWP_yr!N11</f>
        <v>-1059004</v>
      </c>
      <c r="L45" s="64">
        <f>AeMBR_Baseline_GWP_yr!Q11</f>
        <v>-5187567.3</v>
      </c>
      <c r="M45" s="64">
        <f>AnMBR_35_GWP_yr!Q11</f>
        <v>-5207280</v>
      </c>
      <c r="N45" s="64">
        <f>AnMBR_20_GWP_yr!Q11</f>
        <v>-5207280</v>
      </c>
      <c r="O45" s="64">
        <f>AeMBR_Baseline_GWP_yr!T11</f>
        <v>-10375294.92</v>
      </c>
      <c r="P45" s="64">
        <f>AnMBR_35_GWP_yr!T11</f>
        <v>-10568139.300000001</v>
      </c>
      <c r="Q45" s="64">
        <f>AnMBR_20_GWP_yr!T11</f>
        <v>-10568139.300000001</v>
      </c>
    </row>
    <row r="46" spans="1:17" x14ac:dyDescent="0.25">
      <c r="B46" s="84" t="s">
        <v>57</v>
      </c>
      <c r="C46" s="64">
        <f>SUM(C40:C45)</f>
        <v>33036.5</v>
      </c>
      <c r="D46" s="64">
        <f t="shared" ref="D46" si="1">SUM(D40:D45)</f>
        <v>44216.693979999982</v>
      </c>
      <c r="E46" s="64">
        <f t="shared" ref="E46" si="2">SUM(E40:E45)</f>
        <v>-26893.865030000012</v>
      </c>
      <c r="F46" s="64">
        <f t="shared" ref="F46" si="3">SUM(F40:F45)</f>
        <v>5469.967879999982</v>
      </c>
      <c r="G46" s="64">
        <f t="shared" ref="G46" si="4">SUM(G40:G45)</f>
        <v>51880.517879999999</v>
      </c>
      <c r="H46" s="64">
        <f t="shared" ref="H46" si="5">SUM(H40:H45)</f>
        <v>-79756.957680000007</v>
      </c>
      <c r="I46" s="64">
        <f t="shared" ref="I46" si="6">SUM(I40:I45)</f>
        <v>-540190.00000000012</v>
      </c>
      <c r="J46" s="64">
        <f t="shared" ref="J46" si="7">SUM(J40:J45)</f>
        <v>7818.9699999999721</v>
      </c>
      <c r="K46" s="64">
        <f t="shared" ref="K46" si="8">SUM(K40:K45)</f>
        <v>-1147935.8049000001</v>
      </c>
      <c r="L46" s="64">
        <f t="shared" ref="L46" si="9">SUM(L40:L45)</f>
        <v>-2998400</v>
      </c>
      <c r="M46" s="64">
        <f t="shared" ref="M46" si="10">SUM(M40:M45)</f>
        <v>-326302.79999999981</v>
      </c>
      <c r="N46" s="64">
        <f t="shared" ref="N46" si="11">SUM(N40:N45)</f>
        <v>-5938002.5999999996</v>
      </c>
      <c r="O46" s="64">
        <f t="shared" ref="O46" si="12">SUM(O40:O45)</f>
        <v>-6186360</v>
      </c>
      <c r="P46" s="64">
        <f t="shared" ref="P46" si="13">SUM(P40:P45)</f>
        <v>-1058670.6000000015</v>
      </c>
      <c r="Q46" s="64">
        <f t="shared" ref="Q46" si="14">SUM(Q40:Q45)</f>
        <v>-12158891.300000001</v>
      </c>
    </row>
  </sheetData>
  <mergeCells count="15">
    <mergeCell ref="C38:E38"/>
    <mergeCell ref="F38:H38"/>
    <mergeCell ref="I38:K38"/>
    <mergeCell ref="L38:N38"/>
    <mergeCell ref="O38:Q38"/>
    <mergeCell ref="C5:E5"/>
    <mergeCell ref="F5:H5"/>
    <mergeCell ref="I5:K5"/>
    <mergeCell ref="L5:N5"/>
    <mergeCell ref="O5:Q5"/>
    <mergeCell ref="C4:E4"/>
    <mergeCell ref="F4:H4"/>
    <mergeCell ref="I4:K4"/>
    <mergeCell ref="L4:N4"/>
    <mergeCell ref="O4:Q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showGridLines="0" zoomScale="85" zoomScaleNormal="85" workbookViewId="0"/>
  </sheetViews>
  <sheetFormatPr defaultRowHeight="12.75" x14ac:dyDescent="0.2"/>
  <cols>
    <col min="1" max="1" width="4.140625" style="1" customWidth="1"/>
    <col min="2" max="3" width="23.7109375" style="1" customWidth="1"/>
    <col min="4" max="4" width="12.5703125" style="1" customWidth="1"/>
    <col min="5" max="5" width="11.140625" style="1" customWidth="1"/>
    <col min="6" max="6" width="12.28515625" style="1" customWidth="1"/>
    <col min="7" max="7" width="12.5703125" style="1" customWidth="1"/>
    <col min="8" max="8" width="13" style="1" customWidth="1"/>
    <col min="9" max="9" width="12.85546875" style="1" customWidth="1"/>
    <col min="10" max="10" width="12.5703125" style="1" customWidth="1"/>
    <col min="11" max="11" width="12.28515625" style="1" customWidth="1"/>
    <col min="12" max="13" width="13.85546875" style="1" customWidth="1"/>
    <col min="14" max="14" width="14.28515625" style="1" customWidth="1"/>
    <col min="15" max="15" width="11.7109375" style="1" customWidth="1"/>
    <col min="16" max="16" width="13.42578125" style="1" customWidth="1"/>
    <col min="17" max="17" width="13.140625" style="1" customWidth="1"/>
    <col min="18" max="18" width="13" style="1" customWidth="1"/>
    <col min="19" max="19" width="14.28515625" style="1" customWidth="1"/>
    <col min="20" max="20" width="14.42578125" style="1" customWidth="1"/>
    <col min="21" max="21" width="14.140625" style="1" customWidth="1"/>
    <col min="22" max="22" width="9.140625" style="1"/>
    <col min="23" max="23" width="11" style="1" customWidth="1"/>
    <col min="24" max="16384" width="9.140625" style="1"/>
  </cols>
  <sheetData>
    <row r="1" spans="1:23" ht="15.75" x14ac:dyDescent="0.25">
      <c r="A1" s="42" t="s">
        <v>41</v>
      </c>
    </row>
    <row r="2" spans="1:23" ht="15" x14ac:dyDescent="0.25">
      <c r="A2" s="41" t="s">
        <v>52</v>
      </c>
      <c r="C2" s="1" t="e">
        <f>#REF!</f>
        <v>#REF!</v>
      </c>
      <c r="D2" s="56" t="e">
        <f>#REF!</f>
        <v>#REF!</v>
      </c>
      <c r="E2" s="57" t="e">
        <f>#REF!</f>
        <v>#REF!</v>
      </c>
      <c r="F2" s="57" t="e">
        <f>#REF!</f>
        <v>#REF!</v>
      </c>
      <c r="G2" s="57" t="e">
        <f>#REF!</f>
        <v>#REF!</v>
      </c>
      <c r="H2" s="57" t="e">
        <f>#REF!</f>
        <v>#REF!</v>
      </c>
      <c r="I2" s="57" t="e">
        <f>#REF!</f>
        <v>#REF!</v>
      </c>
      <c r="J2" s="57" t="e">
        <f>#REF!</f>
        <v>#REF!</v>
      </c>
      <c r="K2" s="57" t="e">
        <f>#REF!</f>
        <v>#REF!</v>
      </c>
      <c r="L2" s="57" t="e">
        <f>#REF!</f>
        <v>#REF!</v>
      </c>
      <c r="M2" s="57" t="e">
        <f>#REF!</f>
        <v>#REF!</v>
      </c>
      <c r="N2" s="57" t="e">
        <f>#REF!</f>
        <v>#REF!</v>
      </c>
      <c r="O2" s="57" t="e">
        <f>#REF!</f>
        <v>#REF!</v>
      </c>
      <c r="P2" s="57" t="e">
        <f>#REF!</f>
        <v>#REF!</v>
      </c>
      <c r="Q2" s="57" t="e">
        <f>#REF!</f>
        <v>#REF!</v>
      </c>
      <c r="R2" s="57" t="e">
        <f>#REF!</f>
        <v>#REF!</v>
      </c>
      <c r="S2" s="57" t="e">
        <f>#REF!</f>
        <v>#REF!</v>
      </c>
      <c r="T2" s="57" t="e">
        <f>#REF!</f>
        <v>#REF!</v>
      </c>
      <c r="U2" s="58" t="e">
        <f>#REF!</f>
        <v>#REF!</v>
      </c>
    </row>
    <row r="3" spans="1:23" ht="113.25" customHeight="1" x14ac:dyDescent="0.2">
      <c r="D3" s="3" t="str">
        <f>AeMBR_Baseline_GWP_m3!C5</f>
        <v>0.05 MGD AeMBR [semi rural single family]</v>
      </c>
      <c r="E3" s="3" t="str">
        <f>AeMBR_Baseline_GWP_m3!D5</f>
        <v>0.05 MGD AeMBR [single family]</v>
      </c>
      <c r="F3" s="3" t="str">
        <f>AeMBR_Baseline_GWP_m3!E5</f>
        <v>0.05 MGD AeMBR [multi family]</v>
      </c>
      <c r="G3" s="3" t="str">
        <f>AeMBR_Baseline_GWP_m3!F5</f>
        <v>0.05 MGD AeMBR [high density urban]</v>
      </c>
      <c r="H3" s="3" t="str">
        <f>AeMBR_Baseline_GWP_m3!G5</f>
        <v>0.1 MGD AeMBR [semi rural single family]</v>
      </c>
      <c r="I3" s="3" t="str">
        <f>AeMBR_Baseline_GWP_m3!H5</f>
        <v>0.1 MGD AeMBR [single family]</v>
      </c>
      <c r="J3" s="3" t="str">
        <f>AeMBR_Baseline_GWP_m3!I5</f>
        <v>0.1 MGD AeMBR [multi family]</v>
      </c>
      <c r="K3" s="3" t="str">
        <f>AeMBR_Baseline_GWP_m3!J5</f>
        <v>0.1 MGD AeMBR [high density urban]</v>
      </c>
      <c r="L3" s="3" t="str">
        <f>AeMBR_Baseline_GWP_m3!K5</f>
        <v>1 MGD AeMBR [semi rural single family]</v>
      </c>
      <c r="M3" s="3" t="str">
        <f>AeMBR_Baseline_GWP_m3!L5</f>
        <v>1 MGD AeMBR [single family]</v>
      </c>
      <c r="N3" s="3" t="str">
        <f>AeMBR_Baseline_GWP_m3!M5</f>
        <v>1 MGD AeMBR [multi family]</v>
      </c>
      <c r="O3" s="3" t="str">
        <f>AeMBR_Baseline_GWP_m3!N5</f>
        <v>1 MGD AeMBR [high density urban]</v>
      </c>
      <c r="P3" s="3" t="str">
        <f>AeMBR_Baseline_GWP_m3!O5</f>
        <v>5 MGD AeMBR [single family]</v>
      </c>
      <c r="Q3" s="3" t="str">
        <f>AeMBR_Baseline_GWP_m3!P5</f>
        <v>5 MGD AeMBR [multi family]</v>
      </c>
      <c r="R3" s="3" t="str">
        <f>AeMBR_Baseline_GWP_m3!Q5</f>
        <v>5 MGD AeMBR [high density urban]</v>
      </c>
      <c r="S3" s="3" t="str">
        <f>AeMBR_Baseline_GWP_m3!R5</f>
        <v>10 MGD AeMBR [single family]</v>
      </c>
      <c r="T3" s="3" t="str">
        <f>AeMBR_Baseline_GWP_m3!S5</f>
        <v>10 MGD AeMBR [multi family]</v>
      </c>
      <c r="U3" s="3" t="str">
        <f>AeMBR_Baseline_GWP_m3!T5</f>
        <v>10 MGD AeMBR [high density urban]</v>
      </c>
      <c r="V3" s="28" t="s">
        <v>49</v>
      </c>
      <c r="W3" s="29" t="s">
        <v>51</v>
      </c>
    </row>
    <row r="4" spans="1:23" x14ac:dyDescent="0.2">
      <c r="B4" s="2" t="s">
        <v>26</v>
      </c>
      <c r="C4" s="2" t="s">
        <v>35</v>
      </c>
      <c r="D4" s="23">
        <v>303.37599999999998</v>
      </c>
      <c r="E4" s="23">
        <v>293.01100000000002</v>
      </c>
      <c r="F4" s="23">
        <v>285.86900000000003</v>
      </c>
      <c r="G4" s="23">
        <v>284.39400000000001</v>
      </c>
      <c r="H4" s="23">
        <v>119.08</v>
      </c>
      <c r="I4" s="24">
        <v>98.678700000000006</v>
      </c>
      <c r="J4" s="24">
        <v>84.269300000000001</v>
      </c>
      <c r="K4" s="24">
        <v>81.42</v>
      </c>
      <c r="L4" s="22">
        <v>-4118.9799999999996</v>
      </c>
      <c r="M4" s="79">
        <v>-4325.29</v>
      </c>
      <c r="N4" s="79">
        <v>-4469</v>
      </c>
      <c r="O4" s="79">
        <v>-4498.8999999999996</v>
      </c>
      <c r="P4" s="7">
        <v>-24170.400000000001</v>
      </c>
      <c r="Q4" s="22">
        <v>-24876</v>
      </c>
      <c r="R4" s="22">
        <v>-25019</v>
      </c>
      <c r="S4" s="22">
        <v>-49901.3</v>
      </c>
      <c r="T4" s="22">
        <v>-51335</v>
      </c>
      <c r="U4" s="22">
        <v>-51623.3</v>
      </c>
      <c r="V4" s="30">
        <f t="shared" ref="V4:V15" si="0">MAX(D4:U4)</f>
        <v>303.37599999999998</v>
      </c>
      <c r="W4" s="31">
        <f t="shared" ref="W4:W15" si="1">MIN(D4:U4)</f>
        <v>-51623.3</v>
      </c>
    </row>
    <row r="5" spans="1:23" x14ac:dyDescent="0.2">
      <c r="B5" s="2" t="s">
        <v>34</v>
      </c>
      <c r="C5" s="2" t="s">
        <v>36</v>
      </c>
      <c r="D5" s="23">
        <v>316.048</v>
      </c>
      <c r="E5" s="23">
        <v>287.23700000000002</v>
      </c>
      <c r="F5" s="23">
        <v>266.73</v>
      </c>
      <c r="G5" s="23">
        <v>262.721</v>
      </c>
      <c r="H5" s="23">
        <v>521.428</v>
      </c>
      <c r="I5" s="23">
        <v>463.17500000000001</v>
      </c>
      <c r="J5" s="23">
        <v>422.839</v>
      </c>
      <c r="K5" s="23">
        <v>415.166</v>
      </c>
      <c r="L5" s="22">
        <v>4135.18</v>
      </c>
      <c r="M5" s="79">
        <v>3550.13</v>
      </c>
      <c r="N5" s="79">
        <v>3146.7</v>
      </c>
      <c r="O5" s="79">
        <v>3037</v>
      </c>
      <c r="P5" s="7">
        <v>17150.3</v>
      </c>
      <c r="Q5" s="22">
        <v>15120</v>
      </c>
      <c r="R5" s="22">
        <v>14728</v>
      </c>
      <c r="S5" s="22">
        <v>33768.699999999997</v>
      </c>
      <c r="T5" s="22">
        <v>29798</v>
      </c>
      <c r="U5" s="22">
        <v>28950.5</v>
      </c>
      <c r="V5" s="32">
        <f t="shared" si="0"/>
        <v>33768.699999999997</v>
      </c>
      <c r="W5" s="33">
        <f t="shared" si="1"/>
        <v>262.721</v>
      </c>
    </row>
    <row r="6" spans="1:23" x14ac:dyDescent="0.2">
      <c r="B6" s="2" t="s">
        <v>27</v>
      </c>
      <c r="C6" s="2" t="s">
        <v>1</v>
      </c>
      <c r="D6" s="22">
        <f>AeMBR_Baseline_CED_Detail_yr!E31</f>
        <v>556760.9032099999</v>
      </c>
      <c r="E6" s="22">
        <f>AeMBR_Baseline_CED_Detail_yr!F31</f>
        <v>536789.0331900001</v>
      </c>
      <c r="F6" s="22">
        <f>AeMBR_Baseline_CED_Detail_yr!G31</f>
        <v>522931.29796999996</v>
      </c>
      <c r="G6" s="22">
        <f>AeMBR_Baseline_CED_Detail_yr!H31</f>
        <v>520082.72887999984</v>
      </c>
      <c r="H6" s="22">
        <f>AeMBR_Baseline_CED_Detail_yr!I31</f>
        <v>196014.37946999981</v>
      </c>
      <c r="I6" s="22">
        <f>AeMBR_Baseline_CED_Detail_yr!J31</f>
        <v>156431.18686000002</v>
      </c>
      <c r="J6" s="22">
        <f>AeMBR_Baseline_CED_Detail_yr!K31</f>
        <v>128587.36934000021</v>
      </c>
      <c r="K6" s="22">
        <f>AeMBR_Baseline_CED_Detail_yr!L31</f>
        <v>123076.75687000016</v>
      </c>
      <c r="L6" s="22">
        <f>AeMBR_Baseline_CED_Detail_yr!M31</f>
        <v>-7027861.5213899985</v>
      </c>
      <c r="M6" s="79">
        <f>AeMBR_Baseline_CED_Detail_yr!N31</f>
        <v>-7426672.9587099999</v>
      </c>
      <c r="N6" s="79">
        <f>AeMBR_Baseline_CED_Detail_yr!O31</f>
        <v>-7705153.5024699979</v>
      </c>
      <c r="O6" s="79">
        <f>AeMBR_Baseline_CED_Detail_yr!P31</f>
        <v>-7760220.6083899979</v>
      </c>
      <c r="P6" s="22">
        <f>AeMBR_Baseline_CED_Detail_yr!Q31</f>
        <v>-46470076.636700004</v>
      </c>
      <c r="Q6" s="22">
        <f>AeMBR_Baseline_CED_Detail_yr!R31</f>
        <v>-47841086.069260009</v>
      </c>
      <c r="R6" s="22">
        <f>AeMBR_Baseline_CED_Detail_yr!S31</f>
        <v>-48118173.339259997</v>
      </c>
      <c r="S6" s="22">
        <f>AeMBR_Baseline_CED_Detail_yr!T31</f>
        <v>-95868376.344239995</v>
      </c>
      <c r="T6" s="22">
        <f>AeMBR_Baseline_CED_Detail_yr!U31</f>
        <v>-98641551.244240001</v>
      </c>
      <c r="U6" s="22">
        <f>AeMBR_Baseline_CED_Detail_yr!V31</f>
        <v>-99198169.314239994</v>
      </c>
      <c r="V6" s="32">
        <f t="shared" si="0"/>
        <v>556760.9032099999</v>
      </c>
      <c r="W6" s="31">
        <f t="shared" si="1"/>
        <v>-99198169.314239994</v>
      </c>
    </row>
    <row r="7" spans="1:23" x14ac:dyDescent="0.2">
      <c r="B7" s="2" t="s">
        <v>28</v>
      </c>
      <c r="C7" s="2" t="s">
        <v>42</v>
      </c>
      <c r="D7" s="10">
        <v>19.511900000000001</v>
      </c>
      <c r="E7" s="10">
        <v>19.159300000000002</v>
      </c>
      <c r="F7" s="10">
        <v>18.91</v>
      </c>
      <c r="G7" s="10">
        <v>18.860499999999998</v>
      </c>
      <c r="H7" s="10">
        <v>30.890699999999999</v>
      </c>
      <c r="I7" s="10">
        <v>30.186900000000001</v>
      </c>
      <c r="J7" s="10">
        <v>29.6937</v>
      </c>
      <c r="K7" s="10">
        <v>29.596969999999999</v>
      </c>
      <c r="L7" s="9">
        <v>221.76300000000001</v>
      </c>
      <c r="M7" s="8">
        <v>214.631</v>
      </c>
      <c r="N7" s="8">
        <v>209.69</v>
      </c>
      <c r="O7" s="8">
        <v>208.61699999999999</v>
      </c>
      <c r="P7" s="9">
        <v>995.93200000000002</v>
      </c>
      <c r="Q7" s="9">
        <v>971.55</v>
      </c>
      <c r="R7" s="9">
        <v>966.65</v>
      </c>
      <c r="S7" s="7">
        <v>1963.9</v>
      </c>
      <c r="T7" s="7">
        <v>1914.73</v>
      </c>
      <c r="U7" s="7">
        <v>1904.71</v>
      </c>
      <c r="V7" s="32">
        <f t="shared" si="0"/>
        <v>1963.9</v>
      </c>
      <c r="W7" s="34">
        <f t="shared" si="1"/>
        <v>18.860499999999998</v>
      </c>
    </row>
    <row r="8" spans="1:23" x14ac:dyDescent="0.2">
      <c r="B8" s="2" t="s">
        <v>29</v>
      </c>
      <c r="C8" s="2" t="s">
        <v>37</v>
      </c>
      <c r="D8" s="7">
        <v>9003.82</v>
      </c>
      <c r="E8" s="7">
        <v>8645.6299999999992</v>
      </c>
      <c r="F8" s="7">
        <v>8396.25</v>
      </c>
      <c r="G8" s="7">
        <v>8345.17</v>
      </c>
      <c r="H8" s="7">
        <v>2646.73</v>
      </c>
      <c r="I8" s="7">
        <v>1936.59</v>
      </c>
      <c r="J8" s="7">
        <v>1436.55</v>
      </c>
      <c r="K8" s="7">
        <v>1337.6669999999999</v>
      </c>
      <c r="L8" s="7">
        <v>-140723</v>
      </c>
      <c r="M8" s="6">
        <v>-147886</v>
      </c>
      <c r="N8" s="6">
        <v>-152888</v>
      </c>
      <c r="O8" s="6">
        <v>-153900</v>
      </c>
      <c r="P8" s="7">
        <v>-820307</v>
      </c>
      <c r="Q8" s="7">
        <v>-844870</v>
      </c>
      <c r="R8" s="7">
        <v>-849850</v>
      </c>
      <c r="S8" s="7">
        <v>-1689950</v>
      </c>
      <c r="T8" s="7">
        <v>-1739740</v>
      </c>
      <c r="U8" s="7">
        <v>-1749740</v>
      </c>
      <c r="V8" s="32">
        <f t="shared" si="0"/>
        <v>9003.82</v>
      </c>
      <c r="W8" s="31">
        <f t="shared" si="1"/>
        <v>-1749740</v>
      </c>
    </row>
    <row r="9" spans="1:23" x14ac:dyDescent="0.2">
      <c r="B9" s="2" t="s">
        <v>30</v>
      </c>
      <c r="C9" s="2" t="s">
        <v>39</v>
      </c>
      <c r="D9" s="7">
        <f>AeMBR_Baseline_GWP_yr!C12</f>
        <v>35366.19999999999</v>
      </c>
      <c r="E9" s="7">
        <f>AeMBR_Baseline_GWP_yr!D12</f>
        <v>34095.9</v>
      </c>
      <c r="F9" s="7">
        <f>AeMBR_Baseline_GWP_yr!E12</f>
        <v>33216.999999999993</v>
      </c>
      <c r="G9" s="7">
        <f>AeMBR_Baseline_GWP_yr!F12</f>
        <v>33036.5</v>
      </c>
      <c r="H9" s="7">
        <f>AeMBR_Baseline_GWP_yr!G12</f>
        <v>13155.999999999985</v>
      </c>
      <c r="I9" s="7">
        <f>AeMBR_Baseline_GWP_yr!H12</f>
        <v>10656.099999999991</v>
      </c>
      <c r="J9" s="7">
        <f>AeMBR_Baseline_GWP_yr!I12</f>
        <v>8887.583249999996</v>
      </c>
      <c r="K9" s="7">
        <f>AeMBR_Baseline_GWP_yr!J12</f>
        <v>5469.967879999982</v>
      </c>
      <c r="L9" s="7">
        <f>AeMBR_Baseline_GWP_yr!K12</f>
        <v>-493560.00000000006</v>
      </c>
      <c r="M9" s="6">
        <f>AeMBR_Baseline_GWP_yr!L12</f>
        <v>-518896.00000000006</v>
      </c>
      <c r="N9" s="7">
        <f>AeMBR_Baseline_GWP_yr!M12</f>
        <v>-536597</v>
      </c>
      <c r="O9" s="7">
        <f>AeMBR_Baseline_GWP_yr!N12</f>
        <v>-540190.00000000012</v>
      </c>
      <c r="P9" s="7">
        <f>AeMBR_Baseline_GWP_yr!O12</f>
        <v>-2894449.9999999991</v>
      </c>
      <c r="Q9" s="7">
        <f>AeMBR_Baseline_GWP_yr!P12</f>
        <v>-2980799.9999999995</v>
      </c>
      <c r="R9" s="7">
        <f>AeMBR_Baseline_GWP_yr!Q12</f>
        <v>-2998400</v>
      </c>
      <c r="S9" s="7">
        <f>AeMBR_Baseline_GWP_yr!R12</f>
        <v>-5974900</v>
      </c>
      <c r="T9" s="7">
        <f>AeMBR_Baseline_GWP_yr!S12</f>
        <v>-6151000</v>
      </c>
      <c r="U9" s="7">
        <f>AeMBR_Baseline_GWP_yr!T12</f>
        <v>-6186360</v>
      </c>
      <c r="V9" s="32">
        <f t="shared" si="0"/>
        <v>35366.19999999999</v>
      </c>
      <c r="W9" s="31">
        <f t="shared" si="1"/>
        <v>-6186360</v>
      </c>
    </row>
    <row r="10" spans="1:23" x14ac:dyDescent="0.2">
      <c r="B10" s="2" t="s">
        <v>31</v>
      </c>
      <c r="C10" s="2" t="s">
        <v>43</v>
      </c>
      <c r="D10" s="10">
        <v>16.659300000000002</v>
      </c>
      <c r="E10" s="10">
        <v>16.0623</v>
      </c>
      <c r="F10" s="10">
        <v>15.6502</v>
      </c>
      <c r="G10" s="10">
        <v>15.5654</v>
      </c>
      <c r="H10" s="12">
        <v>7.6646400000000003</v>
      </c>
      <c r="I10" s="12">
        <v>6.4877599999999997</v>
      </c>
      <c r="J10" s="12">
        <v>5.6575800000000003</v>
      </c>
      <c r="K10" s="12">
        <v>5.4943999999999997</v>
      </c>
      <c r="L10" s="9">
        <v>-202.511</v>
      </c>
      <c r="M10" s="8">
        <v>-214.40700000000001</v>
      </c>
      <c r="N10" s="9">
        <v>-222.71</v>
      </c>
      <c r="O10" s="9">
        <v>-224.48</v>
      </c>
      <c r="P10" s="7">
        <v>-1206.97</v>
      </c>
      <c r="Q10" s="7">
        <v>-1247.70586</v>
      </c>
      <c r="R10" s="7">
        <v>-1255.94</v>
      </c>
      <c r="S10" s="7">
        <v>-2496.1999999999998</v>
      </c>
      <c r="T10" s="7">
        <v>-2578.66</v>
      </c>
      <c r="U10" s="7">
        <v>-2595.36</v>
      </c>
      <c r="V10" s="35">
        <f t="shared" si="0"/>
        <v>16.659300000000002</v>
      </c>
      <c r="W10" s="31">
        <f t="shared" si="1"/>
        <v>-2595.36</v>
      </c>
    </row>
    <row r="11" spans="1:23" x14ac:dyDescent="0.2">
      <c r="B11" s="2" t="s">
        <v>44</v>
      </c>
      <c r="C11" s="2" t="s">
        <v>46</v>
      </c>
      <c r="D11" s="25">
        <v>1.26602E-6</v>
      </c>
      <c r="E11" s="25">
        <v>9.4918499999999996E-7</v>
      </c>
      <c r="F11" s="25">
        <v>7.2669400000000001E-7</v>
      </c>
      <c r="G11" s="25">
        <v>6.8299599999999996E-7</v>
      </c>
      <c r="H11" s="25">
        <v>1.1856999999999999E-6</v>
      </c>
      <c r="I11" s="25">
        <v>6.1790700000000003E-7</v>
      </c>
      <c r="J11" s="25">
        <v>1.7503600000000001E-7</v>
      </c>
      <c r="K11" s="25">
        <v>8.6849899999999995E-8</v>
      </c>
      <c r="L11" s="25">
        <v>-1.30105E-6</v>
      </c>
      <c r="M11" s="49">
        <v>-7.6652999999999993E-6</v>
      </c>
      <c r="N11" s="25">
        <v>-1.2153900000000001E-5</v>
      </c>
      <c r="O11" s="25">
        <v>-1.2979999999999999E-5</v>
      </c>
      <c r="P11" s="25">
        <v>-4.82654E-5</v>
      </c>
      <c r="Q11" s="25">
        <v>-6.7088999999999994E-5</v>
      </c>
      <c r="R11" s="25">
        <v>-7.1513600000000006E-5</v>
      </c>
      <c r="S11" s="25">
        <v>-9.4186100000000003E-5</v>
      </c>
      <c r="T11" s="25">
        <v>-1.3877099999999999E-4</v>
      </c>
      <c r="U11" s="25">
        <v>-1.4730200000000001E-4</v>
      </c>
      <c r="V11" s="36">
        <f t="shared" si="0"/>
        <v>1.26602E-6</v>
      </c>
      <c r="W11" s="37">
        <f t="shared" si="1"/>
        <v>-1.4730200000000001E-4</v>
      </c>
    </row>
    <row r="12" spans="1:23" x14ac:dyDescent="0.2">
      <c r="B12" s="2" t="s">
        <v>45</v>
      </c>
      <c r="C12" s="2" t="s">
        <v>46</v>
      </c>
      <c r="D12" s="11">
        <v>7.0658499999999999E-2</v>
      </c>
      <c r="E12" s="11">
        <v>6.6864900000000005E-2</v>
      </c>
      <c r="F12" s="11">
        <v>6.4232499999999998E-2</v>
      </c>
      <c r="G12" s="11">
        <v>6.3699000000000006E-2</v>
      </c>
      <c r="H12" s="11">
        <v>4.6831299999999999E-2</v>
      </c>
      <c r="I12" s="11">
        <v>3.9362399999999999E-2</v>
      </c>
      <c r="J12" s="11">
        <v>3.4082399999999999E-2</v>
      </c>
      <c r="K12" s="11">
        <v>3.3079999999999998E-2</v>
      </c>
      <c r="L12" s="12">
        <v>-0.55626100000000001</v>
      </c>
      <c r="M12" s="18">
        <v>-0.632054</v>
      </c>
      <c r="N12" s="12">
        <v>-0.68489999999999995</v>
      </c>
      <c r="O12" s="25">
        <v>1.169E-5</v>
      </c>
      <c r="P12" s="12">
        <v>-3.6726899999999998</v>
      </c>
      <c r="Q12" s="12">
        <v>-3.93079</v>
      </c>
      <c r="R12" s="12">
        <v>-3.9823200000000001</v>
      </c>
      <c r="S12" s="12">
        <v>-7.6448200000000002</v>
      </c>
      <c r="T12" s="12">
        <v>-8.1615699999999993</v>
      </c>
      <c r="U12" s="12">
        <v>-8.2713400000000004</v>
      </c>
      <c r="V12" s="38">
        <f t="shared" si="0"/>
        <v>7.0658499999999999E-2</v>
      </c>
      <c r="W12" s="39">
        <f t="shared" si="1"/>
        <v>-8.2713400000000004</v>
      </c>
    </row>
    <row r="13" spans="1:23" x14ac:dyDescent="0.2">
      <c r="B13" s="2" t="s">
        <v>47</v>
      </c>
      <c r="C13" s="2" t="s">
        <v>48</v>
      </c>
      <c r="D13" s="26">
        <v>1.0160799999999999E-3</v>
      </c>
      <c r="E13" s="25">
        <v>9.8166500000000005E-4</v>
      </c>
      <c r="F13" s="25">
        <v>9.5784099999999997E-4</v>
      </c>
      <c r="G13" s="25">
        <v>9.5297600000000002E-4</v>
      </c>
      <c r="H13" s="25">
        <v>7.7598599999999999E-4</v>
      </c>
      <c r="I13" s="25">
        <v>7.0776200000000002E-4</v>
      </c>
      <c r="J13" s="25">
        <v>6.5989800000000002E-4</v>
      </c>
      <c r="K13" s="25">
        <v>6.4999999999999997E-4</v>
      </c>
      <c r="L13" s="26">
        <v>-5.8321500000000004E-3</v>
      </c>
      <c r="M13" s="48">
        <v>-6.5192799999999997E-3</v>
      </c>
      <c r="N13" s="26">
        <v>-7.0000000000000001E-3</v>
      </c>
      <c r="O13" s="26">
        <v>-7.11E-3</v>
      </c>
      <c r="P13" s="11">
        <v>-3.9541300000000001E-2</v>
      </c>
      <c r="Q13" s="11">
        <v>-4.19E-2</v>
      </c>
      <c r="R13" s="11">
        <v>-4.2380000000000001E-2</v>
      </c>
      <c r="S13" s="11">
        <v>-8.3250000000000005E-2</v>
      </c>
      <c r="T13" s="11">
        <v>-8.7983900000000004E-2</v>
      </c>
      <c r="U13" s="11">
        <v>-8.8959399999999994E-2</v>
      </c>
      <c r="V13" s="40">
        <f t="shared" si="0"/>
        <v>1.0160799999999999E-3</v>
      </c>
      <c r="W13" s="53">
        <f t="shared" si="1"/>
        <v>-8.8959399999999994E-2</v>
      </c>
    </row>
    <row r="14" spans="1:23" x14ac:dyDescent="0.2">
      <c r="B14" s="2" t="s">
        <v>32</v>
      </c>
      <c r="C14" s="2" t="s">
        <v>38</v>
      </c>
      <c r="D14" s="7">
        <v>2219.88</v>
      </c>
      <c r="E14" s="7">
        <v>2126.44</v>
      </c>
      <c r="F14" s="7">
        <v>2061.8200000000002</v>
      </c>
      <c r="G14" s="7">
        <v>2048.6</v>
      </c>
      <c r="H14" s="9">
        <v>960.63199999999995</v>
      </c>
      <c r="I14" s="9">
        <v>777.53700000000003</v>
      </c>
      <c r="J14" s="9">
        <v>647.529</v>
      </c>
      <c r="K14" s="9">
        <v>622.23789999999997</v>
      </c>
      <c r="L14" s="7">
        <v>-28174.2</v>
      </c>
      <c r="M14" s="6">
        <v>-30037.4</v>
      </c>
      <c r="N14" s="7">
        <v>-31339</v>
      </c>
      <c r="O14" s="7">
        <v>-31624</v>
      </c>
      <c r="P14" s="7">
        <v>-168217</v>
      </c>
      <c r="Q14" s="7">
        <v>-174530</v>
      </c>
      <c r="R14" s="7">
        <v>-175820</v>
      </c>
      <c r="S14" s="7">
        <v>-347496</v>
      </c>
      <c r="T14" s="7">
        <v>-360359</v>
      </c>
      <c r="U14" s="7">
        <v>-362993</v>
      </c>
      <c r="V14" s="32">
        <f t="shared" si="0"/>
        <v>2219.88</v>
      </c>
      <c r="W14" s="31">
        <f t="shared" si="1"/>
        <v>-362993</v>
      </c>
    </row>
    <row r="15" spans="1:23" x14ac:dyDescent="0.2">
      <c r="B15" s="2" t="s">
        <v>33</v>
      </c>
      <c r="C15" s="2" t="s">
        <v>40</v>
      </c>
      <c r="D15" s="10">
        <v>79.088899999999995</v>
      </c>
      <c r="E15" s="10">
        <v>77.660799999999995</v>
      </c>
      <c r="F15" s="10">
        <v>76.663899999999998</v>
      </c>
      <c r="G15" s="10">
        <v>76.461699999999993</v>
      </c>
      <c r="H15" s="10">
        <v>87.385400000000004</v>
      </c>
      <c r="I15" s="10">
        <v>84.531000000000006</v>
      </c>
      <c r="J15" s="10">
        <v>82.540400000000005</v>
      </c>
      <c r="K15" s="10">
        <v>82.146379999999994</v>
      </c>
      <c r="L15" s="9">
        <v>131.43700000000001</v>
      </c>
      <c r="M15" s="8">
        <v>102.759</v>
      </c>
      <c r="N15" s="10">
        <v>82.858000000000004</v>
      </c>
      <c r="O15" s="10">
        <v>78.715999999999994</v>
      </c>
      <c r="P15" s="9">
        <v>129.29300000000001</v>
      </c>
      <c r="Q15" s="10">
        <v>30.0549</v>
      </c>
      <c r="R15" s="10">
        <v>10.199490000000001</v>
      </c>
      <c r="S15" s="10">
        <v>-14.9276</v>
      </c>
      <c r="T15" s="9">
        <v>-213.68700000000001</v>
      </c>
      <c r="U15" s="9">
        <v>-253.76900000000001</v>
      </c>
      <c r="V15" s="78">
        <f t="shared" si="0"/>
        <v>131.43700000000001</v>
      </c>
      <c r="W15" s="80">
        <f t="shared" si="1"/>
        <v>-253.76900000000001</v>
      </c>
    </row>
    <row r="17" spans="1:21" ht="15.75" x14ac:dyDescent="0.25">
      <c r="A17" s="42" t="s">
        <v>50</v>
      </c>
    </row>
    <row r="19" spans="1:21" ht="51" x14ac:dyDescent="0.2">
      <c r="D19" s="3" t="str">
        <f>D3</f>
        <v>0.05 MGD AeMBR [semi rural single family]</v>
      </c>
      <c r="E19" s="3" t="str">
        <f t="shared" ref="E19:U19" si="2">E3</f>
        <v>0.05 MGD AeMBR [single family]</v>
      </c>
      <c r="F19" s="3" t="str">
        <f t="shared" si="2"/>
        <v>0.05 MGD AeMBR [multi family]</v>
      </c>
      <c r="G19" s="3" t="str">
        <f t="shared" si="2"/>
        <v>0.05 MGD AeMBR [high density urban]</v>
      </c>
      <c r="H19" s="3" t="str">
        <f t="shared" si="2"/>
        <v>0.1 MGD AeMBR [semi rural single family]</v>
      </c>
      <c r="I19" s="3" t="str">
        <f t="shared" si="2"/>
        <v>0.1 MGD AeMBR [single family]</v>
      </c>
      <c r="J19" s="3" t="str">
        <f t="shared" si="2"/>
        <v>0.1 MGD AeMBR [multi family]</v>
      </c>
      <c r="K19" s="3" t="str">
        <f t="shared" si="2"/>
        <v>0.1 MGD AeMBR [high density urban]</v>
      </c>
      <c r="L19" s="3" t="str">
        <f t="shared" si="2"/>
        <v>1 MGD AeMBR [semi rural single family]</v>
      </c>
      <c r="M19" s="3" t="str">
        <f t="shared" si="2"/>
        <v>1 MGD AeMBR [single family]</v>
      </c>
      <c r="N19" s="3" t="str">
        <f t="shared" si="2"/>
        <v>1 MGD AeMBR [multi family]</v>
      </c>
      <c r="O19" s="3" t="str">
        <f t="shared" si="2"/>
        <v>1 MGD AeMBR [high density urban]</v>
      </c>
      <c r="P19" s="3" t="str">
        <f t="shared" si="2"/>
        <v>5 MGD AeMBR [single family]</v>
      </c>
      <c r="Q19" s="3" t="str">
        <f t="shared" si="2"/>
        <v>5 MGD AeMBR [multi family]</v>
      </c>
      <c r="R19" s="3" t="str">
        <f t="shared" si="2"/>
        <v>5 MGD AeMBR [high density urban]</v>
      </c>
      <c r="S19" s="3" t="str">
        <f t="shared" si="2"/>
        <v>10 MGD AeMBR [single family]</v>
      </c>
      <c r="T19" s="3" t="str">
        <f t="shared" si="2"/>
        <v>10 MGD AeMBR [multi family]</v>
      </c>
      <c r="U19" s="3" t="str">
        <f t="shared" si="2"/>
        <v>10 MGD AeMBR [high density urban]</v>
      </c>
    </row>
    <row r="20" spans="1:21" x14ac:dyDescent="0.2">
      <c r="C20" s="2" t="s">
        <v>26</v>
      </c>
      <c r="D20" s="27">
        <f>D4/$V4</f>
        <v>1</v>
      </c>
      <c r="E20" s="27">
        <f>E4/$V4</f>
        <v>0.96583447602974537</v>
      </c>
      <c r="F20" s="27">
        <f t="shared" ref="F20:U20" si="3">F4/$V4</f>
        <v>0.94229273245082024</v>
      </c>
      <c r="G20" s="27">
        <f t="shared" si="3"/>
        <v>0.93743077896735416</v>
      </c>
      <c r="H20" s="27">
        <f t="shared" si="3"/>
        <v>0.39251621749907706</v>
      </c>
      <c r="I20" s="27">
        <f t="shared" si="3"/>
        <v>0.32526864353145934</v>
      </c>
      <c r="J20" s="27">
        <f t="shared" si="3"/>
        <v>0.27777180792152317</v>
      </c>
      <c r="K20" s="27">
        <f t="shared" si="3"/>
        <v>0.26837983228732665</v>
      </c>
      <c r="L20" s="27">
        <f t="shared" si="3"/>
        <v>-13.577145192764094</v>
      </c>
      <c r="M20" s="27">
        <f t="shared" si="3"/>
        <v>-14.257192394915881</v>
      </c>
      <c r="N20" s="27">
        <f t="shared" si="3"/>
        <v>-14.730894994989717</v>
      </c>
      <c r="O20" s="27">
        <f t="shared" si="3"/>
        <v>-14.829452560518959</v>
      </c>
      <c r="P20" s="27">
        <f t="shared" si="3"/>
        <v>-79.671430831707198</v>
      </c>
      <c r="Q20" s="27">
        <f t="shared" si="3"/>
        <v>-81.997257528611371</v>
      </c>
      <c r="R20" s="27">
        <f t="shared" si="3"/>
        <v>-82.468619798533837</v>
      </c>
      <c r="S20" s="27">
        <f t="shared" si="3"/>
        <v>-164.48664363693899</v>
      </c>
      <c r="T20" s="27">
        <f t="shared" si="3"/>
        <v>-169.21246242286801</v>
      </c>
      <c r="U20" s="27">
        <f t="shared" si="3"/>
        <v>-170.16276831390752</v>
      </c>
    </row>
    <row r="21" spans="1:21" x14ac:dyDescent="0.2">
      <c r="C21" s="2" t="s">
        <v>34</v>
      </c>
      <c r="D21" s="27">
        <f t="shared" ref="D21:E31" si="4">D5/$V5</f>
        <v>9.3591994953907028E-3</v>
      </c>
      <c r="E21" s="27">
        <f t="shared" si="4"/>
        <v>8.5060129646684669E-3</v>
      </c>
      <c r="F21" s="27">
        <f t="shared" ref="F21:U21" si="5">F5/$V5</f>
        <v>7.8987346270362798E-3</v>
      </c>
      <c r="G21" s="27">
        <f t="shared" si="5"/>
        <v>7.7800152211959604E-3</v>
      </c>
      <c r="H21" s="27">
        <f t="shared" si="5"/>
        <v>1.5441162970443045E-2</v>
      </c>
      <c r="I21" s="27">
        <f t="shared" si="5"/>
        <v>1.3716103966098785E-2</v>
      </c>
      <c r="J21" s="27">
        <f t="shared" si="5"/>
        <v>1.2521625055154627E-2</v>
      </c>
      <c r="K21" s="27">
        <f t="shared" si="5"/>
        <v>1.2294402804964362E-2</v>
      </c>
      <c r="L21" s="27">
        <f t="shared" si="5"/>
        <v>0.12245600215584256</v>
      </c>
      <c r="M21" s="27">
        <f t="shared" si="5"/>
        <v>0.10513078679368766</v>
      </c>
      <c r="N21" s="27">
        <f t="shared" si="5"/>
        <v>9.3183924758726278E-2</v>
      </c>
      <c r="O21" s="27">
        <f t="shared" si="5"/>
        <v>8.9935354337004392E-2</v>
      </c>
      <c r="P21" s="27">
        <f t="shared" si="5"/>
        <v>0.5078756363141016</v>
      </c>
      <c r="Q21" s="27">
        <f t="shared" si="5"/>
        <v>0.44775191227379202</v>
      </c>
      <c r="R21" s="27">
        <f t="shared" si="5"/>
        <v>0.43614352936299</v>
      </c>
      <c r="S21" s="27">
        <f t="shared" si="5"/>
        <v>1</v>
      </c>
      <c r="T21" s="27">
        <f t="shared" si="5"/>
        <v>0.88241478055122058</v>
      </c>
      <c r="U21" s="27">
        <f t="shared" si="5"/>
        <v>0.85731757515095353</v>
      </c>
    </row>
    <row r="22" spans="1:21" x14ac:dyDescent="0.2">
      <c r="C22" s="2" t="s">
        <v>27</v>
      </c>
      <c r="D22" s="27">
        <f t="shared" si="4"/>
        <v>1</v>
      </c>
      <c r="E22" s="27">
        <f t="shared" si="4"/>
        <v>0.96412846177802325</v>
      </c>
      <c r="F22" s="27">
        <f t="shared" ref="F22:U22" si="6">F6/$V6</f>
        <v>0.93923854019749653</v>
      </c>
      <c r="G22" s="27">
        <f t="shared" si="6"/>
        <v>0.93412221634361825</v>
      </c>
      <c r="H22" s="27">
        <f t="shared" si="6"/>
        <v>0.35206204016819553</v>
      </c>
      <c r="I22" s="27">
        <f t="shared" si="6"/>
        <v>0.28096654409118427</v>
      </c>
      <c r="J22" s="27">
        <f t="shared" si="6"/>
        <v>0.23095617633822868</v>
      </c>
      <c r="K22" s="27">
        <f t="shared" si="6"/>
        <v>0.22105854804172176</v>
      </c>
      <c r="L22" s="27">
        <f t="shared" si="6"/>
        <v>-12.622764064198702</v>
      </c>
      <c r="M22" s="27">
        <f t="shared" si="6"/>
        <v>-13.339070534392025</v>
      </c>
      <c r="N22" s="27">
        <f t="shared" si="6"/>
        <v>-13.83925031022474</v>
      </c>
      <c r="O22" s="27">
        <f t="shared" si="6"/>
        <v>-13.938156511436986</v>
      </c>
      <c r="P22" s="27">
        <f t="shared" si="6"/>
        <v>-83.465050021970299</v>
      </c>
      <c r="Q22" s="27">
        <f t="shared" si="6"/>
        <v>-85.927524352792489</v>
      </c>
      <c r="R22" s="27">
        <f t="shared" si="6"/>
        <v>-86.425201665266201</v>
      </c>
      <c r="S22" s="27">
        <f t="shared" si="6"/>
        <v>-172.18949066199107</v>
      </c>
      <c r="T22" s="27">
        <f t="shared" si="6"/>
        <v>-177.17039877535049</v>
      </c>
      <c r="U22" s="27">
        <f t="shared" si="6"/>
        <v>-178.17014223217515</v>
      </c>
    </row>
    <row r="23" spans="1:21" x14ac:dyDescent="0.2">
      <c r="C23" s="2" t="s">
        <v>28</v>
      </c>
      <c r="D23" s="27">
        <f t="shared" si="4"/>
        <v>9.9352818371607511E-3</v>
      </c>
      <c r="E23" s="27">
        <f t="shared" si="4"/>
        <v>9.7557411273486438E-3</v>
      </c>
      <c r="F23" s="27">
        <f t="shared" ref="F23:U23" si="7">F7/$V7</f>
        <v>9.6287998370589122E-3</v>
      </c>
      <c r="G23" s="27">
        <f t="shared" si="7"/>
        <v>9.603594887723407E-3</v>
      </c>
      <c r="H23" s="27">
        <f t="shared" si="7"/>
        <v>1.5729263200773967E-2</v>
      </c>
      <c r="I23" s="27">
        <f t="shared" si="7"/>
        <v>1.5370894648403686E-2</v>
      </c>
      <c r="J23" s="27">
        <f t="shared" si="7"/>
        <v>1.5119761698660828E-2</v>
      </c>
      <c r="K23" s="27">
        <f t="shared" si="7"/>
        <v>1.5070507663322978E-2</v>
      </c>
      <c r="L23" s="27">
        <f t="shared" si="7"/>
        <v>0.11291970059575335</v>
      </c>
      <c r="M23" s="27">
        <f t="shared" si="7"/>
        <v>0.10928815112785784</v>
      </c>
      <c r="N23" s="27">
        <f t="shared" si="7"/>
        <v>0.10677223891236824</v>
      </c>
      <c r="O23" s="27">
        <f t="shared" si="7"/>
        <v>0.10622587708131778</v>
      </c>
      <c r="P23" s="27">
        <f t="shared" si="7"/>
        <v>0.50711950710321296</v>
      </c>
      <c r="Q23" s="27">
        <f t="shared" si="7"/>
        <v>0.49470441468506537</v>
      </c>
      <c r="R23" s="27">
        <f t="shared" si="7"/>
        <v>0.49220937929629816</v>
      </c>
      <c r="S23" s="27">
        <f t="shared" si="7"/>
        <v>1</v>
      </c>
      <c r="T23" s="27">
        <f t="shared" si="7"/>
        <v>0.97496308366006412</v>
      </c>
      <c r="U23" s="27">
        <f t="shared" si="7"/>
        <v>0.96986099088548294</v>
      </c>
    </row>
    <row r="24" spans="1:21" x14ac:dyDescent="0.2">
      <c r="C24" s="2" t="s">
        <v>29</v>
      </c>
      <c r="D24" s="27">
        <f t="shared" si="4"/>
        <v>1</v>
      </c>
      <c r="E24" s="27">
        <f t="shared" si="4"/>
        <v>0.96021799636154426</v>
      </c>
      <c r="F24" s="27">
        <f t="shared" ref="F24:U24" si="8">F8/$V8</f>
        <v>0.93252086336688211</v>
      </c>
      <c r="G24" s="27">
        <f t="shared" si="8"/>
        <v>0.92684771574731617</v>
      </c>
      <c r="H24" s="27">
        <f t="shared" si="8"/>
        <v>0.29395634297442641</v>
      </c>
      <c r="I24" s="27">
        <f t="shared" si="8"/>
        <v>0.21508537487422005</v>
      </c>
      <c r="J24" s="27">
        <f t="shared" si="8"/>
        <v>0.1595489470024945</v>
      </c>
      <c r="K24" s="27">
        <f t="shared" si="8"/>
        <v>0.14856660839510341</v>
      </c>
      <c r="L24" s="27">
        <f t="shared" si="8"/>
        <v>-15.629255138374601</v>
      </c>
      <c r="M24" s="27">
        <f t="shared" si="8"/>
        <v>-16.424806359967214</v>
      </c>
      <c r="N24" s="27">
        <f t="shared" si="8"/>
        <v>-16.98034834103747</v>
      </c>
      <c r="O24" s="27">
        <f t="shared" si="8"/>
        <v>-17.092745079310781</v>
      </c>
      <c r="P24" s="27">
        <f t="shared" si="8"/>
        <v>-91.106552552138979</v>
      </c>
      <c r="Q24" s="27">
        <f t="shared" si="8"/>
        <v>-93.834616862620535</v>
      </c>
      <c r="R24" s="27">
        <f t="shared" si="8"/>
        <v>-94.387715436337018</v>
      </c>
      <c r="S24" s="27">
        <f t="shared" si="8"/>
        <v>-187.69255715907249</v>
      </c>
      <c r="T24" s="27">
        <f t="shared" si="8"/>
        <v>-193.22243225653114</v>
      </c>
      <c r="U24" s="27">
        <f t="shared" si="8"/>
        <v>-194.33307196278912</v>
      </c>
    </row>
    <row r="25" spans="1:21" x14ac:dyDescent="0.2">
      <c r="C25" s="2" t="s">
        <v>30</v>
      </c>
      <c r="D25" s="27">
        <f t="shared" si="4"/>
        <v>1</v>
      </c>
      <c r="E25" s="27">
        <f t="shared" si="4"/>
        <v>0.96408152416714299</v>
      </c>
      <c r="F25" s="27">
        <f t="shared" ref="F25:U25" si="9">F9/$V9</f>
        <v>0.93923011236717546</v>
      </c>
      <c r="G25" s="27">
        <f t="shared" si="9"/>
        <v>0.93412636924521175</v>
      </c>
      <c r="H25" s="27">
        <f t="shared" si="9"/>
        <v>0.37199359840751872</v>
      </c>
      <c r="I25" s="27">
        <f t="shared" si="9"/>
        <v>0.30130746305794781</v>
      </c>
      <c r="J25" s="27">
        <f t="shared" si="9"/>
        <v>0.25130161708071547</v>
      </c>
      <c r="K25" s="27">
        <f t="shared" si="9"/>
        <v>0.15466654263109927</v>
      </c>
      <c r="L25" s="27">
        <f t="shared" si="9"/>
        <v>-13.95569781316625</v>
      </c>
      <c r="M25" s="27">
        <f t="shared" si="9"/>
        <v>-14.67208803886197</v>
      </c>
      <c r="N25" s="27">
        <f t="shared" si="9"/>
        <v>-15.172594171836391</v>
      </c>
      <c r="O25" s="27">
        <f t="shared" si="9"/>
        <v>-15.274188349327897</v>
      </c>
      <c r="P25" s="27">
        <f t="shared" si="9"/>
        <v>-81.842267475725407</v>
      </c>
      <c r="Q25" s="27">
        <f t="shared" si="9"/>
        <v>-84.283864254570759</v>
      </c>
      <c r="R25" s="27">
        <f t="shared" si="9"/>
        <v>-84.781514553443714</v>
      </c>
      <c r="S25" s="27">
        <f t="shared" si="9"/>
        <v>-168.94379379181257</v>
      </c>
      <c r="T25" s="27">
        <f t="shared" si="9"/>
        <v>-173.92312433905823</v>
      </c>
      <c r="U25" s="27">
        <f t="shared" si="9"/>
        <v>-174.92294903043023</v>
      </c>
    </row>
    <row r="26" spans="1:21" x14ac:dyDescent="0.2">
      <c r="C26" s="2" t="s">
        <v>31</v>
      </c>
      <c r="D26" s="27">
        <f t="shared" si="4"/>
        <v>1</v>
      </c>
      <c r="E26" s="27">
        <f t="shared" si="4"/>
        <v>0.96416416055896703</v>
      </c>
      <c r="F26" s="27">
        <f t="shared" ref="F26:U26" si="10">F10/$V10</f>
        <v>0.93942722683426061</v>
      </c>
      <c r="G26" s="27">
        <f t="shared" si="10"/>
        <v>0.93433697694380913</v>
      </c>
      <c r="H26" s="27">
        <f t="shared" si="10"/>
        <v>0.46008175613621216</v>
      </c>
      <c r="I26" s="27">
        <f t="shared" si="10"/>
        <v>0.38943773147731292</v>
      </c>
      <c r="J26" s="27">
        <f t="shared" si="10"/>
        <v>0.33960490536817273</v>
      </c>
      <c r="K26" s="27">
        <f t="shared" si="10"/>
        <v>0.329809775920957</v>
      </c>
      <c r="L26" s="27">
        <f t="shared" si="10"/>
        <v>-12.156032966571223</v>
      </c>
      <c r="M26" s="27">
        <f t="shared" si="10"/>
        <v>-12.870108587995894</v>
      </c>
      <c r="N26" s="27">
        <f t="shared" si="10"/>
        <v>-13.368508880925368</v>
      </c>
      <c r="O26" s="27">
        <f t="shared" si="10"/>
        <v>-13.474755842082198</v>
      </c>
      <c r="P26" s="27">
        <f t="shared" si="10"/>
        <v>-72.450222998565366</v>
      </c>
      <c r="Q26" s="27">
        <f t="shared" si="10"/>
        <v>-74.895455391282937</v>
      </c>
      <c r="R26" s="27">
        <f t="shared" si="10"/>
        <v>-75.389722257237693</v>
      </c>
      <c r="S26" s="27">
        <f t="shared" si="10"/>
        <v>-149.83822849699564</v>
      </c>
      <c r="T26" s="27">
        <f t="shared" si="10"/>
        <v>-154.78801630320598</v>
      </c>
      <c r="U26" s="27">
        <f t="shared" si="10"/>
        <v>-155.79045938304731</v>
      </c>
    </row>
    <row r="27" spans="1:21" x14ac:dyDescent="0.2">
      <c r="C27" s="2" t="s">
        <v>44</v>
      </c>
      <c r="D27" s="27">
        <f t="shared" si="4"/>
        <v>1</v>
      </c>
      <c r="E27" s="27">
        <f t="shared" si="4"/>
        <v>0.74973934061073289</v>
      </c>
      <c r="F27" s="27">
        <f t="shared" ref="F27:U27" si="11">F11/$V11</f>
        <v>0.573998830982133</v>
      </c>
      <c r="G27" s="27">
        <f t="shared" si="11"/>
        <v>0.53948278858153897</v>
      </c>
      <c r="H27" s="27">
        <f t="shared" si="11"/>
        <v>0.93655708440624952</v>
      </c>
      <c r="I27" s="27">
        <f t="shared" si="11"/>
        <v>0.48807048861787339</v>
      </c>
      <c r="J27" s="27">
        <f t="shared" si="11"/>
        <v>0.13825689957504622</v>
      </c>
      <c r="K27" s="27">
        <f t="shared" si="11"/>
        <v>6.8600733005797693E-2</v>
      </c>
      <c r="L27" s="27">
        <f t="shared" si="11"/>
        <v>-1.0276693891091768</v>
      </c>
      <c r="M27" s="27">
        <f t="shared" si="11"/>
        <v>-6.054643686513641</v>
      </c>
      <c r="N27" s="27">
        <f t="shared" si="11"/>
        <v>-9.6000853067092162</v>
      </c>
      <c r="O27" s="27">
        <f t="shared" si="11"/>
        <v>-10.252602644507986</v>
      </c>
      <c r="P27" s="27">
        <f t="shared" si="11"/>
        <v>-38.12372632343881</v>
      </c>
      <c r="Q27" s="27">
        <f t="shared" si="11"/>
        <v>-52.992053838012033</v>
      </c>
      <c r="R27" s="27">
        <f t="shared" si="11"/>
        <v>-56.486943334228535</v>
      </c>
      <c r="S27" s="27">
        <f t="shared" si="11"/>
        <v>-74.395428192287653</v>
      </c>
      <c r="T27" s="27">
        <f t="shared" si="11"/>
        <v>-109.61201244846053</v>
      </c>
      <c r="U27" s="27">
        <f t="shared" si="11"/>
        <v>-116.35045259948501</v>
      </c>
    </row>
    <row r="28" spans="1:21" x14ac:dyDescent="0.2">
      <c r="C28" s="2" t="s">
        <v>45</v>
      </c>
      <c r="D28" s="27">
        <f t="shared" si="4"/>
        <v>1</v>
      </c>
      <c r="E28" s="27">
        <f t="shared" si="4"/>
        <v>0.9463107764812444</v>
      </c>
      <c r="F28" s="27">
        <f t="shared" ref="F28:U28" si="12">F12/$V12</f>
        <v>0.90905552764352482</v>
      </c>
      <c r="G28" s="27">
        <f t="shared" si="12"/>
        <v>0.90150512677172612</v>
      </c>
      <c r="H28" s="27">
        <f t="shared" si="12"/>
        <v>0.66278367075440325</v>
      </c>
      <c r="I28" s="27">
        <f t="shared" si="12"/>
        <v>0.55707947380711453</v>
      </c>
      <c r="J28" s="27">
        <f t="shared" si="12"/>
        <v>0.48235385693157934</v>
      </c>
      <c r="K28" s="27">
        <f t="shared" si="12"/>
        <v>0.46816731178839061</v>
      </c>
      <c r="L28" s="27">
        <f t="shared" si="12"/>
        <v>-7.8725277213640261</v>
      </c>
      <c r="M28" s="27">
        <f t="shared" si="12"/>
        <v>-8.9451941380017974</v>
      </c>
      <c r="N28" s="27">
        <f t="shared" si="12"/>
        <v>-9.6931013253890193</v>
      </c>
      <c r="O28" s="27">
        <f t="shared" si="12"/>
        <v>1.6544364796875112E-4</v>
      </c>
      <c r="P28" s="27">
        <f t="shared" si="12"/>
        <v>-51.978035197463853</v>
      </c>
      <c r="Q28" s="27">
        <f t="shared" si="12"/>
        <v>-55.630815825413784</v>
      </c>
      <c r="R28" s="27">
        <f t="shared" si="12"/>
        <v>-56.360098218897939</v>
      </c>
      <c r="S28" s="27">
        <f t="shared" si="12"/>
        <v>-108.1939186368236</v>
      </c>
      <c r="T28" s="27">
        <f t="shared" si="12"/>
        <v>-115.50726381114798</v>
      </c>
      <c r="U28" s="27">
        <f t="shared" si="12"/>
        <v>-117.06079240289563</v>
      </c>
    </row>
    <row r="29" spans="1:21" x14ac:dyDescent="0.2">
      <c r="C29" s="2" t="s">
        <v>47</v>
      </c>
      <c r="D29" s="27">
        <f t="shared" si="4"/>
        <v>1</v>
      </c>
      <c r="E29" s="27">
        <f>E13/$V13</f>
        <v>0.96612963546177477</v>
      </c>
      <c r="F29" s="27">
        <f t="shared" ref="F29:U29" si="13">F13/$V13</f>
        <v>0.94268266278245805</v>
      </c>
      <c r="G29" s="27">
        <f t="shared" si="13"/>
        <v>0.93789465396425487</v>
      </c>
      <c r="H29" s="27">
        <f t="shared" si="13"/>
        <v>0.76370561373120227</v>
      </c>
      <c r="I29" s="27">
        <f t="shared" si="13"/>
        <v>0.6965612943862689</v>
      </c>
      <c r="J29" s="27">
        <f t="shared" si="13"/>
        <v>0.64945476734115426</v>
      </c>
      <c r="K29" s="27">
        <f t="shared" si="13"/>
        <v>0.63971340839303992</v>
      </c>
      <c r="L29" s="27">
        <f t="shared" si="13"/>
        <v>-5.7398531611684129</v>
      </c>
      <c r="M29" s="27">
        <f t="shared" si="13"/>
        <v>-6.4161089677978111</v>
      </c>
      <c r="N29" s="27">
        <f t="shared" si="13"/>
        <v>-6.8892213211558149</v>
      </c>
      <c r="O29" s="27">
        <f t="shared" si="13"/>
        <v>-6.9974805133454065</v>
      </c>
      <c r="P29" s="27">
        <f t="shared" si="13"/>
        <v>-38.915538146602636</v>
      </c>
      <c r="Q29" s="27">
        <f t="shared" si="13"/>
        <v>-41.236910479489808</v>
      </c>
      <c r="R29" s="27">
        <f t="shared" si="13"/>
        <v>-41.709314227226209</v>
      </c>
      <c r="S29" s="27">
        <f t="shared" si="13"/>
        <v>-81.932524998031667</v>
      </c>
      <c r="T29" s="27">
        <f t="shared" si="13"/>
        <v>-86.591508542634443</v>
      </c>
      <c r="U29" s="27">
        <f t="shared" si="13"/>
        <v>-87.551570742461223</v>
      </c>
    </row>
    <row r="30" spans="1:21" x14ac:dyDescent="0.2">
      <c r="C30" s="2" t="s">
        <v>32</v>
      </c>
      <c r="D30" s="27">
        <f t="shared" si="4"/>
        <v>1</v>
      </c>
      <c r="E30" s="27">
        <f t="shared" si="4"/>
        <v>0.95790763464691786</v>
      </c>
      <c r="F30" s="27">
        <f t="shared" ref="F30:U30" si="14">F14/$V14</f>
        <v>0.92879795304250679</v>
      </c>
      <c r="G30" s="27">
        <f t="shared" si="14"/>
        <v>0.92284267618069438</v>
      </c>
      <c r="H30" s="27">
        <f t="shared" si="14"/>
        <v>0.43274050849595469</v>
      </c>
      <c r="I30" s="27">
        <f t="shared" si="14"/>
        <v>0.35026082490945454</v>
      </c>
      <c r="J30" s="27">
        <f t="shared" si="14"/>
        <v>0.2916954970538948</v>
      </c>
      <c r="K30" s="27">
        <f t="shared" si="14"/>
        <v>0.2803024938284952</v>
      </c>
      <c r="L30" s="27">
        <f t="shared" si="14"/>
        <v>-12.691767122547164</v>
      </c>
      <c r="M30" s="27">
        <f t="shared" si="14"/>
        <v>-13.531091770726345</v>
      </c>
      <c r="N30" s="27">
        <f t="shared" si="14"/>
        <v>-14.11742977097861</v>
      </c>
      <c r="O30" s="27">
        <f t="shared" si="14"/>
        <v>-14.245815089103916</v>
      </c>
      <c r="P30" s="27">
        <f t="shared" si="14"/>
        <v>-75.777519505558857</v>
      </c>
      <c r="Q30" s="27">
        <f t="shared" si="14"/>
        <v>-78.621366920734445</v>
      </c>
      <c r="R30" s="27">
        <f t="shared" si="14"/>
        <v>-79.202479413301617</v>
      </c>
      <c r="S30" s="27">
        <f t="shared" si="14"/>
        <v>-156.53819125358126</v>
      </c>
      <c r="T30" s="27">
        <f t="shared" si="14"/>
        <v>-162.33264861163667</v>
      </c>
      <c r="U30" s="27">
        <f t="shared" si="14"/>
        <v>-163.51919923599473</v>
      </c>
    </row>
    <row r="31" spans="1:21" x14ac:dyDescent="0.2">
      <c r="C31" s="2" t="s">
        <v>33</v>
      </c>
      <c r="D31" s="27">
        <f t="shared" si="4"/>
        <v>0.60172478069341195</v>
      </c>
      <c r="E31" s="27">
        <f t="shared" si="4"/>
        <v>0.59085949922776682</v>
      </c>
      <c r="F31" s="27">
        <f t="shared" ref="F31:U31" si="15">F15/$V15</f>
        <v>0.58327487693723978</v>
      </c>
      <c r="G31" s="27">
        <f t="shared" si="15"/>
        <v>0.58173649733332311</v>
      </c>
      <c r="H31" s="27">
        <f t="shared" si="15"/>
        <v>0.66484627616272429</v>
      </c>
      <c r="I31" s="27">
        <f t="shared" si="15"/>
        <v>0.64312940800535612</v>
      </c>
      <c r="J31" s="27">
        <f t="shared" si="15"/>
        <v>0.62798450968905251</v>
      </c>
      <c r="K31" s="27">
        <f t="shared" si="15"/>
        <v>0.62498672367750319</v>
      </c>
      <c r="L31" s="27">
        <f t="shared" si="15"/>
        <v>1</v>
      </c>
      <c r="M31" s="27">
        <f t="shared" si="15"/>
        <v>0.78181181858989468</v>
      </c>
      <c r="N31" s="27">
        <f t="shared" si="15"/>
        <v>0.630400876465531</v>
      </c>
      <c r="O31" s="27">
        <f t="shared" si="15"/>
        <v>0.59888768002921544</v>
      </c>
      <c r="P31" s="27">
        <f t="shared" si="15"/>
        <v>0.98368800261722344</v>
      </c>
      <c r="Q31" s="27">
        <f t="shared" si="15"/>
        <v>0.22866392263974372</v>
      </c>
      <c r="R31" s="27">
        <f t="shared" si="15"/>
        <v>7.759983870599603E-2</v>
      </c>
      <c r="S31" s="27">
        <f t="shared" si="15"/>
        <v>-0.11357228177758165</v>
      </c>
      <c r="T31" s="27">
        <f t="shared" si="15"/>
        <v>-1.6257750861629525</v>
      </c>
      <c r="U31" s="27">
        <f t="shared" si="15"/>
        <v>-1.9307272685773411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TOC</vt:lpstr>
      <vt:lpstr>AeMBR_Baseline_CED_Detail_yr</vt:lpstr>
      <vt:lpstr>AnMBR_35_CED_Detail_yr</vt:lpstr>
      <vt:lpstr>AnMBR_20_CED_Detail_yr</vt:lpstr>
      <vt:lpstr>AeMBR_Baseline_GWP_yr</vt:lpstr>
      <vt:lpstr>AnMBR_35_GWP_yr</vt:lpstr>
      <vt:lpstr>AnMBR_20_GWP_yr</vt:lpstr>
      <vt:lpstr>CED_GWP_Compare_yr</vt:lpstr>
      <vt:lpstr>AeMBR_LCIA_Summary_yr</vt:lpstr>
      <vt:lpstr>AnMBR_35LCIA_Summary_yr</vt:lpstr>
      <vt:lpstr>AnMBR_20LCIA_Summary_yr</vt:lpstr>
      <vt:lpstr>AeMBR_Baseline_CED_Detail_m3</vt:lpstr>
      <vt:lpstr>AnMBR_35_CED_Detail_m3</vt:lpstr>
      <vt:lpstr>AnMBR_20_CED_Detail_m3</vt:lpstr>
      <vt:lpstr>AeMBR_Baseline_GWP_m3</vt:lpstr>
      <vt:lpstr>AnMBR_35_GWP_m3</vt:lpstr>
      <vt:lpstr>AnMBR_20_GWP_m3</vt:lpstr>
      <vt:lpstr>CED_GWP_Compare_m3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Cashman</dc:creator>
  <cp:lastModifiedBy>U.S. EPA User or Contractor</cp:lastModifiedBy>
  <dcterms:created xsi:type="dcterms:W3CDTF">2015-08-06T21:40:28Z</dcterms:created>
  <dcterms:modified xsi:type="dcterms:W3CDTF">2015-09-10T13:58:27Z</dcterms:modified>
</cp:coreProperties>
</file>