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ATH\USERS\A-M\CSTEVENS\Net MyDocuments\_MovedData\MyResearch\ChemFateTrans\EFS\ProcessScience\PhysChemPropPaper\"/>
    </mc:Choice>
  </mc:AlternateContent>
  <bookViews>
    <workbookView xWindow="0" yWindow="0" windowWidth="23040" windowHeight="9408"/>
  </bookViews>
  <sheets>
    <sheet name="Key" sheetId="7" r:id="rId1"/>
    <sheet name="Name-to-SMILES" sheetId="1" r:id="rId2"/>
    <sheet name="PCBs" sheetId="2" r:id="rId3"/>
    <sheet name="PBDEs" sheetId="4" r:id="rId4"/>
    <sheet name="PCDDs" sheetId="5" r:id="rId5"/>
    <sheet name="PAHs" sheetId="8" r:id="rId6"/>
    <sheet name="PCBs_selected" sheetId="9" r:id="rId7"/>
    <sheet name="PBDEs_selected" sheetId="10" r:id="rId8"/>
    <sheet name="PCDDs_selected" sheetId="11" r:id="rId9"/>
    <sheet name="PAHs_selected" sheetId="12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57" i="8" l="1"/>
  <c r="E62" i="8"/>
  <c r="G4" i="2"/>
  <c r="G214" i="10" l="1"/>
  <c r="F214" i="10"/>
  <c r="E214" i="10"/>
  <c r="D214" i="10"/>
  <c r="G213" i="10"/>
  <c r="F213" i="10"/>
  <c r="E213" i="10"/>
  <c r="D213" i="10"/>
  <c r="G212" i="10"/>
  <c r="F212" i="10"/>
  <c r="E212" i="10"/>
  <c r="D212" i="10"/>
  <c r="G211" i="10"/>
  <c r="F211" i="10"/>
  <c r="E211" i="10"/>
  <c r="D211" i="10"/>
  <c r="G210" i="10"/>
  <c r="F210" i="10"/>
  <c r="E210" i="10"/>
  <c r="D210" i="10"/>
  <c r="G209" i="10"/>
  <c r="F209" i="10"/>
  <c r="E209" i="10"/>
  <c r="D209" i="10"/>
  <c r="G208" i="10"/>
  <c r="F208" i="10"/>
  <c r="E208" i="10"/>
  <c r="D208" i="10"/>
  <c r="G207" i="10"/>
  <c r="F207" i="10"/>
  <c r="E207" i="10"/>
  <c r="D207" i="10"/>
  <c r="G206" i="10"/>
  <c r="F206" i="10"/>
  <c r="E206" i="10"/>
  <c r="D206" i="10"/>
  <c r="G205" i="10"/>
  <c r="F205" i="10"/>
  <c r="E205" i="10"/>
  <c r="D205" i="10"/>
  <c r="G204" i="10"/>
  <c r="F204" i="10"/>
  <c r="E204" i="10"/>
  <c r="D204" i="10"/>
  <c r="G203" i="10"/>
  <c r="F203" i="10"/>
  <c r="E203" i="10"/>
  <c r="D203" i="10"/>
  <c r="G202" i="10"/>
  <c r="F202" i="10"/>
  <c r="E202" i="10"/>
  <c r="D202" i="10"/>
  <c r="G201" i="10"/>
  <c r="F201" i="10"/>
  <c r="E201" i="10"/>
  <c r="D201" i="10"/>
  <c r="G200" i="10"/>
  <c r="F200" i="10"/>
  <c r="E200" i="10"/>
  <c r="D200" i="10"/>
  <c r="G199" i="10"/>
  <c r="F199" i="10"/>
  <c r="E199" i="10"/>
  <c r="D199" i="10"/>
  <c r="G198" i="10"/>
  <c r="F198" i="10"/>
  <c r="E198" i="10"/>
  <c r="D198" i="10"/>
  <c r="G197" i="10"/>
  <c r="F197" i="10"/>
  <c r="E197" i="10"/>
  <c r="D197" i="10"/>
  <c r="G196" i="10"/>
  <c r="F196" i="10"/>
  <c r="E196" i="10"/>
  <c r="D196" i="10"/>
  <c r="G195" i="10"/>
  <c r="F195" i="10"/>
  <c r="E195" i="10"/>
  <c r="D195" i="10"/>
  <c r="G194" i="10"/>
  <c r="F194" i="10"/>
  <c r="E194" i="10"/>
  <c r="D194" i="10"/>
  <c r="G193" i="10"/>
  <c r="F193" i="10"/>
  <c r="E193" i="10"/>
  <c r="D193" i="10"/>
  <c r="G192" i="10"/>
  <c r="F192" i="10"/>
  <c r="E192" i="10"/>
  <c r="D192" i="10"/>
  <c r="G191" i="10"/>
  <c r="F191" i="10"/>
  <c r="E191" i="10"/>
  <c r="D191" i="10"/>
  <c r="G190" i="10"/>
  <c r="F190" i="10"/>
  <c r="E190" i="10"/>
  <c r="D190" i="10"/>
  <c r="G189" i="10"/>
  <c r="F189" i="10"/>
  <c r="E189" i="10"/>
  <c r="D189" i="10"/>
  <c r="G188" i="10"/>
  <c r="F188" i="10"/>
  <c r="E188" i="10"/>
  <c r="D188" i="10"/>
  <c r="G187" i="10"/>
  <c r="F187" i="10"/>
  <c r="E187" i="10"/>
  <c r="D187" i="10"/>
  <c r="G186" i="10"/>
  <c r="F186" i="10"/>
  <c r="E186" i="10"/>
  <c r="D186" i="10"/>
  <c r="G185" i="10"/>
  <c r="F185" i="10"/>
  <c r="E185" i="10"/>
  <c r="D185" i="10"/>
  <c r="G184" i="10"/>
  <c r="F184" i="10"/>
  <c r="E184" i="10"/>
  <c r="D184" i="10"/>
  <c r="G183" i="10"/>
  <c r="F183" i="10"/>
  <c r="E183" i="10"/>
  <c r="D183" i="10"/>
  <c r="G182" i="10"/>
  <c r="F182" i="10"/>
  <c r="E182" i="10"/>
  <c r="D182" i="10"/>
  <c r="G181" i="10"/>
  <c r="F181" i="10"/>
  <c r="E181" i="10"/>
  <c r="D181" i="10"/>
  <c r="G180" i="10"/>
  <c r="F180" i="10"/>
  <c r="E180" i="10"/>
  <c r="D180" i="10"/>
  <c r="G179" i="10"/>
  <c r="F179" i="10"/>
  <c r="E179" i="10"/>
  <c r="D179" i="10"/>
  <c r="G178" i="10"/>
  <c r="F178" i="10"/>
  <c r="E178" i="10"/>
  <c r="D178" i="10"/>
  <c r="G177" i="10"/>
  <c r="F177" i="10"/>
  <c r="E177" i="10"/>
  <c r="D177" i="10"/>
  <c r="G176" i="10"/>
  <c r="F176" i="10"/>
  <c r="E176" i="10"/>
  <c r="D176" i="10"/>
  <c r="G175" i="10"/>
  <c r="F175" i="10"/>
  <c r="E175" i="10"/>
  <c r="D175" i="10"/>
  <c r="G174" i="10"/>
  <c r="F174" i="10"/>
  <c r="E174" i="10"/>
  <c r="D174" i="10"/>
  <c r="G173" i="10"/>
  <c r="F173" i="10"/>
  <c r="E173" i="10"/>
  <c r="D173" i="10"/>
  <c r="G172" i="10"/>
  <c r="F172" i="10"/>
  <c r="E172" i="10"/>
  <c r="D172" i="10"/>
  <c r="G171" i="10"/>
  <c r="F171" i="10"/>
  <c r="E171" i="10"/>
  <c r="D171" i="10"/>
  <c r="G170" i="10"/>
  <c r="F170" i="10"/>
  <c r="E170" i="10"/>
  <c r="D170" i="10"/>
  <c r="G169" i="10"/>
  <c r="F169" i="10"/>
  <c r="E169" i="10"/>
  <c r="D169" i="10"/>
  <c r="G168" i="10"/>
  <c r="F168" i="10"/>
  <c r="E168" i="10"/>
  <c r="D168" i="10"/>
  <c r="G167" i="10"/>
  <c r="F167" i="10"/>
  <c r="E167" i="10"/>
  <c r="D167" i="10"/>
  <c r="G166" i="10"/>
  <c r="F166" i="10"/>
  <c r="E166" i="10"/>
  <c r="D166" i="10"/>
  <c r="G165" i="10"/>
  <c r="F165" i="10"/>
  <c r="E165" i="10"/>
  <c r="D165" i="10"/>
  <c r="G164" i="10"/>
  <c r="F164" i="10"/>
  <c r="E164" i="10"/>
  <c r="D164" i="10"/>
  <c r="G163" i="10"/>
  <c r="F163" i="10"/>
  <c r="E163" i="10"/>
  <c r="D163" i="10"/>
  <c r="G162" i="10"/>
  <c r="F162" i="10"/>
  <c r="E162" i="10"/>
  <c r="D162" i="10"/>
  <c r="G161" i="10"/>
  <c r="F161" i="10"/>
  <c r="E161" i="10"/>
  <c r="D161" i="10"/>
  <c r="G160" i="10"/>
  <c r="F160" i="10"/>
  <c r="E160" i="10"/>
  <c r="D160" i="10"/>
  <c r="G159" i="10"/>
  <c r="F159" i="10"/>
  <c r="E159" i="10"/>
  <c r="D159" i="10"/>
  <c r="G158" i="10"/>
  <c r="F158" i="10"/>
  <c r="E158" i="10"/>
  <c r="D158" i="10"/>
  <c r="G157" i="10"/>
  <c r="F157" i="10"/>
  <c r="E157" i="10"/>
  <c r="D157" i="10"/>
  <c r="G156" i="10"/>
  <c r="F156" i="10"/>
  <c r="E156" i="10"/>
  <c r="D156" i="10"/>
  <c r="G155" i="10"/>
  <c r="F155" i="10"/>
  <c r="E155" i="10"/>
  <c r="D155" i="10"/>
  <c r="G154" i="10"/>
  <c r="F154" i="10"/>
  <c r="E154" i="10"/>
  <c r="D154" i="10"/>
  <c r="G153" i="10"/>
  <c r="F153" i="10"/>
  <c r="E153" i="10"/>
  <c r="D153" i="10"/>
  <c r="G152" i="10"/>
  <c r="F152" i="10"/>
  <c r="E152" i="10"/>
  <c r="D152" i="10"/>
  <c r="G151" i="10"/>
  <c r="F151" i="10"/>
  <c r="E151" i="10"/>
  <c r="D151" i="10"/>
  <c r="G150" i="10"/>
  <c r="F150" i="10"/>
  <c r="E150" i="10"/>
  <c r="D150" i="10"/>
  <c r="G149" i="10"/>
  <c r="F149" i="10"/>
  <c r="E149" i="10"/>
  <c r="D149" i="10"/>
  <c r="G148" i="10"/>
  <c r="F148" i="10"/>
  <c r="E148" i="10"/>
  <c r="D148" i="10"/>
  <c r="G147" i="10"/>
  <c r="F147" i="10"/>
  <c r="E147" i="10"/>
  <c r="D147" i="10"/>
  <c r="G146" i="10"/>
  <c r="F146" i="10"/>
  <c r="E146" i="10"/>
  <c r="D146" i="10"/>
  <c r="G145" i="10"/>
  <c r="F145" i="10"/>
  <c r="E145" i="10"/>
  <c r="D145" i="10"/>
  <c r="G144" i="10"/>
  <c r="F144" i="10"/>
  <c r="E144" i="10"/>
  <c r="D144" i="10"/>
  <c r="G143" i="10"/>
  <c r="F143" i="10"/>
  <c r="E143" i="10"/>
  <c r="D143" i="10"/>
  <c r="G142" i="10"/>
  <c r="F142" i="10"/>
  <c r="E142" i="10"/>
  <c r="D142" i="10"/>
  <c r="G141" i="10"/>
  <c r="F141" i="10"/>
  <c r="E141" i="10"/>
  <c r="D141" i="10"/>
  <c r="G140" i="10"/>
  <c r="F140" i="10"/>
  <c r="E140" i="10"/>
  <c r="D140" i="10"/>
  <c r="G139" i="10"/>
  <c r="F139" i="10"/>
  <c r="E139" i="10"/>
  <c r="D139" i="10"/>
  <c r="G138" i="10"/>
  <c r="F138" i="10"/>
  <c r="E138" i="10"/>
  <c r="D138" i="10"/>
  <c r="G137" i="10"/>
  <c r="F137" i="10"/>
  <c r="E137" i="10"/>
  <c r="D137" i="10"/>
  <c r="G136" i="10"/>
  <c r="F136" i="10"/>
  <c r="E136" i="10"/>
  <c r="D136" i="10"/>
  <c r="G135" i="10"/>
  <c r="F135" i="10"/>
  <c r="E135" i="10"/>
  <c r="D135" i="10"/>
  <c r="G134" i="10"/>
  <c r="F134" i="10"/>
  <c r="E134" i="10"/>
  <c r="D134" i="10"/>
  <c r="G133" i="10"/>
  <c r="F133" i="10"/>
  <c r="E133" i="10"/>
  <c r="D133" i="10"/>
  <c r="G132" i="10"/>
  <c r="F132" i="10"/>
  <c r="E132" i="10"/>
  <c r="D132" i="10"/>
  <c r="G131" i="10"/>
  <c r="F131" i="10"/>
  <c r="E131" i="10"/>
  <c r="D131" i="10"/>
  <c r="G130" i="10"/>
  <c r="F130" i="10"/>
  <c r="E130" i="10"/>
  <c r="D130" i="10"/>
  <c r="G129" i="10"/>
  <c r="F129" i="10"/>
  <c r="E129" i="10"/>
  <c r="D129" i="10"/>
  <c r="G128" i="10"/>
  <c r="F128" i="10"/>
  <c r="E128" i="10"/>
  <c r="D128" i="10"/>
  <c r="G127" i="10"/>
  <c r="F127" i="10"/>
  <c r="E127" i="10"/>
  <c r="D127" i="10"/>
  <c r="G126" i="10"/>
  <c r="F126" i="10"/>
  <c r="E126" i="10"/>
  <c r="D126" i="10"/>
  <c r="G125" i="10"/>
  <c r="F125" i="10"/>
  <c r="E125" i="10"/>
  <c r="D125" i="10"/>
  <c r="G124" i="10"/>
  <c r="F124" i="10"/>
  <c r="E124" i="10"/>
  <c r="D124" i="10"/>
  <c r="G123" i="10"/>
  <c r="F123" i="10"/>
  <c r="E123" i="10"/>
  <c r="D123" i="10"/>
  <c r="G122" i="10"/>
  <c r="F122" i="10"/>
  <c r="E122" i="10"/>
  <c r="D122" i="10"/>
  <c r="G121" i="10"/>
  <c r="F121" i="10"/>
  <c r="E121" i="10"/>
  <c r="D121" i="10"/>
  <c r="G120" i="10"/>
  <c r="F120" i="10"/>
  <c r="E120" i="10"/>
  <c r="D120" i="10"/>
  <c r="G119" i="10"/>
  <c r="F119" i="10"/>
  <c r="E119" i="10"/>
  <c r="D119" i="10"/>
  <c r="G118" i="10"/>
  <c r="F118" i="10"/>
  <c r="E118" i="10"/>
  <c r="D118" i="10"/>
  <c r="G117" i="10"/>
  <c r="F117" i="10"/>
  <c r="E117" i="10"/>
  <c r="D117" i="10"/>
  <c r="G116" i="10"/>
  <c r="F116" i="10"/>
  <c r="E116" i="10"/>
  <c r="D116" i="10"/>
  <c r="G115" i="10"/>
  <c r="F115" i="10"/>
  <c r="E115" i="10"/>
  <c r="D115" i="10"/>
  <c r="G114" i="10"/>
  <c r="F114" i="10"/>
  <c r="E114" i="10"/>
  <c r="D114" i="10"/>
  <c r="G113" i="10"/>
  <c r="F113" i="10"/>
  <c r="E113" i="10"/>
  <c r="D113" i="10"/>
  <c r="G112" i="10"/>
  <c r="F112" i="10"/>
  <c r="E112" i="10"/>
  <c r="D112" i="10"/>
  <c r="G111" i="10"/>
  <c r="F111" i="10"/>
  <c r="E111" i="10"/>
  <c r="D111" i="10"/>
  <c r="G110" i="10"/>
  <c r="F110" i="10"/>
  <c r="E110" i="10"/>
  <c r="D110" i="10"/>
  <c r="G109" i="10"/>
  <c r="F109" i="10"/>
  <c r="E109" i="10"/>
  <c r="D109" i="10"/>
  <c r="G108" i="10"/>
  <c r="F108" i="10"/>
  <c r="E108" i="10"/>
  <c r="D108" i="10"/>
  <c r="G107" i="10"/>
  <c r="F107" i="10"/>
  <c r="E107" i="10"/>
  <c r="D107" i="10"/>
  <c r="G106" i="10"/>
  <c r="F106" i="10"/>
  <c r="E106" i="10"/>
  <c r="D106" i="10"/>
  <c r="G105" i="10"/>
  <c r="F105" i="10"/>
  <c r="E105" i="10"/>
  <c r="D105" i="10"/>
  <c r="G104" i="10"/>
  <c r="F104" i="10"/>
  <c r="E104" i="10"/>
  <c r="D104" i="10"/>
  <c r="G103" i="10"/>
  <c r="F103" i="10"/>
  <c r="E103" i="10"/>
  <c r="D103" i="10"/>
  <c r="G102" i="10"/>
  <c r="F102" i="10"/>
  <c r="E102" i="10"/>
  <c r="D102" i="10"/>
  <c r="G101" i="10"/>
  <c r="F101" i="10"/>
  <c r="E101" i="10"/>
  <c r="D101" i="10"/>
  <c r="G100" i="10"/>
  <c r="F100" i="10"/>
  <c r="E100" i="10"/>
  <c r="D100" i="10"/>
  <c r="G99" i="10"/>
  <c r="F99" i="10"/>
  <c r="E99" i="10"/>
  <c r="D99" i="10"/>
  <c r="G98" i="10"/>
  <c r="F98" i="10"/>
  <c r="E98" i="10"/>
  <c r="D98" i="10"/>
  <c r="G97" i="10"/>
  <c r="F97" i="10"/>
  <c r="E97" i="10"/>
  <c r="D97" i="10"/>
  <c r="G96" i="10"/>
  <c r="F96" i="10"/>
  <c r="E96" i="10"/>
  <c r="D96" i="10"/>
  <c r="G95" i="10"/>
  <c r="F95" i="10"/>
  <c r="E95" i="10"/>
  <c r="D95" i="10"/>
  <c r="G94" i="10"/>
  <c r="F94" i="10"/>
  <c r="E94" i="10"/>
  <c r="D94" i="10"/>
  <c r="G93" i="10"/>
  <c r="F93" i="10"/>
  <c r="E93" i="10"/>
  <c r="D93" i="10"/>
  <c r="G92" i="10"/>
  <c r="F92" i="10"/>
  <c r="E92" i="10"/>
  <c r="D92" i="10"/>
  <c r="G91" i="10"/>
  <c r="F91" i="10"/>
  <c r="E91" i="10"/>
  <c r="D91" i="10"/>
  <c r="G90" i="10"/>
  <c r="F90" i="10"/>
  <c r="E90" i="10"/>
  <c r="D90" i="10"/>
  <c r="G89" i="10"/>
  <c r="F89" i="10"/>
  <c r="E89" i="10"/>
  <c r="D89" i="10"/>
  <c r="G88" i="10"/>
  <c r="F88" i="10"/>
  <c r="E88" i="10"/>
  <c r="D88" i="10"/>
  <c r="G87" i="10"/>
  <c r="F87" i="10"/>
  <c r="E87" i="10"/>
  <c r="D87" i="10"/>
  <c r="G86" i="10"/>
  <c r="F86" i="10"/>
  <c r="E86" i="10"/>
  <c r="D86" i="10"/>
  <c r="G85" i="10"/>
  <c r="F85" i="10"/>
  <c r="E85" i="10"/>
  <c r="D85" i="10"/>
  <c r="G84" i="10"/>
  <c r="F84" i="10"/>
  <c r="E84" i="10"/>
  <c r="D84" i="10"/>
  <c r="G83" i="10"/>
  <c r="F83" i="10"/>
  <c r="E83" i="10"/>
  <c r="D83" i="10"/>
  <c r="G82" i="10"/>
  <c r="F82" i="10"/>
  <c r="E82" i="10"/>
  <c r="D82" i="10"/>
  <c r="G81" i="10"/>
  <c r="F81" i="10"/>
  <c r="E81" i="10"/>
  <c r="D81" i="10"/>
  <c r="G80" i="10"/>
  <c r="F80" i="10"/>
  <c r="E80" i="10"/>
  <c r="D80" i="10"/>
  <c r="G79" i="10"/>
  <c r="F79" i="10"/>
  <c r="E79" i="10"/>
  <c r="D79" i="10"/>
  <c r="G78" i="10"/>
  <c r="F78" i="10"/>
  <c r="E78" i="10"/>
  <c r="D78" i="10"/>
  <c r="G77" i="10"/>
  <c r="F77" i="10"/>
  <c r="E77" i="10"/>
  <c r="D77" i="10"/>
  <c r="G76" i="10"/>
  <c r="F76" i="10"/>
  <c r="E76" i="10"/>
  <c r="D76" i="10"/>
  <c r="G75" i="10"/>
  <c r="F75" i="10"/>
  <c r="E75" i="10"/>
  <c r="D75" i="10"/>
  <c r="G74" i="10"/>
  <c r="F74" i="10"/>
  <c r="E74" i="10"/>
  <c r="D74" i="10"/>
  <c r="G73" i="10"/>
  <c r="F73" i="10"/>
  <c r="E73" i="10"/>
  <c r="D73" i="10"/>
  <c r="G72" i="10"/>
  <c r="F72" i="10"/>
  <c r="E72" i="10"/>
  <c r="D72" i="10"/>
  <c r="G71" i="10"/>
  <c r="F71" i="10"/>
  <c r="E71" i="10"/>
  <c r="D71" i="10"/>
  <c r="G70" i="10"/>
  <c r="F70" i="10"/>
  <c r="E70" i="10"/>
  <c r="D70" i="10"/>
  <c r="G69" i="10"/>
  <c r="F69" i="10"/>
  <c r="E69" i="10"/>
  <c r="D69" i="10"/>
  <c r="G68" i="10"/>
  <c r="F68" i="10"/>
  <c r="E68" i="10"/>
  <c r="D68" i="10"/>
  <c r="G67" i="10"/>
  <c r="F67" i="10"/>
  <c r="E67" i="10"/>
  <c r="D67" i="10"/>
  <c r="G66" i="10"/>
  <c r="F66" i="10"/>
  <c r="E66" i="10"/>
  <c r="D66" i="10"/>
  <c r="G65" i="10"/>
  <c r="F65" i="10"/>
  <c r="E65" i="10"/>
  <c r="D65" i="10"/>
  <c r="G64" i="10"/>
  <c r="F64" i="10"/>
  <c r="E64" i="10"/>
  <c r="D64" i="10"/>
  <c r="G63" i="10"/>
  <c r="F63" i="10"/>
  <c r="E63" i="10"/>
  <c r="D63" i="10"/>
  <c r="G62" i="10"/>
  <c r="F62" i="10"/>
  <c r="E62" i="10"/>
  <c r="D62" i="10"/>
  <c r="G61" i="10"/>
  <c r="F61" i="10"/>
  <c r="E61" i="10"/>
  <c r="D61" i="10"/>
  <c r="G60" i="10"/>
  <c r="F60" i="10"/>
  <c r="E60" i="10"/>
  <c r="D60" i="10"/>
  <c r="G59" i="10"/>
  <c r="F59" i="10"/>
  <c r="E59" i="10"/>
  <c r="D59" i="10"/>
  <c r="G58" i="10"/>
  <c r="F58" i="10"/>
  <c r="E58" i="10"/>
  <c r="D58" i="10"/>
  <c r="G57" i="10"/>
  <c r="F57" i="10"/>
  <c r="E57" i="10"/>
  <c r="D57" i="10"/>
  <c r="G56" i="10"/>
  <c r="F56" i="10"/>
  <c r="E56" i="10"/>
  <c r="D56" i="10"/>
  <c r="G55" i="10"/>
  <c r="F55" i="10"/>
  <c r="E55" i="10"/>
  <c r="D55" i="10"/>
  <c r="G54" i="10"/>
  <c r="F54" i="10"/>
  <c r="E54" i="10"/>
  <c r="D54" i="10"/>
  <c r="G53" i="10"/>
  <c r="F53" i="10"/>
  <c r="E53" i="10"/>
  <c r="D53" i="10"/>
  <c r="G52" i="10"/>
  <c r="F52" i="10"/>
  <c r="E52" i="10"/>
  <c r="D52" i="10"/>
  <c r="G51" i="10"/>
  <c r="F51" i="10"/>
  <c r="E51" i="10"/>
  <c r="D51" i="10"/>
  <c r="G50" i="10"/>
  <c r="F50" i="10"/>
  <c r="E50" i="10"/>
  <c r="D50" i="10"/>
  <c r="G49" i="10"/>
  <c r="F49" i="10"/>
  <c r="E49" i="10"/>
  <c r="D49" i="10"/>
  <c r="G48" i="10"/>
  <c r="F48" i="10"/>
  <c r="E48" i="10"/>
  <c r="D48" i="10"/>
  <c r="G47" i="10"/>
  <c r="F47" i="10"/>
  <c r="E47" i="10"/>
  <c r="D47" i="10"/>
  <c r="G46" i="10"/>
  <c r="F46" i="10"/>
  <c r="E46" i="10"/>
  <c r="D46" i="10"/>
  <c r="G45" i="10"/>
  <c r="F45" i="10"/>
  <c r="E45" i="10"/>
  <c r="D45" i="10"/>
  <c r="G44" i="10"/>
  <c r="F44" i="10"/>
  <c r="E44" i="10"/>
  <c r="D44" i="10"/>
  <c r="G43" i="10"/>
  <c r="F43" i="10"/>
  <c r="E43" i="10"/>
  <c r="D43" i="10"/>
  <c r="G42" i="10"/>
  <c r="F42" i="10"/>
  <c r="E42" i="10"/>
  <c r="D42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34" i="10"/>
  <c r="F34" i="10"/>
  <c r="E34" i="10"/>
  <c r="D34" i="10"/>
  <c r="G33" i="10"/>
  <c r="F33" i="10"/>
  <c r="E33" i="10"/>
  <c r="D33" i="10"/>
  <c r="G32" i="10"/>
  <c r="F32" i="10"/>
  <c r="E32" i="10"/>
  <c r="D32" i="10"/>
  <c r="G31" i="10"/>
  <c r="F31" i="10"/>
  <c r="E31" i="10"/>
  <c r="D31" i="10"/>
  <c r="G30" i="10"/>
  <c r="F30" i="10"/>
  <c r="E30" i="10"/>
  <c r="D30" i="10"/>
  <c r="G29" i="10"/>
  <c r="F29" i="10"/>
  <c r="E29" i="10"/>
  <c r="D29" i="10"/>
  <c r="G28" i="10"/>
  <c r="F28" i="10"/>
  <c r="E28" i="10"/>
  <c r="D28" i="10"/>
  <c r="G27" i="10"/>
  <c r="F27" i="10"/>
  <c r="E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G8" i="10"/>
  <c r="F8" i="10"/>
  <c r="E8" i="10"/>
  <c r="D8" i="10"/>
  <c r="G7" i="10"/>
  <c r="F7" i="10"/>
  <c r="E7" i="10"/>
  <c r="D7" i="10"/>
  <c r="G6" i="10"/>
  <c r="F6" i="10"/>
  <c r="E6" i="10"/>
  <c r="D6" i="10"/>
  <c r="G80" i="11"/>
  <c r="F80" i="11"/>
  <c r="E80" i="11"/>
  <c r="D80" i="11"/>
  <c r="G79" i="11"/>
  <c r="F79" i="11"/>
  <c r="E79" i="11"/>
  <c r="D79" i="11"/>
  <c r="G78" i="11"/>
  <c r="F78" i="11"/>
  <c r="E78" i="11"/>
  <c r="D78" i="11"/>
  <c r="G77" i="11"/>
  <c r="F77" i="11"/>
  <c r="E77" i="11"/>
  <c r="D77" i="11"/>
  <c r="G76" i="11"/>
  <c r="F76" i="11"/>
  <c r="E76" i="11"/>
  <c r="D76" i="11"/>
  <c r="G75" i="11"/>
  <c r="F75" i="11"/>
  <c r="E75" i="11"/>
  <c r="D75" i="11"/>
  <c r="G74" i="11"/>
  <c r="F74" i="11"/>
  <c r="E74" i="11"/>
  <c r="D74" i="11"/>
  <c r="G73" i="11"/>
  <c r="F73" i="11"/>
  <c r="E73" i="11"/>
  <c r="D73" i="11"/>
  <c r="G72" i="11"/>
  <c r="F72" i="11"/>
  <c r="E72" i="11"/>
  <c r="D72" i="11"/>
  <c r="G71" i="11"/>
  <c r="F71" i="11"/>
  <c r="E71" i="11"/>
  <c r="D71" i="11"/>
  <c r="G70" i="11"/>
  <c r="F70" i="11"/>
  <c r="E70" i="11"/>
  <c r="D70" i="11"/>
  <c r="G69" i="11"/>
  <c r="F69" i="11"/>
  <c r="E69" i="11"/>
  <c r="D69" i="11"/>
  <c r="G68" i="11"/>
  <c r="F68" i="11"/>
  <c r="E68" i="11"/>
  <c r="D68" i="11"/>
  <c r="G67" i="11"/>
  <c r="F67" i="11"/>
  <c r="E67" i="11"/>
  <c r="D67" i="11"/>
  <c r="G66" i="11"/>
  <c r="F66" i="11"/>
  <c r="E66" i="11"/>
  <c r="D66" i="11"/>
  <c r="G65" i="11"/>
  <c r="F65" i="11"/>
  <c r="E65" i="11"/>
  <c r="D65" i="11"/>
  <c r="G64" i="11"/>
  <c r="F64" i="11"/>
  <c r="E64" i="11"/>
  <c r="D64" i="11"/>
  <c r="G63" i="11"/>
  <c r="F63" i="11"/>
  <c r="E63" i="11"/>
  <c r="D63" i="11"/>
  <c r="G62" i="11"/>
  <c r="F62" i="11"/>
  <c r="E62" i="11"/>
  <c r="D62" i="11"/>
  <c r="G61" i="11"/>
  <c r="F61" i="11"/>
  <c r="E61" i="11"/>
  <c r="D61" i="11"/>
  <c r="G60" i="11"/>
  <c r="F60" i="11"/>
  <c r="E60" i="11"/>
  <c r="D60" i="11"/>
  <c r="G59" i="11"/>
  <c r="F59" i="11"/>
  <c r="E59" i="11"/>
  <c r="D59" i="11"/>
  <c r="G58" i="11"/>
  <c r="F58" i="11"/>
  <c r="E58" i="11"/>
  <c r="D58" i="11"/>
  <c r="G57" i="11"/>
  <c r="F57" i="11"/>
  <c r="E57" i="11"/>
  <c r="D57" i="11"/>
  <c r="G56" i="11"/>
  <c r="F56" i="11"/>
  <c r="E56" i="11"/>
  <c r="D56" i="11"/>
  <c r="G55" i="11"/>
  <c r="F55" i="11"/>
  <c r="E55" i="11"/>
  <c r="D55" i="11"/>
  <c r="G54" i="11"/>
  <c r="F54" i="11"/>
  <c r="E54" i="11"/>
  <c r="D54" i="11"/>
  <c r="G53" i="11"/>
  <c r="F53" i="11"/>
  <c r="E53" i="11"/>
  <c r="D53" i="11"/>
  <c r="G52" i="11"/>
  <c r="F52" i="11"/>
  <c r="E52" i="11"/>
  <c r="D52" i="11"/>
  <c r="G51" i="11"/>
  <c r="F51" i="11"/>
  <c r="E51" i="11"/>
  <c r="D51" i="11"/>
  <c r="G50" i="11"/>
  <c r="F50" i="11"/>
  <c r="E50" i="11"/>
  <c r="D50" i="11"/>
  <c r="G49" i="11"/>
  <c r="F49" i="11"/>
  <c r="E49" i="11"/>
  <c r="D49" i="11"/>
  <c r="G48" i="11"/>
  <c r="F48" i="11"/>
  <c r="E48" i="11"/>
  <c r="D48" i="11"/>
  <c r="G47" i="11"/>
  <c r="F47" i="11"/>
  <c r="E47" i="11"/>
  <c r="D47" i="11"/>
  <c r="G46" i="11"/>
  <c r="F46" i="11"/>
  <c r="E46" i="11"/>
  <c r="D46" i="11"/>
  <c r="G45" i="11"/>
  <c r="F45" i="11"/>
  <c r="E45" i="11"/>
  <c r="D45" i="11"/>
  <c r="G44" i="11"/>
  <c r="F44" i="11"/>
  <c r="E44" i="11"/>
  <c r="D44" i="11"/>
  <c r="G43" i="11"/>
  <c r="F43" i="11"/>
  <c r="E43" i="11"/>
  <c r="D43" i="11"/>
  <c r="G42" i="11"/>
  <c r="F42" i="11"/>
  <c r="E42" i="11"/>
  <c r="D42" i="11"/>
  <c r="G41" i="11"/>
  <c r="F41" i="11"/>
  <c r="E41" i="11"/>
  <c r="D41" i="11"/>
  <c r="G40" i="11"/>
  <c r="F40" i="11"/>
  <c r="E40" i="11"/>
  <c r="D40" i="11"/>
  <c r="G39" i="11"/>
  <c r="F39" i="11"/>
  <c r="E39" i="11"/>
  <c r="D39" i="11"/>
  <c r="G38" i="11"/>
  <c r="F38" i="11"/>
  <c r="E38" i="11"/>
  <c r="D38" i="11"/>
  <c r="G37" i="11"/>
  <c r="F37" i="11"/>
  <c r="E37" i="11"/>
  <c r="D37" i="11"/>
  <c r="G36" i="11"/>
  <c r="F36" i="11"/>
  <c r="E36" i="11"/>
  <c r="D36" i="11"/>
  <c r="G35" i="11"/>
  <c r="F35" i="11"/>
  <c r="E35" i="11"/>
  <c r="D35" i="11"/>
  <c r="G34" i="11"/>
  <c r="F34" i="11"/>
  <c r="E34" i="11"/>
  <c r="D34" i="11"/>
  <c r="G33" i="11"/>
  <c r="F33" i="11"/>
  <c r="E33" i="11"/>
  <c r="D33" i="11"/>
  <c r="G32" i="11"/>
  <c r="F32" i="11"/>
  <c r="E32" i="11"/>
  <c r="D32" i="11"/>
  <c r="G31" i="11"/>
  <c r="F31" i="11"/>
  <c r="E31" i="11"/>
  <c r="D31" i="11"/>
  <c r="G30" i="11"/>
  <c r="F30" i="11"/>
  <c r="E30" i="11"/>
  <c r="D30" i="11"/>
  <c r="G29" i="11"/>
  <c r="F29" i="11"/>
  <c r="E29" i="11"/>
  <c r="D29" i="11"/>
  <c r="G28" i="11"/>
  <c r="F28" i="11"/>
  <c r="E28" i="11"/>
  <c r="D28" i="11"/>
  <c r="G27" i="11"/>
  <c r="F27" i="11"/>
  <c r="E27" i="11"/>
  <c r="D27" i="11"/>
  <c r="G26" i="11"/>
  <c r="F26" i="11"/>
  <c r="E26" i="11"/>
  <c r="D26" i="11"/>
  <c r="G25" i="11"/>
  <c r="F25" i="11"/>
  <c r="E25" i="11"/>
  <c r="D25" i="11"/>
  <c r="G24" i="11"/>
  <c r="F24" i="11"/>
  <c r="E24" i="11"/>
  <c r="D24" i="11"/>
  <c r="G23" i="11"/>
  <c r="F23" i="11"/>
  <c r="E23" i="11"/>
  <c r="D23" i="11"/>
  <c r="G22" i="11"/>
  <c r="F22" i="11"/>
  <c r="E22" i="11"/>
  <c r="D22" i="11"/>
  <c r="G21" i="11"/>
  <c r="F21" i="11"/>
  <c r="E21" i="11"/>
  <c r="D21" i="11"/>
  <c r="G20" i="11"/>
  <c r="F20" i="11"/>
  <c r="E20" i="11"/>
  <c r="D20" i="11"/>
  <c r="G19" i="11"/>
  <c r="F19" i="11"/>
  <c r="E19" i="11"/>
  <c r="D19" i="11"/>
  <c r="G18" i="11"/>
  <c r="F18" i="11"/>
  <c r="E18" i="11"/>
  <c r="D18" i="11"/>
  <c r="G17" i="11"/>
  <c r="F17" i="11"/>
  <c r="E17" i="11"/>
  <c r="D17" i="11"/>
  <c r="G16" i="11"/>
  <c r="F16" i="11"/>
  <c r="E16" i="11"/>
  <c r="D16" i="11"/>
  <c r="G15" i="11"/>
  <c r="F15" i="11"/>
  <c r="E15" i="11"/>
  <c r="D15" i="11"/>
  <c r="G14" i="11"/>
  <c r="F14" i="11"/>
  <c r="E14" i="11"/>
  <c r="D14" i="11"/>
  <c r="G13" i="11"/>
  <c r="F13" i="11"/>
  <c r="E13" i="11"/>
  <c r="D13" i="11"/>
  <c r="G12" i="11"/>
  <c r="F12" i="11"/>
  <c r="E12" i="11"/>
  <c r="D12" i="11"/>
  <c r="G11" i="11"/>
  <c r="F11" i="11"/>
  <c r="E11" i="11"/>
  <c r="D11" i="11"/>
  <c r="G10" i="11"/>
  <c r="F10" i="11"/>
  <c r="E10" i="11"/>
  <c r="D10" i="11"/>
  <c r="G9" i="11"/>
  <c r="F9" i="11"/>
  <c r="E9" i="11"/>
  <c r="D9" i="11"/>
  <c r="G8" i="11"/>
  <c r="F8" i="11"/>
  <c r="E8" i="11"/>
  <c r="D8" i="11"/>
  <c r="G7" i="11"/>
  <c r="F7" i="11"/>
  <c r="E7" i="11"/>
  <c r="D7" i="11"/>
  <c r="G6" i="11"/>
  <c r="F6" i="11"/>
  <c r="E6" i="11"/>
  <c r="D6" i="11"/>
  <c r="D20" i="12"/>
  <c r="F18" i="12"/>
  <c r="D18" i="12"/>
  <c r="G17" i="12"/>
  <c r="D17" i="12"/>
  <c r="E15" i="12"/>
  <c r="D15" i="12"/>
  <c r="G14" i="12"/>
  <c r="D14" i="12"/>
  <c r="G12" i="12"/>
  <c r="G9" i="12"/>
  <c r="D9" i="12"/>
  <c r="G8" i="12"/>
  <c r="G6" i="12"/>
  <c r="D6" i="12"/>
  <c r="G5" i="11"/>
  <c r="F5" i="11"/>
  <c r="E5" i="11"/>
  <c r="D5" i="11"/>
  <c r="G5" i="10"/>
  <c r="F5" i="10"/>
  <c r="E5" i="10"/>
  <c r="D5" i="10"/>
  <c r="G214" i="9"/>
  <c r="F214" i="9"/>
  <c r="E214" i="9"/>
  <c r="G213" i="9"/>
  <c r="F213" i="9"/>
  <c r="E213" i="9"/>
  <c r="G212" i="9"/>
  <c r="F212" i="9"/>
  <c r="E212" i="9"/>
  <c r="G211" i="9"/>
  <c r="F211" i="9"/>
  <c r="E211" i="9"/>
  <c r="G210" i="9"/>
  <c r="F210" i="9"/>
  <c r="E210" i="9"/>
  <c r="G209" i="9"/>
  <c r="F209" i="9"/>
  <c r="E209" i="9"/>
  <c r="G208" i="9"/>
  <c r="F208" i="9"/>
  <c r="E208" i="9"/>
  <c r="G207" i="9"/>
  <c r="F207" i="9"/>
  <c r="E207" i="9"/>
  <c r="G206" i="9"/>
  <c r="F206" i="9"/>
  <c r="E206" i="9"/>
  <c r="G205" i="9"/>
  <c r="F205" i="9"/>
  <c r="E205" i="9"/>
  <c r="G204" i="9"/>
  <c r="F204" i="9"/>
  <c r="E204" i="9"/>
  <c r="G203" i="9"/>
  <c r="F203" i="9"/>
  <c r="E203" i="9"/>
  <c r="G202" i="9"/>
  <c r="F202" i="9"/>
  <c r="E202" i="9"/>
  <c r="G201" i="9"/>
  <c r="F201" i="9"/>
  <c r="E201" i="9"/>
  <c r="G200" i="9"/>
  <c r="F200" i="9"/>
  <c r="E200" i="9"/>
  <c r="G199" i="9"/>
  <c r="F199" i="9"/>
  <c r="E199" i="9"/>
  <c r="G198" i="9"/>
  <c r="F198" i="9"/>
  <c r="E198" i="9"/>
  <c r="G197" i="9"/>
  <c r="F197" i="9"/>
  <c r="E197" i="9"/>
  <c r="G196" i="9"/>
  <c r="F196" i="9"/>
  <c r="E196" i="9"/>
  <c r="G195" i="9"/>
  <c r="F195" i="9"/>
  <c r="E195" i="9"/>
  <c r="G194" i="9"/>
  <c r="F194" i="9"/>
  <c r="E194" i="9"/>
  <c r="G193" i="9"/>
  <c r="F193" i="9"/>
  <c r="E193" i="9"/>
  <c r="G192" i="9"/>
  <c r="F192" i="9"/>
  <c r="E192" i="9"/>
  <c r="G191" i="9"/>
  <c r="F191" i="9"/>
  <c r="E191" i="9"/>
  <c r="G190" i="9"/>
  <c r="F190" i="9"/>
  <c r="E190" i="9"/>
  <c r="G189" i="9"/>
  <c r="F189" i="9"/>
  <c r="E189" i="9"/>
  <c r="G188" i="9"/>
  <c r="F188" i="9"/>
  <c r="E188" i="9"/>
  <c r="G187" i="9"/>
  <c r="F187" i="9"/>
  <c r="E187" i="9"/>
  <c r="G186" i="9"/>
  <c r="F186" i="9"/>
  <c r="E186" i="9"/>
  <c r="G185" i="9"/>
  <c r="F185" i="9"/>
  <c r="E185" i="9"/>
  <c r="G184" i="9"/>
  <c r="F184" i="9"/>
  <c r="E184" i="9"/>
  <c r="G183" i="9"/>
  <c r="F183" i="9"/>
  <c r="E183" i="9"/>
  <c r="G182" i="9"/>
  <c r="F182" i="9"/>
  <c r="E182" i="9"/>
  <c r="G181" i="9"/>
  <c r="F181" i="9"/>
  <c r="E181" i="9"/>
  <c r="G180" i="9"/>
  <c r="F180" i="9"/>
  <c r="E180" i="9"/>
  <c r="G179" i="9"/>
  <c r="F179" i="9"/>
  <c r="E179" i="9"/>
  <c r="G178" i="9"/>
  <c r="F178" i="9"/>
  <c r="E178" i="9"/>
  <c r="G177" i="9"/>
  <c r="F177" i="9"/>
  <c r="E177" i="9"/>
  <c r="G176" i="9"/>
  <c r="F176" i="9"/>
  <c r="E176" i="9"/>
  <c r="G175" i="9"/>
  <c r="F175" i="9"/>
  <c r="E175" i="9"/>
  <c r="G174" i="9"/>
  <c r="F174" i="9"/>
  <c r="E174" i="9"/>
  <c r="G173" i="9"/>
  <c r="F173" i="9"/>
  <c r="E173" i="9"/>
  <c r="G172" i="9"/>
  <c r="F172" i="9"/>
  <c r="E172" i="9"/>
  <c r="G171" i="9"/>
  <c r="F171" i="9"/>
  <c r="E171" i="9"/>
  <c r="G170" i="9"/>
  <c r="F170" i="9"/>
  <c r="E170" i="9"/>
  <c r="G169" i="9"/>
  <c r="F169" i="9"/>
  <c r="E169" i="9"/>
  <c r="G168" i="9"/>
  <c r="F168" i="9"/>
  <c r="E168" i="9"/>
  <c r="G167" i="9"/>
  <c r="F167" i="9"/>
  <c r="E167" i="9"/>
  <c r="G166" i="9"/>
  <c r="F166" i="9"/>
  <c r="E166" i="9"/>
  <c r="G165" i="9"/>
  <c r="F165" i="9"/>
  <c r="E165" i="9"/>
  <c r="G164" i="9"/>
  <c r="F164" i="9"/>
  <c r="E164" i="9"/>
  <c r="G163" i="9"/>
  <c r="F163" i="9"/>
  <c r="E163" i="9"/>
  <c r="G162" i="9"/>
  <c r="F162" i="9"/>
  <c r="E162" i="9"/>
  <c r="G161" i="9"/>
  <c r="F161" i="9"/>
  <c r="E161" i="9"/>
  <c r="G160" i="9"/>
  <c r="F160" i="9"/>
  <c r="E160" i="9"/>
  <c r="G159" i="9"/>
  <c r="F159" i="9"/>
  <c r="E159" i="9"/>
  <c r="G158" i="9"/>
  <c r="F158" i="9"/>
  <c r="E158" i="9"/>
  <c r="G157" i="9"/>
  <c r="F157" i="9"/>
  <c r="E157" i="9"/>
  <c r="G156" i="9"/>
  <c r="F156" i="9"/>
  <c r="E156" i="9"/>
  <c r="G155" i="9"/>
  <c r="F155" i="9"/>
  <c r="E155" i="9"/>
  <c r="G154" i="9"/>
  <c r="F154" i="9"/>
  <c r="E154" i="9"/>
  <c r="G153" i="9"/>
  <c r="F153" i="9"/>
  <c r="E153" i="9"/>
  <c r="G152" i="9"/>
  <c r="F152" i="9"/>
  <c r="E152" i="9"/>
  <c r="G151" i="9"/>
  <c r="F151" i="9"/>
  <c r="E151" i="9"/>
  <c r="G150" i="9"/>
  <c r="F150" i="9"/>
  <c r="E150" i="9"/>
  <c r="G149" i="9"/>
  <c r="F149" i="9"/>
  <c r="E149" i="9"/>
  <c r="G148" i="9"/>
  <c r="F148" i="9"/>
  <c r="E148" i="9"/>
  <c r="G147" i="9"/>
  <c r="F147" i="9"/>
  <c r="E147" i="9"/>
  <c r="G146" i="9"/>
  <c r="F146" i="9"/>
  <c r="E146" i="9"/>
  <c r="G145" i="9"/>
  <c r="F145" i="9"/>
  <c r="E145" i="9"/>
  <c r="G144" i="9"/>
  <c r="F144" i="9"/>
  <c r="E144" i="9"/>
  <c r="G143" i="9"/>
  <c r="F143" i="9"/>
  <c r="E143" i="9"/>
  <c r="G142" i="9"/>
  <c r="F142" i="9"/>
  <c r="E142" i="9"/>
  <c r="G141" i="9"/>
  <c r="F141" i="9"/>
  <c r="E141" i="9"/>
  <c r="G140" i="9"/>
  <c r="F140" i="9"/>
  <c r="E140" i="9"/>
  <c r="G139" i="9"/>
  <c r="F139" i="9"/>
  <c r="E139" i="9"/>
  <c r="G138" i="9"/>
  <c r="F138" i="9"/>
  <c r="E138" i="9"/>
  <c r="G137" i="9"/>
  <c r="F137" i="9"/>
  <c r="E137" i="9"/>
  <c r="G136" i="9"/>
  <c r="F136" i="9"/>
  <c r="E136" i="9"/>
  <c r="G135" i="9"/>
  <c r="F135" i="9"/>
  <c r="E135" i="9"/>
  <c r="G134" i="9"/>
  <c r="F134" i="9"/>
  <c r="E134" i="9"/>
  <c r="G133" i="9"/>
  <c r="F133" i="9"/>
  <c r="E133" i="9"/>
  <c r="G132" i="9"/>
  <c r="F132" i="9"/>
  <c r="E132" i="9"/>
  <c r="G131" i="9"/>
  <c r="F131" i="9"/>
  <c r="E131" i="9"/>
  <c r="G130" i="9"/>
  <c r="F130" i="9"/>
  <c r="E130" i="9"/>
  <c r="G129" i="9"/>
  <c r="F129" i="9"/>
  <c r="E129" i="9"/>
  <c r="G128" i="9"/>
  <c r="F128" i="9"/>
  <c r="E128" i="9"/>
  <c r="G127" i="9"/>
  <c r="F127" i="9"/>
  <c r="E127" i="9"/>
  <c r="G126" i="9"/>
  <c r="F126" i="9"/>
  <c r="E126" i="9"/>
  <c r="G125" i="9"/>
  <c r="F125" i="9"/>
  <c r="E125" i="9"/>
  <c r="G124" i="9"/>
  <c r="F124" i="9"/>
  <c r="E124" i="9"/>
  <c r="G123" i="9"/>
  <c r="F123" i="9"/>
  <c r="E123" i="9"/>
  <c r="G122" i="9"/>
  <c r="F122" i="9"/>
  <c r="E122" i="9"/>
  <c r="G121" i="9"/>
  <c r="F121" i="9"/>
  <c r="E121" i="9"/>
  <c r="G120" i="9"/>
  <c r="F120" i="9"/>
  <c r="E120" i="9"/>
  <c r="G119" i="9"/>
  <c r="F119" i="9"/>
  <c r="E119" i="9"/>
  <c r="G118" i="9"/>
  <c r="F118" i="9"/>
  <c r="E118" i="9"/>
  <c r="G117" i="9"/>
  <c r="F117" i="9"/>
  <c r="E117" i="9"/>
  <c r="G116" i="9"/>
  <c r="F116" i="9"/>
  <c r="E116" i="9"/>
  <c r="G115" i="9"/>
  <c r="F115" i="9"/>
  <c r="E115" i="9"/>
  <c r="G114" i="9"/>
  <c r="F114" i="9"/>
  <c r="E114" i="9"/>
  <c r="G113" i="9"/>
  <c r="F113" i="9"/>
  <c r="E113" i="9"/>
  <c r="G112" i="9"/>
  <c r="F112" i="9"/>
  <c r="E112" i="9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E7" i="9"/>
  <c r="G6" i="9"/>
  <c r="F6" i="9"/>
  <c r="E6" i="9"/>
  <c r="G5" i="9"/>
  <c r="F5" i="9"/>
  <c r="E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AA40" i="8"/>
  <c r="G15" i="12" s="1"/>
  <c r="AA54" i="8"/>
  <c r="G18" i="12" s="1"/>
  <c r="AA63" i="8"/>
  <c r="G20" i="12" s="1"/>
  <c r="Y27" i="8"/>
  <c r="AA26" i="8" s="1"/>
  <c r="G11" i="12" s="1"/>
  <c r="Y24" i="8"/>
  <c r="AA22" i="8" s="1"/>
  <c r="G10" i="12" s="1"/>
  <c r="AA16" i="8"/>
  <c r="Y59" i="8"/>
  <c r="AA57" i="8" s="1"/>
  <c r="G19" i="12" s="1"/>
  <c r="Y45" i="8"/>
  <c r="AA43" i="8" s="1"/>
  <c r="G16" i="12" s="1"/>
  <c r="Y35" i="8"/>
  <c r="AA33" i="8" s="1"/>
  <c r="G13" i="12" s="1"/>
  <c r="Y31" i="8"/>
  <c r="AA29" i="8" s="1"/>
  <c r="Y18" i="8"/>
  <c r="Y14" i="8"/>
  <c r="AA12" i="8" s="1"/>
  <c r="G7" i="12" s="1"/>
  <c r="AA4" i="8" l="1"/>
  <c r="G5" i="12" s="1"/>
  <c r="M45" i="8" l="1"/>
  <c r="M35" i="8"/>
  <c r="M31" i="8"/>
  <c r="O31" i="8"/>
  <c r="M13" i="8"/>
  <c r="O13" i="8"/>
  <c r="M9" i="8"/>
  <c r="O5" i="8"/>
  <c r="M5" i="8"/>
  <c r="AA140" i="5" l="1"/>
  <c r="Y156" i="5"/>
  <c r="Y158" i="5" s="1"/>
  <c r="AA154" i="5" s="1"/>
  <c r="T157" i="5"/>
  <c r="Y157" i="5" s="1"/>
  <c r="T143" i="5"/>
  <c r="Y143" i="5" s="1"/>
  <c r="Y142" i="5" l="1"/>
  <c r="Y144" i="5" s="1"/>
  <c r="AA141" i="5" s="1"/>
  <c r="T125" i="5" l="1"/>
  <c r="Y125" i="5" s="1"/>
  <c r="Y124" i="5"/>
  <c r="Y107" i="5"/>
  <c r="AA104" i="5"/>
  <c r="T73" i="5"/>
  <c r="Y126" i="5" l="1"/>
  <c r="AA122" i="5" s="1"/>
  <c r="Y85" i="5" l="1"/>
  <c r="AA83" i="5" s="1"/>
  <c r="Y72" i="5"/>
  <c r="Y73" i="5"/>
  <c r="Y68" i="5"/>
  <c r="Y67" i="5"/>
  <c r="Y66" i="5"/>
  <c r="M162" i="5"/>
  <c r="M159" i="5"/>
  <c r="M140" i="5"/>
  <c r="M136" i="5"/>
  <c r="M99" i="5"/>
  <c r="M84" i="5"/>
  <c r="M80" i="5"/>
  <c r="M66" i="5"/>
  <c r="Y74" i="5" l="1"/>
  <c r="AA70" i="5" s="1"/>
  <c r="Y69" i="5"/>
  <c r="AA64" i="5" s="1"/>
  <c r="M6" i="5"/>
  <c r="M61" i="5" l="1"/>
  <c r="Y49" i="5"/>
  <c r="AA47" i="5" s="1"/>
  <c r="M46" i="5"/>
  <c r="M49" i="5"/>
  <c r="Y45" i="5"/>
  <c r="AA43" i="5" s="1"/>
  <c r="Y42" i="5"/>
  <c r="Y40" i="5"/>
  <c r="Y41" i="5" s="1"/>
  <c r="AA37" i="5" s="1"/>
  <c r="Y35" i="5"/>
  <c r="AA33" i="5" s="1"/>
  <c r="M39" i="5"/>
  <c r="M35" i="5"/>
  <c r="M29" i="5"/>
  <c r="Y19" i="5"/>
  <c r="Y23" i="5"/>
  <c r="Y22" i="5"/>
  <c r="Y25" i="5"/>
  <c r="M19" i="5"/>
  <c r="M15" i="5"/>
  <c r="Y15" i="5"/>
  <c r="AA13" i="5" s="1"/>
  <c r="Y10" i="5"/>
  <c r="Y9" i="5"/>
  <c r="Y6" i="5"/>
  <c r="Y12" i="5"/>
  <c r="I142" i="5"/>
  <c r="K141" i="5" s="1"/>
  <c r="Y24" i="5" l="1"/>
  <c r="AA17" i="5" s="1"/>
  <c r="I156" i="5"/>
  <c r="K154" i="5" s="1"/>
  <c r="I124" i="5"/>
  <c r="K122" i="5" s="1"/>
  <c r="K86" i="5"/>
  <c r="I85" i="5"/>
  <c r="K83" i="5" s="1"/>
  <c r="I72" i="5"/>
  <c r="K70" i="5" l="1"/>
  <c r="K43" i="5"/>
  <c r="I56" i="5"/>
  <c r="K56" i="5" s="1"/>
  <c r="I19" i="5"/>
  <c r="K17" i="5" s="1"/>
  <c r="I15" i="5"/>
  <c r="K13" i="5" s="1"/>
  <c r="I6" i="5"/>
  <c r="K4" i="5" s="1"/>
  <c r="G135" i="5"/>
  <c r="G130" i="5"/>
  <c r="G127" i="5"/>
  <c r="G117" i="5"/>
  <c r="G115" i="5"/>
  <c r="G112" i="5"/>
  <c r="G109" i="5"/>
  <c r="E106" i="5"/>
  <c r="E108" i="5" s="1"/>
  <c r="G104" i="5" s="1"/>
  <c r="G93" i="5"/>
  <c r="G101" i="5"/>
  <c r="G98" i="5"/>
  <c r="G86" i="5"/>
  <c r="G83" i="5"/>
  <c r="G75" i="5"/>
  <c r="Y228" i="4"/>
  <c r="Y196" i="4"/>
  <c r="AA196" i="4" s="1"/>
  <c r="Y193" i="4"/>
  <c r="AA193" i="4" s="1"/>
  <c r="AA88" i="4"/>
  <c r="Y113" i="4"/>
  <c r="AA113" i="4" s="1"/>
  <c r="Y103" i="4"/>
  <c r="AA103" i="4" s="1"/>
  <c r="Y88" i="4"/>
  <c r="Y63" i="4"/>
  <c r="AA63" i="4" s="1"/>
  <c r="AA42" i="4"/>
  <c r="Y42" i="4"/>
  <c r="Y136" i="4"/>
  <c r="AA136" i="4" s="1"/>
  <c r="AA130" i="4" l="1"/>
  <c r="Y131" i="4"/>
  <c r="Y24" i="4"/>
  <c r="AA24" i="4" s="1"/>
  <c r="AA228" i="4"/>
  <c r="K95" i="4" l="1"/>
  <c r="I28" i="4"/>
  <c r="K24" i="4" s="1"/>
  <c r="P24" i="4" s="1"/>
  <c r="O24" i="4" s="1"/>
  <c r="I6" i="4"/>
  <c r="K4" i="4" s="1"/>
  <c r="I11" i="4"/>
  <c r="K9" i="4" s="1"/>
  <c r="P11" i="4" s="1"/>
  <c r="I231" i="4"/>
  <c r="K228" i="4" s="1"/>
  <c r="P228" i="4" s="1"/>
  <c r="I199" i="4"/>
  <c r="K196" i="4" s="1"/>
  <c r="P196" i="4" s="1"/>
  <c r="K200" i="4"/>
  <c r="K180" i="4"/>
  <c r="K179" i="4"/>
  <c r="K177" i="4"/>
  <c r="P178" i="4" s="1"/>
  <c r="K167" i="4"/>
  <c r="K158" i="4"/>
  <c r="K155" i="4"/>
  <c r="I139" i="4"/>
  <c r="K136" i="4" s="1"/>
  <c r="P136" i="4" s="1"/>
  <c r="I116" i="4"/>
  <c r="K113" i="4" s="1"/>
  <c r="P115" i="4" s="1"/>
  <c r="I105" i="4"/>
  <c r="K103" i="4" s="1"/>
  <c r="P103" i="4" s="1"/>
  <c r="I101" i="4"/>
  <c r="K99" i="4" s="1"/>
  <c r="P99" i="4" s="1"/>
  <c r="I44" i="4"/>
  <c r="K42" i="4" s="1"/>
  <c r="P44" i="4" s="1"/>
  <c r="I193" i="4"/>
  <c r="I195" i="4" s="1"/>
  <c r="K193" i="4" s="1"/>
  <c r="P194" i="4" s="1"/>
  <c r="I263" i="4"/>
  <c r="K261" i="4" s="1"/>
  <c r="P261" i="4" s="1"/>
  <c r="O261" i="4" s="1"/>
  <c r="K53" i="4"/>
  <c r="P53" i="4" s="1"/>
  <c r="K48" i="4"/>
  <c r="P48" i="4" s="1"/>
  <c r="K46" i="4"/>
  <c r="P46" i="4" s="1"/>
  <c r="K256" i="4"/>
  <c r="K255" i="4"/>
  <c r="K247" i="4"/>
  <c r="K238" i="4"/>
  <c r="P240" i="4" s="1"/>
  <c r="K232" i="4"/>
  <c r="K227" i="4"/>
  <c r="K226" i="4"/>
  <c r="K225" i="4"/>
  <c r="K211" i="4"/>
  <c r="G130" i="4"/>
  <c r="I131" i="4"/>
  <c r="I135" i="4" s="1"/>
  <c r="K130" i="4" s="1"/>
  <c r="P133" i="4" s="1"/>
  <c r="K88" i="4"/>
  <c r="P89" i="4" s="1"/>
  <c r="K72" i="4"/>
  <c r="I63" i="4"/>
  <c r="I68" i="4" s="1"/>
  <c r="K63" i="4" s="1"/>
  <c r="P66" i="4" s="1"/>
  <c r="I26" i="4"/>
  <c r="G42" i="4"/>
  <c r="G63" i="4"/>
  <c r="G113" i="4"/>
  <c r="G136" i="4"/>
  <c r="G196" i="4"/>
  <c r="G193" i="4"/>
  <c r="G228" i="4"/>
  <c r="Y456" i="2"/>
  <c r="Y439" i="2"/>
  <c r="Y421" i="2"/>
  <c r="Y417" i="2"/>
  <c r="Y392" i="2"/>
  <c r="Y473" i="2"/>
  <c r="P88" i="4" l="1"/>
  <c r="P193" i="4"/>
  <c r="P241" i="4"/>
  <c r="P104" i="4"/>
  <c r="P65" i="4"/>
  <c r="P132" i="4"/>
  <c r="O26" i="4"/>
  <c r="O25" i="4"/>
  <c r="P25" i="4"/>
  <c r="P26" i="4"/>
  <c r="Y470" i="2" l="1"/>
  <c r="Y465" i="2"/>
  <c r="Y362" i="2"/>
  <c r="Y358" i="2"/>
  <c r="Y355" i="2"/>
  <c r="Y348" i="2"/>
  <c r="Y343" i="2"/>
  <c r="Y327" i="2"/>
  <c r="Y320" i="2"/>
  <c r="Y314" i="2"/>
  <c r="Y309" i="2"/>
  <c r="Y298" i="2"/>
  <c r="Y293" i="2"/>
  <c r="Y276" i="2"/>
  <c r="Y270" i="2"/>
  <c r="Y173" i="2" l="1"/>
  <c r="Y249" i="2"/>
  <c r="Y243" i="2"/>
  <c r="Y217" i="2"/>
  <c r="Y214" i="2"/>
  <c r="Y203" i="2"/>
  <c r="Y211" i="2"/>
  <c r="Y193" i="2"/>
  <c r="Y181" i="2"/>
  <c r="Y164" i="2"/>
  <c r="Y148" i="2"/>
  <c r="Y145" i="2"/>
  <c r="Y142" i="2"/>
  <c r="Y134" i="2"/>
  <c r="Y129" i="2"/>
  <c r="Y122" i="2"/>
  <c r="Y113" i="2"/>
  <c r="Y101" i="2"/>
  <c r="Y96" i="2"/>
  <c r="Y92" i="2"/>
  <c r="Y89" i="2"/>
  <c r="Y84" i="2"/>
  <c r="Y78" i="2"/>
  <c r="Y74" i="2"/>
  <c r="Y70" i="2"/>
  <c r="Y60" i="2"/>
  <c r="Y53" i="2" l="1"/>
  <c r="Y44" i="2"/>
  <c r="Y41" i="2"/>
  <c r="Y38" i="2"/>
  <c r="Y33" i="2"/>
  <c r="Y29" i="2"/>
  <c r="E48" i="8" l="1"/>
  <c r="G43" i="8" s="1"/>
  <c r="D16" i="12" s="1"/>
  <c r="Y14" i="2"/>
  <c r="Y22" i="2"/>
  <c r="Y19" i="2"/>
  <c r="Y9" i="2"/>
  <c r="I36" i="8"/>
  <c r="K33" i="8" s="1"/>
  <c r="K57" i="8"/>
  <c r="E19" i="12" s="1"/>
  <c r="I62" i="8"/>
  <c r="H53" i="8"/>
  <c r="I53" i="8" s="1"/>
  <c r="K50" i="8" s="1"/>
  <c r="E17" i="12" s="1"/>
  <c r="I46" i="8"/>
  <c r="K43" i="8" s="1"/>
  <c r="I32" i="8"/>
  <c r="K29" i="8" s="1"/>
  <c r="I25" i="8"/>
  <c r="K22" i="8" s="1"/>
  <c r="E10" i="12" s="1"/>
  <c r="I15" i="8"/>
  <c r="K12" i="8" s="1"/>
  <c r="I7" i="8"/>
  <c r="K4" i="8" s="1"/>
  <c r="K19" i="8"/>
  <c r="E9" i="12" s="1"/>
  <c r="I39" i="8"/>
  <c r="K37" i="8" s="1"/>
  <c r="E14" i="12" s="1"/>
  <c r="I28" i="8"/>
  <c r="K26" i="8" s="1"/>
  <c r="E11" i="12" s="1"/>
  <c r="I18" i="8"/>
  <c r="K16" i="8" s="1"/>
  <c r="E8" i="12" s="1"/>
  <c r="H11" i="8"/>
  <c r="I11" i="8" s="1"/>
  <c r="K8" i="8" s="1"/>
  <c r="I56" i="8"/>
  <c r="K54" i="8" s="1"/>
  <c r="E18" i="12" s="1"/>
  <c r="I66" i="8"/>
  <c r="K63" i="8" s="1"/>
  <c r="E20" i="12" s="1"/>
  <c r="G33" i="8"/>
  <c r="D13" i="12" s="1"/>
  <c r="G16" i="8"/>
  <c r="D8" i="12" s="1"/>
  <c r="G22" i="8"/>
  <c r="D10" i="12" s="1"/>
  <c r="G26" i="8"/>
  <c r="D11" i="12" s="1"/>
  <c r="G29" i="8"/>
  <c r="D12" i="12" s="1"/>
  <c r="G12" i="8"/>
  <c r="D7" i="12" s="1"/>
  <c r="G4" i="8"/>
  <c r="D5" i="12" s="1"/>
  <c r="D19" i="12"/>
  <c r="N1" i="8"/>
  <c r="M18" i="2"/>
  <c r="M436" i="2"/>
  <c r="M410" i="2"/>
  <c r="M354" i="2"/>
  <c r="M353" i="2"/>
  <c r="M348" i="2"/>
  <c r="M347" i="2"/>
  <c r="M320" i="2"/>
  <c r="M319" i="2"/>
  <c r="M276" i="2"/>
  <c r="M275" i="2"/>
  <c r="M252" i="2"/>
  <c r="M243" i="2"/>
  <c r="M242" i="2"/>
  <c r="M163" i="2"/>
  <c r="M162" i="2"/>
  <c r="M140" i="2"/>
  <c r="M139" i="2"/>
  <c r="M96" i="2"/>
  <c r="M95" i="2"/>
  <c r="M87" i="2"/>
  <c r="M84" i="2"/>
  <c r="M83" i="2"/>
  <c r="M52" i="2"/>
  <c r="M51" i="2"/>
  <c r="M33" i="2"/>
  <c r="M32" i="2"/>
  <c r="M17" i="2"/>
  <c r="P5" i="8" l="1"/>
  <c r="E5" i="12"/>
  <c r="P35" i="8"/>
  <c r="E13" i="12"/>
  <c r="P45" i="8"/>
  <c r="E16" i="12"/>
  <c r="P13" i="8"/>
  <c r="E7" i="12"/>
  <c r="P9" i="8"/>
  <c r="E6" i="12"/>
  <c r="P31" i="8"/>
  <c r="E12" i="12"/>
  <c r="Q58" i="8"/>
  <c r="S57" i="8" s="1"/>
  <c r="F19" i="12" s="1"/>
  <c r="Q39" i="8"/>
  <c r="S37" i="8" s="1"/>
  <c r="F14" i="12" s="1"/>
  <c r="Q18" i="8"/>
  <c r="S16" i="8" s="1"/>
  <c r="F8" i="12" s="1"/>
  <c r="Q50" i="8"/>
  <c r="S50" i="8" s="1"/>
  <c r="F17" i="12" s="1"/>
  <c r="N45" i="8"/>
  <c r="Q45" i="8" s="1"/>
  <c r="S43" i="8" s="1"/>
  <c r="F16" i="12" s="1"/>
  <c r="F15" i="12"/>
  <c r="Q21" i="8"/>
  <c r="S19" i="8" s="1"/>
  <c r="F9" i="12" s="1"/>
  <c r="Q28" i="8"/>
  <c r="S26" i="8" s="1"/>
  <c r="F11" i="12" s="1"/>
  <c r="N35" i="8"/>
  <c r="Q35" i="8" s="1"/>
  <c r="S33" i="8" s="1"/>
  <c r="F13" i="12" s="1"/>
  <c r="Q65" i="8"/>
  <c r="S63" i="8" s="1"/>
  <c r="F20" i="12" s="1"/>
  <c r="Q24" i="8"/>
  <c r="S22" i="8" s="1"/>
  <c r="F10" i="12" s="1"/>
  <c r="N5" i="8"/>
  <c r="Q5" i="8" s="1"/>
  <c r="S4" i="8" s="1"/>
  <c r="F5" i="12" s="1"/>
  <c r="N13" i="8"/>
  <c r="Q13" i="8" s="1"/>
  <c r="S12" i="8" s="1"/>
  <c r="F7" i="12" s="1"/>
  <c r="N9" i="8"/>
  <c r="Q9" i="8" s="1"/>
  <c r="S8" i="8" s="1"/>
  <c r="F6" i="12" s="1"/>
  <c r="N31" i="8"/>
  <c r="Q31" i="8" s="1"/>
  <c r="S29" i="8" s="1"/>
  <c r="F12" i="12" s="1"/>
  <c r="K463" i="2" l="1"/>
  <c r="K436" i="2"/>
  <c r="K419" i="2"/>
  <c r="K356" i="2"/>
  <c r="K345" i="2"/>
  <c r="P348" i="2" s="1"/>
  <c r="K341" i="2"/>
  <c r="K325" i="2"/>
  <c r="K317" i="2"/>
  <c r="P320" i="2" s="1"/>
  <c r="K307" i="2"/>
  <c r="K296" i="2"/>
  <c r="K273" i="2"/>
  <c r="P276" i="2" s="1"/>
  <c r="K215" i="2"/>
  <c r="K212" i="2"/>
  <c r="K209" i="2"/>
  <c r="K201" i="2"/>
  <c r="I468" i="2"/>
  <c r="K468" i="2" s="1"/>
  <c r="I454" i="2"/>
  <c r="K454" i="2" s="1"/>
  <c r="I390" i="2"/>
  <c r="K390" i="2" s="1"/>
  <c r="I312" i="2"/>
  <c r="K312" i="2" s="1"/>
  <c r="I240" i="2"/>
  <c r="K240" i="2" s="1"/>
  <c r="I132" i="2"/>
  <c r="I90" i="2"/>
  <c r="I36" i="2"/>
  <c r="I268" i="2"/>
  <c r="K268" i="2" s="1"/>
  <c r="K415" i="2"/>
  <c r="K247" i="2"/>
  <c r="K191" i="2"/>
  <c r="K179" i="2"/>
  <c r="I474" i="2"/>
  <c r="H473" i="2"/>
  <c r="I473" i="2" s="1"/>
  <c r="K471" i="2" s="1"/>
  <c r="K360" i="2" l="1"/>
  <c r="I87" i="2"/>
  <c r="K85" i="2" s="1"/>
  <c r="I352" i="2"/>
  <c r="K351" i="2" s="1"/>
  <c r="P354" i="2" s="1"/>
  <c r="I292" i="2"/>
  <c r="K291" i="2" s="1"/>
  <c r="I161" i="2"/>
  <c r="I88" i="2"/>
  <c r="I37" i="2" l="1"/>
  <c r="K36" i="2" s="1"/>
  <c r="I51" i="2"/>
  <c r="I10" i="2"/>
  <c r="I6" i="2"/>
  <c r="K160" i="2" l="1"/>
  <c r="K171" i="2"/>
  <c r="K146" i="2"/>
  <c r="K143" i="2"/>
  <c r="K139" i="2"/>
  <c r="K127" i="2"/>
  <c r="K120" i="2"/>
  <c r="K111" i="2"/>
  <c r="K99" i="2"/>
  <c r="K93" i="2"/>
  <c r="K81" i="2"/>
  <c r="K76" i="2"/>
  <c r="K72" i="2"/>
  <c r="K68" i="2"/>
  <c r="K58" i="2"/>
  <c r="K49" i="2"/>
  <c r="K42" i="2"/>
  <c r="K30" i="2"/>
  <c r="K39" i="2"/>
  <c r="K12" i="2"/>
  <c r="K4" i="2"/>
  <c r="K20" i="2" l="1"/>
  <c r="K15" i="2"/>
  <c r="K7" i="2"/>
  <c r="G436" i="2"/>
  <c r="E475" i="2"/>
  <c r="G454" i="2"/>
  <c r="E387" i="2"/>
  <c r="G383" i="2" s="1"/>
  <c r="E355" i="2"/>
  <c r="G351" i="2" s="1"/>
  <c r="G289" i="2"/>
  <c r="G312" i="2"/>
  <c r="E295" i="2"/>
  <c r="G291" i="2" s="1"/>
  <c r="G268" i="2"/>
  <c r="E195" i="2"/>
  <c r="G191" i="2" s="1"/>
  <c r="G132" i="2"/>
  <c r="E164" i="2"/>
  <c r="G160" i="2" s="1"/>
  <c r="E150" i="2"/>
  <c r="G146" i="2" s="1"/>
  <c r="G139" i="2"/>
  <c r="G111" i="2" l="1"/>
  <c r="G99" i="2"/>
  <c r="G90" i="2"/>
  <c r="G85" i="2"/>
  <c r="G65" i="2"/>
  <c r="G36" i="2"/>
  <c r="G20" i="2"/>
  <c r="G30" i="2" l="1"/>
  <c r="G471" i="2"/>
  <c r="V353" i="2" l="1"/>
  <c r="V354" i="2"/>
  <c r="V162" i="2"/>
  <c r="V163" i="2"/>
  <c r="V87" i="2"/>
  <c r="V88" i="2"/>
  <c r="V51" i="2"/>
  <c r="V52" i="2"/>
  <c r="V17" i="2"/>
  <c r="V18" i="2"/>
  <c r="V438" i="2" l="1"/>
  <c r="V410" i="2"/>
  <c r="Y410" i="2" s="1"/>
  <c r="AA408" i="2" s="1"/>
  <c r="V347" i="2"/>
  <c r="V319" i="2"/>
  <c r="V275" i="2"/>
  <c r="V252" i="2"/>
  <c r="Y252" i="2" s="1"/>
  <c r="AA250" i="2" s="1"/>
  <c r="V242" i="2"/>
  <c r="V141" i="2"/>
  <c r="V95" i="2"/>
  <c r="V83" i="2"/>
  <c r="V32" i="2"/>
  <c r="Y163" i="5" l="1"/>
  <c r="Y162" i="5" l="1"/>
  <c r="Y165" i="5"/>
  <c r="K160" i="5"/>
  <c r="Y11" i="5"/>
  <c r="AA4" i="5" s="1"/>
  <c r="Y166" i="5" l="1"/>
  <c r="AA160" i="5" s="1"/>
  <c r="E11" i="2"/>
  <c r="G7" i="2" s="1"/>
  <c r="P33" i="2" l="1"/>
  <c r="P84" i="2"/>
  <c r="P96" i="2"/>
  <c r="P140" i="2"/>
  <c r="P436" i="2"/>
  <c r="X83" i="2" l="1"/>
  <c r="Y83" i="2" s="1"/>
  <c r="AA81" i="2" s="1"/>
  <c r="P83" i="2"/>
  <c r="X347" i="2"/>
  <c r="Y347" i="2" s="1"/>
  <c r="AA345" i="2" s="1"/>
  <c r="P347" i="2"/>
  <c r="X319" i="2"/>
  <c r="Y319" i="2" s="1"/>
  <c r="AA317" i="2" s="1"/>
  <c r="P319" i="2"/>
  <c r="X32" i="2"/>
  <c r="Y32" i="2" s="1"/>
  <c r="AA30" i="2" s="1"/>
  <c r="P32" i="2"/>
  <c r="X275" i="2"/>
  <c r="Y275" i="2" s="1"/>
  <c r="AA273" i="2" s="1"/>
  <c r="P275" i="2"/>
  <c r="X141" i="2"/>
  <c r="Y141" i="2" s="1"/>
  <c r="AA139" i="2" s="1"/>
  <c r="P139" i="2"/>
  <c r="X438" i="2"/>
  <c r="Y438" i="2" s="1"/>
  <c r="AA436" i="2" s="1"/>
  <c r="X95" i="2"/>
  <c r="Y95" i="2" s="1"/>
  <c r="AA93" i="2" s="1"/>
  <c r="P95" i="2"/>
  <c r="N1" i="5"/>
  <c r="N1" i="4"/>
  <c r="Q159" i="5" l="1"/>
  <c r="S159" i="5" s="1"/>
  <c r="Q136" i="5"/>
  <c r="S135" i="5" s="1"/>
  <c r="Q80" i="5"/>
  <c r="S80" i="5" s="1"/>
  <c r="Q162" i="5"/>
  <c r="Q140" i="5"/>
  <c r="S140" i="5" s="1"/>
  <c r="Q163" i="5"/>
  <c r="Q7" i="5"/>
  <c r="Q16" i="5"/>
  <c r="Q67" i="5"/>
  <c r="Q50" i="5"/>
  <c r="Q40" i="5"/>
  <c r="Q20" i="5"/>
  <c r="Q36" i="5"/>
  <c r="Q99" i="5"/>
  <c r="S98" i="5" s="1"/>
  <c r="Q84" i="5"/>
  <c r="S83" i="5" s="1"/>
  <c r="Q66" i="5"/>
  <c r="S64" i="5" s="1"/>
  <c r="Q106" i="5"/>
  <c r="S104" i="5" s="1"/>
  <c r="Q46" i="5"/>
  <c r="S46" i="5" s="1"/>
  <c r="Q61" i="5"/>
  <c r="S61" i="5" s="1"/>
  <c r="Q49" i="5"/>
  <c r="S47" i="5" s="1"/>
  <c r="Q56" i="5"/>
  <c r="S56" i="5" s="1"/>
  <c r="Q45" i="5"/>
  <c r="S43" i="5" s="1"/>
  <c r="Q29" i="5"/>
  <c r="S29" i="5" s="1"/>
  <c r="Q35" i="5"/>
  <c r="S33" i="5" s="1"/>
  <c r="Q39" i="5"/>
  <c r="S37" i="5" s="1"/>
  <c r="Q15" i="5"/>
  <c r="S13" i="5" s="1"/>
  <c r="Q6" i="5"/>
  <c r="S4" i="5" s="1"/>
  <c r="Q19" i="5"/>
  <c r="S17" i="5" s="1"/>
  <c r="N154" i="4"/>
  <c r="Q154" i="4" s="1"/>
  <c r="S154" i="4" s="1"/>
  <c r="N103" i="4"/>
  <c r="Q103" i="4" s="1"/>
  <c r="N89" i="4"/>
  <c r="Q89" i="4" s="1"/>
  <c r="N48" i="4"/>
  <c r="Q48" i="4" s="1"/>
  <c r="S48" i="4" s="1"/>
  <c r="N241" i="4"/>
  <c r="Q241" i="4" s="1"/>
  <c r="N88" i="4"/>
  <c r="Q88" i="4" s="1"/>
  <c r="N46" i="4"/>
  <c r="Q46" i="4" s="1"/>
  <c r="S46" i="4" s="1"/>
  <c r="N240" i="4"/>
  <c r="Q240" i="4" s="1"/>
  <c r="N178" i="4"/>
  <c r="Q178" i="4" s="1"/>
  <c r="S177" i="4" s="1"/>
  <c r="N99" i="4"/>
  <c r="Q99" i="4" s="1"/>
  <c r="Q261" i="4"/>
  <c r="S261" i="4" s="1"/>
  <c r="N194" i="4"/>
  <c r="Q194" i="4" s="1"/>
  <c r="N228" i="4"/>
  <c r="Q228" i="4" s="1"/>
  <c r="S228" i="4" s="1"/>
  <c r="N193" i="4"/>
  <c r="Q193" i="4" s="1"/>
  <c r="N136" i="4"/>
  <c r="Q136" i="4" s="1"/>
  <c r="S136" i="4" s="1"/>
  <c r="N133" i="4"/>
  <c r="Q133" i="4" s="1"/>
  <c r="N53" i="4"/>
  <c r="Q53" i="4" s="1"/>
  <c r="N132" i="4"/>
  <c r="Q132" i="4" s="1"/>
  <c r="N93" i="4"/>
  <c r="Q93" i="4" s="1"/>
  <c r="N66" i="4"/>
  <c r="Q66" i="4" s="1"/>
  <c r="N51" i="4"/>
  <c r="Q51" i="4" s="1"/>
  <c r="S51" i="4" s="1"/>
  <c r="N44" i="4"/>
  <c r="Q44" i="4" s="1"/>
  <c r="S42" i="4" s="1"/>
  <c r="N196" i="4"/>
  <c r="Q196" i="4" s="1"/>
  <c r="S196" i="4" s="1"/>
  <c r="N110" i="4"/>
  <c r="Q110" i="4" s="1"/>
  <c r="S110" i="4" s="1"/>
  <c r="N104" i="4"/>
  <c r="Q104" i="4" s="1"/>
  <c r="N115" i="4"/>
  <c r="Q115" i="4" s="1"/>
  <c r="S113" i="4" s="1"/>
  <c r="N65" i="4"/>
  <c r="Q65" i="4" s="1"/>
  <c r="N49" i="4"/>
  <c r="Q49" i="4" s="1"/>
  <c r="S49" i="4" s="1"/>
  <c r="N19" i="4"/>
  <c r="Q19" i="4" s="1"/>
  <c r="S19" i="4" s="1"/>
  <c r="N17" i="4"/>
  <c r="Q17" i="4" s="1"/>
  <c r="S17" i="4" s="1"/>
  <c r="Q24" i="4"/>
  <c r="N16" i="4"/>
  <c r="Q16" i="4" s="1"/>
  <c r="S16" i="4" s="1"/>
  <c r="N8" i="4"/>
  <c r="Q8" i="4" s="1"/>
  <c r="S8" i="4" s="1"/>
  <c r="N11" i="4"/>
  <c r="Q11" i="4" s="1"/>
  <c r="S9" i="4" s="1"/>
  <c r="N26" i="4"/>
  <c r="Q26" i="4" s="1"/>
  <c r="N7" i="4"/>
  <c r="Q7" i="4" s="1"/>
  <c r="S7" i="4" s="1"/>
  <c r="N25" i="4"/>
  <c r="Q25" i="4" s="1"/>
  <c r="N22" i="4"/>
  <c r="Q22" i="4" s="1"/>
  <c r="S22" i="4" s="1"/>
  <c r="N21" i="4"/>
  <c r="Q21" i="4" s="1"/>
  <c r="S21" i="4" s="1"/>
  <c r="S160" i="5"/>
  <c r="S53" i="4"/>
  <c r="S99" i="4"/>
  <c r="S93" i="4"/>
  <c r="Q67" i="4" l="1"/>
  <c r="S63" i="4" s="1"/>
  <c r="Q242" i="4"/>
  <c r="S238" i="4" s="1"/>
  <c r="Q134" i="4"/>
  <c r="S130" i="4" s="1"/>
  <c r="Q195" i="4"/>
  <c r="S193" i="4" s="1"/>
  <c r="Q105" i="4"/>
  <c r="S103" i="4" s="1"/>
  <c r="Q90" i="4"/>
  <c r="S88" i="4" s="1"/>
  <c r="Q27" i="4"/>
  <c r="S24" i="4" s="1"/>
  <c r="N1" i="2"/>
  <c r="N348" i="2" l="1"/>
  <c r="Q348" i="2" s="1"/>
  <c r="N242" i="2"/>
  <c r="N84" i="2"/>
  <c r="N347" i="2"/>
  <c r="Q347" i="2" s="1"/>
  <c r="S345" i="2" s="1"/>
  <c r="N163" i="2"/>
  <c r="N83" i="2"/>
  <c r="Q83" i="2" s="1"/>
  <c r="S81" i="2" s="1"/>
  <c r="N320" i="2"/>
  <c r="Q320" i="2" s="1"/>
  <c r="N162" i="2"/>
  <c r="N52" i="2"/>
  <c r="N18" i="2"/>
  <c r="N319" i="2"/>
  <c r="Q319" i="2" s="1"/>
  <c r="S317" i="2" s="1"/>
  <c r="N140" i="2"/>
  <c r="Q140" i="2" s="1"/>
  <c r="N51" i="2"/>
  <c r="N353" i="2"/>
  <c r="N436" i="2"/>
  <c r="Q436" i="2" s="1"/>
  <c r="S436" i="2" s="1"/>
  <c r="N276" i="2"/>
  <c r="Q276" i="2" s="1"/>
  <c r="N139" i="2"/>
  <c r="Q139" i="2" s="1"/>
  <c r="S139" i="2" s="1"/>
  <c r="N33" i="2"/>
  <c r="Q33" i="2" s="1"/>
  <c r="N243" i="2"/>
  <c r="N410" i="2"/>
  <c r="Q410" i="2" s="1"/>
  <c r="S408" i="2" s="1"/>
  <c r="N275" i="2"/>
  <c r="Q275" i="2" s="1"/>
  <c r="S273" i="2" s="1"/>
  <c r="N96" i="2"/>
  <c r="Q96" i="2" s="1"/>
  <c r="N32" i="2"/>
  <c r="Q32" i="2" s="1"/>
  <c r="S30" i="2" s="1"/>
  <c r="N354" i="2"/>
  <c r="N252" i="2"/>
  <c r="Q252" i="2" s="1"/>
  <c r="S250" i="2" s="1"/>
  <c r="N95" i="2"/>
  <c r="Q95" i="2" s="1"/>
  <c r="S93" i="2" s="1"/>
  <c r="N17" i="2"/>
  <c r="N87" i="2"/>
  <c r="Q84" i="2"/>
  <c r="K132" i="2" l="1"/>
  <c r="K90" i="2"/>
  <c r="P243" i="2" l="1"/>
  <c r="Q243" i="2" s="1"/>
  <c r="X242" i="2" l="1"/>
  <c r="Y242" i="2" s="1"/>
  <c r="AA240" i="2" s="1"/>
  <c r="P242" i="2"/>
  <c r="Q242" i="2" s="1"/>
  <c r="S240" i="2" s="1"/>
  <c r="X354" i="2"/>
  <c r="Y354" i="2" s="1"/>
  <c r="X88" i="2"/>
  <c r="Y88" i="2" s="1"/>
  <c r="P18" i="2"/>
  <c r="Q18" i="2" s="1"/>
  <c r="P163" i="2" l="1"/>
  <c r="Q163" i="2" s="1"/>
  <c r="X163" i="2"/>
  <c r="Y163" i="2" s="1"/>
  <c r="P52" i="2"/>
  <c r="Q52" i="2" s="1"/>
  <c r="X52" i="2"/>
  <c r="Y52" i="2" s="1"/>
  <c r="X17" i="2"/>
  <c r="Y17" i="2" s="1"/>
  <c r="AA15" i="2" s="1"/>
  <c r="X18" i="2"/>
  <c r="Y18" i="2" s="1"/>
  <c r="P17" i="2"/>
  <c r="Q17" i="2" s="1"/>
  <c r="S15" i="2" s="1"/>
  <c r="X162" i="2"/>
  <c r="Y162" i="2" s="1"/>
  <c r="AA160" i="2" s="1"/>
  <c r="P162" i="2"/>
  <c r="Q162" i="2" s="1"/>
  <c r="S160" i="2" s="1"/>
  <c r="X87" i="2"/>
  <c r="Y87" i="2" s="1"/>
  <c r="AA85" i="2" s="1"/>
  <c r="P87" i="2"/>
  <c r="Q87" i="2" s="1"/>
  <c r="S85" i="2" s="1"/>
  <c r="X353" i="2"/>
  <c r="Y353" i="2" s="1"/>
  <c r="AA351" i="2" s="1"/>
  <c r="P353" i="2"/>
  <c r="Q353" i="2" s="1"/>
  <c r="S351" i="2" s="1"/>
  <c r="X51" i="2"/>
  <c r="Y51" i="2" s="1"/>
  <c r="AA49" i="2" s="1"/>
  <c r="P51" i="2"/>
  <c r="Q51" i="2" s="1"/>
  <c r="S49" i="2" s="1"/>
</calcChain>
</file>

<file path=xl/sharedStrings.xml><?xml version="1.0" encoding="utf-8"?>
<sst xmlns="http://schemas.openxmlformats.org/spreadsheetml/2006/main" count="7982" uniqueCount="3258">
  <si>
    <t>Biphenyl</t>
  </si>
  <si>
    <t>92-52-4</t>
  </si>
  <si>
    <t>2-Chlorobiphenyl</t>
  </si>
  <si>
    <t>2051-60-7</t>
  </si>
  <si>
    <t>3-Chlorobiphenyl</t>
  </si>
  <si>
    <t>2051-61-8</t>
  </si>
  <si>
    <t>4-Chlorobiphenyl</t>
  </si>
  <si>
    <t>2051-62-9</t>
  </si>
  <si>
    <t>2,2'-Dichlorobiphenyl</t>
  </si>
  <si>
    <t>13029-08-8</t>
  </si>
  <si>
    <t>2,3-Dichlorobiphenyl</t>
  </si>
  <si>
    <t>16605-91-7</t>
  </si>
  <si>
    <t>2,3'-Dichlorobiphenyl</t>
  </si>
  <si>
    <t>25569-80-6</t>
  </si>
  <si>
    <t>2,4-Dichlorobiphenyl</t>
  </si>
  <si>
    <t>33284-50-3</t>
  </si>
  <si>
    <t>2,4'-Dichlorobiphenyl</t>
  </si>
  <si>
    <t>34883-43-7</t>
  </si>
  <si>
    <t>2,5-Dichlorobiphenyl</t>
  </si>
  <si>
    <t>34883-39-1</t>
  </si>
  <si>
    <t>2,6-Dichlorobiphenyl</t>
  </si>
  <si>
    <t>33146-45-1</t>
  </si>
  <si>
    <t>3,3'-Dichlorobiphenyl</t>
  </si>
  <si>
    <t>2050-67-1</t>
  </si>
  <si>
    <t>3,4-Dichlorobiphenyl</t>
  </si>
  <si>
    <t>2974-92-7</t>
  </si>
  <si>
    <t>3,4'-Dichlorobiphenyl</t>
  </si>
  <si>
    <t>2974-90-5</t>
  </si>
  <si>
    <t>3,5-Dichlorobiphenyl</t>
  </si>
  <si>
    <t>34883-41-5</t>
  </si>
  <si>
    <t>4,4'-Dichlorobiphenyl</t>
  </si>
  <si>
    <t>2050-68-2</t>
  </si>
  <si>
    <t>2,2',3-Trichlorobiphenyl</t>
  </si>
  <si>
    <t>38444-78-9</t>
  </si>
  <si>
    <t>2,2',4-Trichlorobiphenyl</t>
  </si>
  <si>
    <t>37680-66-3</t>
  </si>
  <si>
    <t>2,2',5-Trichlorobiphenyl</t>
  </si>
  <si>
    <t>37680-65-2</t>
  </si>
  <si>
    <t>2,2',6-Trichlorobiphenyl</t>
  </si>
  <si>
    <t>38444-73-4</t>
  </si>
  <si>
    <t>2,3,3'-Trichlorobiphenyl</t>
  </si>
  <si>
    <t>38444-84-7</t>
  </si>
  <si>
    <t>2,3,4-Trichlorobiphenyl</t>
  </si>
  <si>
    <t>55702-46-0</t>
  </si>
  <si>
    <t>2,3,4'-Trichlorobiphenyl</t>
  </si>
  <si>
    <t>38444-85-8</t>
  </si>
  <si>
    <t>2,3,5-Trichlorobiphenyl</t>
  </si>
  <si>
    <t>55720-44-0</t>
  </si>
  <si>
    <t>2,3,6-Trichlorobiphenyl</t>
  </si>
  <si>
    <t>55702-45-9</t>
  </si>
  <si>
    <t>2,3',4-Trichlorobiphenyl</t>
  </si>
  <si>
    <t>55712-37-3</t>
  </si>
  <si>
    <t>2,3',5-Trichlorobiphenyl</t>
  </si>
  <si>
    <t>38444-81-4</t>
  </si>
  <si>
    <t>2,3',6-Trichlorobiphenyl</t>
  </si>
  <si>
    <t>38444-76-7</t>
  </si>
  <si>
    <t>2,4,4'-Trichlorobiphenyl</t>
  </si>
  <si>
    <t>7012-37-5</t>
  </si>
  <si>
    <t>2,4,5-Trichlorobiphenyl</t>
  </si>
  <si>
    <t>15862-07-4</t>
  </si>
  <si>
    <t>2,4,6-Trichlorobiphenyl</t>
  </si>
  <si>
    <t>35693-92-6</t>
  </si>
  <si>
    <t>2,4',5-Trichlorobiphenyl</t>
  </si>
  <si>
    <t>16606-02-3</t>
  </si>
  <si>
    <t>2,4',6-Trichlorobiphenyl</t>
  </si>
  <si>
    <t>38444-77-8</t>
  </si>
  <si>
    <t>2,3',4'-Trichlorobiphenyl</t>
  </si>
  <si>
    <t>38444-86-9</t>
  </si>
  <si>
    <t>2,3',5'-Trichlorobiphenyl</t>
  </si>
  <si>
    <t>37680-68-5</t>
  </si>
  <si>
    <t>3,3',4-Trichlorobiphenyl</t>
  </si>
  <si>
    <t>37680-69-6</t>
  </si>
  <si>
    <t>3,3',5-Trichlorobiphenyl</t>
  </si>
  <si>
    <t>38444-87-0</t>
  </si>
  <si>
    <t>3,4,4'-Trichlorobiphenyl</t>
  </si>
  <si>
    <t>38444-90-5</t>
  </si>
  <si>
    <t>3,4,5-Trichlorobiphenyl</t>
  </si>
  <si>
    <t>53555-66-1</t>
  </si>
  <si>
    <t>3,4',5-Trichlorobiphenyl</t>
  </si>
  <si>
    <t>38444-88-1</t>
  </si>
  <si>
    <t>2,2',3,3'-Tetrachlorobiphenyl</t>
  </si>
  <si>
    <t>38444-93-8</t>
  </si>
  <si>
    <t>2,2',3,4-Tetrachlorobiphenyl</t>
  </si>
  <si>
    <t>52663-59-9</t>
  </si>
  <si>
    <t>2,2',3,4'-Tetrachlorobiphenyl</t>
  </si>
  <si>
    <t>36559-22-5</t>
  </si>
  <si>
    <t>2,2',3,5-Tetrachlorobiphenyl</t>
  </si>
  <si>
    <t>70362-46-8</t>
  </si>
  <si>
    <t>2,2',3,5'-Tetrachlorobiphenyl</t>
  </si>
  <si>
    <t>41464-39-5</t>
  </si>
  <si>
    <t>2,2',3,6-Tetrachlorobiphenyl</t>
  </si>
  <si>
    <t>70362-45-7</t>
  </si>
  <si>
    <t>2,2',3,6'-Tetrachlorobiphenyl</t>
  </si>
  <si>
    <t>41464-47-5</t>
  </si>
  <si>
    <t>2,2',4,4'-Tetrachlorobiphenyl</t>
  </si>
  <si>
    <t>2437-79-8</t>
  </si>
  <si>
    <t>2,2',4,5-Tetrachlorobiphenyl</t>
  </si>
  <si>
    <t>70362-47-9</t>
  </si>
  <si>
    <t>2,2',4,5'-Tetrachlorobiphenyl</t>
  </si>
  <si>
    <t>41464-40-8</t>
  </si>
  <si>
    <t>2,2',4,6-Tetrachlorobiphenyl</t>
  </si>
  <si>
    <t>62796-65-0</t>
  </si>
  <si>
    <t>2,2',4,6'-Tetrachlorobiphenyl</t>
  </si>
  <si>
    <t>68194-04-7</t>
  </si>
  <si>
    <t>2,2',5,5'-Tetrachlorobiphenyl</t>
  </si>
  <si>
    <t>35693-99-3</t>
  </si>
  <si>
    <t>2,2',5,6'-Tetrachlorobiphenyl</t>
  </si>
  <si>
    <t>41464-41-9</t>
  </si>
  <si>
    <t>2,2',6,6'-Tetrachlorobiphenyl</t>
  </si>
  <si>
    <t>15968-05-5</t>
  </si>
  <si>
    <t>2,3,3',4-Tetrachlorobiphenyl</t>
  </si>
  <si>
    <t>74338-24-2</t>
  </si>
  <si>
    <t>2,3,3',4'-Tetrachlorobiphenyl</t>
  </si>
  <si>
    <t>41464-43-1</t>
  </si>
  <si>
    <t>2,3,3',5-Tetrachlorobiphenyl</t>
  </si>
  <si>
    <t>70424-67-8</t>
  </si>
  <si>
    <t>2,3,3',5'-Tetrachlorobiphenyl</t>
  </si>
  <si>
    <t>41464-49-7</t>
  </si>
  <si>
    <t>2,3,3',6-Tetrachlorobiphenyl</t>
  </si>
  <si>
    <t>74472-33-6</t>
  </si>
  <si>
    <t>2,3,4,4'-Tetrachlorobiphenyl</t>
  </si>
  <si>
    <t>33025-41-1</t>
  </si>
  <si>
    <t>2,3,4,5-Tetrachlorobiphenyl</t>
  </si>
  <si>
    <t>33284-53-6</t>
  </si>
  <si>
    <t>2,3,4,6-Tetrachlorobiphenyl</t>
  </si>
  <si>
    <t>54230-22-7</t>
  </si>
  <si>
    <t>2,3,4',5-Tetrachlorobiphenyl</t>
  </si>
  <si>
    <t>74472-34-7</t>
  </si>
  <si>
    <t>2,3,4',6-Tetrachlorobiphenyl</t>
  </si>
  <si>
    <t>52663-58-8</t>
  </si>
  <si>
    <t>2,3,5,6-Tetrachlorobiphenyl</t>
  </si>
  <si>
    <t>33284-54-7</t>
  </si>
  <si>
    <t>2,3',4,4'-Tetrachlorobiphenyl</t>
  </si>
  <si>
    <t>32598-10-0</t>
  </si>
  <si>
    <t>2,3',4,5-Tetrachlorobiphenyl</t>
  </si>
  <si>
    <t>73575-53-8</t>
  </si>
  <si>
    <t>2,3',4,5'-Tetrachlorobiphenyl</t>
  </si>
  <si>
    <t>73575-52-7</t>
  </si>
  <si>
    <t>2,3',4,6-Tetrachlorobiphenyl</t>
  </si>
  <si>
    <t>60233-24-1</t>
  </si>
  <si>
    <t>2,3',4',5-Tetrachlorobiphenyl</t>
  </si>
  <si>
    <t>32598-11-1</t>
  </si>
  <si>
    <t>2,3',4',6-Tetrachlorobiphenyl</t>
  </si>
  <si>
    <t>41464-46-4</t>
  </si>
  <si>
    <t>2,3',5,5'-Tetrachlorobiphenyl</t>
  </si>
  <si>
    <t>41464-42-0</t>
  </si>
  <si>
    <t>2,3',5',6-Tetrachlorobiphenyl</t>
  </si>
  <si>
    <t>74338-23-1</t>
  </si>
  <si>
    <t>2,4,4',5-Tetrachlorobiphenyl</t>
  </si>
  <si>
    <t>32690-93-0</t>
  </si>
  <si>
    <t>2,4,4',6-Tetrachlorobiphenyl</t>
  </si>
  <si>
    <t>32598-12-2</t>
  </si>
  <si>
    <t>2,3',4',5'-Tetrachlorobiphenyl</t>
  </si>
  <si>
    <t>70362-48-0</t>
  </si>
  <si>
    <t>3,3',4,4'-Tetrachlorobiphenyl</t>
  </si>
  <si>
    <t>32598-13-3</t>
  </si>
  <si>
    <t>3,3',4,5-Tetrachlorobiphenyl</t>
  </si>
  <si>
    <t>70362-49-1</t>
  </si>
  <si>
    <t>3,3',4,5'-Tetrachlorobiphenyl</t>
  </si>
  <si>
    <t>41464-48-6</t>
  </si>
  <si>
    <t>3,3',5,5'-Tetrachlorobiphenyl</t>
  </si>
  <si>
    <t>33284-52-5</t>
  </si>
  <si>
    <t>3,4,4',5-Tetrachlorobiphenyl</t>
  </si>
  <si>
    <t>70362-50-4</t>
  </si>
  <si>
    <t>2,2',3,3',4-Pentachlorobiphenyl</t>
  </si>
  <si>
    <t>52663-62-4</t>
  </si>
  <si>
    <t>2,2',3,3',5-Pentachlorobiphenyl</t>
  </si>
  <si>
    <t>60145-20-2</t>
  </si>
  <si>
    <t>2,2',3,3',6-Pentachlorobiphenyl</t>
  </si>
  <si>
    <t>52663-60-2</t>
  </si>
  <si>
    <t>2,2',3,4,4'-Pentachlorobiphenyl</t>
  </si>
  <si>
    <t>65510-45-4</t>
  </si>
  <si>
    <t>2,2',3,4,5-Pentachlorobiphenyl</t>
  </si>
  <si>
    <t>55312-69-1</t>
  </si>
  <si>
    <t>2,2',3,4,5'-Pentachlorobiphenyl</t>
  </si>
  <si>
    <t>38380-02-8</t>
  </si>
  <si>
    <t>2,2',3,4,6-Pentachlorobiphenyl</t>
  </si>
  <si>
    <t>55215-17-3</t>
  </si>
  <si>
    <t>2,2',3,4,6'-Pentachlorobiphenyl</t>
  </si>
  <si>
    <t>73575-57-2</t>
  </si>
  <si>
    <t>2,2',3,4',5-Pentachlorobiphenyl</t>
  </si>
  <si>
    <t>68194-07-0</t>
  </si>
  <si>
    <t>2,2',3,4',6-Pentachlorobiphenyl</t>
  </si>
  <si>
    <t>68194-05-8</t>
  </si>
  <si>
    <t>2,2',3,5,5'-Pentachlorobiphenyl</t>
  </si>
  <si>
    <t>52663-61-3</t>
  </si>
  <si>
    <t>2,2',3,5,6-Pentachlorobiphenyl</t>
  </si>
  <si>
    <t>73575-56-1</t>
  </si>
  <si>
    <t>2,2',3,5,6'-Pentachlorobiphenyl</t>
  </si>
  <si>
    <t>73575-55-0</t>
  </si>
  <si>
    <t>2,2',3,5',6-Pentachlorobiphenyl</t>
  </si>
  <si>
    <t>38379-99-6</t>
  </si>
  <si>
    <t>2,2',3,6,6'-Pentachlorobiphenyl</t>
  </si>
  <si>
    <t>73575-54-9</t>
  </si>
  <si>
    <t>2,2',3,4',5'-Pentachlorobiphenyl</t>
  </si>
  <si>
    <t>41464-51-1</t>
  </si>
  <si>
    <t>2,2',3,4',6'-Pentachlorobiphenyl</t>
  </si>
  <si>
    <t>60233-25-2</t>
  </si>
  <si>
    <t>2,2',4,4',5-Pentachlorobiphenyl</t>
  </si>
  <si>
    <t>38380-01-7</t>
  </si>
  <si>
    <t>2,2',4,4',6-Pentachlorobiphenyl</t>
  </si>
  <si>
    <t>39485-83-1</t>
  </si>
  <si>
    <t>2,2',4,5,5'-Pentachlorobiphenyl</t>
  </si>
  <si>
    <t>37680-73-2</t>
  </si>
  <si>
    <t>2,2',4,5,6'-Pentachlorobiphenyl</t>
  </si>
  <si>
    <t>68194-06-9</t>
  </si>
  <si>
    <t>2,2',4,5',6-Pentachlorobiphenyl</t>
  </si>
  <si>
    <t>60145-21-3</t>
  </si>
  <si>
    <t>2,2',4,6,6'-Pentachlorobiphenyl</t>
  </si>
  <si>
    <t>56558-16-8</t>
  </si>
  <si>
    <t>2,3,3',4,4'-Pentachlorobiphenyl</t>
  </si>
  <si>
    <t>32598-14-4</t>
  </si>
  <si>
    <t>2,3,3',4,5-Pentachlorobiphenyl</t>
  </si>
  <si>
    <t>70424-69-0</t>
  </si>
  <si>
    <t>2,3,3',4',5-Pentachlorobiphenyl</t>
  </si>
  <si>
    <t>70424-68-9</t>
  </si>
  <si>
    <t>2,3,3',4,5'-Pentachlorobiphenyl</t>
  </si>
  <si>
    <t>70362-41-3</t>
  </si>
  <si>
    <t>2,3,3',4,6-Pentachlorobiphenyl</t>
  </si>
  <si>
    <t>74472-35-8</t>
  </si>
  <si>
    <t>2,3,3',4',6-Pentachlorobiphenyl</t>
  </si>
  <si>
    <t>38380-03-9</t>
  </si>
  <si>
    <t>2,3,3',5,5'-Pentachlorobiphenyl</t>
  </si>
  <si>
    <t>39635-32-0</t>
  </si>
  <si>
    <t>2,3,3',5,6-Pentachlorobiphenyl</t>
  </si>
  <si>
    <t>74472-36-9</t>
  </si>
  <si>
    <t>2,3,3',5',6-Pentachlorobiphenyl</t>
  </si>
  <si>
    <t>68194-10-5</t>
  </si>
  <si>
    <t>2,3,4,4',5-Pentachlorobiphenyl</t>
  </si>
  <si>
    <t>74472-37-0</t>
  </si>
  <si>
    <t>2,3,4,4',6-Pentachlorobiphenyl</t>
  </si>
  <si>
    <t>74472-38-1</t>
  </si>
  <si>
    <t>2,3,4,5,6-Pentachlorobiphenyl</t>
  </si>
  <si>
    <t>18259-05-7</t>
  </si>
  <si>
    <t>2,3,4',5,6-Pentachlorobiphenyl</t>
  </si>
  <si>
    <t>68194-11-6</t>
  </si>
  <si>
    <t>2,3',4,4',5-Pentachlorobiphenyl</t>
  </si>
  <si>
    <t>31508-00-6</t>
  </si>
  <si>
    <t>2,3',4,4',6-Pentachlorobiphenyl</t>
  </si>
  <si>
    <t>56558-17-9</t>
  </si>
  <si>
    <t>2,3',4,5,5'-Pentachlorobiphenyl</t>
  </si>
  <si>
    <t>68194-12-7</t>
  </si>
  <si>
    <t>2,3',4,5',6-Pentachlorobiphenyl</t>
  </si>
  <si>
    <t>56558-18-0</t>
  </si>
  <si>
    <t>2,3,3',4',5'-Pentachlorobiphenyl</t>
  </si>
  <si>
    <t>76842-07-4</t>
  </si>
  <si>
    <t>2,3',4,4',5'-Pentachlorobiphenyl</t>
  </si>
  <si>
    <t>65510-44-3</t>
  </si>
  <si>
    <t>2,3',4',5,5'-Pentachlorobiphenyl</t>
  </si>
  <si>
    <t>70424-70-3</t>
  </si>
  <si>
    <t>2,3',4',5',6-Pentachlorobiphenyl</t>
  </si>
  <si>
    <t>74472-39-2</t>
  </si>
  <si>
    <t>3,3',4,4',5-Pentachlorobiphenyl</t>
  </si>
  <si>
    <t>57465-28-8</t>
  </si>
  <si>
    <t>3,3',4,5,5'-Pentachlorobiphenyl</t>
  </si>
  <si>
    <t>39635-33-1</t>
  </si>
  <si>
    <t>2,2',3,3',4,4'-Hexachlorobiphenyl</t>
  </si>
  <si>
    <t>38380-07-3</t>
  </si>
  <si>
    <t>2,2',3,3',4,5-Hexachlorobiphenyl</t>
  </si>
  <si>
    <t>55215-18-4</t>
  </si>
  <si>
    <t>2,2',3,3',4,5'-Hexachlorobiphenyl</t>
  </si>
  <si>
    <t>52663-66-8</t>
  </si>
  <si>
    <t>2,2',3,3',4,6-Hexachlorobiphenyl</t>
  </si>
  <si>
    <t>61798-70-7</t>
  </si>
  <si>
    <t>2,2',3,3',4,6'-Hexachlorobiphenyl</t>
  </si>
  <si>
    <t>38380-05-1</t>
  </si>
  <si>
    <t>2,2',3,3',5,5'-Hexachlorobiphenyl</t>
  </si>
  <si>
    <t>35694-04-3</t>
  </si>
  <si>
    <t>2,2',3,3',5,6-Hexachlorobiphenyl</t>
  </si>
  <si>
    <t>52704-70-8</t>
  </si>
  <si>
    <t>2,2',3,3',5,6'-Hexachlorobiphenyl</t>
  </si>
  <si>
    <t>52744-13-5</t>
  </si>
  <si>
    <t>2,2',3,3',6,6'-Hexachlorobiphenyl</t>
  </si>
  <si>
    <t>38411-22-2</t>
  </si>
  <si>
    <t>2,2',3,4,4',5-Hexachlorobiphenyl</t>
  </si>
  <si>
    <t>35694-06-5</t>
  </si>
  <si>
    <t>2,2',3,4,4',5'-Hexachlorobiphenyl</t>
  </si>
  <si>
    <t>35065-28-2</t>
  </si>
  <si>
    <t>2,2',3,4,4',6-Hexachlorobiphenyl</t>
  </si>
  <si>
    <t>56030-56-9</t>
  </si>
  <si>
    <t>2,2',3,4,4',6'-Hexachlorobiphenyl</t>
  </si>
  <si>
    <t>59291-64-4</t>
  </si>
  <si>
    <t>2,2',3,4,5,5'-Hexachlorobiphenyl</t>
  </si>
  <si>
    <t>52712-04-6</t>
  </si>
  <si>
    <t>2,2',3,4,5,6-Hexachlorobiphenyl</t>
  </si>
  <si>
    <t>41411-61-4</t>
  </si>
  <si>
    <t>2,2',3,4,5,6'-Hexachlorobiphenyl</t>
  </si>
  <si>
    <t>68194-15-0</t>
  </si>
  <si>
    <t>2,2',3,4,5',6-Hexachlorobiphenyl</t>
  </si>
  <si>
    <t>68194-14-9</t>
  </si>
  <si>
    <t>2,2',3,4,6,6'-Hexachlorobiphenyl</t>
  </si>
  <si>
    <t>74472-40-5</t>
  </si>
  <si>
    <t>2,2',3,4',5,5'-Hexachlorobiphenyl</t>
  </si>
  <si>
    <t>51908-16-8</t>
  </si>
  <si>
    <t>2,2',3,4',5,6-Hexachlorobiphenyl</t>
  </si>
  <si>
    <t>68194-13-8</t>
  </si>
  <si>
    <t>2,2',3,4',5,6'-Hexachlorobiphenyl</t>
  </si>
  <si>
    <t>74472-41-6</t>
  </si>
  <si>
    <t>2,2',3,4',5',6-Hexachlorobiphenyl</t>
  </si>
  <si>
    <t>38380-04-0</t>
  </si>
  <si>
    <t>2,2',3,4',6,6'-Hexachlorobiphenyl</t>
  </si>
  <si>
    <t>68194-08-1</t>
  </si>
  <si>
    <t>2,2',3,5,5',6-Hexachlorobiphenyl</t>
  </si>
  <si>
    <t>52663-63-5</t>
  </si>
  <si>
    <t>2,2',3,5,6,6'-Hexachlorobiphenyl</t>
  </si>
  <si>
    <t>68194-09-2</t>
  </si>
  <si>
    <t>2,2',4,4',5,5'-Hexachlorobiphenyl</t>
  </si>
  <si>
    <t>35065-27-1</t>
  </si>
  <si>
    <t>2,2',4,4',5,6'-Hexachlorobiphenyl</t>
  </si>
  <si>
    <t>60145-22-4</t>
  </si>
  <si>
    <t>2,2',4,4',6,6'-Hexachlorobiphenyl</t>
  </si>
  <si>
    <t>33979-03-2</t>
  </si>
  <si>
    <t>2,3,3',4,4',5-Hexachlorobiphenyl</t>
  </si>
  <si>
    <t>38380-08-4</t>
  </si>
  <si>
    <t>2,3,3',4,4',5'-Hexachlorobiphenyl</t>
  </si>
  <si>
    <t>69782-90-7</t>
  </si>
  <si>
    <t>2,3,3',4,4',6-Hexachlorobiphenyl</t>
  </si>
  <si>
    <t>74472-42-7</t>
  </si>
  <si>
    <t>2,3,3',4,5,5'-Hexachlorobiphenyl</t>
  </si>
  <si>
    <t>39635-35-3</t>
  </si>
  <si>
    <t>2,3,3',4,5,6-Hexachlorobiphenyl</t>
  </si>
  <si>
    <t>41411-62-5</t>
  </si>
  <si>
    <t>2,3,3',4,5',6-Hexachlorobiphenyl</t>
  </si>
  <si>
    <t>74472-43-8</t>
  </si>
  <si>
    <t>2,3,3',4',5,5'-Hexachlorobiphenyl</t>
  </si>
  <si>
    <t>39635-34-2</t>
  </si>
  <si>
    <t>2,3,3',4',5,6-Hexachlorobiphenyl</t>
  </si>
  <si>
    <t>74472-44-9</t>
  </si>
  <si>
    <t>2,3,3',4',5',6-Hexachlorobiphenyl</t>
  </si>
  <si>
    <t>74472-45-0</t>
  </si>
  <si>
    <t>2,3,3',5,5',6-Hexachlorobiphenyl</t>
  </si>
  <si>
    <t>74472-46-1</t>
  </si>
  <si>
    <t>2,3,4,4',5,6-Hexachlorobiphenyl</t>
  </si>
  <si>
    <t>41411-63-6</t>
  </si>
  <si>
    <t>2,3',4,4',5,5'-Hexachlorobiphenyl</t>
  </si>
  <si>
    <t>52663-72-6</t>
  </si>
  <si>
    <t>2,3',4,4',5',6-Hexachlorobiphenyl</t>
  </si>
  <si>
    <t>59291-65-5</t>
  </si>
  <si>
    <t>3,3',4,4',5,5'-Hexachlorobiphenyl</t>
  </si>
  <si>
    <t>32774-16-6</t>
  </si>
  <si>
    <t>2,2',3,3',4,4',5-Heptachlorobiphenyl</t>
  </si>
  <si>
    <t>35065-30-6</t>
  </si>
  <si>
    <t>2,2',3,3',4,4',6-Heptachlorobiphenyl</t>
  </si>
  <si>
    <t>52663-71-5</t>
  </si>
  <si>
    <t>2,2',3,3',4,5,5'-Heptachlorobiphenyl</t>
  </si>
  <si>
    <t>52663-74-8</t>
  </si>
  <si>
    <t>2,2',3,3',4,5,6-Heptachlorobiphenyl</t>
  </si>
  <si>
    <t>68194-16-1</t>
  </si>
  <si>
    <t>2,2',3,3',4,5,6'-Heptachlorobiphenyl</t>
  </si>
  <si>
    <t>38411-25-5</t>
  </si>
  <si>
    <t>2,2',3,3',4,5',6-Heptachlorobiphenyl</t>
  </si>
  <si>
    <t>40186-70-7</t>
  </si>
  <si>
    <t>2,2',3,3',4,6,6'-Heptachlorobiphenyl</t>
  </si>
  <si>
    <t>52663-65-7</t>
  </si>
  <si>
    <t>2,2',3,3',4,5',6'-Heptachlorobiphenyl</t>
  </si>
  <si>
    <t>52663-70-4</t>
  </si>
  <si>
    <t>2,2',3,3',5,5',6-Heptachlorobiphenyl</t>
  </si>
  <si>
    <t>52663-67-9</t>
  </si>
  <si>
    <t>2,2',3,3',5,6,6'-Heptachlorobiphenyl</t>
  </si>
  <si>
    <t>52663-64-6</t>
  </si>
  <si>
    <t>2,2',3,4,4',5,5'-Heptachlorobiphenyl</t>
  </si>
  <si>
    <t>35065-29-3</t>
  </si>
  <si>
    <t>2,2',3,4,4',5,6-Heptachlorobiphenyl</t>
  </si>
  <si>
    <t>74472-47-2</t>
  </si>
  <si>
    <t>2,2',3,4,4',5,6'-Heptachlorobiphenyl</t>
  </si>
  <si>
    <t>60145-23-5</t>
  </si>
  <si>
    <t>2,2',3,4,4',5',6-Heptachlorobiphenyl</t>
  </si>
  <si>
    <t>52663-69-1</t>
  </si>
  <si>
    <t>2,2',3,4,4',6,6'-Heptachlorobiphenyl</t>
  </si>
  <si>
    <t>74472-48-3</t>
  </si>
  <si>
    <t>2,2',3,4,5,5',6-Heptachlorobiphenyl</t>
  </si>
  <si>
    <t>52712-05-7</t>
  </si>
  <si>
    <t>2,2',3,4,5,6,6'-Heptachlorobiphenyl</t>
  </si>
  <si>
    <t>74472-49-4</t>
  </si>
  <si>
    <t>2,2',3,4',5,5',6-Heptachlorobiphenyl</t>
  </si>
  <si>
    <t>52663-68-0</t>
  </si>
  <si>
    <t>2,2',3,4',5,6,6'-Heptachlorobiphenyl</t>
  </si>
  <si>
    <t>74487-85-7</t>
  </si>
  <si>
    <t>2,3,3',4,4',5,5'-Heptachlorobiphenyl</t>
  </si>
  <si>
    <t>39635-31-9</t>
  </si>
  <si>
    <t>2,3,3',4,4',5,6-Heptachlorobiphenyl</t>
  </si>
  <si>
    <t>41411-64-7</t>
  </si>
  <si>
    <t>2,3,3',4,4',5',6-Heptachlorobiphenyl</t>
  </si>
  <si>
    <t>74472-50-7</t>
  </si>
  <si>
    <t>2,3,3',4,5,5',6-Heptachlorobiphenyl</t>
  </si>
  <si>
    <t>74472-51-8</t>
  </si>
  <si>
    <t>2,3,3',4',5,5',6-Heptachlorobiphenyl</t>
  </si>
  <si>
    <t>69782-91-8</t>
  </si>
  <si>
    <t>2,2',3,3',4,4',5,5'-Octachlorobiphenyl</t>
  </si>
  <si>
    <t>35694-08-7</t>
  </si>
  <si>
    <t>2,2',3,3',4,4',5,6-Octachlorobiphenyl</t>
  </si>
  <si>
    <t>52663-78-2</t>
  </si>
  <si>
    <t>2,2',3,3',4,4',5,6'-Octachlorobiphenyl</t>
  </si>
  <si>
    <t>42740-50-1</t>
  </si>
  <si>
    <t>2,2',3,3',4,4',6,6'-Octachlorobiphenyl</t>
  </si>
  <si>
    <t>33091-17-7</t>
  </si>
  <si>
    <t>2,2',3,3',4,5,5',6-Octachlorobiphenyl</t>
  </si>
  <si>
    <t>68194-17-2</t>
  </si>
  <si>
    <t>2,2',3,3',4,5,5',6'-Octachlorobiphenyl</t>
  </si>
  <si>
    <t>52663-75-9</t>
  </si>
  <si>
    <t>2,2',3,3',4,5,6,6'-Octachlorobiphenyl</t>
  </si>
  <si>
    <t>52663-73-7</t>
  </si>
  <si>
    <t>2,2',3,3',4,5',6,6'-Octachlorobiphenyl</t>
  </si>
  <si>
    <t>40186-71-8</t>
  </si>
  <si>
    <t>2,2',3,3',5,5',6,6'-Octachlorobiphenyl</t>
  </si>
  <si>
    <t>2136-99-4</t>
  </si>
  <si>
    <t>2,2',3,4,4',5,5',6-Octachlorobiphenyl</t>
  </si>
  <si>
    <t>52663-76-0</t>
  </si>
  <si>
    <t>2,2',3,4,4',5,6,6'-Octachlorobiphenyl</t>
  </si>
  <si>
    <t>74472-52-9</t>
  </si>
  <si>
    <t>2,3,3',4,4',5,5',6-Octachlorobiphenyl</t>
  </si>
  <si>
    <t>74472-53-0</t>
  </si>
  <si>
    <t>2,2',3,3',4,4',5,5',6-Nonachlorobiphenyl</t>
  </si>
  <si>
    <t>40186-72-9</t>
  </si>
  <si>
    <t>2,2',3,3',4,4',5,6,6'-Nonachlorobiphenyl</t>
  </si>
  <si>
    <t>52663-79-3</t>
  </si>
  <si>
    <t>2,2',3,3',4,5,5',6,6'-Nonachlorobiphenyl</t>
  </si>
  <si>
    <t>52663-77-1</t>
  </si>
  <si>
    <t>Decachlorobiphenyl</t>
  </si>
  <si>
    <t>2051-24-3</t>
  </si>
  <si>
    <t>Name</t>
  </si>
  <si>
    <t>CAS #</t>
  </si>
  <si>
    <t>Congener #</t>
  </si>
  <si>
    <t>Diphenyl ether</t>
  </si>
  <si>
    <t>101-84-8</t>
  </si>
  <si>
    <t>2-Bromodiphenyl ether</t>
  </si>
  <si>
    <t>7025-06-1</t>
  </si>
  <si>
    <t>3-Bromodiphenyl ether</t>
  </si>
  <si>
    <t>4-Bromodiphenyl ether</t>
  </si>
  <si>
    <t>6876-00-2</t>
  </si>
  <si>
    <t>101-55-3</t>
  </si>
  <si>
    <t>Class</t>
  </si>
  <si>
    <t>PCB</t>
  </si>
  <si>
    <t>PBDE</t>
  </si>
  <si>
    <t>2,2'-Dibromodiphenyl ether</t>
  </si>
  <si>
    <t>2,3-Dibromodiphenyl ether</t>
  </si>
  <si>
    <t>2,3'-Dibromodiphenyl ether</t>
  </si>
  <si>
    <t>2,4-Dibromodiphenyl ether</t>
  </si>
  <si>
    <t>2,4'-Dibromodiphenyl ether</t>
  </si>
  <si>
    <t>2,5-Dibromodiphenyl ether</t>
  </si>
  <si>
    <t>2,6-Dibromodiphenyl ether</t>
  </si>
  <si>
    <t>3,3'-Dibromodiphenyl ether</t>
  </si>
  <si>
    <t>3,4-Dibromodiphenyl ether</t>
  </si>
  <si>
    <t>3,4'-Dibromodiphenyl ether</t>
  </si>
  <si>
    <t>3,5-Dibromodiphenyl ether</t>
  </si>
  <si>
    <t>4,4'-Dibromodiphenyl ether</t>
  </si>
  <si>
    <t>2050-47-7</t>
  </si>
  <si>
    <t>2,2',3-Tribromodiphenyl ether</t>
  </si>
  <si>
    <t>2,2',4-Tribromodiphenyl ether</t>
  </si>
  <si>
    <t>2,2',5-Tribromodiphenyl ether</t>
  </si>
  <si>
    <t>2,2',6-Tribromodiphenyl ether</t>
  </si>
  <si>
    <t>2,3,3'-Tribromodiphenyl ether</t>
  </si>
  <si>
    <t>2,3,4-Tribromodiphenyl ether</t>
  </si>
  <si>
    <t>2,3,4'-Tribromodiphenyl ether</t>
  </si>
  <si>
    <t>2,3,5-Tribromodiphenyl ether</t>
  </si>
  <si>
    <t>2,3,6-Tribromodiphenyl ether</t>
  </si>
  <si>
    <t>2,3',4-Tribromodiphenyl ether</t>
  </si>
  <si>
    <t>2,3',5-Tribromodiphenyl ether</t>
  </si>
  <si>
    <t>2,3',6-Tribromodiphenyl ether</t>
  </si>
  <si>
    <t>2,4,4'-Tribromodiphenyl ether</t>
  </si>
  <si>
    <t>2,4,5-Tribromodiphenyl ether</t>
  </si>
  <si>
    <t>2,4,6-Tribromodiphenyl ether</t>
  </si>
  <si>
    <t>2,4',5-Tribromodiphenyl ether</t>
  </si>
  <si>
    <t>2,4',6-Tribromodiphenyl ether</t>
  </si>
  <si>
    <t>2,3',4'-Tribromodiphenyl ether</t>
  </si>
  <si>
    <t>2,3',5'-Tribromodiphenyl ether</t>
  </si>
  <si>
    <t>3,3',4-Tribromodiphenyl ether</t>
  </si>
  <si>
    <t>3,3',5-Tribromodiphenyl ether</t>
  </si>
  <si>
    <t>3,4,4'-Tribromodiphenyl ether</t>
  </si>
  <si>
    <t>3,4,5-Tribromodiphenyl ether</t>
  </si>
  <si>
    <t>3,4',5-Tribromodiphenyl ether</t>
  </si>
  <si>
    <t>2,2',3,3'-Tetrabromodiphenyl ether</t>
  </si>
  <si>
    <t>2,2',3,4-Tetrabromodiphenyl ether</t>
  </si>
  <si>
    <t>2,2',3,4'-Tetrabromodiphenyl ether</t>
  </si>
  <si>
    <t>2,2',3,5-Tetrabromodiphenyl ether</t>
  </si>
  <si>
    <t>2,2',3,5'-Tetrabromodiphenyl ether</t>
  </si>
  <si>
    <t>2,2',3,6-Tetrabromodiphenyl ether</t>
  </si>
  <si>
    <t>2,2',3,6'-Tetrabromodiphenyl ether</t>
  </si>
  <si>
    <t>2,2',4,4'-Tetrabromodiphenyl ether</t>
  </si>
  <si>
    <t>2,2',4,5-Tetrabromodiphenyl ether</t>
  </si>
  <si>
    <t>2,2',4,5'-Tetrabromodiphenyl ether</t>
  </si>
  <si>
    <t>2,2',4,6-Tetrabromodiphenyl ether</t>
  </si>
  <si>
    <t>2,2',4,6'-Tetrabromodiphenyl ether</t>
  </si>
  <si>
    <t>2,2',5,5'-Tetrabromodiphenyl ether</t>
  </si>
  <si>
    <t>2,2',5,6'-Tetrabromodiphenyl ether</t>
  </si>
  <si>
    <t>2,2',6,6'-Tetrabromodiphenyl ether</t>
  </si>
  <si>
    <t>2,3,3',4-Tetrabromodiphenyl ether</t>
  </si>
  <si>
    <t>2,3,3',4'-Tetrabromodiphenyl ether</t>
  </si>
  <si>
    <t>2,3,3',5-Tetrabromodiphenyl ether</t>
  </si>
  <si>
    <t>2,3,3',5'-Tetrabromodiphenyl ether</t>
  </si>
  <si>
    <t>2,3,3',6-Tetrabromodiphenyl ether</t>
  </si>
  <si>
    <t>2,3,4,4'-Tetrabromodiphenyl ether</t>
  </si>
  <si>
    <t>2,3,4,5-Tetrabromodiphenyl ether</t>
  </si>
  <si>
    <t>2,3,4,6-Tetrabromodiphenyl ether</t>
  </si>
  <si>
    <t>2,3,4',5-Tetrabromodiphenyl ether</t>
  </si>
  <si>
    <t>2,3,4',6-Tetrabromodiphenyl ether</t>
  </si>
  <si>
    <t>2,3,5,6-Tetrabromodiphenyl ether</t>
  </si>
  <si>
    <t>2,3',4,4'-Tetrabromodiphenyl ether</t>
  </si>
  <si>
    <t>2,3',4,5-Tetrabromodiphenyl ether</t>
  </si>
  <si>
    <t>2,3',4,5'-Tetrabromodiphenyl ether</t>
  </si>
  <si>
    <t>2,3',4,6-Tetrabromodiphenyl ether</t>
  </si>
  <si>
    <t>2,3',4',5-Tetrabromodiphenyl ether</t>
  </si>
  <si>
    <t>2,3',4',6-Tetrabromodiphenyl ether</t>
  </si>
  <si>
    <t>2,3',5,5'-Tetrabromodiphenyl ether</t>
  </si>
  <si>
    <t>2,3',5',6-Tetrabromodiphenyl ether</t>
  </si>
  <si>
    <t>2,4,4',5-Tetrabromodiphenyl ether</t>
  </si>
  <si>
    <t>2,4,4',6-Tetrabromodiphenyl ether</t>
  </si>
  <si>
    <t>2,3',4',5'-Tetrabromodiphenyl ether</t>
  </si>
  <si>
    <t>3,3',4,4'-Tetrabromodiphenyl ether</t>
  </si>
  <si>
    <t>3,3',4,5-Tetrabromodiphenyl ether</t>
  </si>
  <si>
    <t>3,3',4,5'-Tetrabromodiphenyl ether</t>
  </si>
  <si>
    <t>3,3',5,5'-Tetrabromodiphenyl ether</t>
  </si>
  <si>
    <t>3,4,4',5-Tetrabromodiphenyl ether</t>
  </si>
  <si>
    <t>2,2',3,3',4-Pentabromodiphenyl ether</t>
  </si>
  <si>
    <t>2,2',3,3',5-Pentabromodiphenyl ether</t>
  </si>
  <si>
    <t>2,2',3,3',6-Pentabromodiphenyl ether</t>
  </si>
  <si>
    <t>2,2',3,4,4'-Pentabromodiphenyl ether</t>
  </si>
  <si>
    <t>2,2',3,4,5-Pentabromodiphenyl ether</t>
  </si>
  <si>
    <t>2,2',3,4,5'-Pentabromodiphenyl ether</t>
  </si>
  <si>
    <t>2,2',3,4,6-Pentabromodiphenyl ether</t>
  </si>
  <si>
    <t>2,2',3,4,6'-Pentabromodiphenyl ether</t>
  </si>
  <si>
    <t>2,2',3,4',5-Pentabromodiphenyl ether</t>
  </si>
  <si>
    <t>2,2',3,4',6-Pentabromodiphenyl ether</t>
  </si>
  <si>
    <t>2,2',3,5,5'-Pentabromodiphenyl ether</t>
  </si>
  <si>
    <t>2,2',3,5,6-Pentabromodiphenyl ether</t>
  </si>
  <si>
    <t>2,2',3,5,6'-Pentabromodiphenyl ether</t>
  </si>
  <si>
    <t>2,2',3,5',6-Pentabromodiphenyl ether</t>
  </si>
  <si>
    <t>2,2',3,6,6'-Pentabromodiphenyl ether</t>
  </si>
  <si>
    <t>2,2',3,4',5'-Pentabromodiphenyl ether</t>
  </si>
  <si>
    <t>2,2',3,4',6'-Pentabromodiphenyl ether</t>
  </si>
  <si>
    <t>2,2',4,4',5-Pentabromodiphenyl ether</t>
  </si>
  <si>
    <t>2,2',4,4',6-Pentabromodiphenyl ether</t>
  </si>
  <si>
    <t>2,2',4,5,5'-Pentabromodiphenyl ether</t>
  </si>
  <si>
    <t>2,2',4,5,6'-Pentabromodiphenyl ether</t>
  </si>
  <si>
    <t>2,2',4,5',6-Pentabromodiphenyl ether</t>
  </si>
  <si>
    <t>2,2',4,6,6'-Pentabromodiphenyl ether</t>
  </si>
  <si>
    <t>2,3,3',4,4'-Pentabromodiphenyl ether</t>
  </si>
  <si>
    <t>2,3,3',4,5-Pentabromodiphenyl ether</t>
  </si>
  <si>
    <t>2,3,3',4',5-Pentabromodiphenyl ether</t>
  </si>
  <si>
    <t>2,3,3',4,5'-Pentabromodiphenyl ether</t>
  </si>
  <si>
    <t>2,3,3',4,6-Pentabromodiphenyl ether</t>
  </si>
  <si>
    <t>2,3,3',4',6-Pentabromodiphenyl ether</t>
  </si>
  <si>
    <t>2,3,3',5,5'-Pentabromodiphenyl ether</t>
  </si>
  <si>
    <t>2,3,3',5,6-Pentabromodiphenyl ether</t>
  </si>
  <si>
    <t>2,3,3',5',6-Pentabromodiphenyl ether</t>
  </si>
  <si>
    <t>2,3,4,4',5-Pentabromodiphenyl ether</t>
  </si>
  <si>
    <t>2,3,4,4',6-Pentabromodiphenyl ether</t>
  </si>
  <si>
    <t>2,3,4,5,6-Pentabromodiphenyl ether</t>
  </si>
  <si>
    <t>2,3,4',5,6-Pentabromodiphenyl ether</t>
  </si>
  <si>
    <t>2,3',4,4',5-Pentabromodiphenyl ether</t>
  </si>
  <si>
    <t>2,3',4,4',6-Pentabromodiphenyl ether</t>
  </si>
  <si>
    <t>2,3',4,5,5'-Pentabromodiphenyl ether</t>
  </si>
  <si>
    <t>2,3',4,5',6-Pentabromodiphenyl ether</t>
  </si>
  <si>
    <t>2,3,3',4',5'-Pentabromodiphenyl ether</t>
  </si>
  <si>
    <t>2,3',4,4',5'-Pentabromodiphenyl ether</t>
  </si>
  <si>
    <t>2,3',4',5,5'-Pentabromodiphenyl ether</t>
  </si>
  <si>
    <t>2,3',4',5',6-Pentabromodiphenyl ether</t>
  </si>
  <si>
    <t>3,3',4,4',5-Pentabromodiphenyl ether</t>
  </si>
  <si>
    <t>3,3',4,5,5'-Pentabromodiphenyl ether</t>
  </si>
  <si>
    <t>2,2',3,3',4,4'-Hexabromodiphenyl ether</t>
  </si>
  <si>
    <t>2,2',3,3',4,5-Hexabromodiphenyl ether</t>
  </si>
  <si>
    <t>2,2',3,3',4,5'-Hexabromodiphenyl ether</t>
  </si>
  <si>
    <t>2,2',3,3',4,6-Hexabromodiphenyl ether</t>
  </si>
  <si>
    <t>2,2',3,3',4,6'-Hexabromodiphenyl ether</t>
  </si>
  <si>
    <t>2,2',3,3',5,5'-Hexabromodiphenyl ether</t>
  </si>
  <si>
    <t>2,2',3,3',5,6-Hexabromodiphenyl ether</t>
  </si>
  <si>
    <t>2,2',3,3',5,6'-Hexabromodiphenyl ether</t>
  </si>
  <si>
    <t>2,2',3,3',6,6'-Hexabromodiphenyl ether</t>
  </si>
  <si>
    <t>2,2',3,4,4',5-Hexabromodiphenyl ether</t>
  </si>
  <si>
    <t>2,2',3,4,4',5'-Hexabromodiphenyl ether</t>
  </si>
  <si>
    <t>2,2',3,4,4',6-Hexabromodiphenyl ether</t>
  </si>
  <si>
    <t>2,2',3,4,4',6'-Hexabromodiphenyl ether</t>
  </si>
  <si>
    <t>2,2',3,4,5,5'-Hexabromodiphenyl ether</t>
  </si>
  <si>
    <t>2,2',3,4,5,6-Hexabromodiphenyl ether</t>
  </si>
  <si>
    <t>2,2',3,4,5,6'-Hexabromodiphenyl ether</t>
  </si>
  <si>
    <t>2,2',3,4,5',6-Hexabromodiphenyl ether</t>
  </si>
  <si>
    <t>2,2',3,4,6,6'-Hexabromodiphenyl ether</t>
  </si>
  <si>
    <t>2,2',3,4',5,5'-Hexabromodiphenyl ether</t>
  </si>
  <si>
    <t>2,2',3,4',5,6-Hexabromodiphenyl ether</t>
  </si>
  <si>
    <t>2,2',3,4',5,6'-Hexabromodiphenyl ether</t>
  </si>
  <si>
    <t>2,2',3,4',5',6-Hexabromodiphenyl ether</t>
  </si>
  <si>
    <t>2,2',3,4',6,6'-Hexabromodiphenyl ether</t>
  </si>
  <si>
    <t>2,2',3,5,5',6-Hexabromodiphenyl ether</t>
  </si>
  <si>
    <t>2,2',3,5,6,6'-Hexabromodiphenyl ether</t>
  </si>
  <si>
    <t>2,2',4,4',5,5'-Hexabromodiphenyl ether</t>
  </si>
  <si>
    <t>2,2',4,4',5,6'-Hexabromodiphenyl ether</t>
  </si>
  <si>
    <t>2,2',4,4',6,6'-Hexabromodiphenyl ether</t>
  </si>
  <si>
    <t>2,3,3',4,4',5-Hexabromodiphenyl ether</t>
  </si>
  <si>
    <t>2,3,3',4,4',5'-Hexabromodiphenyl ether</t>
  </si>
  <si>
    <t>2,3,3',4,4',6-Hexabromodiphenyl ether</t>
  </si>
  <si>
    <t>2,3,3',4,5,5'-Hexabromodiphenyl ether</t>
  </si>
  <si>
    <t>2,3,3',4,5,6-Hexabromodiphenyl ether</t>
  </si>
  <si>
    <t>2,3,3',4,5',6-Hexabromodiphenyl ether</t>
  </si>
  <si>
    <t>2,3,3',4',5,5'-Hexabromodiphenyl ether</t>
  </si>
  <si>
    <t>2,3,3',4',5,6-Hexabromodiphenyl ether</t>
  </si>
  <si>
    <t>2,3,3',4',5',6-Hexabromodiphenyl ether</t>
  </si>
  <si>
    <t>2,3,3',5,5',6-Hexabromodiphenyl ether</t>
  </si>
  <si>
    <t>2,3,4,4',5,6-Hexabromodiphenyl ether</t>
  </si>
  <si>
    <t>2,3',4,4',5,5'-Hexabromodiphenyl ether</t>
  </si>
  <si>
    <t>2,3',4,4',5',6-Hexabromodiphenyl ether</t>
  </si>
  <si>
    <t>3,3',4,4',5,5'-Hexabromodiphenyl ether</t>
  </si>
  <si>
    <t>2,2',3,3',4,4',5-Heptabromodiphenyl ether</t>
  </si>
  <si>
    <t>2,2',3,3',4,4',6-Heptabromodiphenyl ether</t>
  </si>
  <si>
    <t>2,2',3,3',4,5,5'-Heptabromodiphenyl ether</t>
  </si>
  <si>
    <t>2,2',3,3',4,5,6-Heptabromodiphenyl ether</t>
  </si>
  <si>
    <t>2,2',3,3',4,5,6'-Heptabromodiphenyl ether</t>
  </si>
  <si>
    <t>2,2',3,3',4,5',6-Heptabromodiphenyl ether</t>
  </si>
  <si>
    <t>2,2',3,3',4,6,6'-Heptabromodiphenyl ether</t>
  </si>
  <si>
    <t>2,2',3,3',4,5',6'-Heptabromodiphenyl ether</t>
  </si>
  <si>
    <t>2,2',3,3',5,5',6-Heptabromodiphenyl ether</t>
  </si>
  <si>
    <t>2,2',3,3',5,6,6'-Heptabromodiphenyl ether</t>
  </si>
  <si>
    <t>2,2',3,4,4',5,5'-Heptabromodiphenyl ether</t>
  </si>
  <si>
    <t>2,2',3,4,4',5,6-Heptabromodiphenyl ether</t>
  </si>
  <si>
    <t>2,2',3,4,4',5,6'-Heptabromodiphenyl ether</t>
  </si>
  <si>
    <t>2,2',3,4,4',5',6-Heptabromodiphenyl ether</t>
  </si>
  <si>
    <t>2,2',3,4,4',6,6'-Heptabromodiphenyl ether</t>
  </si>
  <si>
    <t>2,2',3,4,5,5',6-Heptabromodiphenyl ether</t>
  </si>
  <si>
    <t>2,2',3,4,5,6,6'-Heptabromodiphenyl ether</t>
  </si>
  <si>
    <t>2,2',3,4',5,5',6-Heptabromodiphenyl ether</t>
  </si>
  <si>
    <t>2,2',3,4',5,6,6'-Heptabromodiphenyl ether</t>
  </si>
  <si>
    <t>2,3,3',4,4',5,5'-Heptabromodiphenyl ether</t>
  </si>
  <si>
    <t>2,3,3',4,4',5,6-Heptabromodiphenyl ether</t>
  </si>
  <si>
    <t>2,3,3',4,4',5',6-Heptabromodiphenyl ether</t>
  </si>
  <si>
    <t>2,3,3',4,5,5',6-Heptabromodiphenyl ether</t>
  </si>
  <si>
    <t>2,3,3',4',5,5',6-Heptabromodiphenyl ether</t>
  </si>
  <si>
    <t>2,2',3,3',4,4',5,5'-Octabromodiphenyl ether</t>
  </si>
  <si>
    <t>2,2',3,3',4,4',5,6-Octabromodiphenyl ether</t>
  </si>
  <si>
    <t>2,2',3,3',4,4',5,6'-Octabromodiphenyl ether</t>
  </si>
  <si>
    <t>2,2',3,3',4,4',6,6'-Octabromodiphenyl ether</t>
  </si>
  <si>
    <t>2,2',3,3',4,5,5',6-Octabromodiphenyl ether</t>
  </si>
  <si>
    <t>2,2',3,3',4,5,5',6'-Octabromodiphenyl ether</t>
  </si>
  <si>
    <t>2,2',3,3',4,5,6,6'-Octabromodiphenyl ether</t>
  </si>
  <si>
    <t>2,2',3,3',4,5',6,6'-Octabromodiphenyl ether</t>
  </si>
  <si>
    <t>2,2',3,3',5,5',6,6'-Octabromodiphenyl ether</t>
  </si>
  <si>
    <t>2,2',3,4,4',5,5',6-Octabromodiphenyl ether</t>
  </si>
  <si>
    <t>2,2',3,4,4',5,6,6'-Octabromodiphenyl ether</t>
  </si>
  <si>
    <t>2,3,3',4,4',5,5',6-Octabromodiphenyl ether</t>
  </si>
  <si>
    <t>2,2',3,3',4,4',5,5',6-Nonabromodiphenyl ether</t>
  </si>
  <si>
    <t>2,2',3,3',4,4',5,6,6'-Nonabromodiphenyl ether</t>
  </si>
  <si>
    <t>2,2',3,3',4,5,5',6,6'-Nonabromodiphenyl ether</t>
  </si>
  <si>
    <t>Decabromodiphenyl ether</t>
  </si>
  <si>
    <t>147217-79-6</t>
  </si>
  <si>
    <t>147217-81-0</t>
  </si>
  <si>
    <t>5436-43-1</t>
  </si>
  <si>
    <t>189084-62-6</t>
  </si>
  <si>
    <t>189084-63-7</t>
  </si>
  <si>
    <t>93703-48-1</t>
  </si>
  <si>
    <t>41318-75-6</t>
  </si>
  <si>
    <t>243982-82-3</t>
  </si>
  <si>
    <t>60348-60-9</t>
  </si>
  <si>
    <t>1163-19-5</t>
  </si>
  <si>
    <t>437701-79-6</t>
  </si>
  <si>
    <t>446255-56-7</t>
  </si>
  <si>
    <t>337513-72-1</t>
  </si>
  <si>
    <t>147217-80-9</t>
  </si>
  <si>
    <t>1-chlorodibenzodioxin</t>
  </si>
  <si>
    <t>PCDD</t>
  </si>
  <si>
    <t>39227-53-7</t>
  </si>
  <si>
    <t>39227-54-8</t>
  </si>
  <si>
    <t>1-Chlorodibenzo-p-dioxin</t>
  </si>
  <si>
    <t>2-Chlorodibenzo-p-dioxin</t>
  </si>
  <si>
    <t>Dibenzo-p-dioxin</t>
  </si>
  <si>
    <t>262-12-4</t>
  </si>
  <si>
    <t>1,2-Dichlorodibenzo-p-dioxin</t>
  </si>
  <si>
    <t>1,3-Dichlorodibenzo-p-dioxin</t>
  </si>
  <si>
    <t>1,4-Dichlorodibenzo-p-dioxin</t>
  </si>
  <si>
    <t>1,6-Dichlorodibenzo-p-dioxin</t>
  </si>
  <si>
    <t>1,7-Dichlorodibenzo-p-dioxin</t>
  </si>
  <si>
    <t>1,8-Dichlorodibenzo-p-dioxin</t>
  </si>
  <si>
    <t>1,9-Dichlorodibenzo-p-dioxin</t>
  </si>
  <si>
    <t>2,3-Dichlorodibenzo-p-dioxin</t>
  </si>
  <si>
    <t>54536-18-4</t>
  </si>
  <si>
    <t>50585-39-2</t>
  </si>
  <si>
    <t>54536-19-5</t>
  </si>
  <si>
    <t>38178-38-0</t>
  </si>
  <si>
    <t>82291-26-7</t>
  </si>
  <si>
    <t>82291-27-8</t>
  </si>
  <si>
    <t>2,7-Dichlorodibenzo-p-dioxin</t>
  </si>
  <si>
    <t>2,8-Dichlorodibenzo-p-dioxin</t>
  </si>
  <si>
    <t>1,2,3-trichlorodibenzodioxin</t>
  </si>
  <si>
    <t>1,2,4-trichlorodibenzodioxin</t>
  </si>
  <si>
    <t>1,2,6-trichlorodibenzodioxin</t>
  </si>
  <si>
    <t>1,2,7-trichlorodibenzodioxin</t>
  </si>
  <si>
    <t>1,2,8-trichlorodibenzodioxin</t>
  </si>
  <si>
    <t>1,2,9-trichlorodibenzodioxin</t>
  </si>
  <si>
    <t>1,3,6-trichlorodibenzodioxin</t>
  </si>
  <si>
    <t>1,3,7-trichlorodibenzodioxin</t>
  </si>
  <si>
    <t>1,3,8-trichlorodibenzodioxin</t>
  </si>
  <si>
    <t>1,3,9-trichlorodibenzodioxin</t>
  </si>
  <si>
    <t>1,4,6-trichlorodibenzodioxin</t>
  </si>
  <si>
    <t>1,4,7-trichlorodibenzodioxin</t>
  </si>
  <si>
    <t>1,7,8-trichlorodibenzodioxin</t>
  </si>
  <si>
    <t>2,3,7-trichlorodibenzodioxin</t>
  </si>
  <si>
    <t>1,2,3,4-tetrachlorodibenzodioxin</t>
  </si>
  <si>
    <t>1,2,3,7-tetrachlorodibenzodioxin</t>
  </si>
  <si>
    <t>1,2,3,9-tetrachlorodibenzodioxin</t>
  </si>
  <si>
    <t>1,2,4,7-tetrachlorodibenzodioxin</t>
  </si>
  <si>
    <t>1,2,4,9-tetrachlorodibenzodioxin</t>
  </si>
  <si>
    <t>1,2,6,7-tetrachlorodibenzodioxin</t>
  </si>
  <si>
    <t>1,2,6,9-tetrachlorodibenzodioxin</t>
  </si>
  <si>
    <t>1,2,7,9-tetrachlorodibenzodioxin</t>
  </si>
  <si>
    <t>1,3,6,8-tetrachlorodibenzodioxin</t>
  </si>
  <si>
    <t>1,3,7,8-tetrachlorodibenzodioxin</t>
  </si>
  <si>
    <t>1,4,6,9-tetrachlorodibenzodioxin</t>
  </si>
  <si>
    <t>1,2,3,6-tetrachlorodibenzodioxin</t>
  </si>
  <si>
    <t>1,2,3,8-tetrachlorodibenzodioxin</t>
  </si>
  <si>
    <t>1,2,4,6-tetrachlorodibenzodioxin</t>
  </si>
  <si>
    <t>1,2,4,8-tetrachlorodibenzodioxin</t>
  </si>
  <si>
    <t>1,2,6,8-tetrachlorodibenzodioxin</t>
  </si>
  <si>
    <t>1,2,7,8-tetrachlorodibenzodioxin</t>
  </si>
  <si>
    <t>1,2,8,9-tetrachlorodibenzodioxin</t>
  </si>
  <si>
    <t>1,3,6,9-tetrachlorodibenzodioxin</t>
  </si>
  <si>
    <t>1,3,7,9-tetrachlorodibenzodioxin</t>
  </si>
  <si>
    <t>1,4,7,8-tetrachlorodibenzodioxin</t>
  </si>
  <si>
    <t>2,3,7,8-tetrachlorodibenzodioxin</t>
  </si>
  <si>
    <t>1,2,3,4,6-pentachlorodibenzodioxin</t>
  </si>
  <si>
    <t>1,2,3,6,7-pentachlorodibenzodioxin</t>
  </si>
  <si>
    <t>1,2,3,6,9-pentachlorodibenzodioxin</t>
  </si>
  <si>
    <t>1,2,3,7,9-pentachlorodibenzodioxin</t>
  </si>
  <si>
    <t>1,2,4,6,7-pentachlorodibenzodioxin</t>
  </si>
  <si>
    <t>1,2,4,6,9-pentachlorodibenzodioxin</t>
  </si>
  <si>
    <t>1,2,4,7,9-pentachlorodibenzodioxin</t>
  </si>
  <si>
    <t>1,2,3,4,7-pentachlorodibenzodioxin</t>
  </si>
  <si>
    <t>1,2,3,6,8-pentachlorodibenzodioxin</t>
  </si>
  <si>
    <t>1,2,3,7,3-pentachlorodibenzodioxin</t>
  </si>
  <si>
    <t>1,2,3,8,9-pentachlorodibenzodioxin</t>
  </si>
  <si>
    <t>1,2,4,6,8-pentachlorodibenzodioxin</t>
  </si>
  <si>
    <t>1,2,4,7,8-pentachlorodibenzodioxin</t>
  </si>
  <si>
    <t>1,2,4,8,9-pentachlorodibenzodioxin</t>
  </si>
  <si>
    <t>1,2,3,4,6,7-hexachlorodibenzodioxin</t>
  </si>
  <si>
    <t>1,2,3,4,6,8-hexachlorodibenzodioxin</t>
  </si>
  <si>
    <t>1,2,3,4,6,9-hexachlorodibenzodioxin</t>
  </si>
  <si>
    <t>1,2,3,4,7,8-hexachlorodibenzodioxin</t>
  </si>
  <si>
    <t>1,2,3,6,7,8-hexachlorodibenzodioxin</t>
  </si>
  <si>
    <t>1,2,3,6,7,9-hexachlorodibenzodioxin</t>
  </si>
  <si>
    <t>1,2,3,6,8,9-hexachlorodibenzodioxin</t>
  </si>
  <si>
    <t>1,2,3,7,8,9-hexachlorodibenzodioxin</t>
  </si>
  <si>
    <t>1,2,4,6,7,9-hexachlorodibenzodioxin</t>
  </si>
  <si>
    <t>1,2,4,6,8,9-hexachlorodibenzodioxin</t>
  </si>
  <si>
    <t>1,2,3,4,6,7,8-heptachlorodibenzodioxin</t>
  </si>
  <si>
    <t>1,2,3,4,6,7,9-heptachlorodibenzodioxin</t>
  </si>
  <si>
    <t>1,2,3,4,6,7,8,9-octachlorodibenzodioxin</t>
  </si>
  <si>
    <t>1,2,3-Trichlorodibenzo-p-dioxin</t>
  </si>
  <si>
    <t>1,2,4-Trichlorodibenzo-p-dioxin</t>
  </si>
  <si>
    <t>1,2,6-Trichlorodibenzo-p-dioxin</t>
  </si>
  <si>
    <t>1,2,7-Trichlorodibenzo-p-dioxin</t>
  </si>
  <si>
    <t>1,2,8-Trichlorodibenzo-p-dioxin</t>
  </si>
  <si>
    <t>1,2,9-Trichlorodibenzo-p-dioxin</t>
  </si>
  <si>
    <t>1,3,6-Trichlorodibenzo-p-dioxin</t>
  </si>
  <si>
    <t>1,3,7-Trichlorodibenzo-p-dioxin</t>
  </si>
  <si>
    <t>1,3,8-Trichlorodibenzo-p-dioxin</t>
  </si>
  <si>
    <t>1,3,9-Trichlorodibenzo-p-dioxin</t>
  </si>
  <si>
    <t>1,4,6-Trichlorodibenzo-p-dioxin</t>
  </si>
  <si>
    <t>1,4,7-Trichlorodibenzo-p-dioxin</t>
  </si>
  <si>
    <t>1,7,8-Trichlorodibenzo-p-dioxin</t>
  </si>
  <si>
    <t>2,3,7-Trichlorodibenzo-p-dioxin</t>
  </si>
  <si>
    <t>1,2,3,4-Tetrachlorodibenzo-p-dioxin</t>
  </si>
  <si>
    <t>1,2,3,7-Tetrachlorodibenzo-p-dioxin</t>
  </si>
  <si>
    <t>1,2,3,9-Tetrachlorodibenzo-p-dioxin</t>
  </si>
  <si>
    <t>1,2,4,7-Tetrachlorodibenzo-p-dioxin</t>
  </si>
  <si>
    <t>1,2,4,9-Tetrachlorodibenzo-p-dioxin</t>
  </si>
  <si>
    <t>1,2,6,7-Tetrachlorodibenzo-p-dioxin</t>
  </si>
  <si>
    <t>1,2,6,9-Tetrachlorodibenzo-p-dioxin</t>
  </si>
  <si>
    <t>1,2,7,9-Tetrachlorodibenzo-p-dioxin</t>
  </si>
  <si>
    <t>1,3,6,8-Tetrachlorodibenzo-p-dioxin</t>
  </si>
  <si>
    <t>1,3,7,8-Tetrachlorodibenzo-p-dioxin</t>
  </si>
  <si>
    <t>1,4,6,9-Tetrachlorodibenzo-p-dioxin</t>
  </si>
  <si>
    <t>1,2,3,6-Tetrachlorodibenzo-p-dioxin</t>
  </si>
  <si>
    <t>1,2,3,8-Tetrachlorodibenzo-p-dioxin</t>
  </si>
  <si>
    <t>1,2,4,6-Tetrachlorodibenzo-p-dioxin</t>
  </si>
  <si>
    <t>1,2,4,8-Tetrachlorodibenzo-p-dioxin</t>
  </si>
  <si>
    <t>1,2,6,8-Tetrachlorodibenzo-p-dioxin</t>
  </si>
  <si>
    <t>1,2,7,8-Tetrachlorodibenzo-p-dioxin</t>
  </si>
  <si>
    <t>1,2,8,9-Tetrachlorodibenzo-p-dioxin</t>
  </si>
  <si>
    <t>1,3,6,9-Tetrachlorodibenzo-p-dioxin</t>
  </si>
  <si>
    <t>1,3,7,9-Tetrachlorodibenzo-p-dioxin</t>
  </si>
  <si>
    <t>1,4,7,8-Tetrachlorodibenzo-p-dioxin</t>
  </si>
  <si>
    <t>2,3,7,8-Tetrachlorodibenzo-p-dioxin</t>
  </si>
  <si>
    <t>1,2,3,4,6-Pentachlorodibenzo-p-dioxin</t>
  </si>
  <si>
    <t>1,2,3,6,7-Pentachlorodibenzo-p-dioxin</t>
  </si>
  <si>
    <t>1,2,3,6,9-Pentachlorodibenzo-p-dioxin</t>
  </si>
  <si>
    <t>1,2,3,7,9-Pentachlorodibenzo-p-dioxin</t>
  </si>
  <si>
    <t>1,2,4,6,7-Pentachlorodibenzo-p-dioxin</t>
  </si>
  <si>
    <t>1,2,4,6,9-Pentachlorodibenzo-p-dioxin</t>
  </si>
  <si>
    <t>1,2,4,7,9-Pentachlorodibenzo-p-dioxin</t>
  </si>
  <si>
    <t>1,2,3,4,7-Pentachlorodibenzo-p-dioxin</t>
  </si>
  <si>
    <t>1,2,3,6,8-Pentachlorodibenzo-p-dioxin</t>
  </si>
  <si>
    <t>1,2,3,8,9-Pentachlorodibenzo-p-dioxin</t>
  </si>
  <si>
    <t>1,2,4,6,8-Pentachlorodibenzo-p-dioxin</t>
  </si>
  <si>
    <t>1,2,4,7,8-Pentachlorodibenzo-p-dioxin</t>
  </si>
  <si>
    <t>1,2,4,8,9-Pentachlorodibenzo-p-dioxin</t>
  </si>
  <si>
    <t>1,2,3,4,6,7-Hexachlorodibenzo-p-dioxin</t>
  </si>
  <si>
    <t>1,2,3,4,6,8-Hexachlorodibenzo-p-dioxin</t>
  </si>
  <si>
    <t>1,2,3,4,6,9-Hexachlorodibenzo-p-dioxin</t>
  </si>
  <si>
    <t>1,2,3,4,7,8-Hexachlorodibenzo-p-dioxin</t>
  </si>
  <si>
    <t>1,2,3,6,7,8-Hexachlorodibenzo-p-dioxin</t>
  </si>
  <si>
    <t>1,2,3,6,7,9-Hexachlorodibenzo-p-dioxin</t>
  </si>
  <si>
    <t>1,2,3,6,8,9-Hexachlorodibenzo-p-dioxin</t>
  </si>
  <si>
    <t>1,2,3,7,8,9-Hexachlorodibenzo-p-dioxin</t>
  </si>
  <si>
    <t>1,2,4,6,7,9-Hexachlorodibenzo-p-dioxin</t>
  </si>
  <si>
    <t>1,2,4,6,8,9-Hexachlorodibenzo-p-dioxin</t>
  </si>
  <si>
    <t>1,2,3,4,6,7,8-Heptachlorodibenzo-p-dioxin</t>
  </si>
  <si>
    <t>1,2,3,4,6,7,9-Heptachlorodibenzo-p-dioxin</t>
  </si>
  <si>
    <t>Octachlorodibenzo-p-dioxin</t>
  </si>
  <si>
    <t>3268-87-9</t>
  </si>
  <si>
    <t>35822-46-9</t>
  </si>
  <si>
    <t>58200-70-7</t>
  </si>
  <si>
    <t>Original Name</t>
  </si>
  <si>
    <t>biphenyl</t>
  </si>
  <si>
    <t>2,2',3,3',4,4',5,5',6,6'-Decachlorobiphenyl</t>
  </si>
  <si>
    <t>diphenylether</t>
  </si>
  <si>
    <t>bromodiphenylether</t>
  </si>
  <si>
    <t>2,2'-Dibromodiphenylether</t>
  </si>
  <si>
    <t>2,3-Dibromodiphenylether</t>
  </si>
  <si>
    <t>2,3'-Dibromodiphenylether</t>
  </si>
  <si>
    <t>2,4-Dibromodiphenylether</t>
  </si>
  <si>
    <t>2,4'-Dibromodiphenylether</t>
  </si>
  <si>
    <t>2,5-Dibromodiphenylether</t>
  </si>
  <si>
    <t>2,6-Dibromodiphenylether</t>
  </si>
  <si>
    <t>3,3'-Dibromodiphenylether</t>
  </si>
  <si>
    <t>3,4-Dibromodiphenylether</t>
  </si>
  <si>
    <t>3,4'-Dibromodiphenylether</t>
  </si>
  <si>
    <t>3,5-Dibromodiphenylether</t>
  </si>
  <si>
    <t>4,4'-Dibromodiphenylether</t>
  </si>
  <si>
    <t>2,2',3-Tribromodiphenylether</t>
  </si>
  <si>
    <t>2,2',4-Tribromodiphenylether</t>
  </si>
  <si>
    <t>2,2',5-Tribromodiphenylether</t>
  </si>
  <si>
    <t>2,2',6-Tribromodiphenylether</t>
  </si>
  <si>
    <t>2,3,3'-Tribromodiphenylether</t>
  </si>
  <si>
    <t>2,3,4-Tribromodiphenylether</t>
  </si>
  <si>
    <t>2,3,4'-Tribromodiphenylether</t>
  </si>
  <si>
    <t>2,3,5-Tribromodiphenylether</t>
  </si>
  <si>
    <t>2,3,6-Tribromodiphenylether</t>
  </si>
  <si>
    <t>2,3',4-Tribromodiphenylether</t>
  </si>
  <si>
    <t>2,3',5-Tribromodiphenylether</t>
  </si>
  <si>
    <t>2,3',6-Tribromodiphenylether</t>
  </si>
  <si>
    <t>2,4,4'-Tribromodiphenylether</t>
  </si>
  <si>
    <t>2,4,5-Tribromodiphenylether</t>
  </si>
  <si>
    <t>2,4,6-Tribromodiphenylether</t>
  </si>
  <si>
    <t>2,4',5-Tribromodiphenylether</t>
  </si>
  <si>
    <t>2,4',6-Tribromodiphenylether</t>
  </si>
  <si>
    <t>2,3',4'-Tribromodiphenylether</t>
  </si>
  <si>
    <t>2,3',5'-Tribromodiphenylether</t>
  </si>
  <si>
    <t>3,3',4-Tribromodiphenylether</t>
  </si>
  <si>
    <t>3,3',5-Tribromodiphenylether</t>
  </si>
  <si>
    <t>3,4,4'-Tribromodiphenylether</t>
  </si>
  <si>
    <t>3,4,5-Tribromodiphenylether</t>
  </si>
  <si>
    <t>3,4',5-Tribromodiphenylether</t>
  </si>
  <si>
    <t>2,2',3,3'-Tetrabromodiphenylether</t>
  </si>
  <si>
    <t>2,2',3,4-Tetrabromodiphenylether</t>
  </si>
  <si>
    <t>2,2',3,4'-Tetrabromodiphenylether</t>
  </si>
  <si>
    <t>2,2',3,5-Tetrabromodiphenylether</t>
  </si>
  <si>
    <t>2,2',3,5'-Tetrabromodiphenylether</t>
  </si>
  <si>
    <t>2,2',3,6-Tetrabromodiphenylether</t>
  </si>
  <si>
    <t>2,2',3,6'-Tetrabromodiphenylether</t>
  </si>
  <si>
    <t>2,2',4,4'-Tetrabromodiphenylether</t>
  </si>
  <si>
    <t>2,2',4,5-Tetrabromodiphenylether</t>
  </si>
  <si>
    <t>2,2',4,5'-Tetrabromodiphenylether</t>
  </si>
  <si>
    <t>2,2',4,6-Tetrabromodiphenylether</t>
  </si>
  <si>
    <t>2,2',4,6'-Tetrabromodiphenylether</t>
  </si>
  <si>
    <t>2,2',5,5'-Tetrabromodiphenylether</t>
  </si>
  <si>
    <t>2,2',5,6'-Tetrabromodiphenylether</t>
  </si>
  <si>
    <t>2,2',6,6'-Tetrabromodiphenylether</t>
  </si>
  <si>
    <t>2,3,3',4-Tetrabromodiphenylether</t>
  </si>
  <si>
    <t>2,3,3',4'-Tetrabromodiphenylether</t>
  </si>
  <si>
    <t>2,3,3',5-Tetrabromodiphenylether</t>
  </si>
  <si>
    <t>2,3,3',5'-Tetrabromodiphenylether</t>
  </si>
  <si>
    <t>2,3,3',6-Tetrabromodiphenylether</t>
  </si>
  <si>
    <t>2,3,4,4'-Tetrabromodiphenylether</t>
  </si>
  <si>
    <t>2,3,4,5-Tetrabromodiphenylether</t>
  </si>
  <si>
    <t>2,3,4,6-Tetrabromodiphenylether</t>
  </si>
  <si>
    <t>2,3,4',5-Tetrabromodiphenylether</t>
  </si>
  <si>
    <t>2,3,4',6-Tetrabromodiphenylether</t>
  </si>
  <si>
    <t>2,3,5,6-Tetrabromodiphenylether</t>
  </si>
  <si>
    <t>2,3',4,4'-Tetrabromodiphenylether</t>
  </si>
  <si>
    <t>2,3',4,5-Tetrabromodiphenylether</t>
  </si>
  <si>
    <t>2,3',4,5'-Tetrabromodiphenylether</t>
  </si>
  <si>
    <t>2,3',4,6-Tetrabromodiphenylether</t>
  </si>
  <si>
    <t>2,3',4',5-Tetrabromodiphenylether</t>
  </si>
  <si>
    <t>2,3',4',6-Tetrabromodiphenylether</t>
  </si>
  <si>
    <t>2,3',5,5'-Tetrabromodiphenylether</t>
  </si>
  <si>
    <t>2,3',5',6-Tetrabromodiphenylether</t>
  </si>
  <si>
    <t>2,4,4',5-Tetrabromodiphenylether</t>
  </si>
  <si>
    <t>2,4,4',6-Tetrabromodiphenylether</t>
  </si>
  <si>
    <t>2,3',4',5'-Tetrabromodiphenylether</t>
  </si>
  <si>
    <t>3,3',4,4'-Tetrabromodiphenylether</t>
  </si>
  <si>
    <t>3,3',4,5-Tetrabromodiphenylether</t>
  </si>
  <si>
    <t>3,3',4,5'-Tetrabromodiphenylether</t>
  </si>
  <si>
    <t>3,3',5,5'-Tetrabromodiphenylether</t>
  </si>
  <si>
    <t>3,4,4',5-Tetrabromodiphenylether</t>
  </si>
  <si>
    <t>2,2',3,3',4-Pentabromodiphenylether</t>
  </si>
  <si>
    <t>2,2',3,3',5-Pentabromodiphenylether</t>
  </si>
  <si>
    <t>2,2',3,3',6-Pentabromodiphenylether</t>
  </si>
  <si>
    <t>2,2',3,4,4'-Pentabromodiphenylether</t>
  </si>
  <si>
    <t>2,2',3,4,5-Pentabromodiphenylether</t>
  </si>
  <si>
    <t>2,2',3,4,5'-Pentabromodiphenylether</t>
  </si>
  <si>
    <t>2,2',3,4,6-Pentabromodiphenylether</t>
  </si>
  <si>
    <t>2,2',3,4,6'-Pentabromodiphenylether</t>
  </si>
  <si>
    <t>2,2',3,4',5-Pentabromodiphenylether</t>
  </si>
  <si>
    <t>2,2',3,4',6-Pentabromodiphenylether</t>
  </si>
  <si>
    <t>2,2',3,5,5'-Pentabromodiphenylether</t>
  </si>
  <si>
    <t>2,2',3,5,6-Pentabromodiphenylether</t>
  </si>
  <si>
    <t>2,2',3,5,6'-Pentabromodiphenylether</t>
  </si>
  <si>
    <t>2,2',3,5',6-Pentabromodiphenylether</t>
  </si>
  <si>
    <t>2,2',3,6,6'-Pentabromodiphenylether</t>
  </si>
  <si>
    <t>2,2',3,4',5'-Pentabromodiphenylether</t>
  </si>
  <si>
    <t>2,2',3,4',6'-Pentabromodiphenylether</t>
  </si>
  <si>
    <t>2,2',4,4',5-Pentabromodiphenylether</t>
  </si>
  <si>
    <t>2,2',4,4',6-Pentabromodiphenylether</t>
  </si>
  <si>
    <t>2,2',4,5,5'-Pentabromodiphenylether</t>
  </si>
  <si>
    <t>2,2',4,5,6'-Pentabromodiphenylether</t>
  </si>
  <si>
    <t>2,2',4,5',6-Pentabromodiphenylether</t>
  </si>
  <si>
    <t>2,2',4,6,6'-Pentabromodiphenylether</t>
  </si>
  <si>
    <t>2,3,3',4,4'-Pentabromodiphenylether</t>
  </si>
  <si>
    <t>2,3,3',4,5-Pentabromodiphenylether</t>
  </si>
  <si>
    <t>2,3,3',4',5-Pentabromodiphenylether</t>
  </si>
  <si>
    <t>2,3,3',4,5'-Pentabromodiphenylether</t>
  </si>
  <si>
    <t>2,3,3',4,6-Pentabromodiphenylether</t>
  </si>
  <si>
    <t>2,3,3',4',6-Pentabromodiphenylether</t>
  </si>
  <si>
    <t>2,3,3',5,5'-Pentabromodiphenylether</t>
  </si>
  <si>
    <t>2,3,3',5,6-Pentabromodiphenylether</t>
  </si>
  <si>
    <t>2,3,3',5',6-Pentabromodiphenylether</t>
  </si>
  <si>
    <t>2,3,4,4',5-Pentabromodiphenylether</t>
  </si>
  <si>
    <t>2,3,4,4',6-Pentabromodiphenylether</t>
  </si>
  <si>
    <t>2,3,4,5,6-Pentabromodiphenylether</t>
  </si>
  <si>
    <t>2,3,4',5,6-Pentabromodiphenylether</t>
  </si>
  <si>
    <t>2,3',4,4',5-Pentabromodiphenylether</t>
  </si>
  <si>
    <t>2,3',4,4',6-Pentabromodiphenylether</t>
  </si>
  <si>
    <t>2,3',4,5,5'-Pentabromodiphenylether</t>
  </si>
  <si>
    <t>2,3',4,5',6-Pentabromodiphenylether</t>
  </si>
  <si>
    <t>2,3,3',4',5'-Pentabromodiphenylether</t>
  </si>
  <si>
    <t>2,3',4,4',5'-Pentabromodiphenylether</t>
  </si>
  <si>
    <t>2,3',4',5,5'-Pentabromodiphenylether</t>
  </si>
  <si>
    <t>2,3',4',5',6-Pentabromodiphenylether</t>
  </si>
  <si>
    <t>3,3',4,4',5-Pentabromodiphenylether</t>
  </si>
  <si>
    <t>3,3',4,5,5'-Pentabromodiphenylether</t>
  </si>
  <si>
    <t>2,2',3,3',4,4'-Hexabromodiphenylether</t>
  </si>
  <si>
    <t>2,2',3,3',4,5-Hexabromodiphenylether</t>
  </si>
  <si>
    <t>2,2',3,3',4,5'-Hexabromodiphenylether</t>
  </si>
  <si>
    <t>2,2',3,3',4,6-Hexabromodiphenylether</t>
  </si>
  <si>
    <t>2,2',3,3',4,6'-Hexabromodiphenylether</t>
  </si>
  <si>
    <t>2,2',3,3',5,5'-Hexabromodiphenylether</t>
  </si>
  <si>
    <t>2,2',3,3',5,6-Hexabromodiphenylether</t>
  </si>
  <si>
    <t>2,2',3,3',5,6'-Hexabromodiphenylether</t>
  </si>
  <si>
    <t>2,2',3,3',6,6'-Hexabromodiphenylether</t>
  </si>
  <si>
    <t>2,2',3,4,4',5-Hexabromodiphenylether</t>
  </si>
  <si>
    <t>2,2',3,4,4',5'-Hexabromodiphenylether</t>
  </si>
  <si>
    <t>2,2',3,4,4',6-Hexabromodiphenylether</t>
  </si>
  <si>
    <t>2,2',3,4,4',6'-Hexabromodiphenylether</t>
  </si>
  <si>
    <t>2,2',3,4,5,5'-Hexabromodiphenylether</t>
  </si>
  <si>
    <t>2,2',3,4,5,6-Hexabromodiphenylether</t>
  </si>
  <si>
    <t>2,2',3,4,5,6'-Hexabromodiphenylether</t>
  </si>
  <si>
    <t>2,2',3,4,5',6-Hexabromodiphenylether</t>
  </si>
  <si>
    <t>2,2',3,4,6,6'-Hexabromodiphenylether</t>
  </si>
  <si>
    <t>2,2',3,4',5,5'-Hexabromodiphenylether</t>
  </si>
  <si>
    <t>2,2',3,4',5,6-Hexabromodiphenylether</t>
  </si>
  <si>
    <t>2,2',3,4',5,6'-Hexabromodiphenylether</t>
  </si>
  <si>
    <t>2,2',3,4',5',6-Hexabromodiphenylether</t>
  </si>
  <si>
    <t>2,2',3,4',6,6'-Hexabromodiphenylether</t>
  </si>
  <si>
    <t>2,2',3,5,5',6-Hexabromodiphenylether</t>
  </si>
  <si>
    <t>2,2',3,5,6,6'-Hexabromodiphenylether</t>
  </si>
  <si>
    <t>2,2',4,4',5,5'-Hexabromodiphenylether</t>
  </si>
  <si>
    <t>2,2',4,4',5,6'-Hexabromodiphenylether</t>
  </si>
  <si>
    <t>2,2',4,4',6,6'-Hexabromodiphenylether</t>
  </si>
  <si>
    <t>2,3,3',4,4',5-Hexabromodiphenylether</t>
  </si>
  <si>
    <t>2,3,3',4,4',5'-Hexabromodiphenylether</t>
  </si>
  <si>
    <t>2,3,3',4,4',6-Hexabromodiphenylether</t>
  </si>
  <si>
    <t>2,3,3',4,5,5'-Hexabromodiphenylether</t>
  </si>
  <si>
    <t>2,3,3',4,5,6-Hexabromodiphenylether</t>
  </si>
  <si>
    <t>2,3,3',4,5',6-Hexabromodiphenylether</t>
  </si>
  <si>
    <t>2,3,3',4',5,5'-Hexabromodiphenylether</t>
  </si>
  <si>
    <t>2,3,3',4',5,6-Hexabromodiphenylether</t>
  </si>
  <si>
    <t>2,3,3',4',5',6-Hexabromodiphenylether</t>
  </si>
  <si>
    <t>2,3,3',5,5',6-Hexabromodiphenylether</t>
  </si>
  <si>
    <t>2,3,4,4',5,6-Hexabromodiphenylether</t>
  </si>
  <si>
    <t>2,3',4,4',5,5'-Hexabromodiphenylether</t>
  </si>
  <si>
    <t>2,3',4,4',5',6-Hexabromodiphenylether</t>
  </si>
  <si>
    <t>3,3',4,4',5,5'-Hexabromodiphenylether</t>
  </si>
  <si>
    <t>2,2',3,3',4,4',5-Heptabromodiphenylether</t>
  </si>
  <si>
    <t>2,2',3,3',4,4',6-Heptabromodiphenylether</t>
  </si>
  <si>
    <t>2,2',3,3',4,5,5'-Heptabromodiphenylether</t>
  </si>
  <si>
    <t>2,2',3,3',4,5,6-Heptabromodiphenylether</t>
  </si>
  <si>
    <t>2,2',3,3',4,5,6'-Heptabromodiphenylether</t>
  </si>
  <si>
    <t>2,2',3,3',4,5',6-Heptabromodiphenylether</t>
  </si>
  <si>
    <t>2,2',3,3',4,6,6'-Heptabromodiphenylether</t>
  </si>
  <si>
    <t>2,2',3,3',4,5',6'-Heptabromodiphenylether</t>
  </si>
  <si>
    <t>2,2',3,3',5,5',6-Heptabromodiphenylether</t>
  </si>
  <si>
    <t>2,2',3,3',5,6,6'-Heptabromodiphenylether</t>
  </si>
  <si>
    <t>2,2',3,4,4',5,5'-Heptabromodiphenylether</t>
  </si>
  <si>
    <t>2,2',3,4,4',5,6-Heptabromodiphenylether</t>
  </si>
  <si>
    <t>2,2',3,4,4',5,6'-Heptabromodiphenylether</t>
  </si>
  <si>
    <t>2,2',3,4,4',5',6-Heptabromodiphenylether</t>
  </si>
  <si>
    <t>2,2',3,4,4',6,6'-Heptabromodiphenylether</t>
  </si>
  <si>
    <t>2,2',3,4,5,5',6-Heptabromodiphenylether</t>
  </si>
  <si>
    <t>2,2',3,4,5,6,6'-Heptabromodiphenylether</t>
  </si>
  <si>
    <t>2,2',3,4',5,5',6-Heptabromodiphenylether</t>
  </si>
  <si>
    <t>2,2',3,4',5,6,6'-Heptabromodiphenylether</t>
  </si>
  <si>
    <t>2,3,3',4,4',5,5'-Heptabromodiphenylether</t>
  </si>
  <si>
    <t>2,3,3',4,4',5,6-Heptabromodiphenylether</t>
  </si>
  <si>
    <t>2,3,3',4,4',5',6-Heptabromodiphenylether</t>
  </si>
  <si>
    <t>2,3,3',4,5,5',6-Heptabromodiphenylether</t>
  </si>
  <si>
    <t>2,3,3',4',5,5',6-Heptabromodiphenylether</t>
  </si>
  <si>
    <t>2,2',3,3',4,4',5,5'-Octabromodiphenylether</t>
  </si>
  <si>
    <t>2,2',3,3',4,4',5,6-Octabromodiphenylether</t>
  </si>
  <si>
    <t>2,2',3,3',4,4',5,6'-Octabromodiphenylether</t>
  </si>
  <si>
    <t>2,2',3,3',4,4',6,6'-Octabromodiphenylether</t>
  </si>
  <si>
    <t>2,2',3,3',4,5,5',6-Octabromodiphenylether</t>
  </si>
  <si>
    <t>2,2',3,3',4,5,5',6'-Octabromodiphenylether</t>
  </si>
  <si>
    <t>2,2',3,3',4,5,6,6'-Octabromodiphenylether</t>
  </si>
  <si>
    <t>2,2',3,3',4,5',6,6'-Octabromodiphenylether</t>
  </si>
  <si>
    <t>2,2',3,3',5,5',6,6'-Octabromodiphenylether</t>
  </si>
  <si>
    <t>2,2',3,4,4',5,5',6-Octabromodiphenylether</t>
  </si>
  <si>
    <t>2,2',3,4,4',5,6,6'-Octabromodiphenylether</t>
  </si>
  <si>
    <t>2,3,3',4,4',5,5',6-Octabromodiphenylether</t>
  </si>
  <si>
    <t>2,2',3,3',4,4',5,5',6-Nonabromodiphenylether</t>
  </si>
  <si>
    <t>2,2',3,3',4,4',5,6,6'-Nonabromodiphenylether</t>
  </si>
  <si>
    <t>2,2',3,3',4,5,5',6,6'-Nonabromodiphenylether</t>
  </si>
  <si>
    <t>2,2',3,3',4,4',5,5',6,6'-Decabromodiphenylether</t>
  </si>
  <si>
    <t>2-chlorodibenzodioxin</t>
  </si>
  <si>
    <t>1,2-dichlorodibenzodioxin</t>
  </si>
  <si>
    <t>1,3-dichlorodibenzodioxin</t>
  </si>
  <si>
    <t>1,4-dichlorodibenzodioxin</t>
  </si>
  <si>
    <t>1,6-dichlorodibenzodioxin</t>
  </si>
  <si>
    <t>1,7-dichlorodibenzodioxin</t>
  </si>
  <si>
    <t>1,8-dichlorodibenzodioxin</t>
  </si>
  <si>
    <t>1,9-dichlorodibenzodioxin</t>
  </si>
  <si>
    <t>2,3-dichlorodibenzodioxin</t>
  </si>
  <si>
    <t>2,7-dichlorodibenzodioxin</t>
  </si>
  <si>
    <t>2,8-dichlorodibenzodioxin</t>
  </si>
  <si>
    <t>2-Bromophenoxybenzene</t>
  </si>
  <si>
    <t>3-Bromophenoxybenzene</t>
  </si>
  <si>
    <t>4-Bromophenoxybenzene</t>
  </si>
  <si>
    <t>2,3-Dibromophenoxybenzene</t>
  </si>
  <si>
    <t>2,4-Dibromophenoxybenzene</t>
  </si>
  <si>
    <t>2,5-Dibromophenoxybenzene</t>
  </si>
  <si>
    <t>2,6-Dibromophenoxybenzene</t>
  </si>
  <si>
    <t>3,4-Dibromophenoxybenzene</t>
  </si>
  <si>
    <t>3,5-Dibromophenoxybenzene</t>
  </si>
  <si>
    <t>2,3,4-Tribromophenoxybenzene</t>
  </si>
  <si>
    <t>2,3,5-Tribromophenoxybenzene</t>
  </si>
  <si>
    <t>2,3,6-Tribromophenoxybenzene</t>
  </si>
  <si>
    <t>2,4,5-Tribromophenoxybenzene</t>
  </si>
  <si>
    <t>2,4,6-Tribromophenoxybenzene</t>
  </si>
  <si>
    <t>3,4,5-Tribromophenoxybenzene</t>
  </si>
  <si>
    <t>2,3,4,5-Tetrabromophenoxybenzene</t>
  </si>
  <si>
    <t>2,3,4,6-Tetrabromophenoxybenzene</t>
  </si>
  <si>
    <t>2,3,5,6-Tetrabromophenoxybenzene</t>
  </si>
  <si>
    <t>2,3,4,5,6-Pentabromophenoxybenzene</t>
  </si>
  <si>
    <t>147217-71-8</t>
  </si>
  <si>
    <t>2,4-Dibromo-1-(4-bromophenoxy)benzene</t>
  </si>
  <si>
    <t>2,4-Dibromo-1-(2-bromophenoxy)benzene</t>
  </si>
  <si>
    <t>2,4-Dibromo-1-(3-bromophenoxy)benzene</t>
  </si>
  <si>
    <t>2,3-Dibromo-1-(2-bromophenoxy)benzene</t>
  </si>
  <si>
    <t>2,3-Dibromo-1-(3-bromophenoxy)benzene</t>
  </si>
  <si>
    <t>2,3-Dibromo-1-(4-bromophenoxy)benzene</t>
  </si>
  <si>
    <t>2,5-Dibromo-1-(2-bromophenoxy)benzene</t>
  </si>
  <si>
    <t>2,5-Dibromo-1-(3-bromophenoxy)benzene</t>
  </si>
  <si>
    <t>2,6-Dibromo-1-(2-bromophenoxy)benzene</t>
  </si>
  <si>
    <t>2,6-Dibromo-1-(3-bromophenoxy)benzene</t>
  </si>
  <si>
    <t>2,5-Dibromo-1-(4-bromophenoxy)benzene</t>
  </si>
  <si>
    <t>2,6-Dibromo-1-(4-bromophenoxy)benzene</t>
  </si>
  <si>
    <t>1,2-Dibromo-4-(3-bromophenoxy)benzene</t>
  </si>
  <si>
    <t>1,3-Dibromo-5-(3-bromophenoxy)benzene</t>
  </si>
  <si>
    <t>1,2-Dibromo-4-(4-bromophenoxy)benzene</t>
  </si>
  <si>
    <t>1,2-Dibromo-4-(2-bromophenoxy)benzene</t>
  </si>
  <si>
    <t>1,3-Dibromo-5-(2-bromophenoxy)benzene</t>
  </si>
  <si>
    <t>1,3-Dibromo-5-(4-bromophenoxy)benzene</t>
  </si>
  <si>
    <t>407606-57-9</t>
  </si>
  <si>
    <t>2,3-Dibromo-1-(2,3-dibromophenoxy)benzene</t>
  </si>
  <si>
    <t>2,3-Dibromo-1-(2,4-dibromophenoxy)benzene</t>
  </si>
  <si>
    <t>2,3-Dibromo-1-(2,5-dibromophenoxy)benzene</t>
  </si>
  <si>
    <t>2,3-Dibromo-1-(2,6-dibromophenoxy)benzene</t>
  </si>
  <si>
    <t>2,4-Dibromo-1-(2,4-dibromophenoxy)benzene</t>
  </si>
  <si>
    <t>2,4-Dibromo-1-(2,6-dibromophenoxy)benzene</t>
  </si>
  <si>
    <t>2,4-Dibromo-1-(2,5-dibromophenoxy)benzene</t>
  </si>
  <si>
    <t>2,4-Dibromo-1-(3,4-dibromophenoxy)benzene</t>
  </si>
  <si>
    <t>2,4-Dibromo-1-(3,5-dibromophenoxy)benzene</t>
  </si>
  <si>
    <t>2,5-Dibromo-1-(2,5-dibromophenoxy)benzene</t>
  </si>
  <si>
    <t>2,5-Dibromo-1-(2,6-dibromophenoxy)benzene</t>
  </si>
  <si>
    <t>2,6-Dibromo-1-(2,6-dibromophenoxy)benzene</t>
  </si>
  <si>
    <t>2,3-Dibromo-1-(3,4-dibromophenoxy)benzene</t>
  </si>
  <si>
    <t>2,3-Dibromo-1-(3,5-dibromophenoxy)benzene</t>
  </si>
  <si>
    <t>2,5-Dibromo-1-(3,4-dibromophenoxy)benzene</t>
  </si>
  <si>
    <t>2,6-Dibromo-1-(3,4-dibromophenoxy)benzene</t>
  </si>
  <si>
    <t>2,5-Dibromo-1-(3,5-dibromophenoxy)benzene</t>
  </si>
  <si>
    <t>2,6-Dibromo-1-(3,5-dibromophenoxy)benzene</t>
  </si>
  <si>
    <t>3,4-Dibromo-1-(3,4-dibromophenoxy)benzene</t>
  </si>
  <si>
    <t>3,4-Dibromo-1-(3,5-dibromophenoxy)benzene</t>
  </si>
  <si>
    <t>3,5-Dibromo-1-(3,5-dibromophenoxy)benzene</t>
  </si>
  <si>
    <t>2,3,4-Tribromo-1-(2-bromophenoxy)benzene</t>
  </si>
  <si>
    <t>2,3,5-Tribromo-1-(2-bromophenoxy)benzene</t>
  </si>
  <si>
    <t>2,3,6-Tribromo-1-(2-bromophenoxy)benzene</t>
  </si>
  <si>
    <t>2,4,5-Tribromo-1-(2-bromophenoxy)benzene</t>
  </si>
  <si>
    <t>2,4,6-Tribromo-1-(2-bromophenoxy)benzene</t>
  </si>
  <si>
    <t>2,3,4-Tribromo-1-(3-bromophenoxy)benzene</t>
  </si>
  <si>
    <t>2,3,5-Tribromo-1-(3-bromophenoxy)benzene</t>
  </si>
  <si>
    <t>2,3,6-Tribromo-1-(3-bromophenoxy)benzene</t>
  </si>
  <si>
    <t>2,3,4-Tribromo-1-(4-bromophenoxy)benzene</t>
  </si>
  <si>
    <t>2,4,5-Tribromo-1-(3-bromophenoxy)benzene</t>
  </si>
  <si>
    <t>2,4,6-Tribromo-1-(3-bromophenoxy)benzene</t>
  </si>
  <si>
    <t>2,4,5-Tribromo-1-(4-bromophenoxy)benzene</t>
  </si>
  <si>
    <t>2,4,6-Tribromo-1-(4-bromophenoxy)benzene</t>
  </si>
  <si>
    <t>2,3,5-Tribromo-1-(4-bromophenoxy)benzene</t>
  </si>
  <si>
    <t>2,3,6-Tribromo-1-(4-bromophenoxy)benzene</t>
  </si>
  <si>
    <t>3,4,5-Tribromo-1-(2-bromophenoxy)benzene</t>
  </si>
  <si>
    <t>3,4,5-Tribromo-1-(3-bromophenoxy)benzene</t>
  </si>
  <si>
    <t>3,4,5-Tribromo-1-(4-bromophenoxy)benzene</t>
  </si>
  <si>
    <t>2,3,4-Tribromo-1-(2,3-dibromophenoxy)benzene</t>
  </si>
  <si>
    <t>2,3,4-Tribromo-1-(2,4-dibromophenoxy)benzene</t>
  </si>
  <si>
    <t>2,3,4-Tribromo-1-(2,5-dibromophenoxy)benzene</t>
  </si>
  <si>
    <t>2,3,4-Tribromo-1-(2,6-dibromophenoxy)benzene</t>
  </si>
  <si>
    <t>2,3,5-Tribromo-1-(2,3-dibromophenoxy)benzene</t>
  </si>
  <si>
    <t>2,3,6-Tribromo-1-(2,3-dibromophenoxy)benzene</t>
  </si>
  <si>
    <t>2,3,5-Tribromo-1-(2,4-dibromophenoxy)benzene</t>
  </si>
  <si>
    <t>2,3,6-Tribromo-1-(2,4-dibromophenoxy)benzene</t>
  </si>
  <si>
    <t>2,3,5-Tribromo-1-(2,5-dibromophenoxy)benzene</t>
  </si>
  <si>
    <t>2,3,5-Tribromo-1-(2,6-dibromophenoxy)benzene</t>
  </si>
  <si>
    <t>2,3,6-Tribromo-1-(2,6-dibromophenoxy)benzene</t>
  </si>
  <si>
    <t>2,3,6-Tribromo-1-(2,5-dibromophenoxy)benzene</t>
  </si>
  <si>
    <t>2,4,5-Tribromo-1-(2,4-dibromophenoxy)benzene</t>
  </si>
  <si>
    <t>2,4,6-Tribromo-1-(2,4-dibromophenoxy)benzene</t>
  </si>
  <si>
    <t>2,4,5-Tribromo-1-(2,5-dibromophenoxy)benzene</t>
  </si>
  <si>
    <t>2,4,5-Tribromo-1-(2,6-dibromophenoxy)benzene</t>
  </si>
  <si>
    <t>2,4,6-Tribromo-1-(2,5-dibromophenoxy)benzene</t>
  </si>
  <si>
    <t>2,4,6-Tribromo-1-(2,6-dibromophenoxy)benzene</t>
  </si>
  <si>
    <t>2,3,4-Tribromo-1-(3,4-dibromophenoxy)benzene</t>
  </si>
  <si>
    <t>2,3,5-Tribromo-1-(3,4-dibromophenoxy)benzene</t>
  </si>
  <si>
    <t>2,3,4-Tribromo-1-(3,5-dibromophenoxy)benzene</t>
  </si>
  <si>
    <t>2,3,6-Tribromo-1-(3,4-dibromophenoxy)benzene</t>
  </si>
  <si>
    <t>2,3,5-Tribromo-1-(3,5-dibromophenoxy)benzene</t>
  </si>
  <si>
    <t>2,3,6-Tribromo-1-(3,5-dibromophenoxy)benzene</t>
  </si>
  <si>
    <t>2,4,5-Tribromo-1-(3,4-dibromophenoxy)benzene</t>
  </si>
  <si>
    <t>2,4,6-Tribromo-1-(3,4-dibromophenoxy)benzene</t>
  </si>
  <si>
    <t>2,4,5-Tribromo-1-(3,5-dibromophenoxy)benzene</t>
  </si>
  <si>
    <t>2,4,6-Tribromo-1-(3,5-dibromophenoxy)benzene</t>
  </si>
  <si>
    <t>3,4,5-Tribromo-1-(3,4-dibromophenoxy)benzene</t>
  </si>
  <si>
    <t>3,4,5-Tribromo-1-(3,5-dibromophenoxy)benzene</t>
  </si>
  <si>
    <t>3,4,5-Tribromo-1-(2,3-dibromophenoxy)benzene</t>
  </si>
  <si>
    <t>3,4,5-Tribromo-1-(2,4-dibromophenoxy)benzene</t>
  </si>
  <si>
    <t>3,4,5-Tribromo-1-(2,5-dibromophenoxy)benzene</t>
  </si>
  <si>
    <t>3,4,5-Tribromo-1-(2,6-dibromophenoxy)benzene</t>
  </si>
  <si>
    <t>2,3,4,5-Tetrabromo-1-(2-bromophenoxy)benzene</t>
  </si>
  <si>
    <t>2,3,4,5-Tetrabromo-1-(3-bromophenoxy)benzene</t>
  </si>
  <si>
    <t>2,3,4,5-Tetrabromo-1-(4-bromophenoxy)benzene</t>
  </si>
  <si>
    <t>2,3,4,6-Tetrabromo-1-(4-bromophenoxy)benzene</t>
  </si>
  <si>
    <t>2,3,4,6-Tetrabromo-1-(3-bromophenoxy)benzene</t>
  </si>
  <si>
    <t>2,3,4,6-Tetrabromo-1-(2-bromophenoxy)benzene</t>
  </si>
  <si>
    <t>2,3,5,6-Tetrabromo-1-(2-bromophenoxy)benzene</t>
  </si>
  <si>
    <t>2,3,5,6-Tetrabromo-1-(3-bromophenoxy)benzene</t>
  </si>
  <si>
    <t>2,3,5,6-Tetrabromo-1-(4-bromophenoxy)benzene</t>
  </si>
  <si>
    <t>2,4,5-Tribromo-1-(2,3-dibromophenoxy)benzene</t>
  </si>
  <si>
    <t>2,4,6-Tribromo-1-(2,3-dibromophenoxy)benzene</t>
  </si>
  <si>
    <t>2,3,4-Tribromo-1-(2,3,4-tribromophenoxy)benzene</t>
  </si>
  <si>
    <t>2,3,4-Tribromo-1-(2,3,5-tribromophenoxy)benzene</t>
  </si>
  <si>
    <t>2,3,4-Tribromo-1-(2,3,6-tribromophenoxy)benzene</t>
  </si>
  <si>
    <t>2,3,5-Tribromo-1-(2,3,5-tribromophenoxy)benzene</t>
  </si>
  <si>
    <t>2,3,5-Tribromo-1-(2,3,6-tribromophenoxy)benzene</t>
  </si>
  <si>
    <t>2,3,6-Tribromo-1-(2,3,6-tribromophenoxy)benzene</t>
  </si>
  <si>
    <t>2,3,4-Tribromo-1-(2,4,5-tribromophenoxy)benzene</t>
  </si>
  <si>
    <t>2,3,4-Tribromo-1-(2,4,6-tribromophenoxy)benzene</t>
  </si>
  <si>
    <t>2,3,5-Tribromo-1-(2,4,5-tribromophenoxy)benzene</t>
  </si>
  <si>
    <t>2,3,5-Tribromo-1-(2,4,6-tribromophenoxy)benzene</t>
  </si>
  <si>
    <t>2,3,6-Tribromo-1-(2,4,5-tribromophenoxy)benzene</t>
  </si>
  <si>
    <t>2,3,6-Tribromo-1-(2,4,6-tribromophenoxy)benzene</t>
  </si>
  <si>
    <t>2,4,5-Tribromo-1-(2,4,5-tribromophenoxy)benzene</t>
  </si>
  <si>
    <t>2,4,5-Tribromo-1-(2,4,6-tribromophenoxy)benzene</t>
  </si>
  <si>
    <t>2,4,6-Tribromo-1-(2,4,6-tribromophenoxy)benzene</t>
  </si>
  <si>
    <t>2,3,4-Tribromo-1-(3,4,5-tribromophenoxy)benzene</t>
  </si>
  <si>
    <t>2,3,5-Tribromo-1-(3,4,5-tribromophenoxy)benzene</t>
  </si>
  <si>
    <t>2,3,6-Tribromo-1-(3,4,5-tribromophenoxy)benzene</t>
  </si>
  <si>
    <t>2,4,5-Tribromo-1-(3,4,5-tribromophenoxy)benzene</t>
  </si>
  <si>
    <t>2,4,6-Tribromo-1-(3,4,5-tribromophenoxy)benzene</t>
  </si>
  <si>
    <t>3,4,5-Tribromo-1-(3,4,5-tribromophenoxy)benzene</t>
  </si>
  <si>
    <t>2,3,4,5-Tetrabromo-1-(2,3-dibromophenoxy)benzene</t>
  </si>
  <si>
    <t>2,3,4,6-Tetrabromo-1-(2,3-dibromophenoxy)benzene</t>
  </si>
  <si>
    <t>2,3,5,6-Tetrabromo-1-(2,3-dibromophenoxy)benzene</t>
  </si>
  <si>
    <t>2,3,4,5-Tetrabromo-1-(2,4-dibromophenoxy)benzene</t>
  </si>
  <si>
    <t>2,3,4,6-Tetrabromo-1-(2,4-dibromophenoxy)benzene</t>
  </si>
  <si>
    <t>2,3,4,5-Tetrabromo-1-(2,5-dibromophenoxy)benzene</t>
  </si>
  <si>
    <t>2,3,4,5-Tetrabromo-1-(2,6-dibromophenoxy)benzene</t>
  </si>
  <si>
    <t>2,3,4,6-Tetrabromo-1-(2,5-dibromophenoxy)benzene</t>
  </si>
  <si>
    <t>2,3,4,6-Tetrabromo-1-(2,6-dibromophenoxy)benzene</t>
  </si>
  <si>
    <t>2,3,5,6-Tetrabromo-1-(2,4-dibromophenoxy)benzene</t>
  </si>
  <si>
    <t>2,3,5,6-Tetrabromo-1-(2,5-dibromophenoxy)benzene</t>
  </si>
  <si>
    <t>2,3,5,6-Tetrabromo-1-(2,6-dibromophenoxy)benzene</t>
  </si>
  <si>
    <t>2,3,4,5-Tetrabromo-1-(3,4-dibromophenoxy)benzene</t>
  </si>
  <si>
    <t>2,3,4,5-Tetrabromo-1-(3,5-dibromophenoxy)benzene</t>
  </si>
  <si>
    <t>2,3,4,6-Tetrabromo-1-(3,4-dibromophenoxy)benzene</t>
  </si>
  <si>
    <t>2,3,4,6-Tetrabromo-1-(3,5-dibromophenoxy)benzene</t>
  </si>
  <si>
    <t>2,3,5,6-Tetrabromo-1-(3,4-dibromophenoxy)benzene</t>
  </si>
  <si>
    <t>2,3,5,6-Tetrabromo-1-(3,5-dibromophenoxy)benzene</t>
  </si>
  <si>
    <t>2,3,4,5,6-Pentabromo-1-(2-bromophenoxy)benzene</t>
  </si>
  <si>
    <t>2,3,4,5,6-Pentabromo-1-(3-bromophenoxy)benzene</t>
  </si>
  <si>
    <t>2,3,4,5,6-Pentabromo-1-(4-bromophenoxy)benzene</t>
  </si>
  <si>
    <t>2,3,4,5-Tetrabromo-1-(2,3,4-tribromophenoxy)benzene</t>
  </si>
  <si>
    <t>2,3,4,5-Tetrabromo-1-(2,3,5-tribromophenoxy)benzene</t>
  </si>
  <si>
    <t>2,3,4,5-Tetrabromo-1-(2,3,6-tribromophenoxy)benzene</t>
  </si>
  <si>
    <t>2,3,4,6-Tetrabromo-1-(2,3,4-tribromophenoxy)benzene</t>
  </si>
  <si>
    <t>2,3,4,6-Tetrabromo-1-(2,3,5-tribromophenoxy)benzene</t>
  </si>
  <si>
    <t>2,3,4,6-Tetrabromo-1-(2,3,6-tribromophenoxy)benzene</t>
  </si>
  <si>
    <t>2,3,5,6-Tetrabromo-1-(2,3,4-tribromophenoxy)benzene</t>
  </si>
  <si>
    <t>2,3,5,6-Tetrabromo-1-(2,3,5-tribromophenoxy)benzene</t>
  </si>
  <si>
    <t>2,3,5,6-Tetrabromo-1-(2,3,6-tribromophenoxy)benzene</t>
  </si>
  <si>
    <t>2,3,4,5-Tetrabromo-1-(2,4,5-tribromophenoxy)benzene</t>
  </si>
  <si>
    <t>2,3,4,5-Tetrabromo-1-(2,4,6-tribromophenoxy)benzene</t>
  </si>
  <si>
    <t>2,3,4,6-Tetrabromo-1-(2,4,5-tribromophenoxy)benzene</t>
  </si>
  <si>
    <t>2,3,4,6-Tetrabromo-1-(2,4,6-tribromophenoxy)benzene</t>
  </si>
  <si>
    <t>2,3,5,6-Tetrabromo-1-(2,4,5-tribromophenoxy)benzene</t>
  </si>
  <si>
    <t>2,3,5,6-Tetrabromo-1-(2,4,6-tribromophenoxy)benzene</t>
  </si>
  <si>
    <t>2,3,4,5-Tetrabromo-1-(3,4,5-tribromophenoxy)benzene</t>
  </si>
  <si>
    <t>2,3,4,6-Tetrabromo-1-(3,4,5-tribromophenoxy)benzene</t>
  </si>
  <si>
    <t>2,3,5,6-Tetrabromo-1-(3,4,5-tribromophenoxy)benzene</t>
  </si>
  <si>
    <t>2,3,4,5,6-Pentabromo-1-(2,3-dibromophenoxy)benzene</t>
  </si>
  <si>
    <t>2,3,4,5,6-Pentabromo-1-(2,4-dibromophenoxy)benzene</t>
  </si>
  <si>
    <t>2,3,4,5,6-Pentabromo-1-(2,5-dibromophenoxy)benzene</t>
  </si>
  <si>
    <t>2,3,4,5,6-Pentabromo-1-(2,6-dibromophenoxy)benzene</t>
  </si>
  <si>
    <t>2,3,4,5,6-Pentabromo-1-(3,4-dibromophenoxy)benzene</t>
  </si>
  <si>
    <t>2,3,4,5,6-Pentabromo-1-(3,5-dibromophenoxy)benzene</t>
  </si>
  <si>
    <t>2,3,4,5-Tetrabromo-1-(2,3,4,5-tetrabromophenoxy)benzene</t>
  </si>
  <si>
    <t>2,3,4,5-Tetrabromo-1-(2,3,4,6-tetrabromophenoxy)benzene</t>
  </si>
  <si>
    <t>2,3,4,6-Tetrabromo-1-(2,3,4,6-tetrabromophenoxy)benzene</t>
  </si>
  <si>
    <t>2,3,4,5-Tetrabromo-1-(2,3,5,6-tetrabromophenoxy)benzene</t>
  </si>
  <si>
    <t>2,3,4,6-Tetrabromo-1-(2,3,5,6-tetrabromophenoxy)benzene</t>
  </si>
  <si>
    <t>2,3,5,6-Tetrabromo-1-(2,3,5,6-tetrabromophenoxy)benzene</t>
  </si>
  <si>
    <t>2,3,4,5,6-Pentabromo-1-(2,3,4-tribromophenoxy)benzene</t>
  </si>
  <si>
    <t>2,3,4,5,6-Pentabromo-1-(2,3,5-tribromophenoxy)benzene</t>
  </si>
  <si>
    <t>2,3,4,5,6-Pentabromo-1-(2,3,6-tribromophenoxy)benzene</t>
  </si>
  <si>
    <t>2,3,4,5,6-Pentabromo-1-(2,4,5-tribromophenoxy)benzene</t>
  </si>
  <si>
    <t>2,3,4,5,6-Pentabromo-1-(2,4,6-tribromophenoxy)benzene</t>
  </si>
  <si>
    <t>2,3,4,5,6-Pentabromo-1-(3,4,5-tribromophenoxy)benzene</t>
  </si>
  <si>
    <t>2,3,4,5,6-Pentabromo-1-(2,3,4,5-tetrabromophenoxy)benzene</t>
  </si>
  <si>
    <t>2,3,4,5,6-Pentabromo-1-(2,3,4,6-tetrabromophenoxy)benzene</t>
  </si>
  <si>
    <t>2,3,4,5,6-Pentabromo-1-(2,3,5,6-tetrabromophenoxy)benzene</t>
  </si>
  <si>
    <t>1-Bromo-2-(2-bromophenoxy)benzene</t>
  </si>
  <si>
    <t>1-Bromo-2-(3-bromophenoxy)benzene</t>
  </si>
  <si>
    <t>1-Bromo-2-(4-bromophenoxy)benzene</t>
  </si>
  <si>
    <t>1-Bromo-3-(3-bromophenoxy)benzene</t>
  </si>
  <si>
    <t>1-Bromo-3-(4-bromophenoxy)benzene</t>
  </si>
  <si>
    <t>1-Bromo-4-(4-bromophenoxy)benzene</t>
  </si>
  <si>
    <t>1-Chlorooxanthrene</t>
  </si>
  <si>
    <t>2-Chlorooxanthrene</t>
  </si>
  <si>
    <t>1,2-Dichlorooxanthrene</t>
  </si>
  <si>
    <t>1,3-Dichlorooxanthrene</t>
  </si>
  <si>
    <t>1,4-Dichlorooxanthrene</t>
  </si>
  <si>
    <t>1,6-Dichlorooxanthrene</t>
  </si>
  <si>
    <t>1,7-Dichlorooxanthrene</t>
  </si>
  <si>
    <t>1,8-Dichlorooxanthrene</t>
  </si>
  <si>
    <t>1,9-Dichlorooxanthrene</t>
  </si>
  <si>
    <t>2,3-Dichlorooxanthrene</t>
  </si>
  <si>
    <t>2,7-Dichlorooxanthrene</t>
  </si>
  <si>
    <t>2,8-Dichlorooxanthrene</t>
  </si>
  <si>
    <t>1,2,3-Trichlorooxanthrene</t>
  </si>
  <si>
    <t>1,2,4-Trichlorooxanthrene</t>
  </si>
  <si>
    <t>1,2,6-Trichlorooxanthrene</t>
  </si>
  <si>
    <t>1,2,7-Trichlorooxanthrene</t>
  </si>
  <si>
    <t>1,2,8-Trichlorooxanthrene</t>
  </si>
  <si>
    <t>1,2,9-Trichlorooxanthrene</t>
  </si>
  <si>
    <t>1,3,6-Trichlorooxanthrene</t>
  </si>
  <si>
    <t>1,3,7-Trichlorooxanthrene</t>
  </si>
  <si>
    <t>1,3,8-Trichlorooxanthrene</t>
  </si>
  <si>
    <t>1,3,9-Trichlorooxanthrene</t>
  </si>
  <si>
    <t>1,4,6-Trichlorooxanthrene</t>
  </si>
  <si>
    <t>1,4,7-Trichlorooxanthrene</t>
  </si>
  <si>
    <t>1,7,8-Trichlorooxanthrene</t>
  </si>
  <si>
    <t>2,3,7-Trichlorooxanthrene</t>
  </si>
  <si>
    <t>1,2,3,4-Tetrachlorooxanthrene</t>
  </si>
  <si>
    <t>1,2,3,7-Tetrachlorooxanthrene</t>
  </si>
  <si>
    <t>1,2,3,9-Tetrachlorooxanthrene</t>
  </si>
  <si>
    <t>1,2,4,7-Tetrachlorooxanthrene</t>
  </si>
  <si>
    <t>1,2,4,9-Tetrachlorooxanthrene</t>
  </si>
  <si>
    <t>1,2,6,7-Tetrachlorooxanthrene</t>
  </si>
  <si>
    <t>1,2,6,9-Tetrachlorooxanthrene</t>
  </si>
  <si>
    <t>1,2,7,9-Tetrachlorooxanthrene</t>
  </si>
  <si>
    <t>1,3,6,8-Tetrachlorooxanthrene</t>
  </si>
  <si>
    <t>1,3,7,8-Tetrachlorooxanthrene</t>
  </si>
  <si>
    <t>1,4,6,9-Tetrachlorooxanthrene</t>
  </si>
  <si>
    <t>1,2,3,6-Tetrachlorooxanthrene</t>
  </si>
  <si>
    <t>1,2,3,8-Tetrachlorooxanthrene</t>
  </si>
  <si>
    <t>1,2,4,6-Tetrachlorooxanthrene</t>
  </si>
  <si>
    <t>1,2,4,8-Tetrachlorooxanthrene</t>
  </si>
  <si>
    <t>1,2,6,8-Tetrachlorooxanthrene</t>
  </si>
  <si>
    <t>1,2,7,8-Tetrachlorooxanthrene</t>
  </si>
  <si>
    <t>1,2,8,9-Tetrachlorooxanthrene</t>
  </si>
  <si>
    <t>1,3,6,9-Tetrachlorooxanthrene</t>
  </si>
  <si>
    <t>1,3,7,9-Tetrachlorooxanthrene</t>
  </si>
  <si>
    <t>1,4,7,8-Tetrachlorooxanthrene</t>
  </si>
  <si>
    <t>2,3,7,8-Tetrachlorooxanthrene</t>
  </si>
  <si>
    <t>1,2,3,4,6-Pentachlorooxanthrene</t>
  </si>
  <si>
    <t>1,2,3,6,7-Pentachlorooxanthrene</t>
  </si>
  <si>
    <t>1,2,3,6,9-Pentachlorooxanthrene</t>
  </si>
  <si>
    <t>1,2,3,7,9-Pentachlorooxanthrene</t>
  </si>
  <si>
    <t>1,2,4,6,7-Pentachlorooxanthrene</t>
  </si>
  <si>
    <t>1,2,4,6,9-Pentachlorooxanthrene</t>
  </si>
  <si>
    <t>1,2,4,7,9-Pentachlorooxanthrene</t>
  </si>
  <si>
    <t>1,2,3,4,7-Pentachlorooxanthrene</t>
  </si>
  <si>
    <t>1,2,3,6,8-Pentachlorooxanthrene</t>
  </si>
  <si>
    <t>1,2,3,8,9-Pentachlorooxanthrene</t>
  </si>
  <si>
    <t>1,2,4,6,8-Pentachlorooxanthrene</t>
  </si>
  <si>
    <t>1,2,4,7,8-Pentachlorooxanthrene</t>
  </si>
  <si>
    <t>1,2,4,8,9-Pentachlorooxanthrene</t>
  </si>
  <si>
    <t>1,2,3,4,6,7-Hexachlorooxanthrene</t>
  </si>
  <si>
    <t>1,2,3,4,6,8-Hexachlorooxanthrene</t>
  </si>
  <si>
    <t>1,2,3,4,6,9-Hexachlorooxanthrene</t>
  </si>
  <si>
    <t>1,2,3,4,7,8-Hexachlorooxanthrene</t>
  </si>
  <si>
    <t>1,2,3,6,7,8-Hexachlorooxanthrene</t>
  </si>
  <si>
    <t>1,2,3,6,7,9-Hexachlorooxanthrene</t>
  </si>
  <si>
    <t>1,2,3,6,8,9-Hexachlorooxanthrene</t>
  </si>
  <si>
    <t>1,2,3,7,8,9-Hexachlorooxanthrene</t>
  </si>
  <si>
    <t>1,2,4,6,7,9-Hexachlorooxanthrene</t>
  </si>
  <si>
    <t>1,2,4,6,8,9-Hexachlorooxanthrene</t>
  </si>
  <si>
    <t>1,2,3,4,6,7,8-Heptachlorooxanthrene</t>
  </si>
  <si>
    <t>1,2,3,4,6,7,9-Heptachlorooxanthrene</t>
  </si>
  <si>
    <t>Octachlorooxanthrene</t>
  </si>
  <si>
    <t>C1=CC=C(C=C1)C1=CC=CC=C1</t>
  </si>
  <si>
    <t>ClC1=C(C=CC=C1)C1=CC=CC=C1</t>
  </si>
  <si>
    <t>ClC1=CC=CC(=C1)C1=CC=CC=C1</t>
  </si>
  <si>
    <t>ClC1=CC=C(C=C1)C1=CC=CC=C1</t>
  </si>
  <si>
    <t>ClC1=C(C=CC=C1)C1=C(Cl)C=CC=C1</t>
  </si>
  <si>
    <t>ClC1=CC=CC(=C1Cl)C1=CC=CC=C1</t>
  </si>
  <si>
    <t>ClC1=CC=CC(=C1)C1=C(Cl)C=CC=C1</t>
  </si>
  <si>
    <t>ClC1=CC(Cl)=C(C=C1)C1=CC=CC=C1</t>
  </si>
  <si>
    <t>ClC1=CC=C(C=C1)C1=C(Cl)C=CC=C1</t>
  </si>
  <si>
    <t>ClC1=CC(=C(Cl)C=C1)C1=CC=CC=C1</t>
  </si>
  <si>
    <t>ClC1=CC=CC(Cl)=C1C1=CC=CC=C1</t>
  </si>
  <si>
    <t>ClC1=CC=CC(=C1)C1=CC(Cl)=CC=C1</t>
  </si>
  <si>
    <t>ClC1=C(Cl)C=C(C=C1)C1=CC=CC=C1</t>
  </si>
  <si>
    <t>ClC1=CC=C(C=C1)C1=CC(Cl)=CC=C1</t>
  </si>
  <si>
    <t>ClC1=CC(=CC(Cl)=C1)C1=CC=CC=C1</t>
  </si>
  <si>
    <t>ClC1=CC=C(C=C1)C1=CC=C(Cl)C=C1</t>
  </si>
  <si>
    <t>ClC1=CC=CC(=C1Cl)C1=C(Cl)C=CC=C1</t>
  </si>
  <si>
    <t>ClC1=CC(Cl)=C(C=C1)C1=C(Cl)C=CC=C1</t>
  </si>
  <si>
    <t>ClC1=CC(=C(Cl)C=C1)C1=C(Cl)C=CC=C1</t>
  </si>
  <si>
    <t>ClC1=CC=CC(Cl)=C1C1=C(Cl)C=CC=C1</t>
  </si>
  <si>
    <t>ClC1=CC=CC(=C1)C1=C(Cl)C(Cl)=CC=C1</t>
  </si>
  <si>
    <t>ClC1=C(Cl)C(Cl)=C(C=C1)C1=CC=CC=C1</t>
  </si>
  <si>
    <t>ClC1=CC=C(C=C1)C1=C(Cl)C(Cl)=CC=C1</t>
  </si>
  <si>
    <t>ClC1=CC(=C(Cl)C(Cl)=C1)C1=CC=CC=C1</t>
  </si>
  <si>
    <t>ClC1=CC=C(Cl)C(=C1Cl)C1=CC=CC=C1</t>
  </si>
  <si>
    <t>ClC1=CC(Cl)=C(C=C1)C1=CC(Cl)=CC=C1</t>
  </si>
  <si>
    <t>ClC1=CC(=C(Cl)C=C1)C1=CC(Cl)=CC=C1</t>
  </si>
  <si>
    <t>ClC1=CC=CC(=C1)C1=C(Cl)C=CC=C1Cl</t>
  </si>
  <si>
    <t>ClC1=CC=C(C=C1)C1=C(Cl)C=C(Cl)C=C1</t>
  </si>
  <si>
    <t>ClC1=CC(Cl)=C(C=C1Cl)C1=CC=CC=C1</t>
  </si>
  <si>
    <t>ClC1=CC(Cl)=C(C(Cl)=C1)C1=CC=CC=C1</t>
  </si>
  <si>
    <t>ClC1=CC=C(C=C1)C1=C(Cl)C=CC(Cl)=C1</t>
  </si>
  <si>
    <t>ClC1=CC=C(C=C1)C1=C(Cl)C=CC=C1Cl</t>
  </si>
  <si>
    <t>ClC1=C(Cl)C=C(C=C1)C1=C(Cl)C=CC=C1</t>
  </si>
  <si>
    <t>ClC1=CC(=CC(Cl)=C1)C1=C(Cl)C=CC=C1</t>
  </si>
  <si>
    <t>ClC1=CC=CC(=C1)C1=CC(Cl)=C(Cl)C=C1</t>
  </si>
  <si>
    <t>ClC1=CC=CC(=C1)C1=CC(Cl)=CC(Cl)=C1</t>
  </si>
  <si>
    <t>ClC1=CC=C(C=C1)C1=CC(Cl)=C(Cl)C=C1</t>
  </si>
  <si>
    <t>ClC1=CC(=CC(Cl)=C1Cl)C1=CC=CC=C1</t>
  </si>
  <si>
    <t>ClC1=CC=C(C=C1)C1=CC(Cl)=CC(Cl)=C1</t>
  </si>
  <si>
    <t>ClC1=CC=CC(=C1Cl)C1=C(Cl)C(Cl)=CC=C1</t>
  </si>
  <si>
    <t>ClC1=C(Cl)C(Cl)=C(C=C1)C1=C(Cl)C=CC=C1</t>
  </si>
  <si>
    <t>ClC1=CC(Cl)=C(C=C1)C1=C(Cl)C(Cl)=CC=C1</t>
  </si>
  <si>
    <t>ClC1=CC(=C(Cl)C(Cl)=C1)C1=C(Cl)C=CC=C1</t>
  </si>
  <si>
    <t>ClC1=CC(=C(Cl)C=C1)C1=C(Cl)C(Cl)=CC=C1</t>
  </si>
  <si>
    <t>ClC1=CC=C(Cl)C(=C1Cl)C1=C(Cl)C=CC=C1</t>
  </si>
  <si>
    <t>ClC1=CC=CC(=C1Cl)C1=C(Cl)C=CC=C1Cl</t>
  </si>
  <si>
    <t>ClC1=CC(Cl)=C(C=C1)C1=C(Cl)C=C(Cl)C=C1</t>
  </si>
  <si>
    <t>ClC1=CC(Cl)=C(C=C1Cl)C1=C(Cl)C=CC=C1</t>
  </si>
  <si>
    <t>ClC1=CC(Cl)=C(C=C1)C1=C(Cl)C=CC(Cl)=C1</t>
  </si>
  <si>
    <t>ClC1=CC(Cl)=C(C(Cl)=C1)C1=C(Cl)C=CC=C1</t>
  </si>
  <si>
    <t>ClC1=CC(Cl)=C(C=C1)C1=C(Cl)C=CC=C1Cl</t>
  </si>
  <si>
    <t>ClC1=CC(=C(Cl)C=C1)C1=C(Cl)C=CC(Cl)=C1</t>
  </si>
  <si>
    <t>ClC1=CC(=C(Cl)C=C1)C1=C(Cl)C=CC=C1Cl</t>
  </si>
  <si>
    <t>ClC1=CC=CC(Cl)=C1C1=C(Cl)C=CC=C1Cl</t>
  </si>
  <si>
    <t>ClC1=CC=CC(=C1)C1=C(Cl)C(Cl)=C(Cl)C=C1</t>
  </si>
  <si>
    <t>ClC1=CC=CC(=C1Cl)C1=CC(Cl)=C(Cl)C=C1</t>
  </si>
  <si>
    <t>ClC1=CC=CC(=C1)C1=C(Cl)C(Cl)=CC(Cl)=C1</t>
  </si>
  <si>
    <t>ClC1=CC(=CC(Cl)=C1)C1=C(Cl)C(Cl)=CC=C1</t>
  </si>
  <si>
    <t>ClC1=CC=CC(=C1)C1=C(Cl)C(Cl)=CC=C1Cl</t>
  </si>
  <si>
    <t>ClC1=CC=C(C=C1)C1=C(Cl)C(Cl)=C(Cl)C=C1</t>
  </si>
  <si>
    <t>ClC1=CC(=C(Cl)C(Cl)=C1Cl)C1=CC=CC=C1</t>
  </si>
  <si>
    <t>ClC1=CC(Cl)=C(Cl)C(Cl)=C1C1=CC=CC=C1</t>
  </si>
  <si>
    <t>ClC1=CC=C(C=C1)C1=C(Cl)C(Cl)=CC(Cl)=C1</t>
  </si>
  <si>
    <t>ClC1=CC=C(C=C1)C1=C(Cl)C(Cl)=CC=C1Cl</t>
  </si>
  <si>
    <t>ClC1=CC(Cl)=C(Cl)C(=C1Cl)C1=CC=CC=C1</t>
  </si>
  <si>
    <t>ClC1=CC(Cl)=C(C=C1)C1=CC(Cl)=C(Cl)C=C1</t>
  </si>
  <si>
    <t>ClC1=CC=CC(=C1)C1=C(Cl)C=C(Cl)C(Cl)=C1</t>
  </si>
  <si>
    <t>ClC1=CC(Cl)=C(C=C1)C1=CC(Cl)=CC(Cl)=C1</t>
  </si>
  <si>
    <t>ClC1=CC=CC(=C1)C1=C(Cl)C=C(Cl)C=C1Cl</t>
  </si>
  <si>
    <t>ClC1=CC(=C(Cl)C=C1)C1=CC(Cl)=C(Cl)C=C1</t>
  </si>
  <si>
    <t>ClC1=CC=CC(Cl)=C1C1=CC(Cl)=C(Cl)C=C1</t>
  </si>
  <si>
    <t>ClC1=CC(=C(Cl)C=C1)C1=CC(Cl)=CC(Cl)=C1</t>
  </si>
  <si>
    <t>ClC1=CC(=CC(Cl)=C1)C1=C(Cl)C=CC=C1Cl</t>
  </si>
  <si>
    <t>ClC1=CC=C(C=C1)C1=C(Cl)C=C(Cl)C(Cl)=C1</t>
  </si>
  <si>
    <t>ClC1=CC=C(C=C1)C1=C(Cl)C=C(Cl)C=C1Cl</t>
  </si>
  <si>
    <t>ClC1=CC(=CC(Cl)=C1Cl)C1=C(Cl)C=CC=C1</t>
  </si>
  <si>
    <t>ClC1=C(Cl)C=C(C=C1)C1=CC(Cl)=C(Cl)C=C1</t>
  </si>
  <si>
    <t>ClC1=CC=CC(=C1)C1=CC(Cl)=C(Cl)C(Cl)=C1</t>
  </si>
  <si>
    <t>ClC1=CC(=CC(Cl)=C1)C1=CC(Cl)=C(Cl)C=C1</t>
  </si>
  <si>
    <t>ClC1=CC(=CC(Cl)=C1)C1=CC(Cl)=CC(Cl)=C1</t>
  </si>
  <si>
    <t>ClC1=CC=C(C=C1)C1=CC(Cl)=C(Cl)C(Cl)=C1</t>
  </si>
  <si>
    <t>ClC1=CC=CC(=C1Cl)C1=C(Cl)C(Cl)=C(Cl)C=C1</t>
  </si>
  <si>
    <t>ClC1=CC(=C(Cl)C(Cl)=C1)C1=C(Cl)C(Cl)=CC=C1</t>
  </si>
  <si>
    <t>ClC1=CC=CC(=C1Cl)C1=C(Cl)C(Cl)=CC=C1Cl</t>
  </si>
  <si>
    <t>ClC1=CC(Cl)=C(C=C1)C1=C(Cl)C(Cl)=C(Cl)C=C1</t>
  </si>
  <si>
    <t>ClC1=CC(=C(Cl)C(Cl)=C1Cl)C1=C(Cl)C=CC=C1</t>
  </si>
  <si>
    <t>ClC1=CC(=C(Cl)C=C1)C1=C(Cl)C(Cl)=C(Cl)C=C1</t>
  </si>
  <si>
    <t>ClC1=CC(Cl)=C(Cl)C(Cl)=C1C1=C(Cl)C=CC=C1</t>
  </si>
  <si>
    <t>ClC1=CC=CC(Cl)=C1C1=C(Cl)C(Cl)=C(Cl)C=C1</t>
  </si>
  <si>
    <t>ClC1=CC(Cl)=C(C=C1)C1=C(Cl)C(Cl)=CC(Cl)=C1</t>
  </si>
  <si>
    <t>ClC1=CC(Cl)=C(C=C1)C1=C(Cl)C(Cl)=CC=C1Cl</t>
  </si>
  <si>
    <t>ClC1=CC(=C(Cl)C=C1)C1=C(Cl)C(Cl)=CC(Cl)=C1</t>
  </si>
  <si>
    <t>ClC1=CC(Cl)=C(Cl)C(=C1Cl)C1=C(Cl)C=CC=C1</t>
  </si>
  <si>
    <t>ClC1=CC(=C(Cl)C(Cl)=C1)C1=C(Cl)C=CC=C1Cl</t>
  </si>
  <si>
    <t>ClC1=CC(=C(Cl)C=C1)C1=C(Cl)C(Cl)=CC=C1Cl</t>
  </si>
  <si>
    <t>ClC1=CC=C(Cl)C(=C1Cl)C1=C(Cl)C=CC=C1Cl</t>
  </si>
  <si>
    <t>ClC1=CC(Cl)=C(C=C1Cl)C1=C(Cl)C(Cl)=CC=C1</t>
  </si>
  <si>
    <t>ClC1=CC(Cl)=C(C(Cl)=C1)C1=C(Cl)C(Cl)=CC=C1</t>
  </si>
  <si>
    <t>ClC1=CC(Cl)=C(C=C1)C1=C(Cl)C=C(Cl)C(Cl)=C1</t>
  </si>
  <si>
    <t>ClC1=CC(Cl)=C(C=C1)C1=C(Cl)C=C(Cl)C=C1Cl</t>
  </si>
  <si>
    <t>ClC1=CC(=C(Cl)C=C1)C1=C(Cl)C=C(Cl)C(Cl)=C1</t>
  </si>
  <si>
    <t>ClC1=CC(Cl)=C(C=C1Cl)C1=C(Cl)C=CC=C1Cl</t>
  </si>
  <si>
    <t>ClC1=CC(=C(Cl)C=C1)C1=C(Cl)C=C(Cl)C=C1Cl</t>
  </si>
  <si>
    <t>ClC1=CC(Cl)=C(C(Cl)=C1)C1=C(Cl)C=CC=C1Cl</t>
  </si>
  <si>
    <t>ClC1=C(Cl)C=C(C=C1)C1=C(Cl)C(Cl)=C(Cl)C=C1</t>
  </si>
  <si>
    <t>ClC1=CC=CC(=C1)C1=C(Cl)C(Cl)=C(Cl)C(Cl)=C1</t>
  </si>
  <si>
    <t>ClC1=CC(=C(Cl)C(Cl)=C1)C1=CC(Cl)=C(Cl)C=C1</t>
  </si>
  <si>
    <t>ClC1=CC(=CC(Cl)=C1)C1=C(Cl)C(Cl)=C(Cl)C=C1</t>
  </si>
  <si>
    <t>ClC1=CC=CC(=C1)C1=C(Cl)C(Cl)=C(Cl)C=C1Cl</t>
  </si>
  <si>
    <t>ClC1=CC=C(Cl)C(=C1Cl)C1=CC(Cl)=C(Cl)C=C1</t>
  </si>
  <si>
    <t>ClC1=CC(=CC(Cl)=C1)C1=C(Cl)C(Cl)=CC(Cl)=C1</t>
  </si>
  <si>
    <t>ClC1=CC=CC(=C1)C1=C(Cl)C(Cl)=CC(Cl)=C1Cl</t>
  </si>
  <si>
    <t>ClC1=CC(=CC(Cl)=C1)C1=C(Cl)C(Cl)=CC=C1Cl</t>
  </si>
  <si>
    <t>ClC1=CC=C(C=C1)C1=C(Cl)C(Cl)=C(Cl)C(Cl)=C1</t>
  </si>
  <si>
    <t>ClC1=CC=C(C=C1)C1=C(Cl)C(Cl)=C(Cl)C=C1Cl</t>
  </si>
  <si>
    <t>ClC1=C(Cl)C(Cl)=C(C(Cl)=C1Cl)C1=CC=CC=C1</t>
  </si>
  <si>
    <t>ClC1=CC=C(C=C1)C1=C(Cl)C(Cl)=CC(Cl)=C1Cl</t>
  </si>
  <si>
    <t>ClC1=CC(Cl)=C(C=C1Cl)C1=CC(Cl)=C(Cl)C=C1</t>
  </si>
  <si>
    <t>ClC1=CC(Cl)=C(C(Cl)=C1)C1=CC(Cl)=C(Cl)C=C1</t>
  </si>
  <si>
    <t>ClC1=CC(=CC(Cl)=C1)C1=C(Cl)C=C(Cl)C(Cl)=C1</t>
  </si>
  <si>
    <t>ClC1=CC(Cl)=C(C(Cl)=C1)C1=CC(Cl)=CC(Cl)=C1</t>
  </si>
  <si>
    <t>ClC1=CC=CC(=C1Cl)C1=CC(Cl)=C(Cl)C(Cl)=C1</t>
  </si>
  <si>
    <t>ClC1=CC(Cl)=C(C=C1)C1=CC(Cl)=C(Cl)C(Cl)=C1</t>
  </si>
  <si>
    <t>ClC1=CC(=C(Cl)C=C1)C1=CC(Cl)=C(Cl)C(Cl)=C1</t>
  </si>
  <si>
    <t>ClC1=CC(=CC(Cl)=C1Cl)C1=C(Cl)C=CC=C1Cl</t>
  </si>
  <si>
    <t>ClC1=CC(=CC(Cl)=C1Cl)C1=CC(Cl)=C(Cl)C=C1</t>
  </si>
  <si>
    <t>ClC1=CC(=CC(Cl)=C1)C1=CC(Cl)=C(Cl)C(Cl)=C1</t>
  </si>
  <si>
    <t>ClC1=C(Cl)C(Cl)=C(C=C1)C1=C(Cl)C(Cl)=C(Cl)C=C1</t>
  </si>
  <si>
    <t>ClC1=CC=CC(=C1Cl)C1=C(Cl)C(Cl)=C(Cl)C(Cl)=C1</t>
  </si>
  <si>
    <t>ClC1=CC(=C(Cl)C(Cl)=C1)C1=C(Cl)C(Cl)=C(Cl)C=C1</t>
  </si>
  <si>
    <t>ClC1=CC=CC(=C1Cl)C1=C(Cl)C(Cl)=C(Cl)C=C1Cl</t>
  </si>
  <si>
    <t>ClC1=CC=C(Cl)C(=C1Cl)C1=C(Cl)C(Cl)=C(Cl)C=C1</t>
  </si>
  <si>
    <t>ClC1=CC(=C(Cl)C(Cl)=C1)C1=C(Cl)C(Cl)=CC(Cl)=C1</t>
  </si>
  <si>
    <t>ClC1=CC=CC(=C1Cl)C1=C(Cl)C(Cl)=CC(Cl)=C1Cl</t>
  </si>
  <si>
    <t>ClC1=CC(=C(Cl)C(Cl)=C1)C1=C(Cl)C(Cl)=CC=C1Cl</t>
  </si>
  <si>
    <t>ClC1=CC=C(Cl)C(=C1Cl)C1=C(Cl)C(Cl)=CC=C1Cl</t>
  </si>
  <si>
    <t>ClC1=CC(Cl)=C(C=C1)C1=C(Cl)C(Cl)=C(Cl)C(Cl)=C1</t>
  </si>
  <si>
    <t>ClC1=CC(Cl)=C(C=C1Cl)C1=C(Cl)C(Cl)=C(Cl)C=C1</t>
  </si>
  <si>
    <t>ClC1=CC(Cl)=C(C=C1)C1=C(Cl)C(Cl)=C(Cl)C=C1Cl</t>
  </si>
  <si>
    <t>ClC1=CC(Cl)=C(C(Cl)=C1)C1=C(Cl)C(Cl)=C(Cl)C=C1</t>
  </si>
  <si>
    <t>ClC1=CC(=C(Cl)C=C1)C1=C(Cl)C(Cl)=C(Cl)C(Cl)=C1</t>
  </si>
  <si>
    <t>ClC1=C(C=CC=C1)C1=C(Cl)C(Cl)=C(Cl)C(Cl)=C1Cl</t>
  </si>
  <si>
    <t>ClC1=CC(=C(Cl)C(Cl)=C1Cl)C1=C(Cl)C=CC=C1Cl</t>
  </si>
  <si>
    <t>ClC1=CC(=C(Cl)C=C1)C1=C(Cl)C(Cl)=C(Cl)C=C1Cl</t>
  </si>
  <si>
    <t>ClC1=CC=CC(Cl)=C1C1=C(Cl)C(Cl)=C(Cl)C=C1Cl</t>
  </si>
  <si>
    <t>ClC1=CC(=C(Cl)C(Cl)=C1)C1=C(Cl)C=C(Cl)C(Cl)=C1</t>
  </si>
  <si>
    <t>ClC1=CC(Cl)=C(C=C1)C1=C(Cl)C(Cl)=CC(Cl)=C1Cl</t>
  </si>
  <si>
    <t>ClC1=CC(Cl)=C(C(Cl)=C1)C1=C(Cl)C(Cl)=CC(Cl)=C1</t>
  </si>
  <si>
    <t>ClC1=CC(Cl)=C(C=C1Cl)C1=C(Cl)C(Cl)=CC=C1Cl</t>
  </si>
  <si>
    <t>ClC1=CC(Cl)=C(C(Cl)=C1)C1=C(Cl)C(Cl)=CC=C1Cl</t>
  </si>
  <si>
    <t>ClC1=CC(=C(Cl)C=C1)C1=C(Cl)C(Cl)=CC(Cl)=C1Cl</t>
  </si>
  <si>
    <t>ClC1=CC(Cl)=C(Cl)C(=C1Cl)C1=C(Cl)C=CC=C1Cl</t>
  </si>
  <si>
    <t>ClC1=CC(Cl)=C(C=C1Cl)C1=C(Cl)C=C(Cl)C(Cl)=C1</t>
  </si>
  <si>
    <t>ClC1=CC(Cl)=C(C(Cl)=C1)C1=C(Cl)C=C(Cl)C(Cl)=C1</t>
  </si>
  <si>
    <t>ClC1=CC(Cl)=C(C(Cl)=C1)C1=C(Cl)C=C(Cl)C=C1Cl</t>
  </si>
  <si>
    <t>ClC1=CC(=C(Cl)C(Cl)=C1Cl)C1=CC(Cl)=C(Cl)C=C1</t>
  </si>
  <si>
    <t>ClC1=CC(=CC(Cl)=C1Cl)C1=C(Cl)C(Cl)=C(Cl)C=C1</t>
  </si>
  <si>
    <t>ClC1=CC(Cl)=C(Cl)C(Cl)=C1C1=CC(Cl)=C(Cl)C=C1</t>
  </si>
  <si>
    <t>ClC1=CC(=CC(Cl)=C1)C1=C(Cl)C(Cl)=C(Cl)C(Cl)=C1</t>
  </si>
  <si>
    <t>ClC1=CC=CC(=C1)C1=C(Cl)C(Cl)=C(Cl)C(Cl)=C1Cl</t>
  </si>
  <si>
    <t>ClC1=CC(=CC(Cl)=C1)C1=C(Cl)C(Cl)=C(Cl)C=C1Cl</t>
  </si>
  <si>
    <t>ClC1=CC(=C(Cl)C(Cl)=C1)C1=CC(Cl)=C(Cl)C(Cl)=C1</t>
  </si>
  <si>
    <t>ClC1=CC(Cl)=C(Cl)C(=C1Cl)C1=CC(Cl)=C(Cl)C=C1</t>
  </si>
  <si>
    <t>ClC1=CC=C(Cl)C(=C1Cl)C1=CC(Cl)=C(Cl)C(Cl)=C1</t>
  </si>
  <si>
    <t>ClC1=CC(=CC(Cl)=C1)C1=C(Cl)C(Cl)=CC(Cl)=C1Cl</t>
  </si>
  <si>
    <t>ClC1=CC=C(C=C1)C1=C(Cl)C(Cl)=C(Cl)C(Cl)=C1Cl</t>
  </si>
  <si>
    <t>ClC1=CC(Cl)=C(C=C1Cl)C1=CC(Cl)=C(Cl)C(Cl)=C1</t>
  </si>
  <si>
    <t>ClC1=CC(Cl)=C(C(Cl)=C1)C1=CC(Cl)=C(Cl)C(Cl)=C1</t>
  </si>
  <si>
    <t>ClC1=CC(=CC(Cl)=C1Cl)C1=CC(Cl)=C(Cl)C(Cl)=C1</t>
  </si>
  <si>
    <t>ClC1=CC(=C(Cl)C(Cl)=C1Cl)C1=C(Cl)C(Cl)=C(Cl)C=C1</t>
  </si>
  <si>
    <t>ClC1=CC(Cl)=C(Cl)C(Cl)=C1C1=C(Cl)C(Cl)=C(Cl)C=C1</t>
  </si>
  <si>
    <t>ClC1=CC(=C(Cl)C(Cl)=C1)C1=C(Cl)C(Cl)=C(Cl)C(Cl)=C1</t>
  </si>
  <si>
    <t>ClC1=CC=CC(=C1Cl)C1=C(Cl)C(Cl)=C(Cl)C(Cl)=C1Cl</t>
  </si>
  <si>
    <t>ClC1=CC=C(Cl)C(=C1Cl)C1=C(Cl)C(Cl)=C(Cl)C(Cl)=C1</t>
  </si>
  <si>
    <t>ClC1=CC(=C(Cl)C(Cl)=C1)C1=C(Cl)C(Cl)=C(Cl)C=C1Cl</t>
  </si>
  <si>
    <t>ClC1=CC=C(Cl)C(=C1Cl)C1=C(Cl)C(Cl)=C(Cl)C=C1Cl</t>
  </si>
  <si>
    <t>ClC1=CC(Cl)=C(Cl)C(=C1Cl)C1=C(Cl)C(Cl)=C(Cl)C=C1</t>
  </si>
  <si>
    <t>ClC1=CC(=C(Cl)C(Cl)=C1)C1=C(Cl)C(Cl)=CC(Cl)=C1Cl</t>
  </si>
  <si>
    <t>ClC1=CC=C(Cl)C(=C1Cl)C1=C(Cl)C(Cl)=CC(Cl)=C1Cl</t>
  </si>
  <si>
    <t>ClC1=CC(Cl)=C(C=C1Cl)C1=C(Cl)C(Cl)=C(Cl)C(Cl)=C1</t>
  </si>
  <si>
    <t>ClC1=CC(Cl)=C(C=C1)C1=C(Cl)C(Cl)=C(Cl)C(Cl)=C1Cl</t>
  </si>
  <si>
    <t>ClC1=CC(Cl)=C(C(Cl)=C1)C1=C(Cl)C(Cl)=C(Cl)C(Cl)=C1</t>
  </si>
  <si>
    <t>ClC1=CC(Cl)=C(C=C1Cl)C1=C(Cl)C(Cl)=C(Cl)C=C1Cl</t>
  </si>
  <si>
    <t>ClC1=CC(Cl)=C(C(Cl)=C1)C1=C(Cl)C(Cl)=C(Cl)C=C1Cl</t>
  </si>
  <si>
    <t>ClC1=CC(=C(Cl)C=C1)C1=C(Cl)C(Cl)=C(Cl)C(Cl)=C1Cl</t>
  </si>
  <si>
    <t>ClC1=CC=CC(Cl)=C1C1=C(Cl)C(Cl)=C(Cl)C(Cl)=C1Cl</t>
  </si>
  <si>
    <t>ClC1=CC(Cl)=C(C=C1Cl)C1=C(Cl)C(Cl)=CC(Cl)=C1Cl</t>
  </si>
  <si>
    <t>ClC1=CC(Cl)=C(C(Cl)=C1)C1=C(Cl)C(Cl)=CC(Cl)=C1Cl</t>
  </si>
  <si>
    <t>ClC1=CC(=CC(Cl)=C1Cl)C1=C(Cl)C(Cl)=C(Cl)C(Cl)=C1</t>
  </si>
  <si>
    <t>ClC1=C(Cl)C=C(C=C1)C1=C(Cl)C(Cl)=C(Cl)C(Cl)=C1Cl</t>
  </si>
  <si>
    <t>ClC1=CC(=CC(Cl)=C1Cl)C1=C(Cl)C(Cl)=C(Cl)C=C1Cl</t>
  </si>
  <si>
    <t>ClC1=CC(=CC(Cl)=C1)C1=C(Cl)C(Cl)=C(Cl)C(Cl)=C1Cl</t>
  </si>
  <si>
    <t>ClC1=CC(=CC(Cl)=C1Cl)C1=C(Cl)C(Cl)=CC(Cl)=C1Cl</t>
  </si>
  <si>
    <t>ClC1=CC(=C(Cl)C(Cl)=C1Cl)C1=C(Cl)C(Cl)=C(Cl)C(Cl)=C1</t>
  </si>
  <si>
    <t>ClC1=C(Cl)C(Cl)=C(C=C1)C1=C(Cl)C(Cl)=C(Cl)C(Cl)=C1Cl</t>
  </si>
  <si>
    <t>ClC1=CC(=C(Cl)C(Cl)=C1Cl)C1=C(Cl)C(Cl)=C(Cl)C=C1Cl</t>
  </si>
  <si>
    <t>ClC1=CC(Cl)=C(Cl)C(Cl)=C1C1=C(Cl)C(Cl)=C(Cl)C=C1Cl</t>
  </si>
  <si>
    <t>ClC1=CC(=C(Cl)C(Cl)=C1)C1=C(Cl)C(Cl)=C(Cl)C(Cl)=C1Cl</t>
  </si>
  <si>
    <t>ClC1=CC(=C(Cl)C(Cl)=C1Cl)C1=C(Cl)C(Cl)=CC(Cl)=C1Cl</t>
  </si>
  <si>
    <t>ClC1=CC=C(Cl)C(=C1Cl)C1=C(Cl)C(Cl)=C(Cl)C(Cl)=C1Cl</t>
  </si>
  <si>
    <t>ClC1=CC(Cl)=C(Cl)C(=C1Cl)C1=C(Cl)C(Cl)=C(Cl)C=C1Cl</t>
  </si>
  <si>
    <t>ClC1=CC(Cl)=C(Cl)C(=C1Cl)C1=C(Cl)C(Cl)=CC(Cl)=C1Cl</t>
  </si>
  <si>
    <t>ClC1=CC(Cl)=C(C=C1Cl)C1=C(Cl)C(Cl)=C(Cl)C(Cl)=C1Cl</t>
  </si>
  <si>
    <t>ClC1=CC(Cl)=C(C(Cl)=C1)C1=C(Cl)C(Cl)=C(Cl)C(Cl)=C1Cl</t>
  </si>
  <si>
    <t>ClC1=CC(=CC(Cl)=C1Cl)C1=C(Cl)C(Cl)=C(Cl)C(Cl)=C1Cl</t>
  </si>
  <si>
    <t>ClC1=CC(=C(Cl)C(Cl)=C1Cl)C1=C(Cl)C(Cl)=C(Cl)C(Cl)=C1Cl</t>
  </si>
  <si>
    <t>ClC1=CC(Cl)=C(Cl)C(Cl)=C1C1=C(Cl)C(Cl)=C(Cl)C(Cl)=C1Cl</t>
  </si>
  <si>
    <t>ClC1=CC(Cl)=C(Cl)C(=C1Cl)C1=C(Cl)C(Cl)=C(Cl)C(Cl)=C1Cl</t>
  </si>
  <si>
    <t>ClC1=C(Cl)C(Cl)=C(C(Cl)=C1Cl)C1=C(Cl)C(Cl)=C(Cl)C(Cl)=C1Cl</t>
  </si>
  <si>
    <t>O(C1=CC=CC=C1)C1=CC=CC=C1</t>
  </si>
  <si>
    <t>BrC1=C(OC2=CC=CC=C2)C=CC=C1</t>
  </si>
  <si>
    <t>BrC1=CC=CC(OC2=CC=CC=C2)=C1</t>
  </si>
  <si>
    <t>BrC1=CC=C(OC2=CC=CC=C2)C=C1</t>
  </si>
  <si>
    <t>BrC1=C(OC2=C(Br)C=CC=C2)C=CC=C1</t>
  </si>
  <si>
    <t>BrC1=CC=CC(OC2=CC=CC=C2)=C1Br</t>
  </si>
  <si>
    <t>BrC1=CC=CC(OC2=C(Br)C=CC=C2)=C1</t>
  </si>
  <si>
    <t>BrC1=CC(Br)=C(OC2=CC=CC=C2)C=C1</t>
  </si>
  <si>
    <t>BrC1=CC=C(OC2=C(Br)C=CC=C2)C=C1</t>
  </si>
  <si>
    <t>BrC1=CC(OC2=CC=CC=C2)=C(Br)C=C1</t>
  </si>
  <si>
    <t>BrC1=CC=CC(Br)=C1OC1=CC=CC=C1</t>
  </si>
  <si>
    <t>BrC1=CC(OC2=CC(Br)=CC=C2)=CC=C1</t>
  </si>
  <si>
    <t>BrC1=C(Br)C=C(OC2=CC=CC=C2)C=C1</t>
  </si>
  <si>
    <t>BrC1=CC=C(OC2=CC=CC(Br)=C2)C=C1</t>
  </si>
  <si>
    <t>BrC1=CC(OC2=CC=CC=C2)=CC(Br)=C1</t>
  </si>
  <si>
    <t>BrC1=CC=C(OC2=CC=C(Br)C=C2)C=C1</t>
  </si>
  <si>
    <t>BrC1=CC=CC(OC2=C(Br)C=CC=C2)=C1Br</t>
  </si>
  <si>
    <t>BrC1=CC(Br)=C(OC2=C(Br)C=CC=C2)C=C1</t>
  </si>
  <si>
    <t>BrC1=CC(OC2=C(Br)C=CC=C2)=C(Br)C=C1</t>
  </si>
  <si>
    <t>BrC1=CC=CC(Br)=C1OC1=C(Br)C=CC=C1</t>
  </si>
  <si>
    <t>BrC1=CC=CC(OC2=C(Br)C(Br)=CC=C2)=C1</t>
  </si>
  <si>
    <t>BrC1=C(Br)C(Br)=C(OC2=CC=CC=C2)C=C1</t>
  </si>
  <si>
    <t>BrC1=CC=C(OC2=C(Br)C(Br)=CC=C2)C=C1</t>
  </si>
  <si>
    <t>BrC1=CC(OC2=CC=CC=C2)=C(Br)C(Br)=C1</t>
  </si>
  <si>
    <t>BrC1=CC=C(Br)C(OC2=CC=CC=C2)=C1Br</t>
  </si>
  <si>
    <t>BrC1=CC(Br)=C(OC2=CC(Br)=CC=C2)C=C1</t>
  </si>
  <si>
    <t>BrC1=CC(OC2=CC(Br)=CC=C2)=C(Br)C=C1</t>
  </si>
  <si>
    <t>BrC1=CC=CC(OC2=C(Br)C=CC=C2Br)=C1</t>
  </si>
  <si>
    <t>BrC1=CC=C(OC2=C(Br)C=C(Br)C=C2)C=C1</t>
  </si>
  <si>
    <t>BrC1=CC(Br)=C(OC2=CC=CC=C2)C=C1Br</t>
  </si>
  <si>
    <t>BrC1=CC(Br)=C(OC2=CC=CC=C2)C(Br)=C1</t>
  </si>
  <si>
    <t>BrC1=CC=C(OC2=C(Br)C=CC(Br)=C2)C=C1</t>
  </si>
  <si>
    <t>BrC1=CC=C(OC2=C(Br)C=CC=C2Br)C=C1</t>
  </si>
  <si>
    <t>BrC1=C(Br)C=C(OC2=C(Br)C=CC=C2)C=C1</t>
  </si>
  <si>
    <t>BrC1=CC(OC2=C(Br)C=CC=C2)=CC(Br)=C1</t>
  </si>
  <si>
    <t>BrC1=CC=CC(OC2=CC(Br)=C(Br)C=C2)=C1</t>
  </si>
  <si>
    <t>BrC1=CC=CC(OC2=CC(Br)=CC(Br)=C2)=C1</t>
  </si>
  <si>
    <t>BrC1=CC=C(OC2=CC(Br)=C(Br)C=C2)C=C1</t>
  </si>
  <si>
    <t>BrC1=CC(OC2=CC=CC=C2)=CC(Br)=C1Br</t>
  </si>
  <si>
    <t>BrC1=CC=C(OC2=CC(Br)=CC(Br)=C2)C=C1</t>
  </si>
  <si>
    <t>BrC1=CC=CC(OC2=C(Br)C(Br)=CC=C2)=C1Br</t>
  </si>
  <si>
    <t>BrC1=C(Br)C(Br)=C(OC2=C(Br)C=CC=C2)C=C1</t>
  </si>
  <si>
    <t>BrC1=CC(Br)=C(OC2=C(Br)C(Br)=CC=C2)C=C1</t>
  </si>
  <si>
    <t>BrC1=CC(OC2=C(Br)C=CC=C2)=C(Br)C(Br)=C1</t>
  </si>
  <si>
    <t>BrC1=CC(OC2=C(Br)C(Br)=CC=C2)=C(Br)C=C1</t>
  </si>
  <si>
    <t>BrC1=CC=C(Br)C(OC2=C(Br)C=CC=C2)=C1Br</t>
  </si>
  <si>
    <t>BrC1=CC=CC(OC2=C(Br)C=CC=C2Br)=C1Br</t>
  </si>
  <si>
    <t>BrC1=CC(Br)=C(OC2=C(Br)C=C(Br)C=C2)C=C1</t>
  </si>
  <si>
    <t>BrC1=CC(Br)=C(OC2=C(Br)C=CC=C2)C=C1Br</t>
  </si>
  <si>
    <t>BrC1=CC(Br)=C(OC2=C(Br)C=CC(Br)=C2)C=C1</t>
  </si>
  <si>
    <t>BrC1=CC(Br)=C(OC2=C(Br)C=CC=C2)C(Br)=C1</t>
  </si>
  <si>
    <t>BrC1=CC(Br)=C(OC2=C(Br)C=CC=C2Br)C=C1</t>
  </si>
  <si>
    <t>BrC1=CC(OC2=C(Br)C=CC(Br)=C2)=C(Br)C=C1</t>
  </si>
  <si>
    <t>BrC1=CC(OC2=C(Br)C=CC=C2Br)=C(Br)C=C1</t>
  </si>
  <si>
    <t>BrC1=CC=CC(Br)=C1OC1=C(Br)C=CC=C1Br</t>
  </si>
  <si>
    <t>BrC1=CC=CC(OC2=C(Br)C(Br)=C(Br)C=C2)=C1</t>
  </si>
  <si>
    <t>BrC1=CC=CC(OC2=CC(Br)=C(Br)C=C2)=C1Br</t>
  </si>
  <si>
    <t>BrC1=CC=CC(OC2=C(Br)C(Br)=CC(Br)=C2)=C1</t>
  </si>
  <si>
    <t>BrC1=CC(OC2=C(Br)C(Br)=CC=C2)=CC(Br)=C1</t>
  </si>
  <si>
    <t>BrC1=CC=CC(OC2=C(Br)C(Br)=CC=C2Br)=C1</t>
  </si>
  <si>
    <t>BrC1=CC=C(OC2=C(Br)C(Br)=C(Br)C=C2)C=C1</t>
  </si>
  <si>
    <t>BrC1=CC(OC2=CC=CC=C2)=C(Br)C(Br)=C1Br</t>
  </si>
  <si>
    <t>BrC1=CC(Br)=C(Br)C(Br)=C1OC1=CC=CC=C1</t>
  </si>
  <si>
    <t>BrC1=CC=C(OC2=C(Br)C(Br)=CC(Br)=C2)C=C1</t>
  </si>
  <si>
    <t>BrC1=CC=C(OC2=C(Br)C(Br)=CC=C2Br)C=C1</t>
  </si>
  <si>
    <t>BrC1=CC(Br)=C(Br)C(OC2=CC=CC=C2)=C1Br</t>
  </si>
  <si>
    <t>BrC1=CC(Br)=C(OC2=CC(Br)=C(Br)C=C2)C=C1</t>
  </si>
  <si>
    <t>BrC1=CC=CC(OC2=C(Br)C=C(Br)C(Br)=C2)=C1</t>
  </si>
  <si>
    <t>BrC1=CC(Br)=C(OC2=CC(Br)=CC(Br)=C2)C=C1</t>
  </si>
  <si>
    <t>BrC1=CC=CC(OC2=C(Br)C=C(Br)C=C2Br)=C1</t>
  </si>
  <si>
    <t>BrC1=CC(OC2=CC(Br)=C(Br)C=C2)=C(Br)C=C1</t>
  </si>
  <si>
    <t>BrC1=CC=CC(Br)=C1OC1=CC(Br)=C(Br)C=C1</t>
  </si>
  <si>
    <t>BrC1=CC(OC2=CC(Br)=CC(Br)=C2)=C(Br)C=C1</t>
  </si>
  <si>
    <t>BrC1=CC(OC2=C(Br)C=CC=C2Br)=CC(Br)=C1</t>
  </si>
  <si>
    <t>BrC1=CC=C(OC2=C(Br)C=C(Br)C(Br)=C2)C=C1</t>
  </si>
  <si>
    <t>BrC1=CC=C(OC2=C(Br)C=C(Br)C=C2Br)C=C1</t>
  </si>
  <si>
    <t>BrC1=CC(OC2=C(Br)C=CC=C2)=CC(Br)=C1Br</t>
  </si>
  <si>
    <t>BrC1=C(Br)C=C(OC2=CC(Br)=C(Br)C=C2)C=C1</t>
  </si>
  <si>
    <t>BrC1=CC=CC(OC2=CC(Br)=C(Br)C(Br)=C2)=C1</t>
  </si>
  <si>
    <t>BrC1=CC(OC2=CC(Br)=C(Br)C=C2)=CC(Br)=C1</t>
  </si>
  <si>
    <t>BrC1=CC(OC2=CC(Br)=CC(Br)=C2)=CC(Br)=C1</t>
  </si>
  <si>
    <t>BrC1=CC=C(OC2=CC(Br)=C(Br)C(Br)=C2)C=C1</t>
  </si>
  <si>
    <t>BrC1=CC=CC(OC2=C(Br)C(Br)=C(Br)C=C2)=C1Br</t>
  </si>
  <si>
    <t>BrC1=CC(OC2=C(Br)C(Br)=CC=C2)=C(Br)C(Br)=C1</t>
  </si>
  <si>
    <t>BrC1=CC=CC(OC2=C(Br)C(Br)=CC=C2Br)=C1Br</t>
  </si>
  <si>
    <t>BrC1=CC(Br)=C(OC2=C(Br)C(Br)=C(Br)C=C2)C=C1</t>
  </si>
  <si>
    <t>BrC1=CC(OC2=C(Br)C=CC=C2)=C(Br)C(Br)=C1Br</t>
  </si>
  <si>
    <t>BrC1=CC(OC2=C(Br)C(Br)=C(Br)C=C2)=C(Br)C=C1</t>
  </si>
  <si>
    <t>BrC1=CC(Br)=C(Br)C(Br)=C1OC1=C(Br)C=CC=C1</t>
  </si>
  <si>
    <t>BrC1=CC=CC(Br)=C1OC1=C(Br)C(Br)=C(Br)C=C1</t>
  </si>
  <si>
    <t>BrC1=CC(Br)=C(OC2=C(Br)C(Br)=CC(Br)=C2)C=C1</t>
  </si>
  <si>
    <t>BrC1=CC(Br)=C(OC2=C(Br)C(Br)=CC=C2Br)C=C1</t>
  </si>
  <si>
    <t>BrC1=CC(OC2=C(Br)C(Br)=CC(Br)=C2)=C(Br)C=C1</t>
  </si>
  <si>
    <t>BrC1=CC(Br)=C(Br)C(OC2=C(Br)C=CC=C2)=C1Br</t>
  </si>
  <si>
    <t>BrC1=CC(OC2=C(Br)C=CC=C2Br)=C(Br)C(Br)=C1</t>
  </si>
  <si>
    <t>BrC1=CC(OC2=C(Br)C(Br)=CC=C2Br)=C(Br)C=C1</t>
  </si>
  <si>
    <t>BrC1=CC=C(Br)C(OC2=C(Br)C=CC=C2Br)=C1Br</t>
  </si>
  <si>
    <t>BrC1=CC(Br)=C(OC2=C(Br)C(Br)=CC=C2)C=C1Br</t>
  </si>
  <si>
    <t>BrC1=CC(Br)=C(OC2=C(Br)C(Br)=CC=C2)C(Br)=C1</t>
  </si>
  <si>
    <t>BrC1=CC(Br)=C(OC2=C(Br)C=C(Br)C(Br)=C2)C=C1</t>
  </si>
  <si>
    <t>BrC1=CC(Br)=C(OC2=C(Br)C=C(Br)C=C2Br)C=C1</t>
  </si>
  <si>
    <t>BrC1=CC(OC2=C(Br)C=C(Br)C(Br)=C2)=C(Br)C=C1</t>
  </si>
  <si>
    <t>BrC1=CC(Br)=C(OC2=C(Br)C=CC=C2Br)C=C1Br</t>
  </si>
  <si>
    <t>BrC1=CC(OC2=C(Br)C=C(Br)C=C2Br)=C(Br)C=C1</t>
  </si>
  <si>
    <t>BrC1=CC(Br)=C(OC2=C(Br)C=CC=C2Br)C(Br)=C1</t>
  </si>
  <si>
    <t>BrC1=C(Br)C=C(OC2=C(Br)C(Br)=C(Br)C=C2)C=C1</t>
  </si>
  <si>
    <t>BrC1=CC=CC(OC2=C(Br)C(Br)=C(Br)C(Br)=C2)=C1</t>
  </si>
  <si>
    <t>BrC1=CC(OC2=CC(Br)=C(Br)C=C2)=C(Br)C(Br)=C1</t>
  </si>
  <si>
    <t>BrC1=CC(OC2=C(Br)C(Br)=C(Br)C=C2)=CC(Br)=C1</t>
  </si>
  <si>
    <t>BrC1=CC=CC(OC2=C(Br)C(Br)=C(Br)C=C2Br)=C1</t>
  </si>
  <si>
    <t>BrC1=CC=C(Br)C(OC2=CC(Br)=C(Br)C=C2)=C1Br</t>
  </si>
  <si>
    <t>BrC1=CC(OC2=C(Br)C(Br)=CC(Br)=C2)=CC(Br)=C1</t>
  </si>
  <si>
    <t>BrC1=CC=CC(OC2=C(Br)C(Br)=CC(Br)=C2Br)=C1</t>
  </si>
  <si>
    <t>BrC1=CC(OC2=C(Br)C(Br)=CC=C2Br)=CC(Br)=C1</t>
  </si>
  <si>
    <t>BrC1=CC=C(OC2=C(Br)C(Br)=C(Br)C(Br)=C2)C=C1</t>
  </si>
  <si>
    <t>BrC1=CC=C(OC2=C(Br)C(Br)=C(Br)C=C2Br)C=C1</t>
  </si>
  <si>
    <t>BrC1=C(Br)C(Br)=C(OC2=CC=CC=C2)C(Br)=C1Br</t>
  </si>
  <si>
    <t>BrC1=CC=C(OC2=C(Br)C(Br)=CC(Br)=C2Br)C=C1</t>
  </si>
  <si>
    <t>BrC1=CC(Br)=C(OC2=CC(Br)=C(Br)C=C2)C=C1Br</t>
  </si>
  <si>
    <t>BrC1=CC(Br)=C(OC2=CC(Br)=C(Br)C=C2)C(Br)=C1</t>
  </si>
  <si>
    <t>BrC1=CC(OC2=C(Br)C=C(Br)C(Br)=C2)=CC(Br)=C1</t>
  </si>
  <si>
    <t>BrC1=CC(Br)=C(OC2=CC(Br)=CC(Br)=C2)C(Br)=C1</t>
  </si>
  <si>
    <t>BrC1=CC=CC(OC2=CC(Br)=C(Br)C(Br)=C2)=C1Br</t>
  </si>
  <si>
    <t>BrC1=CC(Br)=C(OC2=CC(Br)=C(Br)C(Br)=C2)C=C1</t>
  </si>
  <si>
    <t>BrC1=CC(OC2=CC(Br)=C(Br)C(Br)=C2)=C(Br)C=C1</t>
  </si>
  <si>
    <t>BrC1=CC(OC2=C(Br)C=CC=C2Br)=CC(Br)=C1Br</t>
  </si>
  <si>
    <t>BrC1=CC(OC2=CC(Br)=C(Br)C=C2)=CC(Br)=C1Br</t>
  </si>
  <si>
    <t>BrC1=CC(OC2=CC(Br)=C(Br)C(Br)=C2)=CC(Br)=C1</t>
  </si>
  <si>
    <t>BrC1=C(Br)C(Br)=C(OC2=C(Br)C(Br)=C(Br)C=C2)C=C1</t>
  </si>
  <si>
    <t>BrC1=CC=CC(OC2=C(Br)C(Br)=C(Br)C(Br)=C2)=C1Br</t>
  </si>
  <si>
    <t>BrC1=CC(OC2=C(Br)C(Br)=C(Br)C=C2)=C(Br)C(Br)=C1</t>
  </si>
  <si>
    <t>BrC1=CC=CC(OC2=C(Br)C(Br)=C(Br)C=C2Br)=C1Br</t>
  </si>
  <si>
    <t>BrC1=CC=C(Br)C(OC2=C(Br)C(Br)=C(Br)C=C2)=C1Br</t>
  </si>
  <si>
    <t>BrC1=CC(OC2=C(Br)C(Br)=CC(Br)=C2)=C(Br)C(Br)=C1</t>
  </si>
  <si>
    <t>BrC1=CC=CC(OC2=C(Br)C(Br)=CC(Br)=C2Br)=C1Br</t>
  </si>
  <si>
    <t>BrC1=CC(OC2=C(Br)C(Br)=CC=C2Br)=C(Br)C(Br)=C1</t>
  </si>
  <si>
    <t>BrC1=CC=C(Br)C(OC2=C(Br)C(Br)=CC=C2Br)=C1Br</t>
  </si>
  <si>
    <t>BrC1=CC(Br)=C(OC2=C(Br)C(Br)=C(Br)C(Br)=C2)C=C1</t>
  </si>
  <si>
    <t>BrC1=CC(Br)=C(OC2=C(Br)C(Br)=C(Br)C=C2)C=C1Br</t>
  </si>
  <si>
    <t>BrC1=CC(Br)=C(OC2=C(Br)C(Br)=C(Br)C=C2Br)C=C1</t>
  </si>
  <si>
    <t>BrC1=CC(Br)=C(OC2=C(Br)C(Br)=C(Br)C=C2)C(Br)=C1</t>
  </si>
  <si>
    <t>BrC1=CC(OC2=C(Br)C(Br)=C(Br)C(Br)=C2)=C(Br)C=C1</t>
  </si>
  <si>
    <t>BrC1=C(OC2=C(Br)C(Br)=C(Br)C(Br)=C2Br)C=CC=C1</t>
  </si>
  <si>
    <t>BrC1=CC(OC2=C(Br)C=CC=C2Br)=C(Br)C(Br)=C1Br</t>
  </si>
  <si>
    <t>BrC1=CC(OC2=C(Br)C(Br)=C(Br)C=C2Br)=C(Br)C=C1</t>
  </si>
  <si>
    <t>BrC1=CC=CC(Br)=C1OC1=C(Br)C(Br)=C(Br)C=C1Br</t>
  </si>
  <si>
    <t>BrC1=CC(OC2=C(Br)C=C(Br)C(Br)=C2)=C(Br)C(Br)=C1</t>
  </si>
  <si>
    <t>BrC1=CC(Br)=C(OC2=C(Br)C(Br)=CC(Br)=C2Br)C=C1</t>
  </si>
  <si>
    <t>BrC1=CC(Br)=C(OC2=C(Br)C(Br)=CC(Br)=C2)C(Br)=C1</t>
  </si>
  <si>
    <t>BrC1=CC(Br)=C(OC2=C(Br)C(Br)=CC=C2Br)C=C1Br</t>
  </si>
  <si>
    <t>BrC1=CC(Br)=C(OC2=C(Br)C(Br)=CC=C2Br)C(Br)=C1</t>
  </si>
  <si>
    <t>BrC1=CC(OC2=C(Br)C(Br)=CC(Br)=C2Br)=C(Br)C=C1</t>
  </si>
  <si>
    <t>BrC1=CC(Br)=C(Br)C(OC2=C(Br)C=CC=C2Br)=C1Br</t>
  </si>
  <si>
    <t>BrC1=CC(Br)=C(OC2=C(Br)C=C(Br)C(Br)=C2)C=C1Br</t>
  </si>
  <si>
    <t>BrC1=CC(Br)=C(OC2=C(Br)C=C(Br)C(Br)=C2)C(Br)=C1</t>
  </si>
  <si>
    <t>BrC1=CC(Br)=C(OC2=C(Br)C=C(Br)C=C2Br)C(Br)=C1</t>
  </si>
  <si>
    <t>BrC1=CC(OC2=CC(Br)=C(Br)C=C2)=C(Br)C(Br)=C1Br</t>
  </si>
  <si>
    <t>BrC1=CC(OC2=C(Br)C(Br)=C(Br)C=C2)=CC(Br)=C1Br</t>
  </si>
  <si>
    <t>BrC1=CC(Br)=C(Br)C(Br)=C1OC1=CC(Br)=C(Br)C=C1</t>
  </si>
  <si>
    <t>BrC1=CC(OC2=C(Br)C(Br)=C(Br)C(Br)=C2)=CC(Br)=C1</t>
  </si>
  <si>
    <t>BrC1=CC=CC(OC2=C(Br)C(Br)=C(Br)C(Br)=C2Br)=C1</t>
  </si>
  <si>
    <t>BrC1=CC(OC2=C(Br)C(Br)=C(Br)C=C2Br)=CC(Br)=C1</t>
  </si>
  <si>
    <t>BrC1=CC(OC2=CC(Br)=C(Br)C(Br)=C2)=C(Br)C(Br)=C1</t>
  </si>
  <si>
    <t>BrC1=CC(Br)=C(Br)C(OC2=CC(Br)=C(Br)C=C2)=C1Br</t>
  </si>
  <si>
    <t>BrC1=CC=C(Br)C(OC2=CC(Br)=C(Br)C(Br)=C2)=C1Br</t>
  </si>
  <si>
    <t>BrC1=CC(OC2=C(Br)C(Br)=CC(Br)=C2Br)=CC(Br)=C1</t>
  </si>
  <si>
    <t>BrC1=CC=C(OC2=C(Br)C(Br)=C(Br)C(Br)=C2Br)C=C1</t>
  </si>
  <si>
    <t>BrC1=CC(Br)=C(OC2=CC(Br)=C(Br)C(Br)=C2)C=C1Br</t>
  </si>
  <si>
    <t>BrC1=CC(Br)=C(OC2=CC(Br)=C(Br)C(Br)=C2)C(Br)=C1</t>
  </si>
  <si>
    <t>BrC1=CC(OC2=CC(Br)=C(Br)C(Br)=C2)=CC(Br)=C1Br</t>
  </si>
  <si>
    <t>BrC1=CC(OC2=C(Br)C(Br)=C(Br)C=C2)=C(Br)C(Br)=C1Br</t>
  </si>
  <si>
    <t>BrC1=CC(Br)=C(Br)C(Br)=C1OC1=C(Br)C(Br)=C(Br)C=C1</t>
  </si>
  <si>
    <t>BrC1=CC(OC2=C(Br)C(Br)=C(Br)C(Br)=C2)=C(Br)C(Br)=C1</t>
  </si>
  <si>
    <t>BrC1=CC=CC(OC2=C(Br)C(Br)=C(Br)C(Br)=C2Br)=C1Br</t>
  </si>
  <si>
    <t>BrC1=CC=C(Br)C(OC2=C(Br)C(Br)=C(Br)C(Br)=C2)=C1Br</t>
  </si>
  <si>
    <t>BrC1=CC(OC2=C(Br)C(Br)=C(Br)C=C2Br)=C(Br)C(Br)=C1</t>
  </si>
  <si>
    <t>BrC1=CC=C(Br)C(OC2=C(Br)C(Br)=C(Br)C=C2Br)=C1Br</t>
  </si>
  <si>
    <t>BrC1=CC(Br)=C(Br)C(OC2=C(Br)C(Br)=C(Br)C=C2)=C1Br</t>
  </si>
  <si>
    <t>BrC1=CC(OC2=C(Br)C(Br)=CC(Br)=C2Br)=C(Br)C(Br)=C1</t>
  </si>
  <si>
    <t>BrC1=CC=C(Br)C(OC2=C(Br)C(Br)=CC(Br)=C2Br)=C1Br</t>
  </si>
  <si>
    <t>BrC1=CC(Br)=C(OC2=C(Br)C(Br)=C(Br)C(Br)=C2)C=C1Br</t>
  </si>
  <si>
    <t>BrC1=CC(Br)=C(OC2=C(Br)C(Br)=C(Br)C(Br)=C2Br)C=C1</t>
  </si>
  <si>
    <t>BrC1=CC(Br)=C(OC2=C(Br)C(Br)=C(Br)C(Br)=C2)C(Br)=C1</t>
  </si>
  <si>
    <t>BrC1=CC(Br)=C(OC2=C(Br)C(Br)=C(Br)C=C2Br)C=C1Br</t>
  </si>
  <si>
    <t>BrC1=CC(Br)=C(OC2=C(Br)C(Br)=C(Br)C=C2Br)C(Br)=C1</t>
  </si>
  <si>
    <t>BrC1=CC(OC2=C(Br)C(Br)=C(Br)C(Br)=C2Br)=C(Br)C=C1</t>
  </si>
  <si>
    <t>BrC1=CC=CC(Br)=C1OC1=C(Br)C(Br)=C(Br)C(Br)=C1Br</t>
  </si>
  <si>
    <t>BrC1=CC(Br)=C(OC2=C(Br)C(Br)=CC(Br)=C2Br)C=C1Br</t>
  </si>
  <si>
    <t>BrC1=CC(Br)=C(OC2=C(Br)C(Br)=CC(Br)=C2Br)C(Br)=C1</t>
  </si>
  <si>
    <t>BrC1=CC(OC2=C(Br)C(Br)=C(Br)C(Br)=C2)=CC(Br)=C1Br</t>
  </si>
  <si>
    <t>BrC1=C(Br)C=C(OC2=C(Br)C(Br)=C(Br)C(Br)=C2Br)C=C1</t>
  </si>
  <si>
    <t>BrC1=CC(OC2=C(Br)C(Br)=C(Br)C=C2Br)=CC(Br)=C1Br</t>
  </si>
  <si>
    <t>BrC1=CC(OC2=C(Br)C(Br)=C(Br)C(Br)=C2Br)=CC(Br)=C1</t>
  </si>
  <si>
    <t>BrC1=CC(Br)=C(Br)C(OC2=CC(Br)=C(Br)C(Br)=C2)=C1Br</t>
  </si>
  <si>
    <t>BrC1=CC(OC2=C(Br)C(Br)=C(Br)C(Br)=C2)=C(Br)C(Br)=C1Br</t>
  </si>
  <si>
    <t>BrC1=C(Br)C(Br)=C(OC2=C(Br)C(Br)=C(Br)C(Br)=C2Br)C=C1</t>
  </si>
  <si>
    <t>BrC1=CC(OC2=C(Br)C(Br)=C(Br)C=C2Br)=C(Br)C(Br)=C1Br</t>
  </si>
  <si>
    <t>BrC1=CC(Br)=C(Br)C(Br)=C1OC1=C(Br)C(Br)=C(Br)C=C1Br</t>
  </si>
  <si>
    <t>BrC1=CC(OC2=C(Br)C(Br)=C(Br)C(Br)=C2Br)=C(Br)C(Br)=C1</t>
  </si>
  <si>
    <t>BrC1=CC(OC2=C(Br)C(Br)=CC(Br)=C2Br)=C(Br)C(Br)=C1Br</t>
  </si>
  <si>
    <t>BrC1=CC=C(Br)C(OC2=C(Br)C(Br)=C(Br)C(Br)=C2Br)=C1Br</t>
  </si>
  <si>
    <t>BrC1=CC(Br)=C(Br)C(OC2=C(Br)C(Br)=C(Br)C=C2Br)=C1Br</t>
  </si>
  <si>
    <t>BrC1=CC(Br)=C(Br)C(OC2=C(Br)C(Br)=CC(Br)=C2Br)=C1Br</t>
  </si>
  <si>
    <t>BrC1=CC(Br)=C(OC2=C(Br)C(Br)=C(Br)C(Br)=C2Br)C=C1Br</t>
  </si>
  <si>
    <t>BrC1=CC(Br)=C(OC2=C(Br)C(Br)=C(Br)C(Br)=C2Br)C(Br)=C1</t>
  </si>
  <si>
    <t>BrC1=CC(OC2=C(Br)C(Br)=C(Br)C(Br)=C2Br)=CC(Br)=C1Br</t>
  </si>
  <si>
    <t>BrC1=CC(OC2=C(Br)C(Br)=C(Br)C(Br)=C2Br)=C(Br)C(Br)=C1Br</t>
  </si>
  <si>
    <t>BrC1=CC(Br)=C(Br)C(Br)=C1OC1=C(Br)C(Br)=C(Br)C(Br)=C1Br</t>
  </si>
  <si>
    <t>BrC1=CC(Br)=C(Br)C(OC2=C(Br)C(Br)=C(Br)C(Br)=C2Br)=C1Br</t>
  </si>
  <si>
    <t>BrC1=C(Br)C(Br)=C(OC2=C(Br)C(Br)=C(Br)C(Br)=C2Br)C(Br)=C1Br</t>
  </si>
  <si>
    <t>O1C2=CC=CC=C2OC2=CC=CC=C12</t>
  </si>
  <si>
    <t>ClC1=C2OC3=CC=CC=C3OC2=CC=C1</t>
  </si>
  <si>
    <t>ClC1=CC=C2OC3=CC=CC=C3OC2=C1</t>
  </si>
  <si>
    <t>ClC1=CC=C2OC3=CC=CC=C3OC2=C1Cl</t>
  </si>
  <si>
    <t>ClC1=CC(Cl)=C2OC3=CC=CC=C3OC2=C1</t>
  </si>
  <si>
    <t>ClC1=C2OC3=CC=CC=C3OC2=C(Cl)C=C1</t>
  </si>
  <si>
    <t>ClC1=C2OC3=CC=CC(Cl)=C3OC2=CC=C1</t>
  </si>
  <si>
    <t>ClC1=CC=C2OC3=C(Cl)C=CC=C3OC2=C1</t>
  </si>
  <si>
    <t>ClC1=CC=C2OC3=CC=CC(Cl)=C3OC2=C1</t>
  </si>
  <si>
    <t>ClC1=C2OC3=C(Cl)C=CC=C3OC2=CC=C1</t>
  </si>
  <si>
    <t>ClC1=C(Cl)C=C2OC3=CC=CC=C3OC2=C1</t>
  </si>
  <si>
    <t>ClC1=CC=C2OC3=CC(Cl)=CC=C3OC2=C1</t>
  </si>
  <si>
    <t>ClC1=CC=C2OC3=CC=C(Cl)C=C3OC2=C1</t>
  </si>
  <si>
    <t>ClC1=C(Cl)C(Cl)=C2OC3=CC=CC=C3OC2=C1</t>
  </si>
  <si>
    <t>ClC1=CC(Cl)=C2OC3=CC=CC=C3OC2=C1Cl</t>
  </si>
  <si>
    <t>ClC1=CC=C2OC3=C(Cl)C=CC=C3OC2=C1Cl</t>
  </si>
  <si>
    <t>ClC1=CC=C2OC3=C(Cl)C(Cl)=CC=C3OC2=C1</t>
  </si>
  <si>
    <t>ClC1=CC=C2OC3=CC=C(Cl)C(Cl)=C3OC2=C1</t>
  </si>
  <si>
    <t>ClC1=CC=C2OC3=CC=CC(Cl)=C3OC2=C1Cl</t>
  </si>
  <si>
    <t>ClC1=CC(Cl)=C2OC3=CC=CC(Cl)=C3OC2=C1</t>
  </si>
  <si>
    <t>ClC1=CC=C2OC3=C(Cl)C=C(Cl)C=C3OC2=C1</t>
  </si>
  <si>
    <t>ClC1=CC=C2OC3=CC(Cl)=CC(Cl)=C3OC2=C1</t>
  </si>
  <si>
    <t>ClC1=CC(Cl)=C2OC3=C(Cl)C=CC=C3OC2=C1</t>
  </si>
  <si>
    <t>ClC1=C2OC3=C(Cl)C=CC(Cl)=C3OC2=CC=C1</t>
  </si>
  <si>
    <t>ClC1=CC=C2OC3=C(Cl)C=CC(Cl)=C3OC2=C1</t>
  </si>
  <si>
    <t>ClC1=C(Cl)C=C2OC3=C(Cl)C=CC=C3OC2=C1</t>
  </si>
  <si>
    <t>ClC1=CC=C2OC3=CC(Cl)=C(Cl)C=C3OC2=C1</t>
  </si>
  <si>
    <t>ClC1=C(Cl)C(Cl)=C2OC3=CC=CC=C3OC2=C1Cl</t>
  </si>
  <si>
    <t>ClC1=CC=C2OC3=C(Cl)C(Cl)=C(Cl)C=C3OC2=C1</t>
  </si>
  <si>
    <t>ClC1=C(Cl)C(Cl)=C2OC3=C(Cl)C=CC=C3OC2=C1</t>
  </si>
  <si>
    <t>ClC1=CC=C2OC3=C(Cl)C(Cl)=CC(Cl)=C3OC2=C1</t>
  </si>
  <si>
    <t>ClC1=CC(Cl)=C2OC3=CC=CC(Cl)=C3OC2=C1Cl</t>
  </si>
  <si>
    <t>ClC1=CC=C2OC3=C(Cl)C(Cl)=CC=C3OC2=C1Cl</t>
  </si>
  <si>
    <t>ClC1=CC=C2OC3=C(Cl)C=CC(Cl)=C3OC2=C1Cl</t>
  </si>
  <si>
    <t>ClC1=CC(Cl)=C2OC3=C(Cl)C(Cl)=CC=C3OC2=C1</t>
  </si>
  <si>
    <t>ClC1=CC(Cl)=C2OC3=CC(Cl)=CC(Cl)=C3OC2=C1</t>
  </si>
  <si>
    <t>ClC1=CC(Cl)=C2OC3=CC(Cl)=C(Cl)C=C3OC2=C1</t>
  </si>
  <si>
    <t>ClC1=C2OC3=C(Cl)C=CC(Cl)=C3OC2=C(Cl)C=C1</t>
  </si>
  <si>
    <t>ClC1=C(Cl)C(Cl)=C2OC3=CC=CC(Cl)=C3OC2=C1</t>
  </si>
  <si>
    <t>ClC1=CC=C2OC3=CC(Cl)=C(Cl)C(Cl)=C3OC2=C1</t>
  </si>
  <si>
    <t>ClC1=CC(Cl)=C2OC3=C(Cl)C=CC=C3OC2=C1Cl</t>
  </si>
  <si>
    <t>ClC1=CC=C2OC3=C(Cl)C=C(Cl)C(Cl)=C3OC2=C1</t>
  </si>
  <si>
    <t>ClC1=CC(Cl)=C2OC3=CC=C(Cl)C(Cl)=C3OC2=C1</t>
  </si>
  <si>
    <t>ClC1=CC=C2OC3=CC(Cl)=C(Cl)C=C3OC2=C1Cl</t>
  </si>
  <si>
    <t>ClC1=CC=C2OC3=CC=C(Cl)C(Cl)=C3OC2=C1Cl</t>
  </si>
  <si>
    <t>ClC1=CC(Cl)=C2OC3=C(Cl)C=CC(Cl)=C3OC2=C1</t>
  </si>
  <si>
    <t>ClC1=CC(Cl)=C2OC3=C(Cl)C=C(Cl)C=C3OC2=C1</t>
  </si>
  <si>
    <t>ClC1=C(Cl)C=C2OC3=C(Cl)C=CC(Cl)=C3OC2=C1</t>
  </si>
  <si>
    <t>ClC1=C(Cl)C=C2OC3=CC(Cl)=C(Cl)C=C3OC2=C1</t>
  </si>
  <si>
    <t>ClC1=C2OC3=C(Cl)C(Cl)=C(Cl)C(Cl)=C3OC2=CC=C1</t>
  </si>
  <si>
    <t>ClC1=CC=C2OC3=C(Cl)C(Cl)=C(Cl)C=C3OC2=C1Cl</t>
  </si>
  <si>
    <t>ClC1=C(Cl)C(Cl)=C2OC3=C(Cl)C=CC(Cl)=C3OC2=C1</t>
  </si>
  <si>
    <t>ClC1=CC(Cl)=C2OC3=C(Cl)C(Cl)=C(Cl)C=C3OC2=C1</t>
  </si>
  <si>
    <t>ClC1=CC=C2OC3=C(Cl)C(Cl)=CC(Cl)=C3OC2=C1Cl</t>
  </si>
  <si>
    <t>ClC1=CC(Cl)=C2OC3=C(Cl)C=CC(Cl)=C3OC2=C1Cl</t>
  </si>
  <si>
    <t>ClC1=CC(Cl)=C2OC3=C(Cl)C(Cl)=CC(Cl)=C3OC2=C1</t>
  </si>
  <si>
    <t>ClC1=CC=C2OC3=C(Cl)C(Cl)=C(Cl)C(Cl)=C3OC2=C1</t>
  </si>
  <si>
    <t>ClC1=CC(Cl)=C2OC3=CC(Cl)=C(Cl)C(Cl)=C3OC2=C1</t>
  </si>
  <si>
    <t>1,2,3,7,8-Pentachlorooxanthrene</t>
  </si>
  <si>
    <t>1,2,3,7,8-Pentachlorodibenzo-p-dioxin</t>
  </si>
  <si>
    <t>ClC1=C(Cl)C=C2OC3=C(Cl)C(Cl)=C(Cl)C=C3OC2=C1</t>
  </si>
  <si>
    <t>ClC1=CC=C2OC3=CC(Cl)=C(Cl)C(Cl)=C3OC2=C1Cl</t>
  </si>
  <si>
    <t>ClC1=CC(Cl)=C2OC3=C(Cl)C=C(Cl)C(Cl)=C3OC2=C1</t>
  </si>
  <si>
    <t>ClC1=CC(Cl)=C2OC3=CC(Cl)=C(Cl)C=C3OC2=C1Cl</t>
  </si>
  <si>
    <t>ClC1=CC=C2OC3=C(Cl)C=C(Cl)C(Cl)=C3OC2=C1Cl</t>
  </si>
  <si>
    <t>ClC1=CC=C2OC3=C(Cl)C(Cl)=C(Cl)C(Cl)=C3OC2=C1Cl</t>
  </si>
  <si>
    <t>ClC1=CC(Cl)=C2OC3=C(Cl)C(Cl)=C(Cl)C(Cl)=C3OC2=C1</t>
  </si>
  <si>
    <t>ClC1=C2OC3=C(Cl)C(Cl)=C(Cl)C(Cl)=C3OC2=C(Cl)C=C1</t>
  </si>
  <si>
    <t>ClC1=C(Cl)C=C2OC3=C(Cl)C(Cl)=C(Cl)C(Cl)=C3OC2=C1</t>
  </si>
  <si>
    <t>ClC1=C(Cl)C(Cl)=C2OC3=CC(Cl)=C(Cl)C(Cl)=C3OC2=C1</t>
  </si>
  <si>
    <t>ClC1=CC(Cl)=C2OC3=C(Cl)C(Cl)=C(Cl)C=C3OC2=C1Cl</t>
  </si>
  <si>
    <t>ClC1=CC(Cl)=C2OC3=CC(Cl)=C(Cl)C(Cl)=C3OC2=C1Cl</t>
  </si>
  <si>
    <t>ClC1=C(Cl)C(Cl)=C2OC3=C(Cl)C(Cl)=C(Cl)C=C3OC2=C1</t>
  </si>
  <si>
    <t>ClC1=CC(Cl)=C2OC3=C(Cl)C(Cl)=CC(Cl)=C3OC2=C1Cl</t>
  </si>
  <si>
    <t>ClC1=CC(Cl)=C2OC3=C(Cl)C=C(Cl)C(Cl)=C3OC2=C1Cl</t>
  </si>
  <si>
    <t>ClC1=C(Cl)C(Cl)=C2OC3=C(Cl)C(Cl)=C(Cl)C(Cl)=C3OC2=C1</t>
  </si>
  <si>
    <t>ClC1=CC(Cl)=C2OC3=C(Cl)C(Cl)=C(Cl)C(Cl)=C3OC2=C1Cl</t>
  </si>
  <si>
    <t>ClC1=C(Cl)C(Cl)=C2OC3=C(Cl)C(Cl)=C(Cl)C(Cl)=C3OC2=C1Cl</t>
  </si>
  <si>
    <t>c1ccc(cc1)-c1ccccc1</t>
  </si>
  <si>
    <t>Clc1ccccc1-c1ccccc1</t>
  </si>
  <si>
    <t>Clc1cccc(c1)-c1ccccc1</t>
  </si>
  <si>
    <t>Clc1ccc(cc1)-c1ccccc1</t>
  </si>
  <si>
    <t>Clc1ccccc1-c1ccccc1Cl</t>
  </si>
  <si>
    <t>Clc1cccc(c1Cl)-c1ccccc1</t>
  </si>
  <si>
    <t>Clc1cccc(c1)-c1ccccc1Cl</t>
  </si>
  <si>
    <t>Clc1ccc(c(Cl)c1)-c1ccccc1</t>
  </si>
  <si>
    <t>Clc1ccc(cc1)-c1ccccc1Cl</t>
  </si>
  <si>
    <t>Clc1ccc(Cl)c(c1)-c1ccccc1</t>
  </si>
  <si>
    <t>Clc1cccc(Cl)c1-c1ccccc1</t>
  </si>
  <si>
    <t>Clc1cccc(c1)-c1cccc(Cl)c1</t>
  </si>
  <si>
    <t>Clc1ccc(cc1Cl)-c1ccccc1</t>
  </si>
  <si>
    <t>Clc1ccc(cc1)-c1cccc(Cl)c1</t>
  </si>
  <si>
    <t>Clc1cc(Cl)cc(c1)-c1ccccc1</t>
  </si>
  <si>
    <t>Clc1ccc(cc1)-c1ccc(Cl)cc1</t>
  </si>
  <si>
    <t>Clc1cccc(c1Cl)-c1ccccc1Cl</t>
  </si>
  <si>
    <t>Clc1ccc(c(Cl)c1)-c1ccccc1Cl</t>
  </si>
  <si>
    <t>Clc1ccc(Cl)c(c1)-c1ccccc1Cl</t>
  </si>
  <si>
    <t>Clc1ccccc1-c1c(Cl)cccc1Cl</t>
  </si>
  <si>
    <t>Clc1cccc(c1)-c1cccc(Cl)c1Cl</t>
  </si>
  <si>
    <t>Clc1ccc(c(Cl)c1Cl)-c1ccccc1</t>
  </si>
  <si>
    <t>Clc1ccc(cc1)-c1cccc(Cl)c1Cl</t>
  </si>
  <si>
    <t>Clc1cc(Cl)c(Cl)c(c1)-c1ccccc1</t>
  </si>
  <si>
    <t>Clc1ccc(Cl)c(c1Cl)-c1ccccc1</t>
  </si>
  <si>
    <t>Clc1ccc(c(Cl)c1)-c1cccc(Cl)c1</t>
  </si>
  <si>
    <t>Clc1cccc(c1)-c1cc(Cl)ccc1Cl</t>
  </si>
  <si>
    <t>Clc1cccc(c1)-c1c(Cl)cccc1Cl</t>
  </si>
  <si>
    <t>Clc1ccc(cc1)-c1ccc(Cl)cc1Cl</t>
  </si>
  <si>
    <t>Clc1cc(Cl)c(cc1Cl)-c1ccccc1</t>
  </si>
  <si>
    <t>Clc1cc(Cl)c(c(Cl)c1)-c1ccccc1</t>
  </si>
  <si>
    <t>Clc1ccc(cc1)-c1cc(Cl)ccc1Cl</t>
  </si>
  <si>
    <t>Clc1ccc(cc1)-c1c(Cl)cccc1Cl</t>
  </si>
  <si>
    <t>Clc1ccc(cc1Cl)-c1ccccc1Cl</t>
  </si>
  <si>
    <t>Clc1cc(Cl)cc(c1)-c1ccccc1Cl</t>
  </si>
  <si>
    <t>Clc1cccc(c1)-c1ccc(Cl)c(Cl)c1</t>
  </si>
  <si>
    <t>Clc1cccc(c1)-c1cc(Cl)cc(Cl)c1</t>
  </si>
  <si>
    <t>Clc1ccc(cc1)-c1ccc(Cl)c(Cl)c1</t>
  </si>
  <si>
    <t>Clc1cc(cc(Cl)c1Cl)-c1ccccc1</t>
  </si>
  <si>
    <t>Clc1ccc(cc1)-c1cc(Cl)cc(Cl)c1</t>
  </si>
  <si>
    <t>Clc1cccc(c1Cl)-c1cccc(Cl)c1Cl</t>
  </si>
  <si>
    <t>Clc1ccc(c(Cl)c1Cl)-c1ccccc1Cl</t>
  </si>
  <si>
    <t>Clc1ccc(c(Cl)c1)-c1cccc(Cl)c1Cl</t>
  </si>
  <si>
    <t>Clc1cc(Cl)c(Cl)c(c1)-c1ccccc1Cl</t>
  </si>
  <si>
    <t>Clc1ccc(Cl)c(c1)-c1cccc(Cl)c1Cl</t>
  </si>
  <si>
    <t>Clc1ccc(Cl)c(c1Cl)-c1ccccc1Cl</t>
  </si>
  <si>
    <t>Clc1cccc(c1Cl)-c1c(Cl)cccc1Cl</t>
  </si>
  <si>
    <t>Clc1ccc(c(Cl)c1)-c1ccc(Cl)cc1Cl</t>
  </si>
  <si>
    <t>Clc1ccccc1-c1cc(Cl)c(Cl)cc1Cl</t>
  </si>
  <si>
    <t>Clc1ccc(c(Cl)c1)-c1cc(Cl)ccc1Cl</t>
  </si>
  <si>
    <t>Clc1cc(Cl)c(c(Cl)c1)-c1ccccc1Cl</t>
  </si>
  <si>
    <t>Clc1ccc(c(Cl)c1)-c1c(Cl)cccc1Cl</t>
  </si>
  <si>
    <t>Clc1ccc(Cl)c(c1)-c1cc(Cl)ccc1Cl</t>
  </si>
  <si>
    <t>Clc1ccc(Cl)c(c1)-c1c(Cl)cccc1Cl</t>
  </si>
  <si>
    <t>Clc1cccc(Cl)c1-c1c(Cl)cccc1Cl</t>
  </si>
  <si>
    <t>Clc1cccc(c1)-c1ccc(Cl)c(Cl)c1Cl</t>
  </si>
  <si>
    <t>Clc1ccc(cc1Cl)-c1cccc(Cl)c1Cl</t>
  </si>
  <si>
    <t>Clc1cccc(c1)-c1cc(Cl)cc(Cl)c1Cl</t>
  </si>
  <si>
    <t>Clc1cc(Cl)cc(c1)-c1cccc(Cl)c1Cl</t>
  </si>
  <si>
    <t>Clc1cccc(c1)-c1c(Cl)ccc(Cl)c1Cl</t>
  </si>
  <si>
    <t>Clc1ccc(cc1)-c1ccc(Cl)c(Cl)c1Cl</t>
  </si>
  <si>
    <t>Clc1cc(c(Cl)c(Cl)c1Cl)-c1ccccc1</t>
  </si>
  <si>
    <t>Clc1cc(Cl)c(c(Cl)c1Cl)-c1ccccc1</t>
  </si>
  <si>
    <t>Clc1ccc(cc1)-c1cc(Cl)cc(Cl)c1Cl</t>
  </si>
  <si>
    <t>Clc1ccc(cc1)-c1c(Cl)ccc(Cl)c1Cl</t>
  </si>
  <si>
    <t>Clc1cc(Cl)c(Cl)c(c1Cl)-c1ccccc1</t>
  </si>
  <si>
    <t>Clc1ccc(c(Cl)c1)-c1ccc(Cl)c(Cl)c1</t>
  </si>
  <si>
    <t>Clc1cccc(c1)-c1cc(Cl)c(Cl)cc1Cl</t>
  </si>
  <si>
    <t>Clc1ccc(c(Cl)c1)-c1cc(Cl)cc(Cl)c1</t>
  </si>
  <si>
    <t>Clc1cccc(c1)-c1c(Cl)cc(Cl)cc1Cl</t>
  </si>
  <si>
    <t>Clc1ccc(Cl)c(c1)-c1ccc(Cl)c(Cl)c1</t>
  </si>
  <si>
    <t>Clc1ccc(cc1Cl)-c1c(Cl)cccc1Cl</t>
  </si>
  <si>
    <t>Clc1ccc(Cl)c(c1)-c1cc(Cl)cc(Cl)c1</t>
  </si>
  <si>
    <t>Clc1cc(Cl)cc(c1)-c1c(Cl)cccc1Cl</t>
  </si>
  <si>
    <t>Clc1ccc(cc1)-c1cc(Cl)c(Cl)cc1Cl</t>
  </si>
  <si>
    <t>Clc1ccc(cc1)-c1c(Cl)cc(Cl)cc1Cl</t>
  </si>
  <si>
    <t>Clc1cc(cc(Cl)c1Cl)-c1ccccc1Cl</t>
  </si>
  <si>
    <t>Clc1ccc(cc1Cl)-c1ccc(Cl)c(Cl)c1</t>
  </si>
  <si>
    <t>Clc1cccc(c1)-c1cc(Cl)c(Cl)c(Cl)c1</t>
  </si>
  <si>
    <t>Clc1cc(Cl)cc(c1)-c1ccc(Cl)c(Cl)c1</t>
  </si>
  <si>
    <t>Clc1cc(Cl)cc(c1)-c1cc(Cl)cc(Cl)c1</t>
  </si>
  <si>
    <t>Clc1ccc(cc1)-c1cc(Cl)c(Cl)c(Cl)c1</t>
  </si>
  <si>
    <t>Clc1ccc(c(Cl)c1Cl)-c1cccc(Cl)c1Cl</t>
  </si>
  <si>
    <t>Clc1cc(Cl)c(Cl)c(c1)-c1cccc(Cl)c1Cl</t>
  </si>
  <si>
    <t>Clc1cccc(c1Cl)-c1c(Cl)ccc(Cl)c1Cl</t>
  </si>
  <si>
    <t>Clc1ccc(c(Cl)c1)-c1ccc(Cl)c(Cl)c1Cl</t>
  </si>
  <si>
    <t>Clc1ccccc1-c1cc(Cl)c(Cl)c(Cl)c1Cl</t>
  </si>
  <si>
    <t>Clc1ccc(Cl)c(c1)-c1ccc(Cl)c(Cl)c1Cl</t>
  </si>
  <si>
    <t>Clc1ccccc1-c1c(Cl)cc(Cl)c(Cl)c1Cl</t>
  </si>
  <si>
    <t>Clc1ccc(c(Cl)c1Cl)-c1c(Cl)cccc1Cl</t>
  </si>
  <si>
    <t>Clc1ccc(c(Cl)c1)-c1cc(Cl)cc(Cl)c1Cl</t>
  </si>
  <si>
    <t>Clc1ccc(c(Cl)c1)-c1c(Cl)ccc(Cl)c1Cl</t>
  </si>
  <si>
    <t>Clc1ccc(Cl)c(c1)-c1cc(Cl)cc(Cl)c1Cl</t>
  </si>
  <si>
    <t>Clc1ccccc1-c1c(Cl)c(Cl)cc(Cl)c1Cl</t>
  </si>
  <si>
    <t>Clc1cc(Cl)c(Cl)c(c1)-c1c(Cl)cccc1Cl</t>
  </si>
  <si>
    <t>Clc1ccc(Cl)c(c1)-c1c(Cl)ccc(Cl)c1Cl</t>
  </si>
  <si>
    <t>Clc1ccc(Cl)c(c1Cl)-c1c(Cl)cccc1Cl</t>
  </si>
  <si>
    <t>Clc1cccc(c1Cl)-c1cc(Cl)c(Cl)cc1Cl</t>
  </si>
  <si>
    <t>Clc1cc(Cl)c(c(Cl)c1)-c1cccc(Cl)c1Cl</t>
  </si>
  <si>
    <t>Clc1ccc(c(Cl)c1)-c1cc(Cl)c(Cl)cc1Cl</t>
  </si>
  <si>
    <t>Clc1ccc(c(Cl)c1)-c1c(Cl)cc(Cl)cc1Cl</t>
  </si>
  <si>
    <t>Clc1ccc(Cl)c(c1)-c1cc(Cl)c(Cl)cc1Cl</t>
  </si>
  <si>
    <t>Clc1cc(Cl)c(cc1Cl)-c1c(Cl)cccc1Cl</t>
  </si>
  <si>
    <t>Clc1ccc(Cl)c(c1)-c1c(Cl)cc(Cl)cc1Cl</t>
  </si>
  <si>
    <t>Clc1cc(Cl)c(c(Cl)c1)-c1c(Cl)cccc1Cl</t>
  </si>
  <si>
    <t>Clc1ccc(cc1Cl)-c1ccc(Cl)c(Cl)c1Cl</t>
  </si>
  <si>
    <t>Clc1cccc(c1)-c1cc(Cl)c(Cl)c(Cl)c1Cl</t>
  </si>
  <si>
    <t>Clc1cc(Cl)c(Cl)c(c1)-c1ccc(Cl)c(Cl)c1</t>
  </si>
  <si>
    <t>Clc1cc(Cl)cc(c1)-c1ccc(Cl)c(Cl)c1Cl</t>
  </si>
  <si>
    <t>Clc1cccc(c1)-c1c(Cl)cc(Cl)c(Cl)c1Cl</t>
  </si>
  <si>
    <t>Clc1ccc(cc1Cl)-c1c(Cl)ccc(Cl)c1Cl</t>
  </si>
  <si>
    <t>Clc1cc(Cl)cc(c1)-c1cc(Cl)cc(Cl)c1Cl</t>
  </si>
  <si>
    <t>Clc1cccc(c1)-c1c(Cl)c(Cl)cc(Cl)c1Cl</t>
  </si>
  <si>
    <t>Clc1cc(Cl)cc(c1)-c1c(Cl)ccc(Cl)c1Cl</t>
  </si>
  <si>
    <t>Clc1ccc(cc1)-c1cc(Cl)c(Cl)c(Cl)c1Cl</t>
  </si>
  <si>
    <t>Clc1ccc(cc1)-c1c(Cl)cc(Cl)c(Cl)c1Cl</t>
  </si>
  <si>
    <t>Clc1c(Cl)c(Cl)c(c(Cl)c1Cl)-c1ccccc1</t>
  </si>
  <si>
    <t>Clc1ccc(cc1)-c1c(Cl)c(Cl)cc(Cl)c1Cl</t>
  </si>
  <si>
    <t>Clc1ccc(cc1Cl)-c1cc(Cl)c(Cl)cc1Cl</t>
  </si>
  <si>
    <t>Clc1cc(Cl)c(c(Cl)c1)-c1ccc(Cl)c(Cl)c1</t>
  </si>
  <si>
    <t>Clc1cc(Cl)cc(c1)-c1cc(Cl)c(Cl)cc1Cl</t>
  </si>
  <si>
    <t>Clc1cc(Cl)cc(c1)-c1c(Cl)cc(Cl)cc1Cl</t>
  </si>
  <si>
    <t>Clc1cccc(c1Cl)-c1cc(Cl)c(Cl)c(Cl)c1</t>
  </si>
  <si>
    <t>Clc1ccc(c(Cl)c1)-c1cc(Cl)c(Cl)c(Cl)c1</t>
  </si>
  <si>
    <t>Clc1ccc(Cl)c(c1)-c1cc(Cl)c(Cl)c(Cl)c1</t>
  </si>
  <si>
    <t>Clc1cc(cc(Cl)c1Cl)-c1c(Cl)cccc1Cl</t>
  </si>
  <si>
    <t>Clc1ccc(cc1Cl)-c1cc(Cl)c(Cl)c(Cl)c1</t>
  </si>
  <si>
    <t>Clc1cc(Cl)cc(c1)-c1cc(Cl)c(Cl)c(Cl)c1</t>
  </si>
  <si>
    <t>Clc1ccc(c(Cl)c1Cl)-c1ccc(Cl)c(Cl)c1Cl</t>
  </si>
  <si>
    <t>Clc1cccc(c1Cl)-c1cc(Cl)c(Cl)c(Cl)c1Cl</t>
  </si>
  <si>
    <t>Clc1cc(Cl)c(Cl)c(c1)-c1ccc(Cl)c(Cl)c1Cl</t>
  </si>
  <si>
    <t>Clc1cccc(c1Cl)-c1c(Cl)cc(Cl)c(Cl)c1Cl</t>
  </si>
  <si>
    <t>Clc1ccc(c(Cl)c1Cl)-c1c(Cl)ccc(Cl)c1Cl</t>
  </si>
  <si>
    <t>Clc1cc(Cl)c(Cl)c(c1)-c1cc(Cl)cc(Cl)c1Cl</t>
  </si>
  <si>
    <t>Clc1cccc(c1Cl)-c1c(Cl)c(Cl)cc(Cl)c1Cl</t>
  </si>
  <si>
    <t>Clc1cc(Cl)c(Cl)c(c1)-c1c(Cl)ccc(Cl)c1Cl</t>
  </si>
  <si>
    <t>Clc1ccc(Cl)c(c1Cl)-c1c(Cl)ccc(Cl)c1Cl</t>
  </si>
  <si>
    <t>Clc1ccc(c(Cl)c1)-c1cc(Cl)c(Cl)c(Cl)c1Cl</t>
  </si>
  <si>
    <t>Clc1cc(Cl)c(cc1Cl)-c1ccc(Cl)c(Cl)c1Cl</t>
  </si>
  <si>
    <t>Clc1ccc(c(Cl)c1)-c1c(Cl)cc(Cl)c(Cl)c1Cl</t>
  </si>
  <si>
    <t>Clc1cc(Cl)c(c(Cl)c1)-c1ccc(Cl)c(Cl)c1Cl</t>
  </si>
  <si>
    <t>Clc1ccc(Cl)c(c1)-c1cc(Cl)c(Cl)c(Cl)c1Cl</t>
  </si>
  <si>
    <t>Clc1ccccc1-c1c(Cl)c(Cl)c(Cl)c(Cl)c1Cl</t>
  </si>
  <si>
    <t>Clc1cc(c(Cl)c(Cl)c1Cl)-c1c(Cl)cccc1Cl</t>
  </si>
  <si>
    <t>Clc1ccc(Cl)c(c1)-c1c(Cl)cc(Cl)c(Cl)c1Cl</t>
  </si>
  <si>
    <t>Clc1cccc(Cl)c1-c1c(Cl)cc(Cl)c(Cl)c1Cl</t>
  </si>
  <si>
    <t>Clc1cc(Cl)c(Cl)c(c1)-c1cc(Cl)c(Cl)cc1Cl</t>
  </si>
  <si>
    <t>Clc1ccc(c(Cl)c1)-c1c(Cl)c(Cl)cc(Cl)c1Cl</t>
  </si>
  <si>
    <t>Clc1cc(Cl)c(c(Cl)c1)-c1cc(Cl)cc(Cl)c1Cl</t>
  </si>
  <si>
    <t>Clc1cc(Cl)c(cc1Cl)-c1c(Cl)ccc(Cl)c1Cl</t>
  </si>
  <si>
    <t>Clc1cc(Cl)c(c(Cl)c1)-c1c(Cl)ccc(Cl)c1Cl</t>
  </si>
  <si>
    <t>Clc1ccc(Cl)c(c1)-c1c(Cl)c(Cl)cc(Cl)c1Cl</t>
  </si>
  <si>
    <t>Clc1cccc(Cl)c1-c1c(Cl)c(Cl)cc(Cl)c1Cl</t>
  </si>
  <si>
    <t>Clc1cc(Cl)c(cc1Cl)-c1cc(Cl)c(Cl)cc1Cl</t>
  </si>
  <si>
    <t>Clc1cc(Cl)c(c(Cl)c1)-c1cc(Cl)c(Cl)cc1Cl</t>
  </si>
  <si>
    <t>Clc1cc(Cl)c(c(Cl)c1)-c1c(Cl)cc(Cl)cc1Cl</t>
  </si>
  <si>
    <t>Clc1ccc(cc1Cl)-c1cc(Cl)c(Cl)c(Cl)c1Cl</t>
  </si>
  <si>
    <t>Clc1ccc(c(Cl)c1Cl)-c1cc(Cl)c(Cl)c(Cl)c1</t>
  </si>
  <si>
    <t>Clc1ccc(cc1Cl)-c1c(Cl)cc(Cl)c(Cl)c1Cl</t>
  </si>
  <si>
    <t>Clc1cc(Cl)cc(c1)-c1cc(Cl)c(Cl)c(Cl)c1Cl</t>
  </si>
  <si>
    <t>Clc1cccc(c1)-c1c(Cl)c(Cl)c(Cl)c(Cl)c1Cl</t>
  </si>
  <si>
    <t>Clc1cc(Cl)cc(c1)-c1c(Cl)cc(Cl)c(Cl)c1Cl</t>
  </si>
  <si>
    <t>Clc1cc(Cl)c(Cl)c(c1)-c1cc(Cl)c(Cl)c(Cl)c1</t>
  </si>
  <si>
    <t>Clc1ccc(cc1Cl)-c1c(Cl)c(Cl)cc(Cl)c1Cl</t>
  </si>
  <si>
    <t>Clc1ccc(Cl)c(c1Cl)-c1cc(Cl)c(Cl)c(Cl)c1</t>
  </si>
  <si>
    <t>Clc1cc(Cl)cc(c1)-c1c(Cl)c(Cl)cc(Cl)c1Cl</t>
  </si>
  <si>
    <t>Clc1ccc(cc1)-c1c(Cl)c(Cl)c(Cl)c(Cl)c1Cl</t>
  </si>
  <si>
    <t>Clc1cc(Cl)c(cc1Cl)-c1cc(Cl)c(Cl)c(Cl)c1</t>
  </si>
  <si>
    <t>Clc1cc(Cl)c(c(Cl)c1)-c1cc(Cl)c(Cl)c(Cl)c1</t>
  </si>
  <si>
    <t>Clc1cc(cc(Cl)c1Cl)-c1cc(Cl)c(Cl)c(Cl)c1</t>
  </si>
  <si>
    <t>Clc1ccc(c(Cl)c1Cl)-c1cc(Cl)c(Cl)c(Cl)c1Cl</t>
  </si>
  <si>
    <t>Clc1ccc(c(Cl)c1Cl)-c1c(Cl)cc(Cl)c(Cl)c1Cl</t>
  </si>
  <si>
    <t>Clc1cc(Cl)c(Cl)c(c1)-c1cc(Cl)c(Cl)c(Cl)c1Cl</t>
  </si>
  <si>
    <t>Clc1cccc(c1Cl)-c1c(Cl)c(Cl)c(Cl)c(Cl)c1Cl</t>
  </si>
  <si>
    <t>Clc1ccc(Cl)c(c1Cl)-c1cc(Cl)c(Cl)c(Cl)c1Cl</t>
  </si>
  <si>
    <t>Clc1cc(Cl)c(Cl)c(c1)-c1c(Cl)cc(Cl)c(Cl)c1Cl</t>
  </si>
  <si>
    <t>Clc1ccc(Cl)c(c1Cl)-c1c(Cl)cc(Cl)c(Cl)c1Cl</t>
  </si>
  <si>
    <t>Clc1ccc(c(Cl)c1Cl)-c1c(Cl)c(Cl)cc(Cl)c1Cl</t>
  </si>
  <si>
    <t>Clc1cc(Cl)c(Cl)c(c1)-c1c(Cl)c(Cl)cc(Cl)c1Cl</t>
  </si>
  <si>
    <t>Clc1ccc(Cl)c(c1Cl)-c1c(Cl)c(Cl)cc(Cl)c1Cl</t>
  </si>
  <si>
    <t>Clc1cc(Cl)c(cc1Cl)-c1cc(Cl)c(Cl)c(Cl)c1Cl</t>
  </si>
  <si>
    <t>Clc1ccc(c(Cl)c1)-c1c(Cl)c(Cl)c(Cl)c(Cl)c1Cl</t>
  </si>
  <si>
    <t>Clc1cc(Cl)c(c(Cl)c1)-c1cc(Cl)c(Cl)c(Cl)c1Cl</t>
  </si>
  <si>
    <t>Clc1cc(Cl)c(cc1Cl)-c1c(Cl)cc(Cl)c(Cl)c1Cl</t>
  </si>
  <si>
    <t>Clc1cc(Cl)c(c(Cl)c1)-c1c(Cl)cc(Cl)c(Cl)c1Cl</t>
  </si>
  <si>
    <t>Clc1ccc(Cl)c(c1)-c1c(Cl)c(Cl)c(Cl)c(Cl)c1Cl</t>
  </si>
  <si>
    <t>Clc1cccc(Cl)c1-c1c(Cl)c(Cl)c(Cl)c(Cl)c1Cl</t>
  </si>
  <si>
    <t>Clc1cc(Cl)c(cc1Cl)-c1c(Cl)c(Cl)cc(Cl)c1Cl</t>
  </si>
  <si>
    <t>Clc1cc(Cl)c(c(Cl)c1)-c1c(Cl)c(Cl)cc(Cl)c1Cl</t>
  </si>
  <si>
    <t>Clc1cc(cc(Cl)c1Cl)-c1cc(Cl)c(Cl)c(Cl)c1Cl</t>
  </si>
  <si>
    <t>Clc1ccc(cc1Cl)-c1c(Cl)c(Cl)c(Cl)c(Cl)c1Cl</t>
  </si>
  <si>
    <t>Clc1cc(Cl)c(c(Cl)c1Cl)-c1cc(Cl)c(Cl)c(Cl)c1</t>
  </si>
  <si>
    <t>Clc1cc(Cl)cc(c1)-c1c(Cl)c(Cl)c(Cl)c(Cl)c1Cl</t>
  </si>
  <si>
    <t>Clc1cc(Cl)c(Cl)c(c1Cl)-c1cc(Cl)c(Cl)c(Cl)c1</t>
  </si>
  <si>
    <t>Clc1cc(c(Cl)c(Cl)c1Cl)-c1cc(Cl)c(Cl)c(Cl)c1Cl</t>
  </si>
  <si>
    <t>Clc1ccc(c(Cl)c1Cl)-c1c(Cl)c(Cl)c(Cl)c(Cl)c1Cl</t>
  </si>
  <si>
    <t>Clc1cc(Cl)c(c(Cl)c1Cl)-c1cc(Cl)c(Cl)c(Cl)c1Cl</t>
  </si>
  <si>
    <t>Clc1cc(Cl)c(c(Cl)c1Cl)-c1c(Cl)cc(Cl)c(Cl)c1Cl</t>
  </si>
  <si>
    <t>Clc1cc(Cl)c(Cl)c(c1)-c1c(Cl)c(Cl)c(Cl)c(Cl)c1Cl</t>
  </si>
  <si>
    <t>Clc1cc(Cl)c(Cl)c(c1Cl)-c1cc(Cl)c(Cl)c(Cl)c1Cl</t>
  </si>
  <si>
    <t>Clc1ccc(Cl)c(c1Cl)-c1c(Cl)c(Cl)c(Cl)c(Cl)c1Cl</t>
  </si>
  <si>
    <t>Clc1cc(Cl)c(c(Cl)c1Cl)-c1c(Cl)c(Cl)cc(Cl)c1Cl</t>
  </si>
  <si>
    <t>Clc1cc(Cl)c(Cl)c(c1Cl)-c1c(Cl)c(Cl)cc(Cl)c1Cl</t>
  </si>
  <si>
    <t>Clc1cc(Cl)c(cc1Cl)-c1c(Cl)c(Cl)c(Cl)c(Cl)c1Cl</t>
  </si>
  <si>
    <t>Clc1cc(Cl)c(c(Cl)c1)-c1c(Cl)c(Cl)c(Cl)c(Cl)c1Cl</t>
  </si>
  <si>
    <t>Clc1cc(cc(Cl)c1Cl)-c1c(Cl)c(Cl)c(Cl)c(Cl)c1Cl</t>
  </si>
  <si>
    <t>Clc1cc(c(Cl)c(Cl)c1Cl)-c1c(Cl)c(Cl)c(Cl)c(Cl)c1Cl</t>
  </si>
  <si>
    <t>Clc1cc(Cl)c(c(Cl)c1Cl)-c1c(Cl)c(Cl)c(Cl)c(Cl)c1Cl</t>
  </si>
  <si>
    <t>Clc1cc(Cl)c(Cl)c(c1Cl)-c1c(Cl)c(Cl)c(Cl)c(Cl)c1Cl</t>
  </si>
  <si>
    <t>Clc1c(Cl)c(Cl)c(c(Cl)c1Cl)-c1c(Cl)c(Cl)c(Cl)c(Cl)c1Cl</t>
  </si>
  <si>
    <t>O(c1ccccc1)c1ccccc1</t>
  </si>
  <si>
    <t>Brc1ccccc1Oc1ccccc1</t>
  </si>
  <si>
    <t>Brc1cccc(Oc2ccccc2)c1</t>
  </si>
  <si>
    <t>Brc1ccc(Oc2ccccc2)cc1</t>
  </si>
  <si>
    <t>Brc1ccccc1Oc1ccccc1Br</t>
  </si>
  <si>
    <t>Brc1cccc(Oc2ccccc2)c1Br</t>
  </si>
  <si>
    <t>Brc1cccc(Oc2ccccc2Br)c1</t>
  </si>
  <si>
    <t>Brc1ccc(Oc2ccccc2)c(Br)c1</t>
  </si>
  <si>
    <t>Brc1ccc(Oc2ccccc2Br)cc1</t>
  </si>
  <si>
    <t>Brc1ccc(Br)c(Oc2ccccc2)c1</t>
  </si>
  <si>
    <t>Brc1cccc(Br)c1Oc1ccccc1</t>
  </si>
  <si>
    <t>Brc1cccc(Oc2cccc(Br)c2)c1</t>
  </si>
  <si>
    <t>Brc1ccc(Oc2ccccc2)cc1Br</t>
  </si>
  <si>
    <t>Brc1ccc(Oc2cccc(Br)c2)cc1</t>
  </si>
  <si>
    <t>Brc1cc(Br)cc(Oc2ccccc2)c1</t>
  </si>
  <si>
    <t>Brc1ccc(Oc2ccc(Br)cc2)cc1</t>
  </si>
  <si>
    <t>Brc1cccc(Oc2ccccc2Br)c1Br</t>
  </si>
  <si>
    <t>Brc1ccc(Oc2ccccc2Br)c(Br)c1</t>
  </si>
  <si>
    <t>Brc1ccc(Br)c(Oc2ccccc2Br)c1</t>
  </si>
  <si>
    <t>Brc1ccccc1Oc1c(Br)cccc1Br</t>
  </si>
  <si>
    <t>Brc1cccc(Oc2cccc(Br)c2Br)c1</t>
  </si>
  <si>
    <t>Brc1ccc(Oc2ccccc2)c(Br)c1Br</t>
  </si>
  <si>
    <t>Brc1ccc(Oc2cccc(Br)c2Br)cc1</t>
  </si>
  <si>
    <t>Brc1cc(Br)c(Br)c(Oc2ccccc2)c1</t>
  </si>
  <si>
    <t>Brc1ccc(Br)c(Oc2ccccc2)c1Br</t>
  </si>
  <si>
    <t>Brc1ccc(Oc2cccc(Br)c2)c(Br)c1</t>
  </si>
  <si>
    <t>Brc1cccc(Oc2cc(Br)ccc2Br)c1</t>
  </si>
  <si>
    <t>Brc1cccc(Oc2c(Br)cccc2Br)c1</t>
  </si>
  <si>
    <t>Brc1ccc(Oc2ccc(Br)cc2Br)cc1</t>
  </si>
  <si>
    <t>Brc1cc(Br)c(Oc2ccccc2)cc1Br</t>
  </si>
  <si>
    <t>Brc1cc(Br)c(Oc2ccccc2)c(Br)c1</t>
  </si>
  <si>
    <t>Brc1ccc(Oc2cc(Br)ccc2Br)cc1</t>
  </si>
  <si>
    <t>Brc1ccc(Oc2c(Br)cccc2Br)cc1</t>
  </si>
  <si>
    <t>Brc1ccc(Oc2ccccc2Br)cc1Br</t>
  </si>
  <si>
    <t>Brc1cc(Br)cc(Oc2ccccc2Br)c1</t>
  </si>
  <si>
    <t>Brc1cccc(Oc2ccc(Br)c(Br)c2)c1</t>
  </si>
  <si>
    <t>Brc1cccc(Oc2cc(Br)cc(Br)c2)c1</t>
  </si>
  <si>
    <t>Brc1ccc(Oc2ccc(Br)c(Br)c2)cc1</t>
  </si>
  <si>
    <t>Brc1cc(Oc2ccccc2)cc(Br)c1Br</t>
  </si>
  <si>
    <t>Brc1ccc(Oc2cc(Br)cc(Br)c2)cc1</t>
  </si>
  <si>
    <t>Brc1cccc(Oc2cccc(Br)c2Br)c1Br</t>
  </si>
  <si>
    <t>Brc1ccc(Oc2ccccc2Br)c(Br)c1Br</t>
  </si>
  <si>
    <t>Brc1ccc(Oc2cccc(Br)c2Br)c(Br)c1</t>
  </si>
  <si>
    <t>Brc1cc(Br)c(Br)c(Oc2ccccc2Br)c1</t>
  </si>
  <si>
    <t>Brc1ccc(Br)c(Oc2cccc(Br)c2Br)c1</t>
  </si>
  <si>
    <t>Brc1ccc(Br)c(Oc2ccccc2Br)c1Br</t>
  </si>
  <si>
    <t>Brc1cccc(Oc2c(Br)cccc2Br)c1Br</t>
  </si>
  <si>
    <t>Brc1ccc(Oc2ccc(Br)cc2Br)c(Br)c1</t>
  </si>
  <si>
    <t>Brc1cc(Br)c(Oc2ccccc2Br)cc1Br</t>
  </si>
  <si>
    <t>Brc1ccc(Oc2cc(Br)ccc2Br)c(Br)c1</t>
  </si>
  <si>
    <t>Brc1cc(Br)c(Oc2ccccc2Br)c(Br)c1</t>
  </si>
  <si>
    <t>Brc1ccc(Oc2c(Br)cccc2Br)c(Br)c1</t>
  </si>
  <si>
    <t>Brc1ccc(Br)c(Oc2cc(Br)ccc2Br)c1</t>
  </si>
  <si>
    <t>Brc1ccc(Br)c(Oc2c(Br)cccc2Br)c1</t>
  </si>
  <si>
    <t>Brc1cccc(Br)c1Oc1c(Br)cccc1Br</t>
  </si>
  <si>
    <t>Brc1cccc(Oc2ccc(Br)c(Br)c2Br)c1</t>
  </si>
  <si>
    <t>Brc1ccc(Oc2cccc(Br)c2Br)cc1Br</t>
  </si>
  <si>
    <t>Brc1cccc(Oc2cc(Br)cc(Br)c2Br)c1</t>
  </si>
  <si>
    <t>Brc1cc(Br)cc(Oc2cccc(Br)c2Br)c1</t>
  </si>
  <si>
    <t>Brc1cccc(Oc2c(Br)ccc(Br)c2Br)c1</t>
  </si>
  <si>
    <t>Brc1ccc(Oc2ccc(Br)c(Br)c2Br)cc1</t>
  </si>
  <si>
    <t>Brc1cc(Oc2ccccc2)c(Br)c(Br)c1Br</t>
  </si>
  <si>
    <t>Brc1cc(Br)c(Oc2ccccc2)c(Br)c1Br</t>
  </si>
  <si>
    <t>Brc1ccc(Oc2cc(Br)cc(Br)c2Br)cc1</t>
  </si>
  <si>
    <t>Brc1ccc(Oc2c(Br)ccc(Br)c2Br)cc1</t>
  </si>
  <si>
    <t>Brc1cc(Br)c(Br)c(Oc2ccccc2)c1Br</t>
  </si>
  <si>
    <t>Brc1ccc(Oc2ccc(Br)c(Br)c2)c(Br)c1</t>
  </si>
  <si>
    <t>Brc1cccc(Oc2cc(Br)c(Br)cc2Br)c1</t>
  </si>
  <si>
    <t>Brc1ccc(Oc2cc(Br)cc(Br)c2)c(Br)c1</t>
  </si>
  <si>
    <t>Brc1cccc(Oc2c(Br)cc(Br)cc2Br)c1</t>
  </si>
  <si>
    <t>Brc1ccc(Br)c(Oc2ccc(Br)c(Br)c2)c1</t>
  </si>
  <si>
    <t>Brc1ccc(Oc2c(Br)cccc2Br)cc1Br</t>
  </si>
  <si>
    <t>Brc1ccc(Br)c(Oc2cc(Br)cc(Br)c2)c1</t>
  </si>
  <si>
    <t>Brc1cc(Br)cc(Oc2c(Br)cccc2Br)c1</t>
  </si>
  <si>
    <t>Brc1ccc(Oc2cc(Br)c(Br)cc2Br)cc1</t>
  </si>
  <si>
    <t>Brc1ccc(Oc2c(Br)cc(Br)cc2Br)cc1</t>
  </si>
  <si>
    <t>Brc1cc(Oc2ccccc2Br)cc(Br)c1Br</t>
  </si>
  <si>
    <t>Brc1ccc(Oc2ccc(Br)c(Br)c2)cc1Br</t>
  </si>
  <si>
    <t>Brc1cccc(Oc2cc(Br)c(Br)c(Br)c2)c1</t>
  </si>
  <si>
    <t>Brc1cc(Br)cc(Oc2ccc(Br)c(Br)c2)c1</t>
  </si>
  <si>
    <t>Brc1cc(Br)cc(Oc2cc(Br)cc(Br)c2)c1</t>
  </si>
  <si>
    <t>Brc1ccc(Oc2cc(Br)c(Br)c(Br)c2)cc1</t>
  </si>
  <si>
    <t>Brc1ccc(Oc2cccc(Br)c2Br)c(Br)c1Br</t>
  </si>
  <si>
    <t>Brc1cc(Br)c(Br)c(Oc2cccc(Br)c2Br)c1</t>
  </si>
  <si>
    <t>Brc1cccc(Oc2c(Br)ccc(Br)c2Br)c1Br</t>
  </si>
  <si>
    <t>Brc1ccc(Oc2ccc(Br)c(Br)c2Br)c(Br)c1</t>
  </si>
  <si>
    <t>Brc1ccccc1Oc1cc(Br)c(Br)c(Br)c1Br</t>
  </si>
  <si>
    <t>Brc1ccc(Br)c(Oc2ccc(Br)c(Br)c2Br)c1</t>
  </si>
  <si>
    <t>Brc1ccccc1Oc1c(Br)cc(Br)c(Br)c1Br</t>
  </si>
  <si>
    <t>Brc1ccc(Oc2c(Br)cccc2Br)c(Br)c1Br</t>
  </si>
  <si>
    <t>Brc1ccc(Oc2cc(Br)cc(Br)c2Br)c(Br)c1</t>
  </si>
  <si>
    <t>Brc1ccc(Oc2c(Br)ccc(Br)c2Br)c(Br)c1</t>
  </si>
  <si>
    <t>Brc1ccc(Br)c(Oc2cc(Br)cc(Br)c2Br)c1</t>
  </si>
  <si>
    <t>Brc1ccccc1Oc1c(Br)c(Br)cc(Br)c1Br</t>
  </si>
  <si>
    <t>Brc1cc(Br)c(Br)c(Oc2c(Br)cccc2Br)c1</t>
  </si>
  <si>
    <t>Brc1ccc(Br)c(Oc2c(Br)ccc(Br)c2Br)c1</t>
  </si>
  <si>
    <t>Brc1ccc(Br)c(Oc2c(Br)cccc2Br)c1Br</t>
  </si>
  <si>
    <t>Brc1cc(Br)c(Oc2cccc(Br)c2Br)cc1Br</t>
  </si>
  <si>
    <t>Brc1cc(Br)c(Oc2cccc(Br)c2Br)c(Br)c1</t>
  </si>
  <si>
    <t>Brc1ccc(Oc2cc(Br)c(Br)cc2Br)c(Br)c1</t>
  </si>
  <si>
    <t>Brc1ccc(Oc2c(Br)cc(Br)cc2Br)c(Br)c1</t>
  </si>
  <si>
    <t>Brc1ccc(Br)c(Oc2cc(Br)c(Br)cc2Br)c1</t>
  </si>
  <si>
    <t>Brc1cc(Br)c(Oc2c(Br)cccc2Br)cc1Br</t>
  </si>
  <si>
    <t>Brc1ccc(Br)c(Oc2c(Br)cc(Br)cc2Br)c1</t>
  </si>
  <si>
    <t>Brc1cc(Br)c(Oc2c(Br)cccc2Br)c(Br)c1</t>
  </si>
  <si>
    <t>Brc1ccc(Oc2ccc(Br)c(Br)c2Br)cc1Br</t>
  </si>
  <si>
    <t>Brc1cccc(Oc2cc(Br)c(Br)c(Br)c2Br)c1</t>
  </si>
  <si>
    <t>Brc1cc(Br)c(Br)c(Oc2ccc(Br)c(Br)c2)c1</t>
  </si>
  <si>
    <t>Brc1cc(Br)cc(Oc2ccc(Br)c(Br)c2Br)c1</t>
  </si>
  <si>
    <t>Brc1cccc(Oc2c(Br)cc(Br)c(Br)c2Br)c1</t>
  </si>
  <si>
    <t>Brc1ccc(Oc2c(Br)ccc(Br)c2Br)cc1Br</t>
  </si>
  <si>
    <t>Brc1cc(Br)cc(Oc2cc(Br)cc(Br)c2Br)c1</t>
  </si>
  <si>
    <t>Brc1cccc(Oc2c(Br)c(Br)cc(Br)c2Br)c1</t>
  </si>
  <si>
    <t>Brc1cc(Br)cc(Oc2c(Br)ccc(Br)c2Br)c1</t>
  </si>
  <si>
    <t>Brc1ccc(Oc2cc(Br)c(Br)c(Br)c2Br)cc1</t>
  </si>
  <si>
    <t>Brc1ccc(Oc2c(Br)cc(Br)c(Br)c2Br)cc1</t>
  </si>
  <si>
    <t>Brc1c(Br)c(Br)c(Oc2ccccc2)c(Br)c1Br</t>
  </si>
  <si>
    <t>Brc1ccc(Oc2c(Br)c(Br)cc(Br)c2Br)cc1</t>
  </si>
  <si>
    <t>Brc1ccc(Oc2cc(Br)c(Br)cc2Br)cc1Br</t>
  </si>
  <si>
    <t>Brc1cc(Br)c(Oc2ccc(Br)c(Br)c2)c(Br)c1</t>
  </si>
  <si>
    <t>Brc1cc(Br)cc(Oc2cc(Br)c(Br)cc2Br)c1</t>
  </si>
  <si>
    <t>Brc1cc(Br)cc(Oc2c(Br)cc(Br)cc2Br)c1</t>
  </si>
  <si>
    <t>Brc1cccc(Oc2cc(Br)c(Br)c(Br)c2)c1Br</t>
  </si>
  <si>
    <t>Brc1ccc(Oc2cc(Br)c(Br)c(Br)c2)c(Br)c1</t>
  </si>
  <si>
    <t>Brc1ccc(Br)c(Oc2cc(Br)c(Br)c(Br)c2)c1</t>
  </si>
  <si>
    <t>Brc1cc(Oc2c(Br)cccc2Br)cc(Br)c1Br</t>
  </si>
  <si>
    <t>Brc1ccc(Oc2cc(Br)c(Br)c(Br)c2)cc1Br</t>
  </si>
  <si>
    <t>Brc1cc(Br)cc(Oc2cc(Br)c(Br)c(Br)c2)c1</t>
  </si>
  <si>
    <t>Brc1ccc(Oc2ccc(Br)c(Br)c2Br)c(Br)c1Br</t>
  </si>
  <si>
    <t>Brc1cccc(Oc2cc(Br)c(Br)c(Br)c2Br)c1Br</t>
  </si>
  <si>
    <t>Brc1cc(Br)c(Br)c(Oc2ccc(Br)c(Br)c2Br)c1</t>
  </si>
  <si>
    <t>Brc1cccc(Oc2c(Br)cc(Br)c(Br)c2Br)c1Br</t>
  </si>
  <si>
    <t>Brc1ccc(Oc2c(Br)ccc(Br)c2Br)c(Br)c1Br</t>
  </si>
  <si>
    <t>Brc1cc(Br)c(Br)c(Oc2cc(Br)cc(Br)c2Br)c1</t>
  </si>
  <si>
    <t>Brc1cccc(Oc2c(Br)c(Br)cc(Br)c2Br)c1Br</t>
  </si>
  <si>
    <t>Brc1cc(Br)c(Br)c(Oc2c(Br)ccc(Br)c2Br)c1</t>
  </si>
  <si>
    <t>Brc1ccc(Br)c(Oc2c(Br)ccc(Br)c2Br)c1Br</t>
  </si>
  <si>
    <t>Brc1ccc(Oc2cc(Br)c(Br)c(Br)c2Br)c(Br)c1</t>
  </si>
  <si>
    <t>Brc1ccc(Oc2cc(Br)c(Br)cc2Br)c(Br)c1Br</t>
  </si>
  <si>
    <t>Brc1ccc(Oc2c(Br)cc(Br)c(Br)c2Br)c(Br)c1</t>
  </si>
  <si>
    <t>Brc1cc(Br)c(Oc2ccc(Br)c(Br)c2Br)c(Br)c1</t>
  </si>
  <si>
    <t>Brc1ccc(Br)c(Oc2cc(Br)c(Br)c(Br)c2Br)c1</t>
  </si>
  <si>
    <t>Brc1ccccc1Oc1c(Br)c(Br)c(Br)c(Br)c1Br</t>
  </si>
  <si>
    <t>Brc1cc(Oc2c(Br)cccc2Br)c(Br)c(Br)c1Br</t>
  </si>
  <si>
    <t>Brc1ccc(Br)c(Oc2c(Br)cc(Br)c(Br)c2Br)c1</t>
  </si>
  <si>
    <t>Brc1cccc(Br)c1Oc1c(Br)cc(Br)c(Br)c1Br</t>
  </si>
  <si>
    <t>Brc1cc(Br)c(Br)c(Oc2cc(Br)c(Br)cc2Br)c1</t>
  </si>
  <si>
    <t>Brc1ccc(Oc2c(Br)c(Br)cc(Br)c2Br)c(Br)c1</t>
  </si>
  <si>
    <t>Brc1cc(Br)c(Oc2cc(Br)cc(Br)c2Br)c(Br)c1</t>
  </si>
  <si>
    <t>Brc1ccc(Br)c(Oc2cc(Br)c(Br)cc2Br)c1Br</t>
  </si>
  <si>
    <t>Brc1cc(Br)c(Oc2c(Br)ccc(Br)c2Br)c(Br)c1</t>
  </si>
  <si>
    <t>Brc1ccc(Br)c(Oc2c(Br)c(Br)cc(Br)c2Br)c1</t>
  </si>
  <si>
    <t>Brc1cccc(Br)c1Oc1c(Br)c(Br)cc(Br)c1Br</t>
  </si>
  <si>
    <t>Brc1cc(Br)c(Oc2cc(Br)c(Br)cc2Br)cc1Br</t>
  </si>
  <si>
    <t>Brc1cc(Br)c(Oc2cc(Br)c(Br)cc2Br)c(Br)c1</t>
  </si>
  <si>
    <t>Brc1cc(Br)c(Oc2c(Br)cc(Br)cc2Br)c(Br)c1</t>
  </si>
  <si>
    <t>Brc1ccc(Oc2cc(Br)c(Br)c(Br)c2Br)cc1Br</t>
  </si>
  <si>
    <t>Brc1ccc(Oc2cc(Br)c(Br)c(Br)c2)c(Br)c1Br</t>
  </si>
  <si>
    <t>Brc1ccc(Oc2c(Br)cc(Br)c(Br)c2Br)cc1Br</t>
  </si>
  <si>
    <t>Brc1cc(Br)cc(Oc2cc(Br)c(Br)c(Br)c2Br)c1</t>
  </si>
  <si>
    <t>Brc1cccc(Oc2c(Br)c(Br)c(Br)c(Br)c2Br)c1</t>
  </si>
  <si>
    <t>Brc1cc(Br)cc(Oc2c(Br)cc(Br)c(Br)c2Br)c1</t>
  </si>
  <si>
    <t>Brc1cc(Br)c(Br)c(Oc2cc(Br)c(Br)c(Br)c2)c1</t>
  </si>
  <si>
    <t>Brc1ccc(Oc2c(Br)c(Br)cc(Br)c2Br)cc1Br</t>
  </si>
  <si>
    <t>Brc1ccc(Br)c(Oc2cc(Br)c(Br)c(Br)c2)c1Br</t>
  </si>
  <si>
    <t>Brc1cc(Br)cc(Oc2c(Br)c(Br)cc(Br)c2Br)c1</t>
  </si>
  <si>
    <t>Brc1ccc(Oc2c(Br)c(Br)c(Br)c(Br)c2Br)cc1</t>
  </si>
  <si>
    <t>Brc1cc(Br)c(Oc2cc(Br)c(Br)c(Br)c2)cc1Br</t>
  </si>
  <si>
    <t>Brc1cc(Br)c(Oc2cc(Br)c(Br)c(Br)c2)c(Br)c1</t>
  </si>
  <si>
    <t>Brc1cc(Oc2cc(Br)c(Br)c(Br)c2)cc(Br)c1Br</t>
  </si>
  <si>
    <t>Brc1ccc(Oc2cc(Br)c(Br)c(Br)c2Br)c(Br)c1Br</t>
  </si>
  <si>
    <t>Brc1ccc(Oc2c(Br)cc(Br)c(Br)c2Br)c(Br)c1Br</t>
  </si>
  <si>
    <t>Brc1cc(Br)c(Br)c(Oc2cc(Br)c(Br)c(Br)c2Br)c1</t>
  </si>
  <si>
    <t>Brc1cccc(Oc2c(Br)c(Br)c(Br)c(Br)c2Br)c1Br</t>
  </si>
  <si>
    <t>Brc1ccc(Br)c(Oc2cc(Br)c(Br)c(Br)c2Br)c1Br</t>
  </si>
  <si>
    <t>Brc1cc(Br)c(Br)c(Oc2c(Br)cc(Br)c(Br)c2Br)c1</t>
  </si>
  <si>
    <t>Brc1ccc(Br)c(Oc2c(Br)cc(Br)c(Br)c2Br)c1Br</t>
  </si>
  <si>
    <t>Brc1ccc(Oc2c(Br)c(Br)cc(Br)c2Br)c(Br)c1Br</t>
  </si>
  <si>
    <t>Brc1cc(Br)c(Br)c(Oc2c(Br)c(Br)cc(Br)c2Br)c1</t>
  </si>
  <si>
    <t>Brc1ccc(Br)c(Oc2c(Br)c(Br)cc(Br)c2Br)c1Br</t>
  </si>
  <si>
    <t>Brc1cc(Br)c(Oc2cc(Br)c(Br)c(Br)c2Br)cc1Br</t>
  </si>
  <si>
    <t>Brc1ccc(Oc2c(Br)c(Br)c(Br)c(Br)c2Br)c(Br)c1</t>
  </si>
  <si>
    <t>Brc1cc(Br)c(Oc2cc(Br)c(Br)c(Br)c2Br)c(Br)c1</t>
  </si>
  <si>
    <t>Brc1cc(Br)c(Oc2c(Br)cc(Br)c(Br)c2Br)cc1Br</t>
  </si>
  <si>
    <t>Brc1cc(Br)c(Oc2c(Br)cc(Br)c(Br)c2Br)c(Br)c1</t>
  </si>
  <si>
    <t>Brc1ccc(Br)c(Oc2c(Br)c(Br)c(Br)c(Br)c2Br)c1</t>
  </si>
  <si>
    <t>Brc1cccc(Br)c1Oc1c(Br)c(Br)c(Br)c(Br)c1Br</t>
  </si>
  <si>
    <t>Brc1cc(Br)c(Oc2c(Br)c(Br)cc(Br)c2Br)cc1Br</t>
  </si>
  <si>
    <t>Brc1cc(Br)c(Oc2c(Br)c(Br)cc(Br)c2Br)c(Br)c1</t>
  </si>
  <si>
    <t>Brc1cc(Oc2cc(Br)c(Br)c(Br)c2Br)cc(Br)c1Br</t>
  </si>
  <si>
    <t>Brc1ccc(Oc2c(Br)c(Br)c(Br)c(Br)c2Br)cc1Br</t>
  </si>
  <si>
    <t>Brc1cc(Oc2c(Br)cc(Br)c(Br)c2Br)cc(Br)c1Br</t>
  </si>
  <si>
    <t>Brc1cc(Br)cc(Oc2c(Br)c(Br)c(Br)c(Br)c2Br)c1</t>
  </si>
  <si>
    <t>Brc1cc(Oc2c(Br)c(Br)cc(Br)c2Br)cc(Br)c1Br</t>
  </si>
  <si>
    <t>Brc1cc(Oc2cc(Br)c(Br)c(Br)c2Br)c(Br)c(Br)c1Br</t>
  </si>
  <si>
    <t>Brc1ccc(Oc2c(Br)c(Br)c(Br)c(Br)c2Br)c(Br)c1Br</t>
  </si>
  <si>
    <t>Brc1cc(Br)c(Oc2cc(Br)c(Br)c(Br)c2Br)c(Br)c1Br</t>
  </si>
  <si>
    <t>Brc1cc(Br)c(Oc2c(Br)cc(Br)c(Br)c2Br)c(Br)c1Br</t>
  </si>
  <si>
    <t>Brc1cc(Br)c(Br)c(Oc2c(Br)c(Br)c(Br)c(Br)c2Br)c1</t>
  </si>
  <si>
    <t>Brc1cc(Oc2c(Br)c(Br)cc(Br)c2Br)c(Br)c(Br)c1Br</t>
  </si>
  <si>
    <t>Brc1ccc(Br)c(Oc2c(Br)c(Br)c(Br)c(Br)c2Br)c1Br</t>
  </si>
  <si>
    <t>Brc1cc(Br)c(Oc2c(Br)c(Br)cc(Br)c2Br)c(Br)c1Br</t>
  </si>
  <si>
    <t>Brc1cc(Br)c(Br)c(Oc2c(Br)c(Br)cc(Br)c2Br)c1Br</t>
  </si>
  <si>
    <t>Brc1cc(Br)c(Oc2c(Br)c(Br)c(Br)c(Br)c2Br)cc1Br</t>
  </si>
  <si>
    <t>Brc1cc(Br)c(Oc2c(Br)c(Br)c(Br)c(Br)c2Br)c(Br)c1</t>
  </si>
  <si>
    <t>Brc1cc(Oc2c(Br)c(Br)c(Br)c(Br)c2Br)cc(Br)c1Br</t>
  </si>
  <si>
    <t>Brc1cc(Oc2c(Br)c(Br)c(Br)c(Br)c2Br)c(Br)c(Br)c1Br</t>
  </si>
  <si>
    <t>Brc1cc(Br)c(Oc2c(Br)c(Br)c(Br)c(Br)c2Br)c(Br)c1Br</t>
  </si>
  <si>
    <t>Brc1cc(Br)c(Br)c(Oc2c(Br)c(Br)c(Br)c(Br)c2Br)c1Br</t>
  </si>
  <si>
    <t>Brc1c(Br)c(Br)c(Oc2c(Br)c(Br)c(Br)c(Br)c2Br)c(Br)c1Br</t>
  </si>
  <si>
    <t>O1c2ccccc2Oc2ccccc12</t>
  </si>
  <si>
    <t>Clc1cccc2Oc3ccccc3Oc12</t>
  </si>
  <si>
    <t>Clc1ccc2Oc3ccccc3Oc2c1</t>
  </si>
  <si>
    <t>Clc1ccc2Oc3ccccc3Oc2c1Cl</t>
  </si>
  <si>
    <t>Clc1cc(Cl)c2Oc3ccccc3Oc2c1</t>
  </si>
  <si>
    <t>Clc1ccc(Cl)c2Oc3ccccc3Oc12</t>
  </si>
  <si>
    <t>Clc1cccc2Oc3c(Cl)cccc3Oc12</t>
  </si>
  <si>
    <t>Clc1ccc2Oc3c(Cl)cccc3Oc2c1</t>
  </si>
  <si>
    <t>Clc1ccc2Oc3cccc(Cl)c3Oc2c1</t>
  </si>
  <si>
    <t>Clc1cccc2Oc3cccc(Cl)c3Oc12</t>
  </si>
  <si>
    <t>Clc1cc2Oc3ccccc3Oc2cc1Cl</t>
  </si>
  <si>
    <t>Clc1ccc2Oc3cc(Cl)ccc3Oc2c1</t>
  </si>
  <si>
    <t>Clc1ccc2Oc3ccc(Cl)cc3Oc2c1</t>
  </si>
  <si>
    <t>Clc1cc2Oc3ccccc3Oc2c(Cl)c1Cl</t>
  </si>
  <si>
    <t>Clc1cc(Cl)c2Oc3ccccc3Oc2c1Cl</t>
  </si>
  <si>
    <t>Clc1ccc2Oc3c(Cl)cccc3Oc2c1Cl</t>
  </si>
  <si>
    <t>Clc1ccc2Oc3c(Cl)c(Cl)ccc3Oc2c1</t>
  </si>
  <si>
    <t>Clc1ccc2Oc3ccc(Cl)c(Cl)c3Oc2c1</t>
  </si>
  <si>
    <t>Clc1ccc2Oc3cccc(Cl)c3Oc2c1Cl</t>
  </si>
  <si>
    <t>Clc1cc(Cl)c2Oc3cccc(Cl)c3Oc2c1</t>
  </si>
  <si>
    <t>Clc1ccc2Oc3c(Cl)cc(Cl)cc3Oc2c1</t>
  </si>
  <si>
    <t>Clc1ccc2Oc3cc(Cl)cc(Cl)c3Oc2c1</t>
  </si>
  <si>
    <t>Clc1cc(Cl)c2Oc3c(Cl)cccc3Oc2c1</t>
  </si>
  <si>
    <t>Clc1cccc2Oc3c(Cl)ccc(Cl)c3Oc12</t>
  </si>
  <si>
    <t>Clc1ccc2Oc3c(Cl)ccc(Cl)c3Oc2c1</t>
  </si>
  <si>
    <t>Clc1cc2Oc3cccc(Cl)c3Oc2cc1Cl</t>
  </si>
  <si>
    <t>Clc1ccc2Oc3cc(Cl)c(Cl)cc3Oc2c1</t>
  </si>
  <si>
    <t>Clc1c(Cl)c(Cl)c2Oc3ccccc3Oc2c1Cl</t>
  </si>
  <si>
    <t>Clc1ccc2Oc3c(Cl)c(Cl)c(Cl)cc3Oc2c1</t>
  </si>
  <si>
    <t>Clc1cc2Oc3cccc(Cl)c3Oc2c(Cl)c1Cl</t>
  </si>
  <si>
    <t>Clc1ccc2Oc3c(Cl)c(Cl)cc(Cl)c3Oc2c1</t>
  </si>
  <si>
    <t>Clc1cc(Cl)c2Oc3cccc(Cl)c3Oc2c1Cl</t>
  </si>
  <si>
    <t>Clc1ccc2Oc3c(Cl)c(Cl)ccc3Oc2c1Cl</t>
  </si>
  <si>
    <t>Clc1ccc2Oc3c(Cl)ccc(Cl)c3Oc2c1Cl</t>
  </si>
  <si>
    <t>Clc1cc(Cl)c2Oc3c(Cl)c(Cl)ccc3Oc2c1</t>
  </si>
  <si>
    <t>Clc1cc(Cl)c2Oc3cc(Cl)cc(Cl)c3Oc2c1</t>
  </si>
  <si>
    <t>Clc1cc(Cl)c2Oc3cc(Cl)c(Cl)cc3Oc2c1</t>
  </si>
  <si>
    <t>Clc1ccc(Cl)c2Oc3c(Cl)ccc(Cl)c3Oc12</t>
  </si>
  <si>
    <t>Clc1cc2Oc3c(Cl)cccc3Oc2c(Cl)c1Cl</t>
  </si>
  <si>
    <t>Clc1ccc2Oc3cc(Cl)c(Cl)c(Cl)c3Oc2c1</t>
  </si>
  <si>
    <t>Clc1cc(Cl)c2Oc3c(Cl)cccc3Oc2c1Cl</t>
  </si>
  <si>
    <t>Clc1ccc2Oc3c(Cl)cc(Cl)c(Cl)c3Oc2c1</t>
  </si>
  <si>
    <t>Clc1cc(Cl)c2Oc3ccc(Cl)c(Cl)c3Oc2c1</t>
  </si>
  <si>
    <t>Clc1ccc2Oc3cc(Cl)c(Cl)cc3Oc2c1Cl</t>
  </si>
  <si>
    <t>Clc1ccc2Oc3ccc(Cl)c(Cl)c3Oc2c1Cl</t>
  </si>
  <si>
    <t>Clc1cc(Cl)c2Oc3c(Cl)ccc(Cl)c3Oc2c1</t>
  </si>
  <si>
    <t>Clc1cc(Cl)c2Oc3c(Cl)cc(Cl)cc3Oc2c1</t>
  </si>
  <si>
    <t>Clc1cc2Oc3c(Cl)ccc(Cl)c3Oc2cc1Cl</t>
  </si>
  <si>
    <t>Clc1cc2Oc3cc(Cl)c(Cl)cc3Oc2cc1Cl</t>
  </si>
  <si>
    <t>Clc1cccc2Oc3c(Cl)c(Cl)c(Cl)c(Cl)c3Oc12</t>
  </si>
  <si>
    <t>Clc1ccc2Oc3c(Cl)c(Cl)c(Cl)cc3Oc2c1Cl</t>
  </si>
  <si>
    <t>Clc1cc2Oc3c(Cl)ccc(Cl)c3Oc2c(Cl)c1Cl</t>
  </si>
  <si>
    <t>Clc1cc(Cl)c2Oc3c(Cl)c(Cl)c(Cl)cc3Oc2c1</t>
  </si>
  <si>
    <t>Clc1ccc2Oc3c(Cl)c(Cl)cc(Cl)c3Oc2c1Cl</t>
  </si>
  <si>
    <t>Clc1ccc(Cl)c2Oc3c(Cl)c(Cl)cc(Cl)c3Oc12</t>
  </si>
  <si>
    <t>Clc1cc(Cl)c2Oc3c(Cl)c(Cl)cc(Cl)c3Oc2c1</t>
  </si>
  <si>
    <t>Clc1ccc2Oc3c(Cl)c(Cl)c(Cl)c(Cl)c3Oc2c1</t>
  </si>
  <si>
    <t>Clc1cc(Cl)c2Oc3cc(Cl)c(Cl)c(Cl)c3Oc2c1</t>
  </si>
  <si>
    <t>Clc1cc2Oc3cc(Cl)c(Cl)c(Cl)c3Oc2cc1Cl</t>
  </si>
  <si>
    <t>Clc1ccc2Oc3cc(Cl)c(Cl)c(Cl)c3Oc2c1Cl</t>
  </si>
  <si>
    <t>Clc1cc(Cl)c2Oc3c(Cl)cc(Cl)c(Cl)c3Oc2c1</t>
  </si>
  <si>
    <t>Clc1cc2Oc3c(Cl)cc(Cl)c(Cl)c3Oc2cc1Cl</t>
  </si>
  <si>
    <t>Clc1ccc2Oc3c(Cl)cc(Cl)c(Cl)c3Oc2c1Cl</t>
  </si>
  <si>
    <t>Clc1ccc2Oc3c(Cl)c(Cl)c(Cl)c(Cl)c3Oc2c1Cl</t>
  </si>
  <si>
    <t>Clc1cc(Cl)c2Oc3c(Cl)c(Cl)c(Cl)c(Cl)c3Oc2c1</t>
  </si>
  <si>
    <t>Clc1ccc(Cl)c2Oc3c(Cl)c(Cl)c(Cl)c(Cl)c3Oc12</t>
  </si>
  <si>
    <t>Clc1cc2Oc3c(Cl)c(Cl)c(Cl)c(Cl)c3Oc2cc1Cl</t>
  </si>
  <si>
    <t>Clc1cc2Oc3c(Cl)c(Cl)c(Cl)cc3Oc2c(Cl)c1Cl</t>
  </si>
  <si>
    <t>Clc1cc2Oc3c(Cl)c(Cl)cc(Cl)c3Oc2c(Cl)c1Cl</t>
  </si>
  <si>
    <t>Clc1cc2Oc3c(Cl)cc(Cl)c(Cl)c3Oc2c(Cl)c1Cl</t>
  </si>
  <si>
    <t>Clc1cc2Oc3cc(Cl)c(Cl)c(Cl)c3Oc2c(Cl)c1Cl</t>
  </si>
  <si>
    <t>Clc1cc(Cl)c2Oc3c(Cl)c(Cl)cc(Cl)c3Oc2c1Cl</t>
  </si>
  <si>
    <t>Clc1cc(Cl)c2Oc3c(Cl)cc(Cl)c(Cl)c3Oc2c1Cl</t>
  </si>
  <si>
    <t>Clc1cc2Oc3c(Cl)c(Cl)c(Cl)c(Cl)c3Oc2c(Cl)c1Cl</t>
  </si>
  <si>
    <t>Clc1cc(Cl)c2Oc3c(Cl)c(Cl)c(Cl)c(Cl)c3Oc2c1Cl</t>
  </si>
  <si>
    <t>Clc1c(Cl)c(Cl)c2Oc3c(Cl)c(Cl)c(Cl)c(Cl)c3Oc2c1Cl</t>
  </si>
  <si>
    <t>SMILES from molconvert</t>
  </si>
  <si>
    <t>SMILES aromatized</t>
  </si>
  <si>
    <t>EPI Suite</t>
  </si>
  <si>
    <t>EPISuite</t>
  </si>
  <si>
    <t>Measured Log Kow</t>
  </si>
  <si>
    <t>----</t>
  </si>
  <si>
    <t>Molecular Weight</t>
  </si>
  <si>
    <t>NIST</t>
  </si>
  <si>
    <t>Other</t>
  </si>
  <si>
    <t>-</t>
  </si>
  <si>
    <t>PCB-1</t>
  </si>
  <si>
    <t>PCB-2</t>
  </si>
  <si>
    <t>PCB-3</t>
  </si>
  <si>
    <t>PCB-4</t>
  </si>
  <si>
    <t>PCB-5</t>
  </si>
  <si>
    <t>PCB-6</t>
  </si>
  <si>
    <t>PCB-7</t>
  </si>
  <si>
    <t>PCB-8</t>
  </si>
  <si>
    <t>PCB-9</t>
  </si>
  <si>
    <t>PCB-10</t>
  </si>
  <si>
    <t>PCB-11</t>
  </si>
  <si>
    <t>PCB-12</t>
  </si>
  <si>
    <t>PCB-13</t>
  </si>
  <si>
    <t>PCB-14</t>
  </si>
  <si>
    <t>PCB-15</t>
  </si>
  <si>
    <t>PCB-16</t>
  </si>
  <si>
    <t>PCB-17</t>
  </si>
  <si>
    <t>PCB-18</t>
  </si>
  <si>
    <t>PCB-19</t>
  </si>
  <si>
    <t>PCB-20</t>
  </si>
  <si>
    <t>PCB-21</t>
  </si>
  <si>
    <t>PCB-22</t>
  </si>
  <si>
    <t>PCB-23</t>
  </si>
  <si>
    <t>PCB-24</t>
  </si>
  <si>
    <t>PCB-25</t>
  </si>
  <si>
    <t>PCB-26</t>
  </si>
  <si>
    <t>PCB-27</t>
  </si>
  <si>
    <t>PCB-28</t>
  </si>
  <si>
    <t>PCB-29</t>
  </si>
  <si>
    <t>PCB-30</t>
  </si>
  <si>
    <t>PCB-31</t>
  </si>
  <si>
    <t>PCB-32</t>
  </si>
  <si>
    <t>PCB-33</t>
  </si>
  <si>
    <t>PCB-34</t>
  </si>
  <si>
    <t>PCB-35</t>
  </si>
  <si>
    <t>PCB-36</t>
  </si>
  <si>
    <t>PCB-37</t>
  </si>
  <si>
    <t>PCB-38</t>
  </si>
  <si>
    <t>PCB-39</t>
  </si>
  <si>
    <t>PCB-40</t>
  </si>
  <si>
    <t>PCB-41</t>
  </si>
  <si>
    <t>PCB-42</t>
  </si>
  <si>
    <t>PCB-43</t>
  </si>
  <si>
    <t>PCB-44</t>
  </si>
  <si>
    <t>PCB-45</t>
  </si>
  <si>
    <t>PCB-46</t>
  </si>
  <si>
    <t>PCB-47</t>
  </si>
  <si>
    <t>PCB-48</t>
  </si>
  <si>
    <t>PCB-49</t>
  </si>
  <si>
    <t>PCB-50</t>
  </si>
  <si>
    <t>PCB-51</t>
  </si>
  <si>
    <t>PCB-52</t>
  </si>
  <si>
    <t>PCB-53</t>
  </si>
  <si>
    <t>PCB-54</t>
  </si>
  <si>
    <t>PCB-55</t>
  </si>
  <si>
    <t>PCB-56</t>
  </si>
  <si>
    <t>PCB-57</t>
  </si>
  <si>
    <t>PCB-58</t>
  </si>
  <si>
    <t>PCB-59</t>
  </si>
  <si>
    <t>PCB-60</t>
  </si>
  <si>
    <t>PCB-61</t>
  </si>
  <si>
    <t>PCB-62</t>
  </si>
  <si>
    <t>PCB-63</t>
  </si>
  <si>
    <t>PCB-64</t>
  </si>
  <si>
    <t>PCB-65</t>
  </si>
  <si>
    <t>PCB-66</t>
  </si>
  <si>
    <t>PCB-67</t>
  </si>
  <si>
    <t>PCB-68</t>
  </si>
  <si>
    <t>PCB-69</t>
  </si>
  <si>
    <t>PCB-70</t>
  </si>
  <si>
    <t>PCB-71</t>
  </si>
  <si>
    <t>PCB-72</t>
  </si>
  <si>
    <t>PCB-73</t>
  </si>
  <si>
    <t>PCB-74</t>
  </si>
  <si>
    <t>PCB-75</t>
  </si>
  <si>
    <t>PCB-76</t>
  </si>
  <si>
    <t>PCB-77</t>
  </si>
  <si>
    <t>PCB-78</t>
  </si>
  <si>
    <t>PCB-79</t>
  </si>
  <si>
    <t>PCB-80</t>
  </si>
  <si>
    <t>PCB-81</t>
  </si>
  <si>
    <t>PCB-82</t>
  </si>
  <si>
    <t>PCB-83</t>
  </si>
  <si>
    <t>PCB-84</t>
  </si>
  <si>
    <t>PCB-85</t>
  </si>
  <si>
    <t>PCB-86</t>
  </si>
  <si>
    <t>PCB-87</t>
  </si>
  <si>
    <t>PCB-88</t>
  </si>
  <si>
    <t>PCB-89</t>
  </si>
  <si>
    <t>PCB-90</t>
  </si>
  <si>
    <t>PCB-91</t>
  </si>
  <si>
    <t>PCB-92</t>
  </si>
  <si>
    <t>PCB-93</t>
  </si>
  <si>
    <t>PCB-94</t>
  </si>
  <si>
    <t>PCB-95</t>
  </si>
  <si>
    <t>PCB-96</t>
  </si>
  <si>
    <t>PCB-97</t>
  </si>
  <si>
    <t>PCB-98</t>
  </si>
  <si>
    <t>PCB-99</t>
  </si>
  <si>
    <t>PCB-100</t>
  </si>
  <si>
    <t>PCB-101</t>
  </si>
  <si>
    <t>PCB-102</t>
  </si>
  <si>
    <t>PCB-103</t>
  </si>
  <si>
    <t>PCB-104</t>
  </si>
  <si>
    <t>PCB-105</t>
  </si>
  <si>
    <t>PCB-106</t>
  </si>
  <si>
    <t>PCB-107</t>
  </si>
  <si>
    <t>PCB-108</t>
  </si>
  <si>
    <t>PCB-109</t>
  </si>
  <si>
    <t>PCB-110</t>
  </si>
  <si>
    <t>PCB-111</t>
  </si>
  <si>
    <t>PCB-112</t>
  </si>
  <si>
    <t>PCB-113</t>
  </si>
  <si>
    <t>PCB-114</t>
  </si>
  <si>
    <t>PCB-115</t>
  </si>
  <si>
    <t>PCB-116</t>
  </si>
  <si>
    <t>PCB-117</t>
  </si>
  <si>
    <t>PCB-118</t>
  </si>
  <si>
    <t>PCB-119</t>
  </si>
  <si>
    <t>PCB-120</t>
  </si>
  <si>
    <t>PCB-121</t>
  </si>
  <si>
    <t>PCB-122</t>
  </si>
  <si>
    <t>PCB-123</t>
  </si>
  <si>
    <t>PCB-124</t>
  </si>
  <si>
    <t>PCB-125</t>
  </si>
  <si>
    <t>PCB-126</t>
  </si>
  <si>
    <t>PCB-127</t>
  </si>
  <si>
    <t>PCB-128</t>
  </si>
  <si>
    <t>PCB-129</t>
  </si>
  <si>
    <t>PCB-130</t>
  </si>
  <si>
    <t>PCB-131</t>
  </si>
  <si>
    <t>PCB-132</t>
  </si>
  <si>
    <t>PCB-133</t>
  </si>
  <si>
    <t>PCB-134</t>
  </si>
  <si>
    <t>PCB-135</t>
  </si>
  <si>
    <t>PCB-136</t>
  </si>
  <si>
    <t>PCB-137</t>
  </si>
  <si>
    <t>PCB-138</t>
  </si>
  <si>
    <t>PCB-139</t>
  </si>
  <si>
    <t>PCB-140</t>
  </si>
  <si>
    <t>PCB-141</t>
  </si>
  <si>
    <t>PCB-142</t>
  </si>
  <si>
    <t>PCB-143</t>
  </si>
  <si>
    <t>PCB-144</t>
  </si>
  <si>
    <t>PCB-145</t>
  </si>
  <si>
    <t>PCB-146</t>
  </si>
  <si>
    <t>PCB-147</t>
  </si>
  <si>
    <t>PCB-148</t>
  </si>
  <si>
    <t>PCB-149</t>
  </si>
  <si>
    <t>PCB-150</t>
  </si>
  <si>
    <t>PCB-151</t>
  </si>
  <si>
    <t>PCB-152</t>
  </si>
  <si>
    <t>PCB-153</t>
  </si>
  <si>
    <t>PCB-154</t>
  </si>
  <si>
    <t>PCB-155</t>
  </si>
  <si>
    <t>PCB-156</t>
  </si>
  <si>
    <t>PCB-157</t>
  </si>
  <si>
    <t>PCB-158</t>
  </si>
  <si>
    <t>PCB-159</t>
  </si>
  <si>
    <t>PCB-160</t>
  </si>
  <si>
    <t>PCB-161</t>
  </si>
  <si>
    <t>PCB-162</t>
  </si>
  <si>
    <t>PCB-163</t>
  </si>
  <si>
    <t>PCB-164</t>
  </si>
  <si>
    <t>PCB-165</t>
  </si>
  <si>
    <t>PCB-166</t>
  </si>
  <si>
    <t>PCB-167</t>
  </si>
  <si>
    <t>PCB-168</t>
  </si>
  <si>
    <t>PCB-169</t>
  </si>
  <si>
    <t>PCB-170</t>
  </si>
  <si>
    <t>PCB-171</t>
  </si>
  <si>
    <t>PCB-172</t>
  </si>
  <si>
    <t>PCB-173</t>
  </si>
  <si>
    <t>PCB-174</t>
  </si>
  <si>
    <t>PCB-175</t>
  </si>
  <si>
    <t>PCB-176</t>
  </si>
  <si>
    <t>PCB-178</t>
  </si>
  <si>
    <t>PCB-179</t>
  </si>
  <si>
    <t>PCB-180</t>
  </si>
  <si>
    <t>PCB-181</t>
  </si>
  <si>
    <t>PCB-182</t>
  </si>
  <si>
    <t>PCB-183</t>
  </si>
  <si>
    <t>PCB-184</t>
  </si>
  <si>
    <t>PCB-185</t>
  </si>
  <si>
    <t>PCB-186</t>
  </si>
  <si>
    <t>PCB-187</t>
  </si>
  <si>
    <t>PCB-188</t>
  </si>
  <si>
    <t>PCB-189</t>
  </si>
  <si>
    <t>PCB-190</t>
  </si>
  <si>
    <t>PCB-191</t>
  </si>
  <si>
    <t>PCB-192</t>
  </si>
  <si>
    <t>PCB-193</t>
  </si>
  <si>
    <t>PCB-194</t>
  </si>
  <si>
    <t>PCB-195</t>
  </si>
  <si>
    <t>PCB-196</t>
  </si>
  <si>
    <t>PCB-197</t>
  </si>
  <si>
    <t>PCB-198</t>
  </si>
  <si>
    <t>PCB-199</t>
  </si>
  <si>
    <t>PCB-200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</si>
  <si>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</si>
  <si>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</si>
  <si>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</si>
  <si>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</si>
  <si>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</si>
  <si>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</si>
  <si>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</si>
  <si>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</si>
  <si>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</si>
  <si>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PBDE-1</t>
  </si>
  <si>
    <t>PBDE-2</t>
  </si>
  <si>
    <t>PBDE-3</t>
  </si>
  <si>
    <t>PBDE-4</t>
  </si>
  <si>
    <t>PBDE-5</t>
  </si>
  <si>
    <t>PBDE-6</t>
  </si>
  <si>
    <t>PBDE-7</t>
  </si>
  <si>
    <t>PBDE-8</t>
  </si>
  <si>
    <t>PBDE-9</t>
  </si>
  <si>
    <t>PBDE-10</t>
  </si>
  <si>
    <t>PBDE-11</t>
  </si>
  <si>
    <t>PBDE-12</t>
  </si>
  <si>
    <t>PBDE-13</t>
  </si>
  <si>
    <t>PBDE-14</t>
  </si>
  <si>
    <t>PBDE-15</t>
  </si>
  <si>
    <t>PBDE-16</t>
  </si>
  <si>
    <t>PBDE-17</t>
  </si>
  <si>
    <t>PBDE-18</t>
  </si>
  <si>
    <t>PBDE-19</t>
  </si>
  <si>
    <t>PBDE-20</t>
  </si>
  <si>
    <t>PBDE-21</t>
  </si>
  <si>
    <t>PBDE-22</t>
  </si>
  <si>
    <t>PBDE-23</t>
  </si>
  <si>
    <t>PBDE-24</t>
  </si>
  <si>
    <t>PBDE-25</t>
  </si>
  <si>
    <t>PBDE-26</t>
  </si>
  <si>
    <t>PBDE-27</t>
  </si>
  <si>
    <t>PBDE-28</t>
  </si>
  <si>
    <t>PBDE-29</t>
  </si>
  <si>
    <t>PBDE-30</t>
  </si>
  <si>
    <t>PBDE-31</t>
  </si>
  <si>
    <t>PBDE-32</t>
  </si>
  <si>
    <t>PBDE-33</t>
  </si>
  <si>
    <t>PBDE-34</t>
  </si>
  <si>
    <t>PBDE-35</t>
  </si>
  <si>
    <t>PBDE-36</t>
  </si>
  <si>
    <t>PBDE-37</t>
  </si>
  <si>
    <t>PBDE-38</t>
  </si>
  <si>
    <t>PBDE-39</t>
  </si>
  <si>
    <t>PBDE-40</t>
  </si>
  <si>
    <t>PBDE-41</t>
  </si>
  <si>
    <t>PBDE-42</t>
  </si>
  <si>
    <t>PBDE-43</t>
  </si>
  <si>
    <t>PBDE-44</t>
  </si>
  <si>
    <t>PBDE-45</t>
  </si>
  <si>
    <t>PBDE-46</t>
  </si>
  <si>
    <t>PBDE-47</t>
  </si>
  <si>
    <t>PBDE-48</t>
  </si>
  <si>
    <t>PBDE-49</t>
  </si>
  <si>
    <t>PBDE-50</t>
  </si>
  <si>
    <t>PBDE-51</t>
  </si>
  <si>
    <t>PBDE-52</t>
  </si>
  <si>
    <t>PBDE-53</t>
  </si>
  <si>
    <t>PBDE-54</t>
  </si>
  <si>
    <t>PBDE-55</t>
  </si>
  <si>
    <t>PBDE-56</t>
  </si>
  <si>
    <t>PBDE-57</t>
  </si>
  <si>
    <t>PBDE-58</t>
  </si>
  <si>
    <t>PBDE-59</t>
  </si>
  <si>
    <t>PBDE-60</t>
  </si>
  <si>
    <t>PBDE-61</t>
  </si>
  <si>
    <t>PBDE-62</t>
  </si>
  <si>
    <t>PBDE-63</t>
  </si>
  <si>
    <t>PBDE-64</t>
  </si>
  <si>
    <t>PBDE-65</t>
  </si>
  <si>
    <t>PBDE-66</t>
  </si>
  <si>
    <t>PBDE-67</t>
  </si>
  <si>
    <t>PBDE-68</t>
  </si>
  <si>
    <t>PBDE-69</t>
  </si>
  <si>
    <t>PBDE-70</t>
  </si>
  <si>
    <t>PBDE-71</t>
  </si>
  <si>
    <t>PBDE-72</t>
  </si>
  <si>
    <t>PBDE-73</t>
  </si>
  <si>
    <t>PBDE-74</t>
  </si>
  <si>
    <t>PBDE-75</t>
  </si>
  <si>
    <t>PBDE-76</t>
  </si>
  <si>
    <t>PBDE-77</t>
  </si>
  <si>
    <t>PBDE-78</t>
  </si>
  <si>
    <t>PBDE-79</t>
  </si>
  <si>
    <t>PBDE-80</t>
  </si>
  <si>
    <t>PBDE-81</t>
  </si>
  <si>
    <t>PBDE-82</t>
  </si>
  <si>
    <t>PBDE-83</t>
  </si>
  <si>
    <t>PBDE-84</t>
  </si>
  <si>
    <t>PBDE-85</t>
  </si>
  <si>
    <t>PBDE-86</t>
  </si>
  <si>
    <t>PBDE-87</t>
  </si>
  <si>
    <t>PBDE-88</t>
  </si>
  <si>
    <t>PBDE-89</t>
  </si>
  <si>
    <t>PBDE-90</t>
  </si>
  <si>
    <t>PBDE-91</t>
  </si>
  <si>
    <t>PBDE-92</t>
  </si>
  <si>
    <t>PBDE-93</t>
  </si>
  <si>
    <t>PBDE-94</t>
  </si>
  <si>
    <t>PBDE-95</t>
  </si>
  <si>
    <t>PBDE-96</t>
  </si>
  <si>
    <t>PBDE-97</t>
  </si>
  <si>
    <t>PBDE-98</t>
  </si>
  <si>
    <t>PBDE-99</t>
  </si>
  <si>
    <t>PBDE-100</t>
  </si>
  <si>
    <t>PBDE-101</t>
  </si>
  <si>
    <t>PBDE-102</t>
  </si>
  <si>
    <t>PBDE-103</t>
  </si>
  <si>
    <t>PBDE-104</t>
  </si>
  <si>
    <t>PBDE-105</t>
  </si>
  <si>
    <t>PBDE-106</t>
  </si>
  <si>
    <t>PBDE-107</t>
  </si>
  <si>
    <t>PBDE-108</t>
  </si>
  <si>
    <t>PBDE-109</t>
  </si>
  <si>
    <t>PBDE-110</t>
  </si>
  <si>
    <t>PBDE-111</t>
  </si>
  <si>
    <t>PBDE-112</t>
  </si>
  <si>
    <t>PBDE-113</t>
  </si>
  <si>
    <t>PBDE-114</t>
  </si>
  <si>
    <t>PBDE-115</t>
  </si>
  <si>
    <t>PBDE-116</t>
  </si>
  <si>
    <t>PBDE-117</t>
  </si>
  <si>
    <t>PBDE-118</t>
  </si>
  <si>
    <t>PBDE-119</t>
  </si>
  <si>
    <t>PBDE-120</t>
  </si>
  <si>
    <t>PBDE-121</t>
  </si>
  <si>
    <t>PBDE-122</t>
  </si>
  <si>
    <t>PBDE-123</t>
  </si>
  <si>
    <t>PBDE-124</t>
  </si>
  <si>
    <t>PBDE-125</t>
  </si>
  <si>
    <t>PBDE-126</t>
  </si>
  <si>
    <t>PBDE-127</t>
  </si>
  <si>
    <t>PBDE-128</t>
  </si>
  <si>
    <t>PBDE-129</t>
  </si>
  <si>
    <t>PBDE-130</t>
  </si>
  <si>
    <t>PBDE-131</t>
  </si>
  <si>
    <t>PBDE-132</t>
  </si>
  <si>
    <t>PBDE-133</t>
  </si>
  <si>
    <t>PBDE-134</t>
  </si>
  <si>
    <t>PBDE-135</t>
  </si>
  <si>
    <t>PBDE-136</t>
  </si>
  <si>
    <t>PBDE-137</t>
  </si>
  <si>
    <t>PBDE-138</t>
  </si>
  <si>
    <t>PBDE-139</t>
  </si>
  <si>
    <t>PBDE-140</t>
  </si>
  <si>
    <t>PBDE-141</t>
  </si>
  <si>
    <t>PBDE-142</t>
  </si>
  <si>
    <t>PBDE-143</t>
  </si>
  <si>
    <t>PBDE-144</t>
  </si>
  <si>
    <t>PBDE-145</t>
  </si>
  <si>
    <t>PBDE-146</t>
  </si>
  <si>
    <t>PBDE-147</t>
  </si>
  <si>
    <t>PBDE-148</t>
  </si>
  <si>
    <t>PBDE-149</t>
  </si>
  <si>
    <t>PBDE-150</t>
  </si>
  <si>
    <t>PBDE-151</t>
  </si>
  <si>
    <t>PBDE-152</t>
  </si>
  <si>
    <t>PBDE-153</t>
  </si>
  <si>
    <t>PBDE-154</t>
  </si>
  <si>
    <t>PBDE-155</t>
  </si>
  <si>
    <t>PBDE-156</t>
  </si>
  <si>
    <t>PBDE-157</t>
  </si>
  <si>
    <t>PBDE-158</t>
  </si>
  <si>
    <t>PBDE-159</t>
  </si>
  <si>
    <t>PBDE-160</t>
  </si>
  <si>
    <t>PBDE-161</t>
  </si>
  <si>
    <t>PBDE-162</t>
  </si>
  <si>
    <t>PBDE-163</t>
  </si>
  <si>
    <t>PBDE-164</t>
  </si>
  <si>
    <t>PBDE-165</t>
  </si>
  <si>
    <t>PBDE-166</t>
  </si>
  <si>
    <t>PBDE-167</t>
  </si>
  <si>
    <t>PBDE-168</t>
  </si>
  <si>
    <t>PBDE-169</t>
  </si>
  <si>
    <t>PBDE-170</t>
  </si>
  <si>
    <t>PBDE-171</t>
  </si>
  <si>
    <t>PBDE-172</t>
  </si>
  <si>
    <t>PBDE-173</t>
  </si>
  <si>
    <t>PBDE-174</t>
  </si>
  <si>
    <t>PBDE-175</t>
  </si>
  <si>
    <t>PBDE-176</t>
  </si>
  <si>
    <t>PBDE-177</t>
  </si>
  <si>
    <t>PBDE-178</t>
  </si>
  <si>
    <t>PBDE-179</t>
  </si>
  <si>
    <t>PBDE-180</t>
  </si>
  <si>
    <t>PBDE-181</t>
  </si>
  <si>
    <t>PBDE-182</t>
  </si>
  <si>
    <t>PBDE-183</t>
  </si>
  <si>
    <t>PBDE-184</t>
  </si>
  <si>
    <t>PBDE-185</t>
  </si>
  <si>
    <t>PBDE-186</t>
  </si>
  <si>
    <t>PBDE-187</t>
  </si>
  <si>
    <t>PBDE-188</t>
  </si>
  <si>
    <t>PBDE-189</t>
  </si>
  <si>
    <t>PBDE-190</t>
  </si>
  <si>
    <t>PBDE-191</t>
  </si>
  <si>
    <t>PBDE-192</t>
  </si>
  <si>
    <t>PBDE-193</t>
  </si>
  <si>
    <t>PBDE-194</t>
  </si>
  <si>
    <t>PBDE-195</t>
  </si>
  <si>
    <t>PBDE-196</t>
  </si>
  <si>
    <t>PBDE-197</t>
  </si>
  <si>
    <t>PBDE-198</t>
  </si>
  <si>
    <t>PBDE-199</t>
  </si>
  <si>
    <t>PBDE-200</t>
  </si>
  <si>
    <t>PBDE-201</t>
  </si>
  <si>
    <t>PBDE-202</t>
  </si>
  <si>
    <t>PBDE-203</t>
  </si>
  <si>
    <t>PBDE-204</t>
  </si>
  <si>
    <t>PBDE-205</t>
  </si>
  <si>
    <t>PBDE-206</t>
  </si>
  <si>
    <t>PBDE-207</t>
  </si>
  <si>
    <t>PBDE-208</t>
  </si>
  <si>
    <t>PBDE-209</t>
  </si>
  <si>
    <t>Marsh et al (1999), Tittlemier et al (2002)</t>
  </si>
  <si>
    <t>Marsh et al (1999)</t>
  </si>
  <si>
    <t>Marsh (1999)</t>
  </si>
  <si>
    <t>Tittlemier et al (2002)</t>
  </si>
  <si>
    <t>Marsh (1999), Teclechiel (2008), Tittlemier (2002)</t>
  </si>
  <si>
    <t>Orn et al (1996)</t>
  </si>
  <si>
    <t>Liu et al (2006)</t>
  </si>
  <si>
    <t>Teclechiel (2008)</t>
  </si>
  <si>
    <t>Liu et al (2006), Marsh (1999)</t>
  </si>
  <si>
    <t>OCHEM/Bradley et al dataset</t>
  </si>
  <si>
    <t>Selected Measured</t>
  </si>
  <si>
    <t>Miller et al (1984)</t>
  </si>
  <si>
    <t>38964-22-6</t>
  </si>
  <si>
    <t>67028-17-5</t>
  </si>
  <si>
    <t>33857-26-0</t>
  </si>
  <si>
    <t>29446-15-9</t>
  </si>
  <si>
    <t>39227-58-2</t>
  </si>
  <si>
    <t>33857-28-2</t>
  </si>
  <si>
    <t>30746-58-8</t>
  </si>
  <si>
    <t>71669-23-3</t>
  </si>
  <si>
    <t>71669-26-6</t>
  </si>
  <si>
    <t>67028-18-6</t>
  </si>
  <si>
    <t>33423-92-6</t>
  </si>
  <si>
    <t>50585-46-1</t>
  </si>
  <si>
    <t>62470-53-5</t>
  </si>
  <si>
    <t>1746-01-6</t>
  </si>
  <si>
    <t>67028-19-7</t>
  </si>
  <si>
    <t>Friesen et al (1985)</t>
  </si>
  <si>
    <t>39227-61-7</t>
  </si>
  <si>
    <t>40321-76-4</t>
  </si>
  <si>
    <t>58802-08-7</t>
  </si>
  <si>
    <t>58802-09-8</t>
  </si>
  <si>
    <t>58200-66-1</t>
  </si>
  <si>
    <t>39227-28-6</t>
  </si>
  <si>
    <t>58200-67-2</t>
  </si>
  <si>
    <t>57653-85-7</t>
  </si>
  <si>
    <t>39227-62-8</t>
  </si>
  <si>
    <t>19408-74-3</t>
  </si>
  <si>
    <t>82291-28-9</t>
  </si>
  <si>
    <t>54536-17-3</t>
  </si>
  <si>
    <t>51452-87-0</t>
  </si>
  <si>
    <t>446254-14-4</t>
  </si>
  <si>
    <t>147217-72-9</t>
  </si>
  <si>
    <t>171977-44-9</t>
  </si>
  <si>
    <t>33513-66-3</t>
  </si>
  <si>
    <t>51930-04-2</t>
  </si>
  <si>
    <t>6903-63-5</t>
  </si>
  <si>
    <t>189084-59-1</t>
  </si>
  <si>
    <t>83694-71-7</t>
  </si>
  <si>
    <t>46438-88-4</t>
  </si>
  <si>
    <t>147217-74-1</t>
  </si>
  <si>
    <t>147217-75-2</t>
  </si>
  <si>
    <t>407606-55-7</t>
  </si>
  <si>
    <t>147217-73-0</t>
  </si>
  <si>
    <t>147217-76-3</t>
  </si>
  <si>
    <t>337513-67-4</t>
  </si>
  <si>
    <t>446254-15-5</t>
  </si>
  <si>
    <t>446254-16-6</t>
  </si>
  <si>
    <t>147217-77-4</t>
  </si>
  <si>
    <t>337513-75-4</t>
  </si>
  <si>
    <t>337513-53-8</t>
  </si>
  <si>
    <t>337513-56-1</t>
  </si>
  <si>
    <t>155999-95-4</t>
  </si>
  <si>
    <t>189084-60-4</t>
  </si>
  <si>
    <t>147217-78-5</t>
  </si>
  <si>
    <t>446254-17-7</t>
  </si>
  <si>
    <t>337513-54-9</t>
  </si>
  <si>
    <t>337513-68-5</t>
  </si>
  <si>
    <t>446254-18-8</t>
  </si>
  <si>
    <t>446254-20-2</t>
  </si>
  <si>
    <t>446254-22-4</t>
  </si>
  <si>
    <t>337513-55-0</t>
  </si>
  <si>
    <t>446254-23-5</t>
  </si>
  <si>
    <t>446254-24-6</t>
  </si>
  <si>
    <t>446254-25-7</t>
  </si>
  <si>
    <t>189084-57-9</t>
  </si>
  <si>
    <t>446254-19-9</t>
  </si>
  <si>
    <t>65075-08-3</t>
  </si>
  <si>
    <t>446254-31-5</t>
  </si>
  <si>
    <t>446254-32-6</t>
  </si>
  <si>
    <t>446254-33-7</t>
  </si>
  <si>
    <t>446254-34-8</t>
  </si>
  <si>
    <t>189084-61-5</t>
  </si>
  <si>
    <t>446254-37-1</t>
  </si>
  <si>
    <t>446254-38-2</t>
  </si>
  <si>
    <t>327185-09-1</t>
  </si>
  <si>
    <t>446254-39-3</t>
  </si>
  <si>
    <t>446254-40-6</t>
  </si>
  <si>
    <t>446254-41-7</t>
  </si>
  <si>
    <t>446254-42-8</t>
  </si>
  <si>
    <t>446254-43-9</t>
  </si>
  <si>
    <t>446254-45-1</t>
  </si>
  <si>
    <t>446254-48-4</t>
  </si>
  <si>
    <t>103173-66-6</t>
  </si>
  <si>
    <t>446254-50-8</t>
  </si>
  <si>
    <t>446254-51-9</t>
  </si>
  <si>
    <t>182346-21-0</t>
  </si>
  <si>
    <t>446254-53-1</t>
  </si>
  <si>
    <t>446254-54-2</t>
  </si>
  <si>
    <t>446254-55-3</t>
  </si>
  <si>
    <t>446254-57-5</t>
  </si>
  <si>
    <t>446254-59-7</t>
  </si>
  <si>
    <t>446254-61-1</t>
  </si>
  <si>
    <t>446254-64-4</t>
  </si>
  <si>
    <t>38463-82-0</t>
  </si>
  <si>
    <t>189084-64-8</t>
  </si>
  <si>
    <t>446254-65-5</t>
  </si>
  <si>
    <t>446254-66-6</t>
  </si>
  <si>
    <t>446254-67-7</t>
  </si>
  <si>
    <t>446254-68-8</t>
  </si>
  <si>
    <t>373594-78-6</t>
  </si>
  <si>
    <t>446254-69-9</t>
  </si>
  <si>
    <t>446254-71-3</t>
  </si>
  <si>
    <t>446254-72-4</t>
  </si>
  <si>
    <t>446254-74-6</t>
  </si>
  <si>
    <t>446254-77-9</t>
  </si>
  <si>
    <t>446254-78-0</t>
  </si>
  <si>
    <t>189084-65-9</t>
  </si>
  <si>
    <t>446254-80-4</t>
  </si>
  <si>
    <t>189084-66-0</t>
  </si>
  <si>
    <t>182677-30-1</t>
  </si>
  <si>
    <t>243982-83-4</t>
  </si>
  <si>
    <t>68631-49-2</t>
  </si>
  <si>
    <t>207122-15-4</t>
  </si>
  <si>
    <t>35854-94-5</t>
  </si>
  <si>
    <t>189084-58-0</t>
  </si>
  <si>
    <t>189084-67-1</t>
  </si>
  <si>
    <t>207122-16-5</t>
  </si>
  <si>
    <t>189084-68-2</t>
  </si>
  <si>
    <t>446255-39-6</t>
  </si>
  <si>
    <t>446255-42-1</t>
  </si>
  <si>
    <t>CAS Source</t>
  </si>
  <si>
    <t>ChemID+</t>
  </si>
  <si>
    <t>446255-43-2</t>
  </si>
  <si>
    <t>117964-21-3</t>
  </si>
  <si>
    <t>85446-17-9</t>
  </si>
  <si>
    <t>446255-38-5</t>
  </si>
  <si>
    <t>446255-46-5</t>
  </si>
  <si>
    <t>446255-50-1</t>
  </si>
  <si>
    <t>446255-54-5</t>
  </si>
  <si>
    <t>T_meas</t>
  </si>
  <si>
    <t>---</t>
  </si>
  <si>
    <t>Wikipedia</t>
  </si>
  <si>
    <t>AccuStandard</t>
  </si>
  <si>
    <t>40088-47-9</t>
  </si>
  <si>
    <t>366791-32-4</t>
  </si>
  <si>
    <t>327185-13-7</t>
  </si>
  <si>
    <t>63387-28-0</t>
  </si>
  <si>
    <t>Source</t>
  </si>
  <si>
    <t>Average of DeBruijn et al (1989) and Jabusch &amp; Swackhamer (2005)</t>
  </si>
  <si>
    <t>Jabusch &amp; Swackhamer (2005)</t>
  </si>
  <si>
    <t>Braekevelt et al (2003)</t>
  </si>
  <si>
    <t>Average of Marple et al (1986) and Sijm et al (1989)</t>
  </si>
  <si>
    <t>Sijm et al (1989)</t>
  </si>
  <si>
    <t>Measured VP (torr)</t>
  </si>
  <si>
    <t>PhysProp</t>
  </si>
  <si>
    <t>Measured Water Solubility (mg/L)</t>
  </si>
  <si>
    <t>Entropy</t>
  </si>
  <si>
    <t>Supercooled</t>
  </si>
  <si>
    <t xml:space="preserve">R = </t>
  </si>
  <si>
    <t>J K^-1 mol^-1</t>
  </si>
  <si>
    <t>Li et al (2004)</t>
  </si>
  <si>
    <t>Shiu et al (1988)</t>
  </si>
  <si>
    <t>Average of Shiu et al (1988) and Doucette and Andren (1988)</t>
  </si>
  <si>
    <t>Average of Friesen et al (1985) and Friesen &amp; Webster (1990)</t>
  </si>
  <si>
    <t>Crummett &amp; Stehl (1973) - only measured value consistent with other TeCDDs</t>
  </si>
  <si>
    <t>53555-02-5</t>
  </si>
  <si>
    <t>Average of Shiu et al (1988), Doucette and Andren (1988) and Oleszek-Kudlak et al (2007)</t>
  </si>
  <si>
    <t>Average of Shiu et al (1988) and Oleszek-Kudlak et al (2007)</t>
  </si>
  <si>
    <t>Oleszek-Kudlak et al (2007)</t>
  </si>
  <si>
    <t>Average of Friesen et al (1985), Shiu et al (1988), Doucette and Andren (1988) and Oleszek-Kudlak et al (2007)</t>
  </si>
  <si>
    <t>58200-69-4</t>
  </si>
  <si>
    <t>Rordorf (1989)</t>
  </si>
  <si>
    <t>67323-56-2</t>
  </si>
  <si>
    <t>40581-94-0</t>
  </si>
  <si>
    <t>71925-15-0</t>
  </si>
  <si>
    <t>71925-16-1</t>
  </si>
  <si>
    <t>Fu &amp; Suuberg (2011)</t>
  </si>
  <si>
    <t>Wong et al (2001)</t>
  </si>
  <si>
    <t>Average of Tittlemier et al (2002) and Wong et al (2001)</t>
  </si>
  <si>
    <t>Kuhne et al (1995)</t>
  </si>
  <si>
    <t>benzo(a)anthracene</t>
  </si>
  <si>
    <t>benzo(b)fluoranthene</t>
  </si>
  <si>
    <t>benzo(k)fluoranthene</t>
  </si>
  <si>
    <t>benzo(ghi)perylene</t>
  </si>
  <si>
    <t>benzo(a)pyrene</t>
  </si>
  <si>
    <t>PAH</t>
  </si>
  <si>
    <t>56-55-3</t>
  </si>
  <si>
    <t>205-99-2</t>
  </si>
  <si>
    <t>207-08-9</t>
  </si>
  <si>
    <t>191-24-2</t>
  </si>
  <si>
    <t>50-32-8</t>
  </si>
  <si>
    <t>chrysene</t>
  </si>
  <si>
    <t>218-01-9</t>
  </si>
  <si>
    <t>dibenzo(a,h)anthracene</t>
  </si>
  <si>
    <t>53-70-3</t>
  </si>
  <si>
    <t>dimethylbenz(a)anthracene, 7,12-</t>
  </si>
  <si>
    <t>57-97-6</t>
  </si>
  <si>
    <t>fluoranthene</t>
  </si>
  <si>
    <t>206-44-0</t>
  </si>
  <si>
    <t>indeno(1,2,3-cd)pyrene</t>
  </si>
  <si>
    <t>193-39-5</t>
  </si>
  <si>
    <t>methylcholanthrene, 3-</t>
  </si>
  <si>
    <t>56-49-5</t>
  </si>
  <si>
    <t>pyrene</t>
  </si>
  <si>
    <t>129-00-0</t>
  </si>
  <si>
    <t>naphthalene</t>
  </si>
  <si>
    <t>7,12-Dimethylbenz(a)anthracene</t>
  </si>
  <si>
    <t>Fluoranthene</t>
  </si>
  <si>
    <t>Indeno(1,2,3-cd)pyrene</t>
  </si>
  <si>
    <t>3-Methylcholanthrene</t>
  </si>
  <si>
    <t xml:space="preserve">91-20-3 </t>
  </si>
  <si>
    <t>Naphthalene</t>
  </si>
  <si>
    <t>Pyrene</t>
  </si>
  <si>
    <t>Dibenz(a,h)anthracene</t>
  </si>
  <si>
    <t>Benzo(a)anthracene</t>
  </si>
  <si>
    <t>Benzo(b)fluoranthene</t>
  </si>
  <si>
    <t>Benzo(k)fluoranthene</t>
  </si>
  <si>
    <t>Benzo(ghi)perylene</t>
  </si>
  <si>
    <t>Benzo(a)pyrene</t>
  </si>
  <si>
    <t>Chrysene</t>
  </si>
  <si>
    <t>Anthracene</t>
  </si>
  <si>
    <t>anthracene</t>
  </si>
  <si>
    <t>Phenanthrene</t>
  </si>
  <si>
    <t>phenanthrene</t>
  </si>
  <si>
    <t>85-01-8</t>
  </si>
  <si>
    <t>acenaphthene</t>
  </si>
  <si>
    <t>acenaphthylene</t>
  </si>
  <si>
    <t>Acenaphthene</t>
  </si>
  <si>
    <t>Acenaphthylene</t>
  </si>
  <si>
    <t>83-32-9</t>
  </si>
  <si>
    <t>208-96-8</t>
  </si>
  <si>
    <t>120-12-7</t>
  </si>
  <si>
    <t>De Maagd et al (1998)</t>
  </si>
  <si>
    <t>de Maagd et al (1998)</t>
  </si>
  <si>
    <t>DeBruijn et al (1989)</t>
  </si>
  <si>
    <t>Brooke et al (1990)</t>
  </si>
  <si>
    <t>A</t>
  </si>
  <si>
    <t>B</t>
  </si>
  <si>
    <t>Full name</t>
  </si>
  <si>
    <t>Abbreviated name</t>
  </si>
  <si>
    <t>C</t>
  </si>
  <si>
    <t>D</t>
  </si>
  <si>
    <t>E</t>
  </si>
  <si>
    <t>Reported log Kow</t>
  </si>
  <si>
    <t>F</t>
  </si>
  <si>
    <t>Source of reported log Kow value</t>
  </si>
  <si>
    <t>Column Label</t>
  </si>
  <si>
    <t>Column Heading</t>
  </si>
  <si>
    <t>Units</t>
  </si>
  <si>
    <t>Description</t>
  </si>
  <si>
    <t>Notes</t>
  </si>
  <si>
    <t>G</t>
  </si>
  <si>
    <t>H</t>
  </si>
  <si>
    <t>Reported melting point</t>
  </si>
  <si>
    <t>Source of reported melting point</t>
  </si>
  <si>
    <t>I</t>
  </si>
  <si>
    <t>J</t>
  </si>
  <si>
    <t>K</t>
  </si>
  <si>
    <t>L</t>
  </si>
  <si>
    <t>Source of reported vapor pressure</t>
  </si>
  <si>
    <t>Source of reported water solubility</t>
  </si>
  <si>
    <t>PHYSPROP (Sangster, 1993)</t>
  </si>
  <si>
    <t>EPI Suite (Hansch et al, 1995)</t>
  </si>
  <si>
    <t>Measurement temperature for reported vapor pressure</t>
  </si>
  <si>
    <t>M</t>
  </si>
  <si>
    <t>°C</t>
  </si>
  <si>
    <t>mg/L</t>
  </si>
  <si>
    <t>Measured Melting Point (deg C)</t>
  </si>
  <si>
    <t xml:space="preserve">K - C = </t>
  </si>
  <si>
    <t>Doucette and Andren (1988)</t>
  </si>
  <si>
    <t>PHYSPROP</t>
  </si>
  <si>
    <t>EPISUITE</t>
  </si>
  <si>
    <t>Melting Point</t>
  </si>
  <si>
    <t>unknown / cited by Kuhne et al (1995)</t>
  </si>
  <si>
    <t>EPISuite: value is for Aroclor 1016 mixture</t>
  </si>
  <si>
    <t>EPISuite value is not from cited source</t>
  </si>
  <si>
    <t>Li et al (2003) regression equation</t>
  </si>
  <si>
    <t>Li et al (2003) recommended LDV</t>
  </si>
  <si>
    <t>log Kow</t>
  </si>
  <si>
    <t>Compilation of Measured Property Values for PCBs</t>
  </si>
  <si>
    <t>EPISuite;  value measured at 0 deg</t>
  </si>
  <si>
    <t>Li et al (2003) LDV regression equation</t>
  </si>
  <si>
    <t>Reported VP (Pa)</t>
  </si>
  <si>
    <t>Compilation of Measured Property Values for PCDDs</t>
  </si>
  <si>
    <t>Supercooled VP</t>
  </si>
  <si>
    <t xml:space="preserve">torr/Pa = </t>
  </si>
  <si>
    <t>MP (K)</t>
  </si>
  <si>
    <r>
      <t>MP 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</si>
  <si>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VP (torr)</t>
  </si>
  <si>
    <t>Measured VP (Torr)</t>
  </si>
  <si>
    <t>Mackay and Shiu 1977</t>
  </si>
  <si>
    <t>μg/L</t>
  </si>
  <si>
    <t>Bradley database</t>
  </si>
  <si>
    <t>Compilation of Measured Property Values for PAHs</t>
  </si>
  <si>
    <t>WS (mg/L)</t>
  </si>
  <si>
    <t>log(mol/L)</t>
  </si>
  <si>
    <t>Units of Reported Value</t>
  </si>
  <si>
    <t>Reported WS (other units)</t>
  </si>
  <si>
    <t>EPISuite: outlier, source unknown</t>
  </si>
  <si>
    <t>Compilation of Measured Property Values for PBDEs</t>
  </si>
  <si>
    <t>Kuramochi et al (2007)</t>
  </si>
  <si>
    <t>Average of Kuramochi et al (2007), Marsh (1999), Orn et al (1996), Teclechiel (2008), Tittlemier (2002)</t>
  </si>
  <si>
    <t>Average of Marsh (1999), Teclechiel (2008), Tittlemier (2002)</t>
  </si>
  <si>
    <t>Average of Kuramochi et al (2007), Orn et al (1996), Teclechiel (2008), Tittlemier (2002)</t>
  </si>
  <si>
    <t>Average of Marsh et al (1999), Tittlemier et al (2002)</t>
  </si>
  <si>
    <t>Average of Marsh et al (1999) and Tittlemier et al (2002)</t>
  </si>
  <si>
    <t>EPISuite: generic value for all hexaBDE</t>
  </si>
  <si>
    <t>Average of Kuramochi et al (2007), Tittlemier et al (2002)</t>
  </si>
  <si>
    <t>Average of Liu et al (2006), Marsh (1999)</t>
  </si>
  <si>
    <t>Average of Liu et al (2006), Orn et al (1996), Tittlemier (2002)</t>
  </si>
  <si>
    <t>Average of Liu et al (2006), Teclechiel (2008), Tittlemier (2002)</t>
  </si>
  <si>
    <t>Average of Fu &amp; Suuberg (2011), Tittlemier et al (2002), Wong et al (2001)</t>
  </si>
  <si>
    <t>EPI Suite: seems to be PBDE-138 value from PHYSPROP</t>
  </si>
  <si>
    <t>g/L</t>
  </si>
  <si>
    <t>Marple et al (1986)</t>
  </si>
  <si>
    <t>EPISuite: mapped to wrong TCDD?</t>
  </si>
  <si>
    <t>EPISuite: mapped to wrong HCDD?</t>
  </si>
  <si>
    <t>mol/L</t>
  </si>
  <si>
    <t>EPISuite: source unknown; matches 2,8-DCDD value</t>
  </si>
  <si>
    <t>EPISuite: source unknown; matches 2,7-DCDD value</t>
  </si>
  <si>
    <t>PHYSPROP:  predicted value from Rordorf (1989)</t>
  </si>
  <si>
    <t>EPI Suite:  predicted value from Rordorf (1989)</t>
  </si>
  <si>
    <t>EPI Suite:  predicted value for 1,3,7,8-TeCDD from Rordorf (1989)</t>
  </si>
  <si>
    <t>EPI Suite:  generic value for tetrachlorodibenzo-p-dioxins</t>
  </si>
  <si>
    <t>EPI Suite: predicted value for 1,2,3,7-TCDD from Rordorf (1989)</t>
  </si>
  <si>
    <t>EPI Suite: predicted value for 1,3,7,8-TeCDD from Rordorf (1989)</t>
  </si>
  <si>
    <t>EPI Suite: predicted value for 1,3,6,8-TCDD from Rordorf (1989)</t>
  </si>
  <si>
    <t>EPI Suite: average of predicted values for PCDDs by Rordorf (1989)</t>
  </si>
  <si>
    <t>EPI Suite: predicted value from Rordorf (1989)</t>
  </si>
  <si>
    <t>EPI Suite: predicted value for 1,2,3,4,7,8-HCDD from Rordorf (1989)</t>
  </si>
  <si>
    <t>EPI Suite: average of predicted values for HxCDDs by Rordorf (1989)</t>
  </si>
  <si>
    <t>EPI Suite: predicted value for 1,2,3,6,7,8-HxCDD from Rordorf (1989)</t>
  </si>
  <si>
    <t>EPI Suite: predicted value for 1,2,4,6,7,9-HxCDD from Rordorf (1989)</t>
  </si>
  <si>
    <t>Friesen &amp; Webster (1990)</t>
  </si>
  <si>
    <t>EPI Suite: Friesen et al (1985) value for 1,2,3,7-TCDD</t>
  </si>
  <si>
    <t>EPI Suite: Friesen et al (1985) value for 1,3,6,8-TCDD</t>
  </si>
  <si>
    <t>EPI Suite: Friesen et al (1985) value for 1,2,3,4,7-PCDD</t>
  </si>
  <si>
    <t>EPI Suite: Friesen et al (1985) value for 1,2,3,4,7,8-HCDD</t>
  </si>
  <si>
    <t>EPI Suite: source unknown</t>
  </si>
  <si>
    <t>Fu and Suuberg (2011)</t>
  </si>
  <si>
    <t>Odabasi et al (2006)</t>
  </si>
  <si>
    <t>Sonnefeld et al (1983)</t>
  </si>
  <si>
    <t>*</t>
  </si>
  <si>
    <t xml:space="preserve">from the NIST Chemistry WebBook.  </t>
  </si>
  <si>
    <t xml:space="preserve">Entropy values were taken from the source publication, if available.  If not, they were taken </t>
  </si>
  <si>
    <t>Entropy *</t>
  </si>
  <si>
    <t>g/mol</t>
  </si>
  <si>
    <t>Bold font indicates selected value.  Red font indicates incorrect values or outliers.</t>
  </si>
  <si>
    <t>Bold font indicates selected value.  Order of preference: 1) NIST, 2) average reported in journal publication, 3) Bradley et al database.  Red font indicates incorrect values or outliers.</t>
  </si>
  <si>
    <t>N</t>
  </si>
  <si>
    <t>O</t>
  </si>
  <si>
    <t>Pa</t>
  </si>
  <si>
    <t>Blank if vapor pressure was reported in torr</t>
  </si>
  <si>
    <t>Selected measured melting point</t>
  </si>
  <si>
    <t>Reported water solubility, if not in mg/L</t>
  </si>
  <si>
    <t>Blank if water solubility was reported in mg/L</t>
  </si>
  <si>
    <t>Selected measured log Kow</t>
  </si>
  <si>
    <t>P</t>
  </si>
  <si>
    <t>S</t>
  </si>
  <si>
    <t>V</t>
  </si>
  <si>
    <t>Q</t>
  </si>
  <si>
    <t>R</t>
  </si>
  <si>
    <t>T</t>
  </si>
  <si>
    <t>U</t>
  </si>
  <si>
    <t>W</t>
  </si>
  <si>
    <t>X</t>
  </si>
  <si>
    <t>Y</t>
  </si>
  <si>
    <t>Z</t>
  </si>
  <si>
    <t>AA</t>
  </si>
  <si>
    <t>Reported vapor pressure, if in Pascal</t>
  </si>
  <si>
    <t>torr</t>
  </si>
  <si>
    <t>Below is a summary of the standard data entry format used in the tabs titled "PCBs", "PBDEs", "PCDDs" and "PAHs".</t>
  </si>
  <si>
    <t>Below is a summary of the standard data entry format used in the tabs titled "PCBs_selected", "PBDEs_selected", "PCDDs_selected" and "PAHs_selected".</t>
  </si>
  <si>
    <t>Selected measured vapor pressure</t>
  </si>
  <si>
    <t>Selected measured water solubility</t>
  </si>
  <si>
    <t>Blank if there is no abbreviated name</t>
  </si>
  <si>
    <t>Vapor Pressure</t>
  </si>
  <si>
    <t>Water Solubility</t>
  </si>
  <si>
    <t>Selected Measured Property Values for PCBs</t>
  </si>
  <si>
    <t>PCB-177</t>
  </si>
  <si>
    <t>Selected Measured Property Values for PAHs</t>
  </si>
  <si>
    <t>Selected Measured Property Values for PCDDs</t>
  </si>
  <si>
    <t>Selected Measured Property Values for PBDEs</t>
  </si>
  <si>
    <t>36563-47-0</t>
  </si>
  <si>
    <t>53563-56-7</t>
  </si>
  <si>
    <t>337513-66-3</t>
  </si>
  <si>
    <t>218304-36-0</t>
  </si>
  <si>
    <t>337513-77-6</t>
  </si>
  <si>
    <t>446254-21-3</t>
  </si>
  <si>
    <t>446254-26-8</t>
  </si>
  <si>
    <t>446254-27-9</t>
  </si>
  <si>
    <t>446254-28-0</t>
  </si>
  <si>
    <t>337513-82-3</t>
  </si>
  <si>
    <t>446254-29-1</t>
  </si>
  <si>
    <t>446254-30-4</t>
  </si>
  <si>
    <t>446254-35-9</t>
  </si>
  <si>
    <t>446254-36-0</t>
  </si>
  <si>
    <t>327185-11-5</t>
  </si>
  <si>
    <t>446254-52-0</t>
  </si>
  <si>
    <t>446254-56-4</t>
  </si>
  <si>
    <t>446254-58-6</t>
  </si>
  <si>
    <t>446254-60-0</t>
  </si>
  <si>
    <t>446254-62-2</t>
  </si>
  <si>
    <t>446254-63-3</t>
  </si>
  <si>
    <t>446254-70-2</t>
  </si>
  <si>
    <t>446254-73-5</t>
  </si>
  <si>
    <t>446254-75-7</t>
  </si>
  <si>
    <t>446254-76-8</t>
  </si>
  <si>
    <t>446254-79-1</t>
  </si>
  <si>
    <t>417727-71-0</t>
  </si>
  <si>
    <t>446254-81-5</t>
  </si>
  <si>
    <t>446254-82-6</t>
  </si>
  <si>
    <t>446254-83-7</t>
  </si>
  <si>
    <t>446254-84-8</t>
  </si>
  <si>
    <t>446254-85-9</t>
  </si>
  <si>
    <t>446254-86-0</t>
  </si>
  <si>
    <t>182677-28-7</t>
  </si>
  <si>
    <t>446254-87-1</t>
  </si>
  <si>
    <t>36483-60-0</t>
  </si>
  <si>
    <t>446254-89-3</t>
  </si>
  <si>
    <t>446254-90-6</t>
  </si>
  <si>
    <t>446254-91-7</t>
  </si>
  <si>
    <t>446254-92-8</t>
  </si>
  <si>
    <t>446254-93-9</t>
  </si>
  <si>
    <t>446254-94-0</t>
  </si>
  <si>
    <t>446254-95-1</t>
  </si>
  <si>
    <t>446254-96-2</t>
  </si>
  <si>
    <t>446254-97-3</t>
  </si>
  <si>
    <t>446254-98-4</t>
  </si>
  <si>
    <t>446254-99-5</t>
  </si>
  <si>
    <t>446255-00-1</t>
  </si>
  <si>
    <t>446255-01-2</t>
  </si>
  <si>
    <t>446255-02-3</t>
  </si>
  <si>
    <t>116995-33-6</t>
  </si>
  <si>
    <t>446255-03-4</t>
  </si>
  <si>
    <t>446255-04-5</t>
  </si>
  <si>
    <t>446255-05-6</t>
  </si>
  <si>
    <t>446255-06-7</t>
  </si>
  <si>
    <t>446255-07-8</t>
  </si>
  <si>
    <t>405237-85-6</t>
  </si>
  <si>
    <t>446255-08-9</t>
  </si>
  <si>
    <t>446255-09-0</t>
  </si>
  <si>
    <t>446255-10-3</t>
  </si>
  <si>
    <t>446255-11-4</t>
  </si>
  <si>
    <t>446255-12-5</t>
  </si>
  <si>
    <t>446255-13-6</t>
  </si>
  <si>
    <t>446255-14-7</t>
  </si>
  <si>
    <t>446255-15-8</t>
  </si>
  <si>
    <t>446255-16-9</t>
  </si>
  <si>
    <t>446255-17-0</t>
  </si>
  <si>
    <t>53551-87-4</t>
  </si>
  <si>
    <t>446255-18-1</t>
  </si>
  <si>
    <t>446255-19-2</t>
  </si>
  <si>
    <t>407606-59-1</t>
  </si>
  <si>
    <t>68928-80-3</t>
  </si>
  <si>
    <t>446255-21-6</t>
  </si>
  <si>
    <t>446255-22-7</t>
  </si>
  <si>
    <t>407606-61-5</t>
  </si>
  <si>
    <t>446255-23-8</t>
  </si>
  <si>
    <t>446255-24-9</t>
  </si>
  <si>
    <t>446255-25-0</t>
  </si>
  <si>
    <t>446255-26-1</t>
  </si>
  <si>
    <t>442690-45-1</t>
  </si>
  <si>
    <t>117948-63-7</t>
  </si>
  <si>
    <t>405237-86-7</t>
  </si>
  <si>
    <t>446255-27-2</t>
  </si>
  <si>
    <t>446255-28-3</t>
  </si>
  <si>
    <t>116995-32-5</t>
  </si>
  <si>
    <t>259087-35-9</t>
  </si>
  <si>
    <t>446255-30-7</t>
  </si>
  <si>
    <t>407578-53-4</t>
  </si>
  <si>
    <t>446255-34-1</t>
  </si>
  <si>
    <t>67797-09-5</t>
  </si>
  <si>
    <t>437701-78-5</t>
  </si>
  <si>
    <t>82291-30-3</t>
  </si>
  <si>
    <t>82291-31-4</t>
  </si>
  <si>
    <t>82291-32-5</t>
  </si>
  <si>
    <t>82291-33-6</t>
  </si>
  <si>
    <t>82306-61-4</t>
  </si>
  <si>
    <t>82306-62-5</t>
  </si>
  <si>
    <t>82306-63-6</t>
  </si>
  <si>
    <t>82306-64-7</t>
  </si>
  <si>
    <t>71669-28-8</t>
  </si>
  <si>
    <t>71665-99-1</t>
  </si>
  <si>
    <t>40581-90-6</t>
  </si>
  <si>
    <t>40581-93-9</t>
  </si>
  <si>
    <t>71669-25-5</t>
  </si>
  <si>
    <t>71669-27-7</t>
  </si>
  <si>
    <t>71669-29-9</t>
  </si>
  <si>
    <t>34816-53-0</t>
  </si>
  <si>
    <t>71669-24-4</t>
  </si>
  <si>
    <t>82291-34-7</t>
  </si>
  <si>
    <t>71925-17-2</t>
  </si>
  <si>
    <t>82291-35-8</t>
  </si>
  <si>
    <t>82291-36-9</t>
  </si>
  <si>
    <t>82291-37-0</t>
  </si>
  <si>
    <t>71925-18-3</t>
  </si>
  <si>
    <t>71998-76-0</t>
  </si>
  <si>
    <t>82291-38-1</t>
  </si>
  <si>
    <t>58200-68-3</t>
  </si>
  <si>
    <t>64461-98-9</t>
  </si>
  <si>
    <t>average of Brooke et al (1990), DeBruijn et al (1989), De Maagd et al (1998), U.S. EPA (1993b)</t>
  </si>
  <si>
    <t>U.S. EPA (1993b)</t>
  </si>
  <si>
    <t>average of Brooke et al (1990), DeBruijn et al (1989), De Maagd et al (1998), U.S. EPA (1993c)</t>
  </si>
  <si>
    <t>U.S. EPA (1993a)</t>
  </si>
  <si>
    <t>Blank if reported vapor pressure was not supercooled liquid vapor pressure</t>
  </si>
  <si>
    <t>Blank if reported water solubility was not supercooled water solubility</t>
  </si>
  <si>
    <t>Entropy of fusion</t>
  </si>
  <si>
    <r>
      <t>J 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mol</t>
    </r>
    <r>
      <rPr>
        <vertAlign val="superscript"/>
        <sz val="11"/>
        <color theme="1"/>
        <rFont val="Calibri"/>
        <family val="2"/>
        <scheme val="minor"/>
      </rPr>
      <t>-1</t>
    </r>
  </si>
  <si>
    <t>Used to convert supercooled vapor pressure to solid-phase vapor pressure; blank if reported vapor pressure was not supercooled liquid vapor pressure</t>
  </si>
  <si>
    <t>Used to convert supercooled water solubilty to solid-phase water solubility; blank if reported water solubility was not supercooled water solubility</t>
  </si>
  <si>
    <t>Selected measured melting point or estimated melting point from best performing calculator for chemical class</t>
  </si>
  <si>
    <t>Supercooled liquid vapor pressure</t>
  </si>
  <si>
    <t>Supercooled water solubility</t>
  </si>
  <si>
    <t>Units of reported water solubility, if not in mg/L</t>
  </si>
  <si>
    <t>Reported vapor pressure after unit conversion and solid-phase adjustment, if needed</t>
  </si>
  <si>
    <t>Reported water solubility after unit conversion and solid-phase adjustment, if needed</t>
  </si>
  <si>
    <t>Reported melting point in K</t>
  </si>
  <si>
    <t>Blank if melting point was reported in °C</t>
  </si>
  <si>
    <t>From column G of worksheet containing compilation of property data for the chemical class; blank (---) if no reliable measured value is available</t>
  </si>
  <si>
    <t>From column K of worksheet containing compilation of property data for the chemical class; blank (---) if no reliable measured value is available</t>
  </si>
  <si>
    <t>From column S of worksheet containing compilation of property data for the chemical class; blank (---) if no reliable measured value is available</t>
  </si>
  <si>
    <t>From column AA of worksheet containing compilation of property data for the chemical class; blank (---) if no reliable measured value is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</si>
</sst>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000"/>
    <numFmt numFmtId="166" formatCode="0.000E+0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39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Fill="1"/>
    <xf numFmtId="0" fontId="3" fillId="0" borderId="1" xfId="0" applyFont="1" applyBorder="1"/>
    <xf numFmtId="0" fontId="8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NumberFormat="1"/>
    <xf numFmtId="0" fontId="11" fillId="0" borderId="0" xfId="1"/>
    <xf numFmtId="0" fontId="11" fillId="0" borderId="0" xfId="1" applyFill="1" applyBorder="1" applyAlignment="1">
      <alignment vertical="center" wrapText="1"/>
    </xf>
    <xf numFmtId="0" fontId="12" fillId="0" borderId="0" xfId="1" quotePrefix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11" fontId="0" fillId="0" borderId="1" xfId="0" applyNumberFormat="1" applyBorder="1"/>
    <xf numFmtId="0" fontId="0" fillId="0" borderId="1" xfId="0" applyNumberFormat="1" applyBorder="1"/>
    <xf numFmtId="0" fontId="3" fillId="0" borderId="1" xfId="0" applyNumberFormat="1" applyFont="1" applyBorder="1"/>
    <xf numFmtId="0" fontId="1" fillId="0" borderId="1" xfId="0" applyFont="1" applyFill="1" applyBorder="1" applyAlignment="1">
      <alignment vertical="center"/>
    </xf>
    <xf numFmtId="0" fontId="8" fillId="0" borderId="0" xfId="0" applyFont="1" applyBorder="1"/>
    <xf numFmtId="0" fontId="0" fillId="0" borderId="0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8" fillId="0" borderId="4" xfId="0" applyFont="1" applyBorder="1"/>
    <xf numFmtId="0" fontId="0" fillId="0" borderId="1" xfId="0" applyFont="1" applyBorder="1"/>
    <xf numFmtId="0" fontId="0" fillId="0" borderId="13" xfId="0" applyFont="1" applyBorder="1"/>
    <xf numFmtId="0" fontId="8" fillId="0" borderId="9" xfId="0" applyFont="1" applyBorder="1"/>
    <xf numFmtId="0" fontId="2" fillId="0" borderId="8" xfId="0" applyFont="1" applyBorder="1" applyAlignment="1"/>
    <xf numFmtId="0" fontId="0" fillId="0" borderId="12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0" fillId="0" borderId="12" xfId="0" applyBorder="1"/>
    <xf numFmtId="0" fontId="1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11" fontId="0" fillId="0" borderId="1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11" fontId="5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8" fillId="0" borderId="19" xfId="0" applyFont="1" applyBorder="1"/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1" fontId="0" fillId="0" borderId="20" xfId="0" applyNumberForma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1" fillId="0" borderId="1" xfId="0" applyFont="1" applyFill="1" applyBorder="1" applyAlignment="1"/>
    <xf numFmtId="0" fontId="1" fillId="0" borderId="13" xfId="0" applyFont="1" applyFill="1" applyBorder="1" applyAlignment="1"/>
    <xf numFmtId="0" fontId="0" fillId="0" borderId="0" xfId="0" applyAlignment="1"/>
    <xf numFmtId="0" fontId="0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15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Border="1" applyAlignment="1"/>
    <xf numFmtId="0" fontId="9" fillId="0" borderId="0" xfId="0" applyFont="1" applyFill="1" applyBorder="1"/>
    <xf numFmtId="0" fontId="9" fillId="0" borderId="0" xfId="0" applyFont="1" applyBorder="1"/>
    <xf numFmtId="0" fontId="0" fillId="0" borderId="9" xfId="0" applyBorder="1" applyAlignment="1">
      <alignment horizontal="center" vertical="center" wrapText="1"/>
    </xf>
    <xf numFmtId="0" fontId="15" fillId="0" borderId="4" xfId="0" applyFont="1" applyFill="1" applyBorder="1" applyAlignment="1"/>
    <xf numFmtId="0" fontId="1" fillId="0" borderId="4" xfId="0" applyFont="1" applyFill="1" applyBorder="1" applyAlignment="1"/>
    <xf numFmtId="0" fontId="0" fillId="0" borderId="13" xfId="0" applyFont="1" applyBorder="1" applyAlignment="1"/>
    <xf numFmtId="0" fontId="13" fillId="0" borderId="1" xfId="0" applyFont="1" applyFill="1" applyBorder="1" applyAlignment="1">
      <alignment vertical="center"/>
    </xf>
    <xf numFmtId="0" fontId="1" fillId="0" borderId="23" xfId="0" applyFont="1" applyFill="1" applyBorder="1" applyAlignment="1"/>
    <xf numFmtId="0" fontId="3" fillId="0" borderId="18" xfId="0" applyFont="1" applyBorder="1" applyAlignment="1">
      <alignment vertical="center"/>
    </xf>
    <xf numFmtId="0" fontId="0" fillId="0" borderId="24" xfId="0" quotePrefix="1" applyFont="1" applyBorder="1" applyAlignment="1"/>
    <xf numFmtId="0" fontId="3" fillId="0" borderId="1" xfId="0" applyFont="1" applyBorder="1" applyAlignment="1"/>
    <xf numFmtId="0" fontId="0" fillId="0" borderId="4" xfId="0" applyFont="1" applyFill="1" applyBorder="1" applyAlignment="1"/>
    <xf numFmtId="0" fontId="5" fillId="0" borderId="1" xfId="0" applyFont="1" applyFill="1" applyBorder="1" applyAlignment="1"/>
    <xf numFmtId="0" fontId="0" fillId="0" borderId="13" xfId="0" applyNumberFormat="1" applyFont="1" applyBorder="1"/>
    <xf numFmtId="0" fontId="0" fillId="0" borderId="4" xfId="0" applyFont="1" applyFill="1" applyBorder="1"/>
    <xf numFmtId="0" fontId="2" fillId="0" borderId="20" xfId="0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0" xfId="0" applyBorder="1"/>
    <xf numFmtId="0" fontId="0" fillId="0" borderId="20" xfId="0" applyFont="1" applyBorder="1" applyAlignment="1">
      <alignment vertical="center"/>
    </xf>
    <xf numFmtId="0" fontId="8" fillId="0" borderId="25" xfId="0" applyFont="1" applyBorder="1"/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1" fontId="0" fillId="0" borderId="26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6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9" fillId="0" borderId="26" xfId="0" applyFont="1" applyBorder="1" applyAlignment="1">
      <alignment vertical="center"/>
    </xf>
    <xf numFmtId="11" fontId="0" fillId="0" borderId="20" xfId="0" applyNumberFormat="1" applyBorder="1"/>
    <xf numFmtId="0" fontId="0" fillId="0" borderId="20" xfId="0" quotePrefix="1" applyBorder="1" applyAlignment="1">
      <alignment vertical="center"/>
    </xf>
    <xf numFmtId="11" fontId="5" fillId="0" borderId="2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30" xfId="0" applyFont="1" applyBorder="1"/>
    <xf numFmtId="0" fontId="1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1" fontId="0" fillId="0" borderId="29" xfId="0" applyNumberFormat="1" applyBorder="1" applyAlignment="1">
      <alignment vertical="center"/>
    </xf>
    <xf numFmtId="0" fontId="1" fillId="0" borderId="26" xfId="0" quotePrefix="1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1" fontId="6" fillId="0" borderId="1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quotePrefix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9" xfId="0" quotePrefix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6" fillId="0" borderId="26" xfId="0" applyFont="1" applyBorder="1" applyAlignment="1">
      <alignment vertical="center"/>
    </xf>
    <xf numFmtId="11" fontId="0" fillId="0" borderId="1" xfId="0" quotePrefix="1" applyNumberFormat="1" applyBorder="1" applyAlignment="1">
      <alignment vertical="center"/>
    </xf>
    <xf numFmtId="0" fontId="0" fillId="0" borderId="20" xfId="0" quotePrefix="1" applyNumberFormat="1" applyBorder="1" applyAlignment="1">
      <alignment vertical="center"/>
    </xf>
    <xf numFmtId="0" fontId="0" fillId="0" borderId="1" xfId="0" quotePrefix="1" applyNumberFormat="1" applyBorder="1" applyAlignment="1">
      <alignment vertical="center"/>
    </xf>
    <xf numFmtId="11" fontId="0" fillId="0" borderId="26" xfId="0" quotePrefix="1" applyNumberFormat="1" applyBorder="1" applyAlignment="1">
      <alignment vertical="center"/>
    </xf>
    <xf numFmtId="11" fontId="16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11" fontId="0" fillId="0" borderId="20" xfId="0" quotePrefix="1" applyNumberFormat="1" applyBorder="1" applyAlignment="1">
      <alignment vertical="center"/>
    </xf>
    <xf numFmtId="11" fontId="9" fillId="0" borderId="20" xfId="0" applyNumberFormat="1" applyFont="1" applyBorder="1" applyAlignment="1">
      <alignment vertical="center"/>
    </xf>
    <xf numFmtId="11" fontId="2" fillId="0" borderId="20" xfId="0" applyNumberFormat="1" applyFont="1" applyBorder="1" applyAlignment="1">
      <alignment vertical="center"/>
    </xf>
    <xf numFmtId="0" fontId="9" fillId="0" borderId="26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6" xfId="0" quotePrefix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20" xfId="0" quotePrefix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29" xfId="0" quotePrefix="1" applyFont="1" applyBorder="1" applyAlignment="1">
      <alignment vertical="center"/>
    </xf>
    <xf numFmtId="11" fontId="5" fillId="0" borderId="2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1" fontId="9" fillId="0" borderId="1" xfId="0" applyNumberFormat="1" applyFont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" xfId="0" quotePrefix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1" fontId="0" fillId="0" borderId="1" xfId="0" applyNumberFormat="1" applyFill="1" applyBorder="1" applyAlignment="1">
      <alignment vertical="center"/>
    </xf>
    <xf numFmtId="0" fontId="2" fillId="0" borderId="6" xfId="0" quotePrefix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1" fontId="0" fillId="0" borderId="1" xfId="0" applyNumberFormat="1" applyBorder="1" applyAlignment="1">
      <alignment horizontal="left" vertical="center"/>
    </xf>
    <xf numFmtId="11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11" fontId="16" fillId="0" borderId="1" xfId="0" applyNumberFormat="1" applyFont="1" applyBorder="1" applyAlignment="1">
      <alignment vertical="center"/>
    </xf>
    <xf numFmtId="11" fontId="9" fillId="0" borderId="0" xfId="0" applyNumberFormat="1" applyFont="1" applyAlignment="1">
      <alignment horizontal="left" vertical="center"/>
    </xf>
    <xf numFmtId="11" fontId="16" fillId="0" borderId="20" xfId="0" applyNumberFormat="1" applyFont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1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1" fontId="0" fillId="0" borderId="28" xfId="0" applyNumberFormat="1" applyBorder="1" applyAlignment="1">
      <alignment vertical="center"/>
    </xf>
    <xf numFmtId="11" fontId="0" fillId="0" borderId="22" xfId="0" applyNumberFormat="1" applyBorder="1" applyAlignment="1">
      <alignment vertical="center"/>
    </xf>
    <xf numFmtId="11" fontId="2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1" fontId="0" fillId="0" borderId="20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1" fontId="6" fillId="0" borderId="20" xfId="0" applyNumberFormat="1" applyFont="1" applyBorder="1" applyAlignment="1">
      <alignment vertical="center" wrapText="1"/>
    </xf>
    <xf numFmtId="0" fontId="8" fillId="0" borderId="19" xfId="0" applyFont="1" applyBorder="1" applyAlignment="1"/>
    <xf numFmtId="0" fontId="1" fillId="0" borderId="20" xfId="0" applyFont="1" applyFill="1" applyBorder="1" applyAlignment="1"/>
    <xf numFmtId="0" fontId="1" fillId="0" borderId="36" xfId="0" applyFont="1" applyFill="1" applyBorder="1" applyAlignment="1">
      <alignment vertical="center"/>
    </xf>
    <xf numFmtId="0" fontId="1" fillId="0" borderId="19" xfId="0" applyFont="1" applyFill="1" applyBorder="1" applyAlignment="1"/>
    <xf numFmtId="0" fontId="0" fillId="0" borderId="21" xfId="0" quotePrefix="1" applyFont="1" applyBorder="1" applyAlignment="1"/>
    <xf numFmtId="0" fontId="0" fillId="0" borderId="19" xfId="0" applyFont="1" applyFill="1" applyBorder="1" applyAlignment="1"/>
    <xf numFmtId="0" fontId="0" fillId="0" borderId="21" xfId="0" applyFont="1" applyBorder="1" applyAlignment="1"/>
    <xf numFmtId="11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1" fontId="5" fillId="0" borderId="26" xfId="0" applyNumberFormat="1" applyFont="1" applyBorder="1" applyAlignment="1">
      <alignment vertical="center"/>
    </xf>
    <xf numFmtId="11" fontId="6" fillId="0" borderId="26" xfId="0" applyNumberFormat="1" applyFont="1" applyBorder="1" applyAlignment="1">
      <alignment vertical="center" wrapText="1"/>
    </xf>
    <xf numFmtId="11" fontId="9" fillId="0" borderId="36" xfId="0" applyNumberFormat="1" applyFont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4" xfId="0" quotePrefix="1" applyFont="1" applyBorder="1" applyAlignment="1"/>
    <xf numFmtId="0" fontId="9" fillId="0" borderId="1" xfId="0" applyFont="1" applyFill="1" applyBorder="1" applyAlignment="1"/>
    <xf numFmtId="0" fontId="10" fillId="0" borderId="1" xfId="0" applyFont="1" applyBorder="1" applyAlignment="1"/>
    <xf numFmtId="0" fontId="0" fillId="0" borderId="4" xfId="0" applyFont="1" applyBorder="1" applyAlignment="1"/>
    <xf numFmtId="0" fontId="9" fillId="0" borderId="1" xfId="0" applyFont="1" applyBorder="1" applyAlignment="1"/>
    <xf numFmtId="0" fontId="0" fillId="0" borderId="19" xfId="0" applyFont="1" applyBorder="1" applyAlignment="1"/>
    <xf numFmtId="0" fontId="9" fillId="0" borderId="20" xfId="0" applyFont="1" applyFill="1" applyBorder="1" applyAlignment="1"/>
    <xf numFmtId="0" fontId="9" fillId="0" borderId="20" xfId="0" applyNumberFormat="1" applyFont="1" applyFill="1" applyBorder="1" applyAlignment="1"/>
    <xf numFmtId="0" fontId="10" fillId="0" borderId="20" xfId="0" applyFont="1" applyBorder="1" applyAlignment="1"/>
    <xf numFmtId="0" fontId="9" fillId="0" borderId="1" xfId="0" applyNumberFormat="1" applyFont="1" applyFill="1" applyBorder="1" applyAlignment="1"/>
    <xf numFmtId="0" fontId="9" fillId="0" borderId="1" xfId="0" applyFont="1" applyFill="1" applyBorder="1"/>
    <xf numFmtId="11" fontId="9" fillId="0" borderId="1" xfId="0" applyNumberFormat="1" applyFont="1" applyFill="1" applyBorder="1" applyAlignment="1"/>
    <xf numFmtId="0" fontId="17" fillId="0" borderId="1" xfId="0" applyFont="1" applyFill="1" applyBorder="1" applyAlignment="1">
      <alignment vertical="center"/>
    </xf>
    <xf numFmtId="0" fontId="9" fillId="0" borderId="1" xfId="0" applyFont="1" applyBorder="1"/>
    <xf numFmtId="11" fontId="9" fillId="0" borderId="1" xfId="0" applyNumberFormat="1" applyFont="1" applyFill="1" applyBorder="1"/>
    <xf numFmtId="0" fontId="9" fillId="0" borderId="1" xfId="0" applyNumberFormat="1" applyFont="1" applyFill="1" applyBorder="1"/>
    <xf numFmtId="11" fontId="0" fillId="0" borderId="13" xfId="0" applyNumberFormat="1" applyFont="1" applyBorder="1"/>
    <xf numFmtId="0" fontId="9" fillId="0" borderId="1" xfId="0" applyFont="1" applyFill="1" applyBorder="1" applyAlignment="1">
      <alignment vertical="center"/>
    </xf>
    <xf numFmtId="0" fontId="0" fillId="0" borderId="4" xfId="0" applyFont="1" applyBorder="1"/>
    <xf numFmtId="0" fontId="1" fillId="0" borderId="4" xfId="0" applyNumberFormat="1" applyFont="1" applyFill="1" applyBorder="1" applyAlignment="1">
      <alignment vertical="center"/>
    </xf>
    <xf numFmtId="0" fontId="0" fillId="0" borderId="13" xfId="0" quotePrefix="1" applyFont="1" applyBorder="1"/>
    <xf numFmtId="0" fontId="0" fillId="0" borderId="4" xfId="0" applyNumberFormat="1" applyFont="1" applyBorder="1"/>
    <xf numFmtId="0" fontId="10" fillId="0" borderId="1" xfId="0" applyFont="1" applyBorder="1"/>
    <xf numFmtId="11" fontId="17" fillId="0" borderId="1" xfId="0" applyNumberFormat="1" applyFont="1" applyFill="1" applyBorder="1" applyAlignment="1">
      <alignment vertical="center"/>
    </xf>
    <xf numFmtId="11" fontId="1" fillId="0" borderId="1" xfId="0" applyNumberFormat="1" applyFont="1" applyFill="1" applyBorder="1" applyAlignment="1">
      <alignment vertical="center"/>
    </xf>
    <xf numFmtId="0" fontId="9" fillId="0" borderId="20" xfId="0" applyFont="1" applyBorder="1" applyAlignment="1"/>
    <xf numFmtId="0" fontId="5" fillId="0" borderId="20" xfId="0" applyFont="1" applyFill="1" applyBorder="1" applyAlignment="1"/>
    <xf numFmtId="11" fontId="9" fillId="0" borderId="20" xfId="0" applyNumberFormat="1" applyFont="1" applyFill="1" applyBorder="1" applyAlignment="1"/>
    <xf numFmtId="11" fontId="1" fillId="0" borderId="20" xfId="0" applyNumberFormat="1" applyFont="1" applyFill="1" applyBorder="1" applyAlignment="1">
      <alignment vertical="center"/>
    </xf>
    <xf numFmtId="11" fontId="0" fillId="0" borderId="21" xfId="0" applyNumberFormat="1" applyFont="1" applyBorder="1" applyAlignment="1"/>
    <xf numFmtId="0" fontId="10" fillId="0" borderId="1" xfId="0" applyFont="1" applyFill="1" applyBorder="1"/>
    <xf numFmtId="11" fontId="9" fillId="0" borderId="1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20" xfId="0" applyFont="1" applyBorder="1"/>
    <xf numFmtId="11" fontId="9" fillId="0" borderId="20" xfId="0" applyNumberFormat="1" applyFont="1" applyFill="1" applyBorder="1"/>
    <xf numFmtId="0" fontId="9" fillId="0" borderId="20" xfId="0" applyNumberFormat="1" applyFont="1" applyFill="1" applyBorder="1"/>
    <xf numFmtId="11" fontId="0" fillId="0" borderId="21" xfId="0" applyNumberFormat="1" applyFont="1" applyBorder="1"/>
    <xf numFmtId="0" fontId="9" fillId="0" borderId="20" xfId="0" applyFont="1" applyFill="1" applyBorder="1"/>
    <xf numFmtId="0" fontId="9" fillId="0" borderId="20" xfId="0" applyFont="1" applyFill="1" applyBorder="1" applyAlignment="1">
      <alignment vertical="center"/>
    </xf>
    <xf numFmtId="0" fontId="3" fillId="0" borderId="20" xfId="0" applyFont="1" applyBorder="1"/>
    <xf numFmtId="0" fontId="0" fillId="0" borderId="21" xfId="0" applyFont="1" applyBorder="1"/>
    <xf numFmtId="0" fontId="0" fillId="0" borderId="19" xfId="0" applyFont="1" applyBorder="1"/>
    <xf numFmtId="0" fontId="9" fillId="0" borderId="20" xfId="0" quotePrefix="1" applyNumberFormat="1" applyFont="1" applyFill="1" applyBorder="1"/>
    <xf numFmtId="0" fontId="9" fillId="0" borderId="20" xfId="0" applyFont="1" applyBorder="1"/>
    <xf numFmtId="0" fontId="13" fillId="0" borderId="20" xfId="0" applyFont="1" applyFill="1" applyBorder="1" applyAlignment="1">
      <alignment vertical="center"/>
    </xf>
    <xf numFmtId="11" fontId="17" fillId="0" borderId="20" xfId="0" applyNumberFormat="1" applyFont="1" applyFill="1" applyBorder="1" applyAlignment="1">
      <alignment vertical="center"/>
    </xf>
    <xf numFmtId="0" fontId="10" fillId="0" borderId="20" xfId="0" applyFont="1" applyFill="1" applyBorder="1"/>
    <xf numFmtId="0" fontId="0" fillId="0" borderId="21" xfId="0" applyNumberFormat="1" applyFont="1" applyBorder="1"/>
    <xf numFmtId="0" fontId="0" fillId="0" borderId="19" xfId="0" applyNumberFormat="1" applyFont="1" applyBorder="1"/>
    <xf numFmtId="0" fontId="1" fillId="0" borderId="19" xfId="0" quotePrefix="1" applyFont="1" applyFill="1" applyBorder="1" applyAlignment="1">
      <alignment vertical="center"/>
    </xf>
    <xf numFmtId="11" fontId="9" fillId="0" borderId="2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13" xfId="0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15" fillId="0" borderId="1" xfId="0" applyFont="1" applyFill="1" applyBorder="1" applyAlignment="1"/>
    <xf numFmtId="0" fontId="0" fillId="0" borderId="20" xfId="0" applyFont="1" applyFill="1" applyBorder="1" applyAlignment="1"/>
    <xf numFmtId="0" fontId="0" fillId="0" borderId="1" xfId="0" applyBorder="1" applyAlignment="1"/>
    <xf numFmtId="0" fontId="14" fillId="0" borderId="20" xfId="0" applyFont="1" applyFill="1" applyBorder="1" applyAlignment="1"/>
    <xf numFmtId="0" fontId="0" fillId="0" borderId="20" xfId="0" applyFont="1" applyBorder="1" applyAlignment="1"/>
    <xf numFmtId="0" fontId="0" fillId="0" borderId="21" xfId="0" applyBorder="1" applyAlignment="1"/>
    <xf numFmtId="0" fontId="2" fillId="0" borderId="1" xfId="0" applyFont="1" applyBorder="1" applyAlignment="1"/>
    <xf numFmtId="0" fontId="0" fillId="0" borderId="1" xfId="0" applyNumberFormat="1" applyBorder="1" applyAlignment="1"/>
    <xf numFmtId="0" fontId="0" fillId="0" borderId="20" xfId="0" applyNumberFormat="1" applyFont="1" applyBorder="1" applyAlignment="1"/>
    <xf numFmtId="0" fontId="2" fillId="0" borderId="4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14" fillId="0" borderId="1" xfId="0" applyFont="1" applyFill="1" applyBorder="1" applyAlignment="1"/>
    <xf numFmtId="11" fontId="0" fillId="0" borderId="1" xfId="0" applyNumberFormat="1" applyFont="1" applyBorder="1"/>
    <xf numFmtId="11" fontId="0" fillId="0" borderId="19" xfId="0" applyNumberFormat="1" applyFont="1" applyFill="1" applyBorder="1"/>
    <xf numFmtId="0" fontId="0" fillId="0" borderId="20" xfId="0" applyNumberFormat="1" applyFont="1" applyBorder="1"/>
    <xf numFmtId="0" fontId="0" fillId="0" borderId="21" xfId="0" applyNumberFormat="1" applyBorder="1"/>
    <xf numFmtId="0" fontId="0" fillId="0" borderId="19" xfId="0" applyFont="1" applyFill="1" applyBorder="1"/>
    <xf numFmtId="11" fontId="0" fillId="0" borderId="21" xfId="0" applyNumberFormat="1" applyBorder="1"/>
    <xf numFmtId="0" fontId="0" fillId="0" borderId="21" xfId="0" applyBorder="1"/>
    <xf numFmtId="0" fontId="0" fillId="0" borderId="1" xfId="0" applyNumberFormat="1" applyFont="1" applyBorder="1"/>
    <xf numFmtId="0" fontId="0" fillId="0" borderId="20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2" fillId="0" borderId="4" xfId="0" quotePrefix="1" applyFont="1" applyFill="1" applyBorder="1"/>
    <xf numFmtId="0" fontId="2" fillId="0" borderId="1" xfId="0" quotePrefix="1" applyFont="1" applyFill="1" applyBorder="1"/>
    <xf numFmtId="0" fontId="0" fillId="0" borderId="4" xfId="0" quotePrefix="1" applyFont="1" applyFill="1" applyBorder="1"/>
    <xf numFmtId="0" fontId="0" fillId="0" borderId="1" xfId="0" quotePrefix="1" applyFont="1" applyFill="1" applyBorder="1"/>
    <xf numFmtId="0" fontId="2" fillId="0" borderId="1" xfId="0" applyNumberFormat="1" applyFont="1" applyBorder="1"/>
    <xf numFmtId="0" fontId="0" fillId="4" borderId="37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1" fontId="0" fillId="0" borderId="39" xfId="0" applyNumberFormat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1" fontId="0" fillId="0" borderId="19" xfId="0" applyNumberFormat="1" applyBorder="1" applyAlignment="1">
      <alignment vertical="center"/>
    </xf>
    <xf numFmtId="11" fontId="0" fillId="0" borderId="4" xfId="0" applyNumberFormat="1" applyBorder="1" applyAlignment="1">
      <alignment vertical="center"/>
    </xf>
    <xf numFmtId="11" fontId="0" fillId="0" borderId="25" xfId="0" applyNumberFormat="1" applyBorder="1" applyAlignment="1">
      <alignment vertical="center"/>
    </xf>
    <xf numFmtId="0" fontId="0" fillId="3" borderId="12" xfId="0" applyFill="1" applyBorder="1" applyAlignment="1">
      <alignment wrapText="1"/>
    </xf>
    <xf numFmtId="0" fontId="0" fillId="5" borderId="12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4" borderId="44" xfId="0" applyFill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8" fillId="0" borderId="23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0" fillId="0" borderId="18" xfId="0" applyBorder="1"/>
    <xf numFmtId="0" fontId="0" fillId="0" borderId="24" xfId="0" applyBorder="1"/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0" fillId="0" borderId="18" xfId="0" applyFont="1" applyBorder="1"/>
    <xf numFmtId="0" fontId="4" fillId="0" borderId="1" xfId="0" applyFont="1" applyBorder="1"/>
    <xf numFmtId="0" fontId="0" fillId="0" borderId="8" xfId="0" applyFont="1" applyBorder="1"/>
    <xf numFmtId="0" fontId="1" fillId="0" borderId="1" xfId="0" quotePrefix="1" applyFont="1" applyFill="1" applyBorder="1" applyAlignment="1">
      <alignment vertical="center" wrapText="1"/>
    </xf>
    <xf numFmtId="0" fontId="0" fillId="0" borderId="1" xfId="0" applyFill="1" applyBorder="1"/>
    <xf numFmtId="0" fontId="13" fillId="0" borderId="1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66FFFF"/>
      <color rgb="FF9999FF"/>
      <color rgb="FFFFFFCC"/>
      <color rgb="FFFF99FF"/>
      <color rgb="FFFFCCFF"/>
      <color rgb="FF99FF99"/>
      <color rgb="FFCC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hem.sis.nlm.nih.gov/chemidplus/rn/446255-50-1" TargetMode="External"/><Relationship Id="rId18" Type="http://schemas.openxmlformats.org/officeDocument/2006/relationships/hyperlink" Target="https://en.wikipedia.org/wiki/PCB_congener_list" TargetMode="External"/><Relationship Id="rId26" Type="http://schemas.openxmlformats.org/officeDocument/2006/relationships/hyperlink" Target="http://www.accustandard.com/assets/FLAME_RETARDANT_GUIDE1.pdf" TargetMode="External"/><Relationship Id="rId39" Type="http://schemas.openxmlformats.org/officeDocument/2006/relationships/hyperlink" Target="http://www.accustandard.com/assets/FLAME_RETARDANT_GUIDE1.pdf" TargetMode="External"/><Relationship Id="rId21" Type="http://schemas.openxmlformats.org/officeDocument/2006/relationships/hyperlink" Target="http://www.accustandard.com/assets/FLAME_RETARDANT_GUIDE1.pdf" TargetMode="External"/><Relationship Id="rId34" Type="http://schemas.openxmlformats.org/officeDocument/2006/relationships/hyperlink" Target="http://www.accustandard.com/assets/FLAME_RETARDANT_GUIDE1.pdf" TargetMode="External"/><Relationship Id="rId42" Type="http://schemas.openxmlformats.org/officeDocument/2006/relationships/hyperlink" Target="http://www.accustandard.com/assets/FLAME_RETARDANT_GUIDE1.pdf" TargetMode="External"/><Relationship Id="rId47" Type="http://schemas.openxmlformats.org/officeDocument/2006/relationships/hyperlink" Target="http://www.accustandard.com/assets/FLAME_RETARDANT_GUIDE1.pdf" TargetMode="External"/><Relationship Id="rId50" Type="http://schemas.openxmlformats.org/officeDocument/2006/relationships/hyperlink" Target="http://www.accustandard.com/assets/FLAME_RETARDANT_GUIDE1.pdf" TargetMode="External"/><Relationship Id="rId55" Type="http://schemas.openxmlformats.org/officeDocument/2006/relationships/hyperlink" Target="http://www.accustandard.com/assets/FLAME_RETARDANT_GUIDE1.pdf" TargetMode="External"/><Relationship Id="rId63" Type="http://schemas.openxmlformats.org/officeDocument/2006/relationships/hyperlink" Target="http://chem.sis.nlm.nih.gov/chemidplus/rn/63387-28-0" TargetMode="External"/><Relationship Id="rId68" Type="http://schemas.openxmlformats.org/officeDocument/2006/relationships/hyperlink" Target="http://chem.sis.nlm.nih.gov/chemidplus/rn/67028-19-7" TargetMode="External"/><Relationship Id="rId76" Type="http://schemas.openxmlformats.org/officeDocument/2006/relationships/hyperlink" Target="http://chem.sis.nlm.nih.gov/chemidplus/rn/67028-18-6" TargetMode="External"/><Relationship Id="rId7" Type="http://schemas.openxmlformats.org/officeDocument/2006/relationships/hyperlink" Target="http://chem.sis.nlm.nih.gov/chemidplus/name/bde%20154" TargetMode="External"/><Relationship Id="rId71" Type="http://schemas.openxmlformats.org/officeDocument/2006/relationships/hyperlink" Target="http://chem.sis.nlm.nih.gov/chemidplus/rn/58200-67-2" TargetMode="External"/><Relationship Id="rId2" Type="http://schemas.openxmlformats.org/officeDocument/2006/relationships/hyperlink" Target="http://chem.sis.nlm.nih.gov/chemidplus/name/bde%20196" TargetMode="External"/><Relationship Id="rId16" Type="http://schemas.openxmlformats.org/officeDocument/2006/relationships/hyperlink" Target="http://chem.sis.nlm.nih.gov/chemidplus/name/bde-209" TargetMode="External"/><Relationship Id="rId29" Type="http://schemas.openxmlformats.org/officeDocument/2006/relationships/hyperlink" Target="http://www.accustandard.com/assets/FLAME_RETARDANT_GUIDE1.pdf" TargetMode="External"/><Relationship Id="rId11" Type="http://schemas.openxmlformats.org/officeDocument/2006/relationships/hyperlink" Target="http://chem.sis.nlm.nih.gov/chemidplus/rn/337513-72-1" TargetMode="External"/><Relationship Id="rId24" Type="http://schemas.openxmlformats.org/officeDocument/2006/relationships/hyperlink" Target="http://www.accustandard.com/assets/FLAME_RETARDANT_GUIDE1.pdf" TargetMode="External"/><Relationship Id="rId32" Type="http://schemas.openxmlformats.org/officeDocument/2006/relationships/hyperlink" Target="http://www.accustandard.com/assets/FLAME_RETARDANT_GUIDE1.pdf" TargetMode="External"/><Relationship Id="rId37" Type="http://schemas.openxmlformats.org/officeDocument/2006/relationships/hyperlink" Target="http://www.accustandard.com/assets/FLAME_RETARDANT_GUIDE1.pdf" TargetMode="External"/><Relationship Id="rId40" Type="http://schemas.openxmlformats.org/officeDocument/2006/relationships/hyperlink" Target="http://www.accustandard.com/assets/FLAME_RETARDANT_GUIDE1.pdf" TargetMode="External"/><Relationship Id="rId45" Type="http://schemas.openxmlformats.org/officeDocument/2006/relationships/hyperlink" Target="http://www.accustandard.com/assets/FLAME_RETARDANT_GUIDE1.pdf" TargetMode="External"/><Relationship Id="rId53" Type="http://schemas.openxmlformats.org/officeDocument/2006/relationships/hyperlink" Target="http://www.accustandard.com/assets/FLAME_RETARDANT_GUIDE1.pdf" TargetMode="External"/><Relationship Id="rId58" Type="http://schemas.openxmlformats.org/officeDocument/2006/relationships/hyperlink" Target="http://www.accustandard.com/assets/FLAME_RETARDANT_GUIDE1.pdf" TargetMode="External"/><Relationship Id="rId66" Type="http://schemas.openxmlformats.org/officeDocument/2006/relationships/hyperlink" Target="http://chem.sis.nlm.nih.gov/chemidplus/rn/50585-46-1" TargetMode="External"/><Relationship Id="rId74" Type="http://schemas.openxmlformats.org/officeDocument/2006/relationships/hyperlink" Target="http://chem.sis.nlm.nih.gov/chemidplus/rn/82291-26-7" TargetMode="External"/><Relationship Id="rId79" Type="http://schemas.openxmlformats.org/officeDocument/2006/relationships/hyperlink" Target="http://chem.sis.nlm.nih.gov/chemidplus/rn/startswith/71925-15-0" TargetMode="External"/><Relationship Id="rId5" Type="http://schemas.openxmlformats.org/officeDocument/2006/relationships/hyperlink" Target="http://chem.sis.nlm.nih.gov/chemidplus/name/bde%20155" TargetMode="External"/><Relationship Id="rId61" Type="http://schemas.openxmlformats.org/officeDocument/2006/relationships/hyperlink" Target="http://www.accustandard.com/assets/FLAME_RETARDANT_GUIDE1.pdf" TargetMode="External"/><Relationship Id="rId10" Type="http://schemas.openxmlformats.org/officeDocument/2006/relationships/hyperlink" Target="http://chem.sis.nlm.nih.gov/chemidplus/rn/446255-38-5" TargetMode="External"/><Relationship Id="rId19" Type="http://schemas.openxmlformats.org/officeDocument/2006/relationships/hyperlink" Target="https://en.wikipedia.org/wiki/PCB_congener_list" TargetMode="External"/><Relationship Id="rId31" Type="http://schemas.openxmlformats.org/officeDocument/2006/relationships/hyperlink" Target="http://www.accustandard.com/assets/FLAME_RETARDANT_GUIDE1.pdf" TargetMode="External"/><Relationship Id="rId44" Type="http://schemas.openxmlformats.org/officeDocument/2006/relationships/hyperlink" Target="http://www.accustandard.com/assets/FLAME_RETARDANT_GUIDE1.pdf" TargetMode="External"/><Relationship Id="rId52" Type="http://schemas.openxmlformats.org/officeDocument/2006/relationships/hyperlink" Target="http://www.accustandard.com/assets/FLAME_RETARDANT_GUIDE1.pdf" TargetMode="External"/><Relationship Id="rId60" Type="http://schemas.openxmlformats.org/officeDocument/2006/relationships/hyperlink" Target="http://www.accustandard.com/assets/FLAME_RETARDANT_GUIDE1.pdf" TargetMode="External"/><Relationship Id="rId65" Type="http://schemas.openxmlformats.org/officeDocument/2006/relationships/hyperlink" Target="http://chem.sis.nlm.nih.gov/chemidplus/rn/53555-02-5" TargetMode="External"/><Relationship Id="rId73" Type="http://schemas.openxmlformats.org/officeDocument/2006/relationships/hyperlink" Target="http://chem.sis.nlm.nih.gov/chemidplus/rn/19408-74-3" TargetMode="External"/><Relationship Id="rId78" Type="http://schemas.openxmlformats.org/officeDocument/2006/relationships/hyperlink" Target="http://chem.sis.nlm.nih.gov/chemidplus/rn/startswith/40581-94-0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http://chem.sis.nlm.nih.gov/chemidplus/name/bde%20197" TargetMode="External"/><Relationship Id="rId9" Type="http://schemas.openxmlformats.org/officeDocument/2006/relationships/hyperlink" Target="http://chem.sis.nlm.nih.gov/chemidplus/rn/85446-17-9" TargetMode="External"/><Relationship Id="rId14" Type="http://schemas.openxmlformats.org/officeDocument/2006/relationships/hyperlink" Target="http://chem.sis.nlm.nih.gov/chemidplus/rn/446255-54-5" TargetMode="External"/><Relationship Id="rId22" Type="http://schemas.openxmlformats.org/officeDocument/2006/relationships/hyperlink" Target="http://www.accustandard.com/assets/FLAME_RETARDANT_GUIDE1.pdf" TargetMode="External"/><Relationship Id="rId27" Type="http://schemas.openxmlformats.org/officeDocument/2006/relationships/hyperlink" Target="http://www.accustandard.com/assets/FLAME_RETARDANT_GUIDE1.pdf" TargetMode="External"/><Relationship Id="rId30" Type="http://schemas.openxmlformats.org/officeDocument/2006/relationships/hyperlink" Target="http://www.accustandard.com/assets/FLAME_RETARDANT_GUIDE1.pdf" TargetMode="External"/><Relationship Id="rId35" Type="http://schemas.openxmlformats.org/officeDocument/2006/relationships/hyperlink" Target="http://www.accustandard.com/assets/FLAME_RETARDANT_GUIDE1.pdf" TargetMode="External"/><Relationship Id="rId43" Type="http://schemas.openxmlformats.org/officeDocument/2006/relationships/hyperlink" Target="http://www.accustandard.com/assets/FLAME_RETARDANT_GUIDE1.pdf" TargetMode="External"/><Relationship Id="rId48" Type="http://schemas.openxmlformats.org/officeDocument/2006/relationships/hyperlink" Target="http://www.accustandard.com/assets/FLAME_RETARDANT_GUIDE1.pdf" TargetMode="External"/><Relationship Id="rId56" Type="http://schemas.openxmlformats.org/officeDocument/2006/relationships/hyperlink" Target="http://www.accustandard.com/assets/FLAME_RETARDANT_GUIDE1.pdf" TargetMode="External"/><Relationship Id="rId64" Type="http://schemas.openxmlformats.org/officeDocument/2006/relationships/hyperlink" Target="http://chem.sis.nlm.nih.gov/chemidplus/rn/437701-79-6" TargetMode="External"/><Relationship Id="rId69" Type="http://schemas.openxmlformats.org/officeDocument/2006/relationships/hyperlink" Target="http://chem.sis.nlm.nih.gov/chemidplus/rn/40321-76-4" TargetMode="External"/><Relationship Id="rId77" Type="http://schemas.openxmlformats.org/officeDocument/2006/relationships/hyperlink" Target="http://chem.sis.nlm.nih.gov/chemidplus/rn/startswith/67323-56-2" TargetMode="External"/><Relationship Id="rId8" Type="http://schemas.openxmlformats.org/officeDocument/2006/relationships/hyperlink" Target="http://chem.sis.nlm.nih.gov/chemidplus/name/bde%20100" TargetMode="External"/><Relationship Id="rId51" Type="http://schemas.openxmlformats.org/officeDocument/2006/relationships/hyperlink" Target="http://www.accustandard.com/assets/FLAME_RETARDANT_GUIDE1.pdf" TargetMode="External"/><Relationship Id="rId72" Type="http://schemas.openxmlformats.org/officeDocument/2006/relationships/hyperlink" Target="http://chem.sis.nlm.nih.gov/chemidplus/rn/58200-69-4" TargetMode="External"/><Relationship Id="rId80" Type="http://schemas.openxmlformats.org/officeDocument/2006/relationships/hyperlink" Target="http://chem.sis.nlm.nih.gov/chemidplus/rn/startswith/71925-16-1" TargetMode="External"/><Relationship Id="rId3" Type="http://schemas.openxmlformats.org/officeDocument/2006/relationships/hyperlink" Target="http://chem.sis.nlm.nih.gov/chemidplus/name/bde%20199" TargetMode="External"/><Relationship Id="rId12" Type="http://schemas.openxmlformats.org/officeDocument/2006/relationships/hyperlink" Target="http://chem.sis.nlm.nih.gov/chemidplus/rn/446255-46-5" TargetMode="External"/><Relationship Id="rId17" Type="http://schemas.openxmlformats.org/officeDocument/2006/relationships/hyperlink" Target="http://chem.sis.nlm.nih.gov/chemidplus/name/bde%2047" TargetMode="External"/><Relationship Id="rId25" Type="http://schemas.openxmlformats.org/officeDocument/2006/relationships/hyperlink" Target="http://www.accustandard.com/assets/FLAME_RETARDANT_GUIDE1.pdf" TargetMode="External"/><Relationship Id="rId33" Type="http://schemas.openxmlformats.org/officeDocument/2006/relationships/hyperlink" Target="http://www.accustandard.com/assets/FLAME_RETARDANT_GUIDE1.pdf" TargetMode="External"/><Relationship Id="rId38" Type="http://schemas.openxmlformats.org/officeDocument/2006/relationships/hyperlink" Target="http://www.accustandard.com/assets/FLAME_RETARDANT_GUIDE1.pdf" TargetMode="External"/><Relationship Id="rId46" Type="http://schemas.openxmlformats.org/officeDocument/2006/relationships/hyperlink" Target="http://www.accustandard.com/assets/FLAME_RETARDANT_GUIDE1.pdf" TargetMode="External"/><Relationship Id="rId59" Type="http://schemas.openxmlformats.org/officeDocument/2006/relationships/hyperlink" Target="http://www.accustandard.com/assets/FLAME_RETARDANT_GUIDE1.pdf" TargetMode="External"/><Relationship Id="rId67" Type="http://schemas.openxmlformats.org/officeDocument/2006/relationships/hyperlink" Target="http://chem.sis.nlm.nih.gov/chemidplus/rn/62470-53-5" TargetMode="External"/><Relationship Id="rId20" Type="http://schemas.openxmlformats.org/officeDocument/2006/relationships/hyperlink" Target="https://en.wikipedia.org/wiki/PCB_congener_list" TargetMode="External"/><Relationship Id="rId41" Type="http://schemas.openxmlformats.org/officeDocument/2006/relationships/hyperlink" Target="http://www.accustandard.com/assets/FLAME_RETARDANT_GUIDE1.pdf" TargetMode="External"/><Relationship Id="rId54" Type="http://schemas.openxmlformats.org/officeDocument/2006/relationships/hyperlink" Target="http://www.accustandard.com/assets/FLAME_RETARDANT_GUIDE1.pdf" TargetMode="External"/><Relationship Id="rId62" Type="http://schemas.openxmlformats.org/officeDocument/2006/relationships/hyperlink" Target="http://www.accustandard.com/assets/FLAME_RETARDANT_GUIDE1.pdf" TargetMode="External"/><Relationship Id="rId70" Type="http://schemas.openxmlformats.org/officeDocument/2006/relationships/hyperlink" Target="http://chem.sis.nlm.nih.gov/chemidplus/rn/58200-66-1" TargetMode="External"/><Relationship Id="rId75" Type="http://schemas.openxmlformats.org/officeDocument/2006/relationships/hyperlink" Target="http://chem.sis.nlm.nih.gov/chemidplus/rn/71669-23-3" TargetMode="External"/><Relationship Id="rId1" Type="http://schemas.openxmlformats.org/officeDocument/2006/relationships/hyperlink" Target="http://chem.sis.nlm.nih.gov/chemidplus/name/bde%20198" TargetMode="External"/><Relationship Id="rId6" Type="http://schemas.openxmlformats.org/officeDocument/2006/relationships/hyperlink" Target="http://chem.sis.nlm.nih.gov/chemidplus/name/bde%20153" TargetMode="External"/><Relationship Id="rId15" Type="http://schemas.openxmlformats.org/officeDocument/2006/relationships/hyperlink" Target="http://chem.sis.nlm.nih.gov/chemidplus/rn/446255-56-7" TargetMode="External"/><Relationship Id="rId23" Type="http://schemas.openxmlformats.org/officeDocument/2006/relationships/hyperlink" Target="http://www.accustandard.com/assets/FLAME_RETARDANT_GUIDE1.pdf" TargetMode="External"/><Relationship Id="rId28" Type="http://schemas.openxmlformats.org/officeDocument/2006/relationships/hyperlink" Target="http://www.accustandard.com/assets/FLAME_RETARDANT_GUIDE1.pdf" TargetMode="External"/><Relationship Id="rId36" Type="http://schemas.openxmlformats.org/officeDocument/2006/relationships/hyperlink" Target="http://www.accustandard.com/assets/FLAME_RETARDANT_GUIDE1.pdf" TargetMode="External"/><Relationship Id="rId49" Type="http://schemas.openxmlformats.org/officeDocument/2006/relationships/hyperlink" Target="http://www.accustandard.com/assets/FLAME_RETARDANT_GUIDE1.pdf" TargetMode="External"/><Relationship Id="rId57" Type="http://schemas.openxmlformats.org/officeDocument/2006/relationships/hyperlink" Target="http://www.accustandard.com/assets/FLAME_RETARDANT_GUIDE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/>
  </sheetViews>
  <sheetFormatPr defaultRowHeight="14.4" x14ac:dyDescent="0.3"/>
  <cols>
    <col min="1" max="1" width="7.88671875" bestFit="1" customWidth="1"/>
    <col min="2" max="2" width="24.5546875" bestFit="1" customWidth="1"/>
    <col min="3" max="3" width="9.77734375" customWidth="1"/>
    <col min="4" max="4" width="37.109375" bestFit="1" customWidth="1"/>
    <col min="5" max="5" width="65.6640625" customWidth="1"/>
    <col min="7" max="7" width="43.44140625" customWidth="1"/>
  </cols>
  <sheetData>
    <row r="1" spans="1:9" x14ac:dyDescent="0.3">
      <c r="A1" t="s">
        <v>3106</v>
      </c>
    </row>
    <row r="2" spans="1:9" ht="15" thickBot="1" x14ac:dyDescent="0.35"/>
    <row r="3" spans="1:9" ht="29.4" thickBot="1" x14ac:dyDescent="0.35">
      <c r="A3" s="47" t="s">
        <v>2981</v>
      </c>
      <c r="B3" s="48" t="s">
        <v>2982</v>
      </c>
      <c r="C3" s="53" t="s">
        <v>2983</v>
      </c>
      <c r="D3" s="48" t="s">
        <v>2984</v>
      </c>
      <c r="E3" s="49" t="s">
        <v>2985</v>
      </c>
    </row>
    <row r="4" spans="1:9" x14ac:dyDescent="0.3">
      <c r="A4" s="365" t="s">
        <v>2971</v>
      </c>
      <c r="B4" s="366"/>
      <c r="C4" s="367" t="s">
        <v>2875</v>
      </c>
      <c r="D4" s="366" t="s">
        <v>2974</v>
      </c>
      <c r="E4" s="368" t="s">
        <v>3110</v>
      </c>
    </row>
    <row r="5" spans="1:9" x14ac:dyDescent="0.3">
      <c r="A5" s="369" t="s">
        <v>2972</v>
      </c>
      <c r="B5" s="134" t="s">
        <v>420</v>
      </c>
      <c r="C5" s="370" t="s">
        <v>2875</v>
      </c>
      <c r="D5" s="134" t="s">
        <v>2973</v>
      </c>
      <c r="E5" s="135"/>
      <c r="I5" s="51"/>
    </row>
    <row r="6" spans="1:9" x14ac:dyDescent="0.3">
      <c r="A6" s="369" t="s">
        <v>2975</v>
      </c>
      <c r="B6" s="134" t="s">
        <v>421</v>
      </c>
      <c r="C6" s="370" t="s">
        <v>2875</v>
      </c>
      <c r="D6" s="134" t="s">
        <v>421</v>
      </c>
      <c r="E6" s="135"/>
      <c r="I6" s="51"/>
    </row>
    <row r="7" spans="1:9" ht="15" thickBot="1" x14ac:dyDescent="0.35">
      <c r="A7" s="382" t="s">
        <v>2976</v>
      </c>
      <c r="B7" s="83" t="s">
        <v>2313</v>
      </c>
      <c r="C7" s="383" t="s">
        <v>3081</v>
      </c>
      <c r="D7" s="83" t="s">
        <v>2313</v>
      </c>
      <c r="E7" s="85"/>
      <c r="I7" s="51"/>
    </row>
    <row r="8" spans="1:9" ht="28.8" x14ac:dyDescent="0.3">
      <c r="A8" s="394" t="s">
        <v>2977</v>
      </c>
      <c r="B8" s="366" t="s">
        <v>3013</v>
      </c>
      <c r="C8" s="367" t="s">
        <v>2875</v>
      </c>
      <c r="D8" s="366" t="s">
        <v>2978</v>
      </c>
      <c r="E8" s="386" t="s">
        <v>3082</v>
      </c>
      <c r="I8" s="51"/>
    </row>
    <row r="9" spans="1:9" x14ac:dyDescent="0.3">
      <c r="A9" s="395" t="s">
        <v>2979</v>
      </c>
      <c r="B9" s="134" t="s">
        <v>2882</v>
      </c>
      <c r="C9" s="370" t="s">
        <v>2875</v>
      </c>
      <c r="D9" s="134" t="s">
        <v>2980</v>
      </c>
      <c r="E9" s="135"/>
      <c r="I9" s="51"/>
    </row>
    <row r="10" spans="1:9" ht="15" thickBot="1" x14ac:dyDescent="0.35">
      <c r="A10" s="396" t="s">
        <v>2986</v>
      </c>
      <c r="B10" s="379" t="s">
        <v>2744</v>
      </c>
      <c r="C10" s="380" t="s">
        <v>2875</v>
      </c>
      <c r="D10" s="379" t="s">
        <v>3091</v>
      </c>
      <c r="E10" s="381"/>
      <c r="I10" s="51"/>
    </row>
    <row r="11" spans="1:9" x14ac:dyDescent="0.3">
      <c r="A11" s="384" t="s">
        <v>2987</v>
      </c>
      <c r="B11" s="154" t="s">
        <v>3021</v>
      </c>
      <c r="C11" s="385" t="s">
        <v>2992</v>
      </c>
      <c r="D11" s="154" t="s">
        <v>3252</v>
      </c>
      <c r="E11" s="155" t="s">
        <v>3253</v>
      </c>
      <c r="I11" s="51"/>
    </row>
    <row r="12" spans="1:9" ht="43.2" x14ac:dyDescent="0.3">
      <c r="A12" s="373" t="s">
        <v>2990</v>
      </c>
      <c r="B12" s="134" t="s">
        <v>3022</v>
      </c>
      <c r="C12" s="374" t="s">
        <v>3000</v>
      </c>
      <c r="D12" s="134" t="s">
        <v>2988</v>
      </c>
      <c r="E12" s="372" t="s">
        <v>3083</v>
      </c>
      <c r="I12" s="51"/>
    </row>
    <row r="13" spans="1:9" x14ac:dyDescent="0.3">
      <c r="A13" s="373" t="s">
        <v>2991</v>
      </c>
      <c r="B13" s="134" t="s">
        <v>2882</v>
      </c>
      <c r="C13" s="370" t="s">
        <v>2875</v>
      </c>
      <c r="D13" s="134" t="s">
        <v>2989</v>
      </c>
      <c r="E13" s="135"/>
      <c r="I13" s="51"/>
    </row>
    <row r="14" spans="1:9" ht="15" thickBot="1" x14ac:dyDescent="0.35">
      <c r="A14" s="387" t="s">
        <v>2992</v>
      </c>
      <c r="B14" s="83" t="s">
        <v>2744</v>
      </c>
      <c r="C14" s="383" t="s">
        <v>3000</v>
      </c>
      <c r="D14" s="83" t="s">
        <v>3088</v>
      </c>
      <c r="E14" s="85"/>
      <c r="I14" s="51"/>
    </row>
    <row r="15" spans="1:9" ht="28.8" x14ac:dyDescent="0.3">
      <c r="A15" s="389" t="s">
        <v>2993</v>
      </c>
      <c r="B15" s="366" t="s">
        <v>2874</v>
      </c>
      <c r="C15" s="390" t="s">
        <v>3000</v>
      </c>
      <c r="D15" s="391" t="s">
        <v>2998</v>
      </c>
      <c r="E15" s="368"/>
      <c r="I15" s="51"/>
    </row>
    <row r="16" spans="1:9" x14ac:dyDescent="0.3">
      <c r="A16" s="375" t="s">
        <v>2999</v>
      </c>
      <c r="B16" s="134" t="s">
        <v>3017</v>
      </c>
      <c r="C16" s="371" t="s">
        <v>3086</v>
      </c>
      <c r="D16" s="134" t="s">
        <v>3104</v>
      </c>
      <c r="E16" s="372" t="s">
        <v>3087</v>
      </c>
      <c r="I16" s="51"/>
    </row>
    <row r="17" spans="1:9" x14ac:dyDescent="0.3">
      <c r="A17" s="375" t="s">
        <v>3084</v>
      </c>
      <c r="B17" s="134" t="s">
        <v>3019</v>
      </c>
      <c r="C17" s="371" t="s">
        <v>3105</v>
      </c>
      <c r="D17" s="376" t="s">
        <v>3247</v>
      </c>
      <c r="E17" s="135" t="s">
        <v>3240</v>
      </c>
      <c r="I17" s="51"/>
    </row>
    <row r="18" spans="1:9" ht="28.8" x14ac:dyDescent="0.3">
      <c r="A18" s="375" t="s">
        <v>3085</v>
      </c>
      <c r="B18" s="134" t="s">
        <v>2891</v>
      </c>
      <c r="C18" s="371" t="s">
        <v>3243</v>
      </c>
      <c r="D18" s="134" t="s">
        <v>3242</v>
      </c>
      <c r="E18" s="372" t="s">
        <v>3244</v>
      </c>
      <c r="I18" s="51"/>
    </row>
    <row r="19" spans="1:9" ht="43.2" x14ac:dyDescent="0.3">
      <c r="A19" s="375" t="s">
        <v>3092</v>
      </c>
      <c r="B19" s="134" t="s">
        <v>3007</v>
      </c>
      <c r="C19" s="374" t="s">
        <v>3000</v>
      </c>
      <c r="D19" s="376" t="s">
        <v>3246</v>
      </c>
      <c r="E19" s="372" t="s">
        <v>3244</v>
      </c>
      <c r="I19" s="51"/>
    </row>
    <row r="20" spans="1:9" ht="43.2" x14ac:dyDescent="0.3">
      <c r="A20" s="375" t="s">
        <v>3095</v>
      </c>
      <c r="B20" s="134" t="s">
        <v>3023</v>
      </c>
      <c r="C20" s="371" t="s">
        <v>3105</v>
      </c>
      <c r="D20" s="376" t="s">
        <v>3250</v>
      </c>
      <c r="E20" s="372" t="s">
        <v>3082</v>
      </c>
      <c r="I20" s="51"/>
    </row>
    <row r="21" spans="1:9" x14ac:dyDescent="0.3">
      <c r="A21" s="375" t="s">
        <v>3096</v>
      </c>
      <c r="B21" s="134" t="s">
        <v>2882</v>
      </c>
      <c r="C21" s="370" t="s">
        <v>2875</v>
      </c>
      <c r="D21" s="134" t="s">
        <v>2994</v>
      </c>
      <c r="E21" s="135"/>
      <c r="I21" s="51"/>
    </row>
    <row r="22" spans="1:9" ht="15" thickBot="1" x14ac:dyDescent="0.35">
      <c r="A22" s="392" t="s">
        <v>3093</v>
      </c>
      <c r="B22" s="379" t="s">
        <v>2744</v>
      </c>
      <c r="C22" s="380" t="s">
        <v>3105</v>
      </c>
      <c r="D22" s="379" t="s">
        <v>3108</v>
      </c>
      <c r="E22" s="393"/>
      <c r="I22" s="51"/>
    </row>
    <row r="23" spans="1:9" x14ac:dyDescent="0.3">
      <c r="A23" s="388" t="s">
        <v>3097</v>
      </c>
      <c r="B23" s="154" t="s">
        <v>3032</v>
      </c>
      <c r="C23" s="385"/>
      <c r="D23" s="154" t="s">
        <v>3089</v>
      </c>
      <c r="E23" s="155" t="s">
        <v>3090</v>
      </c>
      <c r="I23" s="51"/>
    </row>
    <row r="24" spans="1:9" ht="28.8" x14ac:dyDescent="0.3">
      <c r="A24" s="377" t="s">
        <v>3098</v>
      </c>
      <c r="B24" s="134" t="s">
        <v>3031</v>
      </c>
      <c r="C24" s="370" t="s">
        <v>2875</v>
      </c>
      <c r="D24" s="376" t="s">
        <v>3249</v>
      </c>
      <c r="E24" s="135" t="s">
        <v>3090</v>
      </c>
      <c r="I24" s="51"/>
    </row>
    <row r="25" spans="1:9" x14ac:dyDescent="0.3">
      <c r="A25" s="377" t="s">
        <v>3094</v>
      </c>
      <c r="B25" s="134" t="s">
        <v>2892</v>
      </c>
      <c r="C25" s="371" t="s">
        <v>3001</v>
      </c>
      <c r="D25" s="134" t="s">
        <v>3248</v>
      </c>
      <c r="E25" s="135" t="s">
        <v>3241</v>
      </c>
      <c r="I25" s="51"/>
    </row>
    <row r="26" spans="1:9" ht="28.8" x14ac:dyDescent="0.3">
      <c r="A26" s="377" t="s">
        <v>3099</v>
      </c>
      <c r="B26" s="134" t="s">
        <v>2891</v>
      </c>
      <c r="C26" s="371" t="s">
        <v>3243</v>
      </c>
      <c r="D26" s="134" t="s">
        <v>3242</v>
      </c>
      <c r="E26" s="372" t="s">
        <v>3245</v>
      </c>
      <c r="I26" s="51"/>
    </row>
    <row r="27" spans="1:9" ht="43.2" x14ac:dyDescent="0.3">
      <c r="A27" s="377" t="s">
        <v>3100</v>
      </c>
      <c r="B27" s="134" t="s">
        <v>3007</v>
      </c>
      <c r="C27" s="374" t="s">
        <v>3000</v>
      </c>
      <c r="D27" s="376" t="s">
        <v>3246</v>
      </c>
      <c r="E27" s="372" t="s">
        <v>3245</v>
      </c>
      <c r="I27" s="51"/>
    </row>
    <row r="28" spans="1:9" ht="43.2" x14ac:dyDescent="0.3">
      <c r="A28" s="377" t="s">
        <v>3101</v>
      </c>
      <c r="B28" s="134" t="s">
        <v>3029</v>
      </c>
      <c r="C28" s="371" t="s">
        <v>3001</v>
      </c>
      <c r="D28" s="376" t="s">
        <v>3251</v>
      </c>
      <c r="E28" s="372" t="s">
        <v>3082</v>
      </c>
      <c r="I28" s="51"/>
    </row>
    <row r="29" spans="1:9" x14ac:dyDescent="0.3">
      <c r="A29" s="377" t="s">
        <v>3102</v>
      </c>
      <c r="B29" s="134" t="s">
        <v>2882</v>
      </c>
      <c r="C29" s="370" t="s">
        <v>2875</v>
      </c>
      <c r="D29" s="134" t="s">
        <v>2995</v>
      </c>
      <c r="E29" s="135"/>
      <c r="I29" s="51"/>
    </row>
    <row r="30" spans="1:9" ht="15" thickBot="1" x14ac:dyDescent="0.35">
      <c r="A30" s="378" t="s">
        <v>3103</v>
      </c>
      <c r="B30" s="379" t="s">
        <v>2744</v>
      </c>
      <c r="C30" s="380" t="s">
        <v>3001</v>
      </c>
      <c r="D30" s="379" t="s">
        <v>3109</v>
      </c>
      <c r="E30" s="381"/>
    </row>
    <row r="32" spans="1:9" x14ac:dyDescent="0.3">
      <c r="A32" t="s">
        <v>3107</v>
      </c>
    </row>
    <row r="33" spans="1:5" ht="15" thickBot="1" x14ac:dyDescent="0.35"/>
    <row r="34" spans="1:5" ht="29.4" thickBot="1" x14ac:dyDescent="0.35">
      <c r="A34" s="47" t="s">
        <v>2981</v>
      </c>
      <c r="B34" s="48" t="s">
        <v>2982</v>
      </c>
      <c r="C34" s="53" t="s">
        <v>2983</v>
      </c>
      <c r="D34" s="48" t="s">
        <v>2984</v>
      </c>
      <c r="E34" s="49" t="s">
        <v>2985</v>
      </c>
    </row>
    <row r="35" spans="1:5" x14ac:dyDescent="0.3">
      <c r="A35" s="365" t="s">
        <v>2971</v>
      </c>
      <c r="B35" s="366"/>
      <c r="C35" s="367" t="s">
        <v>2875</v>
      </c>
      <c r="D35" s="366" t="s">
        <v>2974</v>
      </c>
      <c r="E35" s="368" t="s">
        <v>3110</v>
      </c>
    </row>
    <row r="36" spans="1:5" x14ac:dyDescent="0.3">
      <c r="A36" s="369" t="s">
        <v>2972</v>
      </c>
      <c r="B36" s="134" t="s">
        <v>420</v>
      </c>
      <c r="C36" s="370" t="s">
        <v>2875</v>
      </c>
      <c r="D36" s="134" t="s">
        <v>2973</v>
      </c>
      <c r="E36" s="135"/>
    </row>
    <row r="37" spans="1:5" x14ac:dyDescent="0.3">
      <c r="A37" s="369" t="s">
        <v>2975</v>
      </c>
      <c r="B37" s="134" t="s">
        <v>421</v>
      </c>
      <c r="C37" s="370" t="s">
        <v>2875</v>
      </c>
      <c r="D37" s="134" t="s">
        <v>421</v>
      </c>
      <c r="E37" s="135"/>
    </row>
    <row r="38" spans="1:5" ht="28.8" x14ac:dyDescent="0.3">
      <c r="A38" s="395" t="s">
        <v>2976</v>
      </c>
      <c r="B38" s="134" t="s">
        <v>3013</v>
      </c>
      <c r="C38" s="370" t="s">
        <v>2875</v>
      </c>
      <c r="D38" s="134" t="s">
        <v>3091</v>
      </c>
      <c r="E38" s="372" t="s">
        <v>3254</v>
      </c>
    </row>
    <row r="39" spans="1:5" ht="28.8" x14ac:dyDescent="0.3">
      <c r="A39" s="373" t="s">
        <v>2977</v>
      </c>
      <c r="B39" s="134" t="s">
        <v>3007</v>
      </c>
      <c r="C39" s="371" t="s">
        <v>3000</v>
      </c>
      <c r="D39" s="134" t="s">
        <v>3088</v>
      </c>
      <c r="E39" s="372" t="s">
        <v>3255</v>
      </c>
    </row>
    <row r="40" spans="1:5" ht="28.8" x14ac:dyDescent="0.3">
      <c r="A40" s="375" t="s">
        <v>2979</v>
      </c>
      <c r="B40" s="134" t="s">
        <v>3111</v>
      </c>
      <c r="C40" s="371" t="s">
        <v>3105</v>
      </c>
      <c r="D40" s="134" t="s">
        <v>3108</v>
      </c>
      <c r="E40" s="372" t="s">
        <v>3256</v>
      </c>
    </row>
    <row r="41" spans="1:5" ht="29.4" thickBot="1" x14ac:dyDescent="0.35">
      <c r="A41" s="378" t="s">
        <v>2986</v>
      </c>
      <c r="B41" s="379" t="s">
        <v>3112</v>
      </c>
      <c r="C41" s="380" t="s">
        <v>3001</v>
      </c>
      <c r="D41" s="379" t="s">
        <v>3109</v>
      </c>
      <c r="E41" s="393" t="s">
        <v>3257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4.4" x14ac:dyDescent="0.3"/>
  <cols>
    <col min="1" max="1" width="6.6640625" customWidth="1"/>
    <col min="2" max="2" width="31.6640625" bestFit="1" customWidth="1"/>
    <col min="3" max="3" width="11.6640625" customWidth="1"/>
    <col min="4" max="7" width="10" customWidth="1"/>
  </cols>
  <sheetData>
    <row r="1" spans="1:7" x14ac:dyDescent="0.3">
      <c r="A1" s="9" t="s">
        <v>3115</v>
      </c>
    </row>
    <row r="2" spans="1:7" ht="15" thickBot="1" x14ac:dyDescent="0.35"/>
    <row r="3" spans="1:7" ht="28.8" x14ac:dyDescent="0.3">
      <c r="A3" s="397"/>
      <c r="B3" s="398" t="s">
        <v>420</v>
      </c>
      <c r="C3" s="399" t="s">
        <v>421</v>
      </c>
      <c r="D3" s="399" t="s">
        <v>3013</v>
      </c>
      <c r="E3" s="400" t="s">
        <v>3007</v>
      </c>
      <c r="F3" s="400" t="s">
        <v>3111</v>
      </c>
      <c r="G3" s="401" t="s">
        <v>3112</v>
      </c>
    </row>
    <row r="4" spans="1:7" ht="15" thickBot="1" x14ac:dyDescent="0.35">
      <c r="A4" s="42"/>
      <c r="B4" s="174"/>
      <c r="C4" s="402"/>
      <c r="D4" s="402"/>
      <c r="E4" s="29" t="s">
        <v>3000</v>
      </c>
      <c r="F4" s="29" t="s">
        <v>3105</v>
      </c>
      <c r="G4" s="38" t="s">
        <v>3001</v>
      </c>
    </row>
    <row r="5" spans="1:7" x14ac:dyDescent="0.3">
      <c r="A5" s="397"/>
      <c r="B5" s="403" t="s">
        <v>2960</v>
      </c>
      <c r="C5" s="409" t="s">
        <v>2964</v>
      </c>
      <c r="D5" s="405">
        <f>IF(ISNUMBER(INDEX(PAHs!$G$4:$G$66,MATCH($B5,PAHs!$B$4:$B$66,0))),INDEX(PAHs!$G$4:$G$66,MATCH($B5,PAHs!$B$4:$B$66,0)),"---")</f>
        <v>3.83</v>
      </c>
      <c r="E5" s="405">
        <f>IF(ISNUMBER(INDEX(PAHs!$K$4:$K$66,MATCH($B5,PAHs!$B$4:$B$66,0))),INDEX(PAHs!$K$4:$K$66,MATCH($B5,PAHs!$B$4:$B$66,0)),"---")</f>
        <v>93.850000000000023</v>
      </c>
      <c r="F5" s="405">
        <f>IF(ISNUMBER(INDEX(PAHs!$S$4:$S$66,MATCH($B5,PAHs!$B$4:$B$66,0))),INDEX(PAHs!$S$4:$S$66,MATCH($B5,PAHs!$B$4:$B$66,0)),"---")</f>
        <v>2.0580509694856988E-3</v>
      </c>
      <c r="G5" s="406">
        <f>IF(ISNUMBER(INDEX(PAHs!$AA$4:$AA$66,MATCH($B5,PAHs!$B$4:$B$66,0))),INDEX(PAHs!$AA$4:$AA$66,MATCH($B5,PAHs!$B$4:$B$66,0)),"---")</f>
        <v>3.93</v>
      </c>
    </row>
    <row r="6" spans="1:7" x14ac:dyDescent="0.3">
      <c r="A6" s="39"/>
      <c r="B6" s="25" t="s">
        <v>2961</v>
      </c>
      <c r="C6" s="40" t="s">
        <v>2965</v>
      </c>
      <c r="D6" s="15" t="str">
        <f>IF(ISNUMBER(INDEX(PAHs!$G$4:$G$66,MATCH($B6,PAHs!$B$4:$B$66,0))),INDEX(PAHs!$G$4:$G$66,MATCH($B6,PAHs!$B$4:$B$66,0)),"---")</f>
        <v>---</v>
      </c>
      <c r="E6" s="15">
        <f>IF(ISNUMBER(INDEX(PAHs!$K$4:$K$66,MATCH($B6,PAHs!$B$4:$B$66,0))),INDEX(PAHs!$K$4:$K$66,MATCH($B6,PAHs!$B$4:$B$66,0)),"---")</f>
        <v>91.350000000000023</v>
      </c>
      <c r="F6" s="15">
        <f>IF(ISNUMBER(INDEX(PAHs!$S$4:$S$66,MATCH($B6,PAHs!$B$4:$B$66,0))),INDEX(PAHs!$S$4:$S$66,MATCH($B6,PAHs!$B$4:$B$66,0)),"---")</f>
        <v>1.0060352829112378E-2</v>
      </c>
      <c r="G6" s="37" t="str">
        <f>IF(ISNUMBER(INDEX(PAHs!$AA$4:$AA$66,MATCH($B6,PAHs!$B$4:$B$66,0))),INDEX(PAHs!$AA$4:$AA$66,MATCH($B6,PAHs!$B$4:$B$66,0)),"---")</f>
        <v>---</v>
      </c>
    </row>
    <row r="7" spans="1:7" x14ac:dyDescent="0.3">
      <c r="A7" s="39"/>
      <c r="B7" s="25" t="s">
        <v>2956</v>
      </c>
      <c r="C7" s="40" t="s">
        <v>2966</v>
      </c>
      <c r="D7" s="15">
        <f>IF(ISNUMBER(INDEX(PAHs!$G$4:$G$66,MATCH($B7,PAHs!$B$4:$B$66,0))),INDEX(PAHs!$G$4:$G$66,MATCH($B7,PAHs!$B$4:$B$66,0)),"---")</f>
        <v>4.68</v>
      </c>
      <c r="E7" s="15">
        <f>IF(ISNUMBER(INDEX(PAHs!$K$4:$K$66,MATCH($B7,PAHs!$B$4:$B$66,0))),INDEX(PAHs!$K$4:$K$66,MATCH($B7,PAHs!$B$4:$B$66,0)),"---")</f>
        <v>216.85000000000002</v>
      </c>
      <c r="F7" s="15">
        <f>IF(ISNUMBER(INDEX(PAHs!$S$4:$S$66,MATCH($B7,PAHs!$B$4:$B$66,0))),INDEX(PAHs!$S$4:$S$66,MATCH($B7,PAHs!$B$4:$B$66,0)),"---")</f>
        <v>6.0434198804491466E-6</v>
      </c>
      <c r="G7" s="37">
        <f>IF(ISNUMBER(INDEX(PAHs!$AA$4:$AA$66,MATCH($B7,PAHs!$B$4:$B$66,0))),INDEX(PAHs!$AA$4:$AA$66,MATCH($B7,PAHs!$B$4:$B$66,0)),"---")</f>
        <v>9.2999999999999999E-2</v>
      </c>
    </row>
    <row r="8" spans="1:7" x14ac:dyDescent="0.3">
      <c r="A8" s="39"/>
      <c r="B8" s="25" t="s">
        <v>2915</v>
      </c>
      <c r="C8" s="15" t="s">
        <v>2921</v>
      </c>
      <c r="D8" s="15">
        <f>IF(ISNUMBER(INDEX(PAHs!$G$4:$G$66,MATCH($B8,PAHs!$B$4:$B$66,0))),INDEX(PAHs!$G$4:$G$66,MATCH($B8,PAHs!$B$4:$B$66,0)),"---")</f>
        <v>5.91</v>
      </c>
      <c r="E8" s="15">
        <f>IF(ISNUMBER(INDEX(PAHs!$K$4:$K$66,MATCH($B8,PAHs!$B$4:$B$66,0))),INDEX(PAHs!$K$4:$K$66,MATCH($B8,PAHs!$B$4:$B$66,0)),"---")</f>
        <v>158.85000000000002</v>
      </c>
      <c r="F8" s="15">
        <f>IF(ISNUMBER(INDEX(PAHs!$S$4:$S$66,MATCH($B8,PAHs!$B$4:$B$66,0))),INDEX(PAHs!$S$4:$S$66,MATCH($B8,PAHs!$B$4:$B$66,0)),"---")</f>
        <v>2.1001726866991639E-7</v>
      </c>
      <c r="G8" s="37">
        <f>IF(ISNUMBER(INDEX(PAHs!$AA$4:$AA$66,MATCH($B8,PAHs!$B$4:$B$66,0))),INDEX(PAHs!$AA$4:$AA$66,MATCH($B8,PAHs!$B$4:$B$66,0)),"---")</f>
        <v>1.2999999999999999E-2</v>
      </c>
    </row>
    <row r="9" spans="1:7" x14ac:dyDescent="0.3">
      <c r="A9" s="39"/>
      <c r="B9" s="25" t="s">
        <v>2916</v>
      </c>
      <c r="C9" s="15" t="s">
        <v>2922</v>
      </c>
      <c r="D9" s="15" t="str">
        <f>IF(ISNUMBER(INDEX(PAHs!$G$4:$G$66,MATCH($B9,PAHs!$B$4:$B$66,0))),INDEX(PAHs!$G$4:$G$66,MATCH($B9,PAHs!$B$4:$B$66,0)),"---")</f>
        <v>---</v>
      </c>
      <c r="E9" s="15">
        <f>IF(ISNUMBER(INDEX(PAHs!$K$4:$K$66,MATCH($B9,PAHs!$B$4:$B$66,0))),INDEX(PAHs!$K$4:$K$66,MATCH($B9,PAHs!$B$4:$B$66,0)),"---")</f>
        <v>168</v>
      </c>
      <c r="F9" s="15">
        <f>IF(ISNUMBER(INDEX(PAHs!$S$4:$S$66,MATCH($B9,PAHs!$B$4:$B$66,0))),INDEX(PAHs!$S$4:$S$66,MATCH($B9,PAHs!$B$4:$B$66,0)),"---")</f>
        <v>6.3005180600974912E-9</v>
      </c>
      <c r="G9" s="37" t="str">
        <f>IF(ISNUMBER(INDEX(PAHs!$AA$4:$AA$66,MATCH($B9,PAHs!$B$4:$B$66,0))),INDEX(PAHs!$AA$4:$AA$66,MATCH($B9,PAHs!$B$4:$B$66,0)),"---")</f>
        <v>---</v>
      </c>
    </row>
    <row r="10" spans="1:7" x14ac:dyDescent="0.3">
      <c r="A10" s="39"/>
      <c r="B10" s="25" t="s">
        <v>2917</v>
      </c>
      <c r="C10" s="15" t="s">
        <v>2923</v>
      </c>
      <c r="D10" s="15">
        <f>IF(ISNUMBER(INDEX(PAHs!$G$4:$G$66,MATCH($B10,PAHs!$B$4:$B$66,0))),INDEX(PAHs!$G$4:$G$66,MATCH($B10,PAHs!$B$4:$B$66,0)),"---")</f>
        <v>6.11</v>
      </c>
      <c r="E10" s="15">
        <f>IF(ISNUMBER(INDEX(PAHs!$K$4:$K$66,MATCH($B10,PAHs!$B$4:$B$66,0))),INDEX(PAHs!$K$4:$K$66,MATCH($B10,PAHs!$B$4:$B$66,0)),"---")</f>
        <v>216.85000000000002</v>
      </c>
      <c r="F10" s="15">
        <f>IF(ISNUMBER(INDEX(PAHs!$S$4:$S$66,MATCH($B10,PAHs!$B$4:$B$66,0))),INDEX(PAHs!$S$4:$S$66,MATCH($B10,PAHs!$B$4:$B$66,0)),"---")</f>
        <v>1.8526523343381907E-9</v>
      </c>
      <c r="G10" s="37">
        <f>IF(ISNUMBER(INDEX(PAHs!$AA$4:$AA$66,MATCH($B10,PAHs!$B$4:$B$66,0))),INDEX(PAHs!$AA$4:$AA$66,MATCH($B10,PAHs!$B$4:$B$66,0)),"---")</f>
        <v>1.09E-3</v>
      </c>
    </row>
    <row r="11" spans="1:7" x14ac:dyDescent="0.3">
      <c r="A11" s="39"/>
      <c r="B11" s="25" t="s">
        <v>2918</v>
      </c>
      <c r="C11" s="15" t="s">
        <v>2924</v>
      </c>
      <c r="D11" s="15">
        <f>IF(ISNUMBER(INDEX(PAHs!$G$4:$G$66,MATCH($B11,PAHs!$B$4:$B$66,0))),INDEX(PAHs!$G$4:$G$66,MATCH($B11,PAHs!$B$4:$B$66,0)),"---")</f>
        <v>6.22</v>
      </c>
      <c r="E11" s="15">
        <f>IF(ISNUMBER(INDEX(PAHs!$K$4:$K$66,MATCH($B11,PAHs!$B$4:$B$66,0))),INDEX(PAHs!$K$4:$K$66,MATCH($B11,PAHs!$B$4:$B$66,0)),"---")</f>
        <v>279.85000000000002</v>
      </c>
      <c r="F11" s="15">
        <f>IF(ISNUMBER(INDEX(PAHs!$S$4:$S$66,MATCH($B11,PAHs!$B$4:$B$66,0))),INDEX(PAHs!$S$4:$S$66,MATCH($B11,PAHs!$B$4:$B$66,0)),"---")</f>
        <v>7.028077883703988E-11</v>
      </c>
      <c r="G11" s="37">
        <f>IF(ISNUMBER(INDEX(PAHs!$AA$4:$AA$66,MATCH($B11,PAHs!$B$4:$B$66,0))),INDEX(PAHs!$AA$4:$AA$66,MATCH($B11,PAHs!$B$4:$B$66,0)),"---")</f>
        <v>1.3700000000000002E-4</v>
      </c>
    </row>
    <row r="12" spans="1:7" x14ac:dyDescent="0.3">
      <c r="A12" s="39"/>
      <c r="B12" s="25" t="s">
        <v>2919</v>
      </c>
      <c r="C12" s="15" t="s">
        <v>2925</v>
      </c>
      <c r="D12" s="15">
        <f>IF(ISNUMBER(INDEX(PAHs!$G$4:$G$66,MATCH($B12,PAHs!$B$4:$B$66,0))),INDEX(PAHs!$G$4:$G$66,MATCH($B12,PAHs!$B$4:$B$66,0)),"---")</f>
        <v>6.13</v>
      </c>
      <c r="E12" s="15">
        <f>IF(ISNUMBER(INDEX(PAHs!$K$4:$K$66,MATCH($B12,PAHs!$B$4:$B$66,0))),INDEX(PAHs!$K$4:$K$66,MATCH($B12,PAHs!$B$4:$B$66,0)),"---")</f>
        <v>176.85000000000002</v>
      </c>
      <c r="F12" s="15">
        <f>IF(ISNUMBER(INDEX(PAHs!$S$4:$S$66,MATCH($B12,PAHs!$B$4:$B$66,0))),INDEX(PAHs!$S$4:$S$66,MATCH($B12,PAHs!$B$4:$B$66,0)),"---")</f>
        <v>1.0922895589638654E-8</v>
      </c>
      <c r="G12" s="37">
        <f>IF(ISNUMBER(INDEX(PAHs!$AA$4:$AA$66,MATCH($B12,PAHs!$B$4:$B$66,0))),INDEX(PAHs!$AA$4:$AA$66,MATCH($B12,PAHs!$B$4:$B$66,0)),"---")</f>
        <v>1.82E-3</v>
      </c>
    </row>
    <row r="13" spans="1:7" x14ac:dyDescent="0.3">
      <c r="A13" s="39"/>
      <c r="B13" s="25" t="s">
        <v>2926</v>
      </c>
      <c r="C13" s="15" t="s">
        <v>2927</v>
      </c>
      <c r="D13" s="15">
        <f>IF(ISNUMBER(INDEX(PAHs!$G$4:$G$66,MATCH($B13,PAHs!$B$4:$B$66,0))),INDEX(PAHs!$G$4:$G$66,MATCH($B13,PAHs!$B$4:$B$66,0)),"---")</f>
        <v>5.81</v>
      </c>
      <c r="E13" s="15">
        <f>IF(ISNUMBER(INDEX(PAHs!$K$4:$K$66,MATCH($B13,PAHs!$B$4:$B$66,0))),INDEX(PAHs!$K$4:$K$66,MATCH($B13,PAHs!$B$4:$B$66,0)),"---")</f>
        <v>258.25</v>
      </c>
      <c r="F13" s="15">
        <f>IF(ISNUMBER(INDEX(PAHs!$S$4:$S$66,MATCH($B13,PAHs!$B$4:$B$66,0))),INDEX(PAHs!$S$4:$S$66,MATCH($B13,PAHs!$B$4:$B$66,0)),"---")</f>
        <v>9.4231685732746235E-9</v>
      </c>
      <c r="G13" s="37">
        <f>IF(ISNUMBER(INDEX(PAHs!$AA$4:$AA$66,MATCH($B13,PAHs!$B$4:$B$66,0))),INDEX(PAHs!$AA$4:$AA$66,MATCH($B13,PAHs!$B$4:$B$66,0)),"---")</f>
        <v>1.5E-3</v>
      </c>
    </row>
    <row r="14" spans="1:7" x14ac:dyDescent="0.3">
      <c r="A14" s="39"/>
      <c r="B14" s="25" t="s">
        <v>2928</v>
      </c>
      <c r="C14" s="15" t="s">
        <v>2929</v>
      </c>
      <c r="D14" s="15" t="str">
        <f>IF(ISNUMBER(INDEX(PAHs!$G$4:$G$66,MATCH($B14,PAHs!$B$4:$B$66,0))),INDEX(PAHs!$G$4:$G$66,MATCH($B14,PAHs!$B$4:$B$66,0)),"---")</f>
        <v>---</v>
      </c>
      <c r="E14" s="15">
        <f>IF(ISNUMBER(INDEX(PAHs!$K$4:$K$66,MATCH($B14,PAHs!$B$4:$B$66,0))),INDEX(PAHs!$K$4:$K$66,MATCH($B14,PAHs!$B$4:$B$66,0)),"---")</f>
        <v>271.05000000000007</v>
      </c>
      <c r="F14" s="15">
        <f>IF(ISNUMBER(INDEX(PAHs!$S$4:$S$66,MATCH($B14,PAHs!$B$4:$B$66,0))),INDEX(PAHs!$S$4:$S$66,MATCH($B14,PAHs!$B$4:$B$66,0)),"---")</f>
        <v>2.3026893386308688E-11</v>
      </c>
      <c r="G14" s="37" t="str">
        <f>IF(ISNUMBER(INDEX(PAHs!$AA$4:$AA$66,MATCH($B14,PAHs!$B$4:$B$66,0))),INDEX(PAHs!$AA$4:$AA$66,MATCH($B14,PAHs!$B$4:$B$66,0)),"---")</f>
        <v>---</v>
      </c>
    </row>
    <row r="15" spans="1:7" x14ac:dyDescent="0.3">
      <c r="A15" s="39"/>
      <c r="B15" s="25" t="s">
        <v>2930</v>
      </c>
      <c r="C15" s="15" t="s">
        <v>2931</v>
      </c>
      <c r="D15" s="15" t="str">
        <f>IF(ISNUMBER(INDEX(PAHs!$G$4:$G$66,MATCH($B15,PAHs!$B$4:$B$66,0))),INDEX(PAHs!$G$4:$G$66,MATCH($B15,PAHs!$B$4:$B$66,0)),"---")</f>
        <v>---</v>
      </c>
      <c r="E15" s="15" t="str">
        <f>IF(ISNUMBER(INDEX(PAHs!$K$4:$K$66,MATCH($B15,PAHs!$B$4:$B$66,0))),INDEX(PAHs!$K$4:$K$66,MATCH($B15,PAHs!$B$4:$B$66,0)),"---")</f>
        <v>---</v>
      </c>
      <c r="F15" s="15" t="str">
        <f>IF(ISNUMBER(INDEX(PAHs!$S$4:$S$66,MATCH($B15,PAHs!$B$4:$B$66,0))),INDEX(PAHs!$S$4:$S$66,MATCH($B15,PAHs!$B$4:$B$66,0)),"---")</f>
        <v>---</v>
      </c>
      <c r="G15" s="37">
        <f>IF(ISNUMBER(INDEX(PAHs!$AA$4:$AA$66,MATCH($B15,PAHs!$B$4:$B$66,0))),INDEX(PAHs!$AA$4:$AA$66,MATCH($B15,PAHs!$B$4:$B$66,0)),"---")</f>
        <v>6.0999999999999999E-2</v>
      </c>
    </row>
    <row r="16" spans="1:7" x14ac:dyDescent="0.3">
      <c r="A16" s="39"/>
      <c r="B16" s="25" t="s">
        <v>2932</v>
      </c>
      <c r="C16" s="15" t="s">
        <v>2933</v>
      </c>
      <c r="D16" s="15">
        <f>IF(ISNUMBER(INDEX(PAHs!$G$4:$G$66,MATCH($B16,PAHs!$B$4:$B$66,0))),INDEX(PAHs!$G$4:$G$66,MATCH($B16,PAHs!$B$4:$B$66,0)),"---")</f>
        <v>5.1557500000000003</v>
      </c>
      <c r="E16" s="15">
        <f>IF(ISNUMBER(INDEX(PAHs!$K$4:$K$66,MATCH($B16,PAHs!$B$4:$B$66,0))),INDEX(PAHs!$K$4:$K$66,MATCH($B16,PAHs!$B$4:$B$66,0)),"---")</f>
        <v>107.85000000000002</v>
      </c>
      <c r="F16" s="15">
        <f>IF(ISNUMBER(INDEX(PAHs!$S$4:$S$66,MATCH($B16,PAHs!$B$4:$B$66,0))),INDEX(PAHs!$S$4:$S$66,MATCH($B16,PAHs!$B$4:$B$66,0)),"---")</f>
        <v>8.4343968054273148E-6</v>
      </c>
      <c r="G16" s="37">
        <f>IF(ISNUMBER(INDEX(PAHs!$AA$4:$AA$66,MATCH($B16,PAHs!$B$4:$B$66,0))),INDEX(PAHs!$AA$4:$AA$66,MATCH($B16,PAHs!$B$4:$B$66,0)),"---")</f>
        <v>0.20699999999999999</v>
      </c>
    </row>
    <row r="17" spans="1:7" x14ac:dyDescent="0.3">
      <c r="A17" s="39"/>
      <c r="B17" s="25" t="s">
        <v>2934</v>
      </c>
      <c r="C17" s="15" t="s">
        <v>2935</v>
      </c>
      <c r="D17" s="15" t="str">
        <f>IF(ISNUMBER(INDEX(PAHs!$G$4:$G$66,MATCH($B17,PAHs!$B$4:$B$66,0))),INDEX(PAHs!$G$4:$G$66,MATCH($B17,PAHs!$B$4:$B$66,0)),"---")</f>
        <v>---</v>
      </c>
      <c r="E17" s="15">
        <f>IF(ISNUMBER(INDEX(PAHs!$K$4:$K$66,MATCH($B17,PAHs!$B$4:$B$66,0))),INDEX(PAHs!$K$4:$K$66,MATCH($B17,PAHs!$B$4:$B$66,0)),"---")</f>
        <v>163.20000000000005</v>
      </c>
      <c r="F17" s="15">
        <f>IF(ISNUMBER(INDEX(PAHs!$S$4:$S$66,MATCH($B17,PAHs!$B$4:$B$66,0))),INDEX(PAHs!$S$4:$S$66,MATCH($B17,PAHs!$B$4:$B$66,0)),"---")</f>
        <v>4.830397179408076E-10</v>
      </c>
      <c r="G17" s="37" t="str">
        <f>IF(ISNUMBER(INDEX(PAHs!$AA$4:$AA$66,MATCH($B17,PAHs!$B$4:$B$66,0))),INDEX(PAHs!$AA$4:$AA$66,MATCH($B17,PAHs!$B$4:$B$66,0)),"---")</f>
        <v>---</v>
      </c>
    </row>
    <row r="18" spans="1:7" x14ac:dyDescent="0.3">
      <c r="A18" s="39"/>
      <c r="B18" s="25" t="s">
        <v>2936</v>
      </c>
      <c r="C18" s="15" t="s">
        <v>2937</v>
      </c>
      <c r="D18" s="15" t="str">
        <f>IF(ISNUMBER(INDEX(PAHs!$G$4:$G$66,MATCH($B18,PAHs!$B$4:$B$66,0))),INDEX(PAHs!$G$4:$G$66,MATCH($B18,PAHs!$B$4:$B$66,0)),"---")</f>
        <v>---</v>
      </c>
      <c r="E18" s="15">
        <f>IF(ISNUMBER(INDEX(PAHs!$K$4:$K$66,MATCH($B18,PAHs!$B$4:$B$66,0))),INDEX(PAHs!$K$4:$K$66,MATCH($B18,PAHs!$B$4:$B$66,0)),"---")</f>
        <v>169.25</v>
      </c>
      <c r="F18" s="15" t="str">
        <f>IF(ISNUMBER(INDEX(PAHs!$S$4:$S$66,MATCH($B18,PAHs!$B$4:$B$66,0))),INDEX(PAHs!$S$4:$S$66,MATCH($B18,PAHs!$B$4:$B$66,0)),"---")</f>
        <v>---</v>
      </c>
      <c r="G18" s="37">
        <f>IF(ISNUMBER(INDEX(PAHs!$AA$4:$AA$66,MATCH($B18,PAHs!$B$4:$B$66,0))),INDEX(PAHs!$AA$4:$AA$66,MATCH($B18,PAHs!$B$4:$B$66,0)),"---")</f>
        <v>2.8999999999999998E-3</v>
      </c>
    </row>
    <row r="19" spans="1:7" x14ac:dyDescent="0.3">
      <c r="A19" s="39"/>
      <c r="B19" s="25" t="s">
        <v>2958</v>
      </c>
      <c r="C19" s="15" t="s">
        <v>2959</v>
      </c>
      <c r="D19" s="15">
        <f>IF(ISNUMBER(INDEX(PAHs!$G$4:$G$66,MATCH($B19,PAHs!$B$4:$B$66,0))),INDEX(PAHs!$G$4:$G$66,MATCH($B19,PAHs!$B$4:$B$66,0)),"---")</f>
        <v>4.5114999999999998</v>
      </c>
      <c r="E19" s="15">
        <f>IF(ISNUMBER(INDEX(PAHs!$K$4:$K$66,MATCH($B19,PAHs!$B$4:$B$66,0))),INDEX(PAHs!$K$4:$K$66,MATCH($B19,PAHs!$B$4:$B$66,0)),"---")</f>
        <v>98.850000000000023</v>
      </c>
      <c r="F19" s="15">
        <f>IF(ISNUMBER(INDEX(PAHs!$S$4:$S$66,MATCH($B19,PAHs!$B$4:$B$66,0))),INDEX(PAHs!$S$4:$S$66,MATCH($B19,PAHs!$B$4:$B$66,0)),"---")</f>
        <v>1.2075992948520191E-4</v>
      </c>
      <c r="G19" s="37">
        <f>IF(ISNUMBER(INDEX(PAHs!$AA$4:$AA$66,MATCH($B19,PAHs!$B$4:$B$66,0))),INDEX(PAHs!$AA$4:$AA$66,MATCH($B19,PAHs!$B$4:$B$66,0)),"---")</f>
        <v>0.82299999999999995</v>
      </c>
    </row>
    <row r="20" spans="1:7" ht="15" thickBot="1" x14ac:dyDescent="0.35">
      <c r="A20" s="42"/>
      <c r="B20" s="407" t="s">
        <v>2938</v>
      </c>
      <c r="C20" s="28" t="s">
        <v>2939</v>
      </c>
      <c r="D20" s="28" t="str">
        <f>IF(ISNUMBER(INDEX(PAHs!$G$4:$G$66,MATCH($B20,PAHs!$B$4:$B$66,0))),INDEX(PAHs!$G$4:$G$66,MATCH($B20,PAHs!$B$4:$B$66,0)),"---")</f>
        <v>---</v>
      </c>
      <c r="E20" s="28">
        <f>IF(ISNUMBER(INDEX(PAHs!$K$4:$K$66,MATCH($B20,PAHs!$B$4:$B$66,0))),INDEX(PAHs!$K$4:$K$66,MATCH($B20,PAHs!$B$4:$B$66,0)),"---")</f>
        <v>150.85000000000002</v>
      </c>
      <c r="F20" s="28">
        <f>IF(ISNUMBER(INDEX(PAHs!$S$4:$S$66,MATCH($B20,PAHs!$B$4:$B$66,0))),INDEX(PAHs!$S$4:$S$66,MATCH($B20,PAHs!$B$4:$B$66,0)),"---")</f>
        <v>4.5003700429267791E-6</v>
      </c>
      <c r="G20" s="56">
        <f>IF(ISNUMBER(INDEX(PAHs!$AA$4:$AA$66,MATCH($B20,PAHs!$B$4:$B$66,0))),INDEX(PAHs!$AA$4:$AA$66,MATCH($B20,PAHs!$B$4:$B$66,0)),"---")</f>
        <v>0.13500000000000001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4"/>
  <sheetViews>
    <sheetView workbookViewId="0"/>
  </sheetViews>
  <sheetFormatPr defaultRowHeight="14.4" x14ac:dyDescent="0.3"/>
  <cols>
    <col min="1" max="1" width="33.109375" style="6" bestFit="1" customWidth="1"/>
    <col min="2" max="2" width="51.6640625" bestFit="1" customWidth="1"/>
    <col min="3" max="3" width="8.5546875" customWidth="1"/>
    <col min="4" max="4" width="10.33203125" style="5" bestFit="1" customWidth="1"/>
    <col min="5" max="5" width="12.6640625" bestFit="1" customWidth="1"/>
    <col min="6" max="6" width="10.5546875" bestFit="1" customWidth="1"/>
    <col min="7" max="8" width="25.6640625" customWidth="1"/>
  </cols>
  <sheetData>
    <row r="1" spans="1:8" x14ac:dyDescent="0.3">
      <c r="A1" s="9" t="s">
        <v>807</v>
      </c>
      <c r="B1" s="9" t="s">
        <v>420</v>
      </c>
      <c r="C1" s="9" t="s">
        <v>431</v>
      </c>
      <c r="D1" s="10" t="s">
        <v>422</v>
      </c>
      <c r="E1" s="9" t="s">
        <v>421</v>
      </c>
      <c r="F1" s="9" t="s">
        <v>2865</v>
      </c>
      <c r="G1" s="9" t="s">
        <v>2307</v>
      </c>
      <c r="H1" s="9" t="s">
        <v>2308</v>
      </c>
    </row>
    <row r="2" spans="1:8" ht="14.4" customHeight="1" x14ac:dyDescent="0.3">
      <c r="A2" s="6" t="s">
        <v>808</v>
      </c>
      <c r="B2" s="2" t="s">
        <v>0</v>
      </c>
      <c r="C2" s="2"/>
      <c r="D2" s="4"/>
      <c r="E2" s="2" t="s">
        <v>1</v>
      </c>
      <c r="F2" s="19" t="s">
        <v>2876</v>
      </c>
      <c r="G2" t="s">
        <v>1313</v>
      </c>
      <c r="H2" t="s">
        <v>1811</v>
      </c>
    </row>
    <row r="3" spans="1:8" ht="14.4" customHeight="1" x14ac:dyDescent="0.3">
      <c r="A3" s="6" t="s">
        <v>2</v>
      </c>
      <c r="B3" s="2" t="s">
        <v>2</v>
      </c>
      <c r="C3" s="2" t="s">
        <v>432</v>
      </c>
      <c r="D3" s="4">
        <v>1</v>
      </c>
      <c r="E3" s="2" t="s">
        <v>3</v>
      </c>
      <c r="F3" s="19" t="s">
        <v>2876</v>
      </c>
      <c r="G3" t="s">
        <v>1314</v>
      </c>
      <c r="H3" t="s">
        <v>1812</v>
      </c>
    </row>
    <row r="4" spans="1:8" ht="14.4" customHeight="1" x14ac:dyDescent="0.3">
      <c r="A4" s="6" t="s">
        <v>4</v>
      </c>
      <c r="B4" s="2" t="s">
        <v>4</v>
      </c>
      <c r="C4" s="2" t="s">
        <v>432</v>
      </c>
      <c r="D4" s="4">
        <v>2</v>
      </c>
      <c r="E4" s="2" t="s">
        <v>5</v>
      </c>
      <c r="F4" s="19" t="s">
        <v>2876</v>
      </c>
      <c r="G4" t="s">
        <v>1315</v>
      </c>
      <c r="H4" t="s">
        <v>1813</v>
      </c>
    </row>
    <row r="5" spans="1:8" ht="14.4" customHeight="1" x14ac:dyDescent="0.3">
      <c r="A5" s="6" t="s">
        <v>6</v>
      </c>
      <c r="B5" s="2" t="s">
        <v>6</v>
      </c>
      <c r="C5" s="2" t="s">
        <v>432</v>
      </c>
      <c r="D5" s="4">
        <v>3</v>
      </c>
      <c r="E5" s="2" t="s">
        <v>7</v>
      </c>
      <c r="F5" s="19" t="s">
        <v>2876</v>
      </c>
      <c r="G5" t="s">
        <v>1316</v>
      </c>
      <c r="H5" t="s">
        <v>1814</v>
      </c>
    </row>
    <row r="6" spans="1:8" ht="14.4" customHeight="1" x14ac:dyDescent="0.3">
      <c r="A6" s="6" t="s">
        <v>8</v>
      </c>
      <c r="B6" s="2" t="s">
        <v>8</v>
      </c>
      <c r="C6" s="2" t="s">
        <v>432</v>
      </c>
      <c r="D6" s="4">
        <v>4</v>
      </c>
      <c r="E6" s="2" t="s">
        <v>9</v>
      </c>
      <c r="F6" s="19" t="s">
        <v>2876</v>
      </c>
      <c r="G6" t="s">
        <v>1317</v>
      </c>
      <c r="H6" t="s">
        <v>1815</v>
      </c>
    </row>
    <row r="7" spans="1:8" ht="14.4" customHeight="1" x14ac:dyDescent="0.3">
      <c r="A7" s="6" t="s">
        <v>10</v>
      </c>
      <c r="B7" s="2" t="s">
        <v>10</v>
      </c>
      <c r="C7" s="2" t="s">
        <v>432</v>
      </c>
      <c r="D7" s="4">
        <v>5</v>
      </c>
      <c r="E7" s="2" t="s">
        <v>11</v>
      </c>
      <c r="F7" s="19" t="s">
        <v>2876</v>
      </c>
      <c r="G7" t="s">
        <v>1318</v>
      </c>
      <c r="H7" t="s">
        <v>1816</v>
      </c>
    </row>
    <row r="8" spans="1:8" ht="14.4" customHeight="1" x14ac:dyDescent="0.3">
      <c r="A8" s="6" t="s">
        <v>12</v>
      </c>
      <c r="B8" s="2" t="s">
        <v>12</v>
      </c>
      <c r="C8" s="2" t="s">
        <v>432</v>
      </c>
      <c r="D8" s="4">
        <v>6</v>
      </c>
      <c r="E8" s="2" t="s">
        <v>13</v>
      </c>
      <c r="F8" s="19" t="s">
        <v>2876</v>
      </c>
      <c r="G8" t="s">
        <v>1319</v>
      </c>
      <c r="H8" t="s">
        <v>1817</v>
      </c>
    </row>
    <row r="9" spans="1:8" ht="14.4" customHeight="1" x14ac:dyDescent="0.3">
      <c r="A9" s="6" t="s">
        <v>14</v>
      </c>
      <c r="B9" s="2" t="s">
        <v>14</v>
      </c>
      <c r="C9" s="2" t="s">
        <v>432</v>
      </c>
      <c r="D9" s="4">
        <v>7</v>
      </c>
      <c r="E9" s="2" t="s">
        <v>15</v>
      </c>
      <c r="F9" s="19" t="s">
        <v>2876</v>
      </c>
      <c r="G9" t="s">
        <v>1320</v>
      </c>
      <c r="H9" t="s">
        <v>1818</v>
      </c>
    </row>
    <row r="10" spans="1:8" ht="14.4" customHeight="1" x14ac:dyDescent="0.3">
      <c r="A10" s="6" t="s">
        <v>16</v>
      </c>
      <c r="B10" s="2" t="s">
        <v>16</v>
      </c>
      <c r="C10" s="2" t="s">
        <v>432</v>
      </c>
      <c r="D10" s="4">
        <v>8</v>
      </c>
      <c r="E10" s="2" t="s">
        <v>17</v>
      </c>
      <c r="F10" s="19" t="s">
        <v>2876</v>
      </c>
      <c r="G10" t="s">
        <v>1321</v>
      </c>
      <c r="H10" t="s">
        <v>1819</v>
      </c>
    </row>
    <row r="11" spans="1:8" ht="14.4" customHeight="1" x14ac:dyDescent="0.3">
      <c r="A11" s="6" t="s">
        <v>18</v>
      </c>
      <c r="B11" s="2" t="s">
        <v>18</v>
      </c>
      <c r="C11" s="2" t="s">
        <v>432</v>
      </c>
      <c r="D11" s="4">
        <v>9</v>
      </c>
      <c r="E11" s="2" t="s">
        <v>19</v>
      </c>
      <c r="F11" s="19" t="s">
        <v>2876</v>
      </c>
      <c r="G11" t="s">
        <v>1322</v>
      </c>
      <c r="H11" t="s">
        <v>1820</v>
      </c>
    </row>
    <row r="12" spans="1:8" ht="14.4" customHeight="1" x14ac:dyDescent="0.3">
      <c r="A12" s="6" t="s">
        <v>20</v>
      </c>
      <c r="B12" s="2" t="s">
        <v>20</v>
      </c>
      <c r="C12" s="2" t="s">
        <v>432</v>
      </c>
      <c r="D12" s="4">
        <v>10</v>
      </c>
      <c r="E12" s="2" t="s">
        <v>21</v>
      </c>
      <c r="F12" s="19" t="s">
        <v>2876</v>
      </c>
      <c r="G12" t="s">
        <v>1323</v>
      </c>
      <c r="H12" t="s">
        <v>1821</v>
      </c>
    </row>
    <row r="13" spans="1:8" ht="14.4" customHeight="1" x14ac:dyDescent="0.3">
      <c r="A13" s="6" t="s">
        <v>22</v>
      </c>
      <c r="B13" s="2" t="s">
        <v>22</v>
      </c>
      <c r="C13" s="2" t="s">
        <v>432</v>
      </c>
      <c r="D13" s="4">
        <v>11</v>
      </c>
      <c r="E13" s="2" t="s">
        <v>23</v>
      </c>
      <c r="F13" s="19" t="s">
        <v>2876</v>
      </c>
      <c r="G13" t="s">
        <v>1324</v>
      </c>
      <c r="H13" t="s">
        <v>1822</v>
      </c>
    </row>
    <row r="14" spans="1:8" ht="14.4" customHeight="1" x14ac:dyDescent="0.3">
      <c r="A14" s="6" t="s">
        <v>24</v>
      </c>
      <c r="B14" s="2" t="s">
        <v>24</v>
      </c>
      <c r="C14" s="2" t="s">
        <v>432</v>
      </c>
      <c r="D14" s="4">
        <v>12</v>
      </c>
      <c r="E14" s="2" t="s">
        <v>25</v>
      </c>
      <c r="F14" s="19" t="s">
        <v>2876</v>
      </c>
      <c r="G14" t="s">
        <v>1325</v>
      </c>
      <c r="H14" t="s">
        <v>1823</v>
      </c>
    </row>
    <row r="15" spans="1:8" ht="14.4" customHeight="1" x14ac:dyDescent="0.3">
      <c r="A15" s="6" t="s">
        <v>26</v>
      </c>
      <c r="B15" s="2" t="s">
        <v>26</v>
      </c>
      <c r="C15" s="2" t="s">
        <v>432</v>
      </c>
      <c r="D15" s="4">
        <v>13</v>
      </c>
      <c r="E15" s="2" t="s">
        <v>27</v>
      </c>
      <c r="F15" s="19" t="s">
        <v>2876</v>
      </c>
      <c r="G15" t="s">
        <v>1326</v>
      </c>
      <c r="H15" t="s">
        <v>1824</v>
      </c>
    </row>
    <row r="16" spans="1:8" ht="14.4" customHeight="1" x14ac:dyDescent="0.3">
      <c r="A16" s="6" t="s">
        <v>28</v>
      </c>
      <c r="B16" s="2" t="s">
        <v>28</v>
      </c>
      <c r="C16" s="2" t="s">
        <v>432</v>
      </c>
      <c r="D16" s="4">
        <v>14</v>
      </c>
      <c r="E16" s="2" t="s">
        <v>29</v>
      </c>
      <c r="F16" s="19" t="s">
        <v>2876</v>
      </c>
      <c r="G16" t="s">
        <v>1327</v>
      </c>
      <c r="H16" t="s">
        <v>1825</v>
      </c>
    </row>
    <row r="17" spans="1:8" ht="14.4" customHeight="1" x14ac:dyDescent="0.3">
      <c r="A17" s="6" t="s">
        <v>30</v>
      </c>
      <c r="B17" s="2" t="s">
        <v>30</v>
      </c>
      <c r="C17" s="2" t="s">
        <v>432</v>
      </c>
      <c r="D17" s="4">
        <v>15</v>
      </c>
      <c r="E17" s="2" t="s">
        <v>31</v>
      </c>
      <c r="F17" s="19" t="s">
        <v>2876</v>
      </c>
      <c r="G17" t="s">
        <v>1328</v>
      </c>
      <c r="H17" t="s">
        <v>1826</v>
      </c>
    </row>
    <row r="18" spans="1:8" ht="14.4" customHeight="1" x14ac:dyDescent="0.3">
      <c r="A18" s="6" t="s">
        <v>32</v>
      </c>
      <c r="B18" s="2" t="s">
        <v>32</v>
      </c>
      <c r="C18" s="2" t="s">
        <v>432</v>
      </c>
      <c r="D18" s="4">
        <v>16</v>
      </c>
      <c r="E18" s="2" t="s">
        <v>33</v>
      </c>
      <c r="F18" s="19" t="s">
        <v>2876</v>
      </c>
      <c r="G18" t="s">
        <v>1329</v>
      </c>
      <c r="H18" t="s">
        <v>1827</v>
      </c>
    </row>
    <row r="19" spans="1:8" ht="14.4" customHeight="1" x14ac:dyDescent="0.3">
      <c r="A19" s="6" t="s">
        <v>34</v>
      </c>
      <c r="B19" s="2" t="s">
        <v>34</v>
      </c>
      <c r="C19" s="2" t="s">
        <v>432</v>
      </c>
      <c r="D19" s="4">
        <v>17</v>
      </c>
      <c r="E19" s="2" t="s">
        <v>35</v>
      </c>
      <c r="F19" s="19" t="s">
        <v>2876</v>
      </c>
      <c r="G19" t="s">
        <v>1330</v>
      </c>
      <c r="H19" t="s">
        <v>1828</v>
      </c>
    </row>
    <row r="20" spans="1:8" ht="14.4" customHeight="1" x14ac:dyDescent="0.3">
      <c r="A20" s="6" t="s">
        <v>36</v>
      </c>
      <c r="B20" s="2" t="s">
        <v>36</v>
      </c>
      <c r="C20" s="2" t="s">
        <v>432</v>
      </c>
      <c r="D20" s="4">
        <v>18</v>
      </c>
      <c r="E20" s="2" t="s">
        <v>37</v>
      </c>
      <c r="F20" s="19" t="s">
        <v>2876</v>
      </c>
      <c r="G20" t="s">
        <v>1331</v>
      </c>
      <c r="H20" t="s">
        <v>1829</v>
      </c>
    </row>
    <row r="21" spans="1:8" ht="14.4" customHeight="1" x14ac:dyDescent="0.3">
      <c r="A21" s="6" t="s">
        <v>38</v>
      </c>
      <c r="B21" s="2" t="s">
        <v>38</v>
      </c>
      <c r="C21" s="2" t="s">
        <v>432</v>
      </c>
      <c r="D21" s="4">
        <v>19</v>
      </c>
      <c r="E21" s="2" t="s">
        <v>39</v>
      </c>
      <c r="F21" s="19" t="s">
        <v>2876</v>
      </c>
      <c r="G21" t="s">
        <v>1332</v>
      </c>
      <c r="H21" t="s">
        <v>1830</v>
      </c>
    </row>
    <row r="22" spans="1:8" ht="14.4" customHeight="1" x14ac:dyDescent="0.3">
      <c r="A22" s="6" t="s">
        <v>40</v>
      </c>
      <c r="B22" s="2" t="s">
        <v>40</v>
      </c>
      <c r="C22" s="2" t="s">
        <v>432</v>
      </c>
      <c r="D22" s="4">
        <v>20</v>
      </c>
      <c r="E22" s="2" t="s">
        <v>41</v>
      </c>
      <c r="F22" s="19" t="s">
        <v>2876</v>
      </c>
      <c r="G22" t="s">
        <v>1333</v>
      </c>
      <c r="H22" t="s">
        <v>1831</v>
      </c>
    </row>
    <row r="23" spans="1:8" ht="14.4" customHeight="1" x14ac:dyDescent="0.3">
      <c r="A23" s="6" t="s">
        <v>42</v>
      </c>
      <c r="B23" s="2" t="s">
        <v>42</v>
      </c>
      <c r="C23" s="2" t="s">
        <v>432</v>
      </c>
      <c r="D23" s="4">
        <v>21</v>
      </c>
      <c r="E23" s="2" t="s">
        <v>43</v>
      </c>
      <c r="F23" s="19" t="s">
        <v>2876</v>
      </c>
      <c r="G23" t="s">
        <v>1334</v>
      </c>
      <c r="H23" t="s">
        <v>1832</v>
      </c>
    </row>
    <row r="24" spans="1:8" ht="14.4" customHeight="1" x14ac:dyDescent="0.3">
      <c r="A24" s="6" t="s">
        <v>44</v>
      </c>
      <c r="B24" s="2" t="s">
        <v>44</v>
      </c>
      <c r="C24" s="2" t="s">
        <v>432</v>
      </c>
      <c r="D24" s="4">
        <v>22</v>
      </c>
      <c r="E24" s="2" t="s">
        <v>45</v>
      </c>
      <c r="F24" s="19" t="s">
        <v>2876</v>
      </c>
      <c r="G24" t="s">
        <v>1335</v>
      </c>
      <c r="H24" t="s">
        <v>1833</v>
      </c>
    </row>
    <row r="25" spans="1:8" ht="14.4" customHeight="1" x14ac:dyDescent="0.3">
      <c r="A25" s="6" t="s">
        <v>46</v>
      </c>
      <c r="B25" s="2" t="s">
        <v>46</v>
      </c>
      <c r="C25" s="2" t="s">
        <v>432</v>
      </c>
      <c r="D25" s="4">
        <v>23</v>
      </c>
      <c r="E25" s="2" t="s">
        <v>47</v>
      </c>
      <c r="F25" s="19" t="s">
        <v>2876</v>
      </c>
      <c r="G25" t="s">
        <v>1336</v>
      </c>
      <c r="H25" t="s">
        <v>1834</v>
      </c>
    </row>
    <row r="26" spans="1:8" ht="14.4" customHeight="1" x14ac:dyDescent="0.3">
      <c r="A26" s="6" t="s">
        <v>48</v>
      </c>
      <c r="B26" s="2" t="s">
        <v>48</v>
      </c>
      <c r="C26" s="2" t="s">
        <v>432</v>
      </c>
      <c r="D26" s="4">
        <v>24</v>
      </c>
      <c r="E26" s="2" t="s">
        <v>49</v>
      </c>
      <c r="F26" s="19" t="s">
        <v>2876</v>
      </c>
      <c r="G26" t="s">
        <v>1337</v>
      </c>
      <c r="H26" t="s">
        <v>1835</v>
      </c>
    </row>
    <row r="27" spans="1:8" ht="14.4" customHeight="1" x14ac:dyDescent="0.3">
      <c r="A27" s="6" t="s">
        <v>50</v>
      </c>
      <c r="B27" s="2" t="s">
        <v>50</v>
      </c>
      <c r="C27" s="2" t="s">
        <v>432</v>
      </c>
      <c r="D27" s="4">
        <v>25</v>
      </c>
      <c r="E27" s="2" t="s">
        <v>51</v>
      </c>
      <c r="F27" s="19" t="s">
        <v>2876</v>
      </c>
      <c r="G27" t="s">
        <v>1338</v>
      </c>
      <c r="H27" t="s">
        <v>1836</v>
      </c>
    </row>
    <row r="28" spans="1:8" ht="14.4" customHeight="1" x14ac:dyDescent="0.3">
      <c r="A28" s="6" t="s">
        <v>52</v>
      </c>
      <c r="B28" s="2" t="s">
        <v>52</v>
      </c>
      <c r="C28" s="2" t="s">
        <v>432</v>
      </c>
      <c r="D28" s="4">
        <v>26</v>
      </c>
      <c r="E28" s="2" t="s">
        <v>53</v>
      </c>
      <c r="F28" s="19" t="s">
        <v>2876</v>
      </c>
      <c r="G28" t="s">
        <v>1339</v>
      </c>
      <c r="H28" t="s">
        <v>1837</v>
      </c>
    </row>
    <row r="29" spans="1:8" ht="14.4" customHeight="1" x14ac:dyDescent="0.3">
      <c r="A29" s="6" t="s">
        <v>54</v>
      </c>
      <c r="B29" s="2" t="s">
        <v>54</v>
      </c>
      <c r="C29" s="2" t="s">
        <v>432</v>
      </c>
      <c r="D29" s="4">
        <v>27</v>
      </c>
      <c r="E29" s="2" t="s">
        <v>55</v>
      </c>
      <c r="F29" s="19" t="s">
        <v>2876</v>
      </c>
      <c r="G29" t="s">
        <v>1340</v>
      </c>
      <c r="H29" t="s">
        <v>1838</v>
      </c>
    </row>
    <row r="30" spans="1:8" ht="14.4" customHeight="1" x14ac:dyDescent="0.3">
      <c r="A30" s="6" t="s">
        <v>56</v>
      </c>
      <c r="B30" s="2" t="s">
        <v>56</v>
      </c>
      <c r="C30" s="2" t="s">
        <v>432</v>
      </c>
      <c r="D30" s="4">
        <v>28</v>
      </c>
      <c r="E30" s="2" t="s">
        <v>57</v>
      </c>
      <c r="F30" s="19" t="s">
        <v>2876</v>
      </c>
      <c r="G30" t="s">
        <v>1341</v>
      </c>
      <c r="H30" t="s">
        <v>1839</v>
      </c>
    </row>
    <row r="31" spans="1:8" ht="14.4" customHeight="1" x14ac:dyDescent="0.3">
      <c r="A31" s="6" t="s">
        <v>58</v>
      </c>
      <c r="B31" s="2" t="s">
        <v>58</v>
      </c>
      <c r="C31" s="2" t="s">
        <v>432</v>
      </c>
      <c r="D31" s="4">
        <v>29</v>
      </c>
      <c r="E31" s="2" t="s">
        <v>59</v>
      </c>
      <c r="F31" s="19" t="s">
        <v>2876</v>
      </c>
      <c r="G31" t="s">
        <v>1342</v>
      </c>
      <c r="H31" t="s">
        <v>1840</v>
      </c>
    </row>
    <row r="32" spans="1:8" ht="14.4" customHeight="1" x14ac:dyDescent="0.3">
      <c r="A32" s="6" t="s">
        <v>60</v>
      </c>
      <c r="B32" s="2" t="s">
        <v>60</v>
      </c>
      <c r="C32" s="2" t="s">
        <v>432</v>
      </c>
      <c r="D32" s="4">
        <v>30</v>
      </c>
      <c r="E32" s="2" t="s">
        <v>61</v>
      </c>
      <c r="F32" s="19" t="s">
        <v>2876</v>
      </c>
      <c r="G32" t="s">
        <v>1343</v>
      </c>
      <c r="H32" t="s">
        <v>1841</v>
      </c>
    </row>
    <row r="33" spans="1:8" ht="14.4" customHeight="1" x14ac:dyDescent="0.3">
      <c r="A33" s="6" t="s">
        <v>62</v>
      </c>
      <c r="B33" s="2" t="s">
        <v>62</v>
      </c>
      <c r="C33" s="2" t="s">
        <v>432</v>
      </c>
      <c r="D33" s="4">
        <v>31</v>
      </c>
      <c r="E33" s="2" t="s">
        <v>63</v>
      </c>
      <c r="F33" s="19" t="s">
        <v>2876</v>
      </c>
      <c r="G33" t="s">
        <v>1344</v>
      </c>
      <c r="H33" t="s">
        <v>1842</v>
      </c>
    </row>
    <row r="34" spans="1:8" ht="14.4" customHeight="1" x14ac:dyDescent="0.3">
      <c r="A34" s="6" t="s">
        <v>64</v>
      </c>
      <c r="B34" s="2" t="s">
        <v>64</v>
      </c>
      <c r="C34" s="2" t="s">
        <v>432</v>
      </c>
      <c r="D34" s="4">
        <v>32</v>
      </c>
      <c r="E34" s="2" t="s">
        <v>65</v>
      </c>
      <c r="F34" s="19" t="s">
        <v>2876</v>
      </c>
      <c r="G34" t="s">
        <v>1345</v>
      </c>
      <c r="H34" t="s">
        <v>1843</v>
      </c>
    </row>
    <row r="35" spans="1:8" ht="14.4" customHeight="1" x14ac:dyDescent="0.3">
      <c r="A35" s="6" t="s">
        <v>66</v>
      </c>
      <c r="B35" s="2" t="s">
        <v>66</v>
      </c>
      <c r="C35" s="2" t="s">
        <v>432</v>
      </c>
      <c r="D35" s="4">
        <v>33</v>
      </c>
      <c r="E35" s="2" t="s">
        <v>67</v>
      </c>
      <c r="F35" s="19" t="s">
        <v>2876</v>
      </c>
      <c r="G35" t="s">
        <v>1346</v>
      </c>
      <c r="H35" t="s">
        <v>1844</v>
      </c>
    </row>
    <row r="36" spans="1:8" ht="14.4" customHeight="1" x14ac:dyDescent="0.3">
      <c r="A36" s="6" t="s">
        <v>68</v>
      </c>
      <c r="B36" s="2" t="s">
        <v>68</v>
      </c>
      <c r="C36" s="2" t="s">
        <v>432</v>
      </c>
      <c r="D36" s="4">
        <v>34</v>
      </c>
      <c r="E36" s="2" t="s">
        <v>69</v>
      </c>
      <c r="F36" s="19" t="s">
        <v>2876</v>
      </c>
      <c r="G36" t="s">
        <v>1347</v>
      </c>
      <c r="H36" t="s">
        <v>1845</v>
      </c>
    </row>
    <row r="37" spans="1:8" ht="14.4" customHeight="1" x14ac:dyDescent="0.3">
      <c r="A37" s="6" t="s">
        <v>70</v>
      </c>
      <c r="B37" s="2" t="s">
        <v>70</v>
      </c>
      <c r="C37" s="2" t="s">
        <v>432</v>
      </c>
      <c r="D37" s="4">
        <v>35</v>
      </c>
      <c r="E37" s="2" t="s">
        <v>71</v>
      </c>
      <c r="F37" s="19" t="s">
        <v>2876</v>
      </c>
      <c r="G37" t="s">
        <v>1348</v>
      </c>
      <c r="H37" t="s">
        <v>1846</v>
      </c>
    </row>
    <row r="38" spans="1:8" ht="14.4" customHeight="1" x14ac:dyDescent="0.3">
      <c r="A38" s="6" t="s">
        <v>72</v>
      </c>
      <c r="B38" s="2" t="s">
        <v>72</v>
      </c>
      <c r="C38" s="2" t="s">
        <v>432</v>
      </c>
      <c r="D38" s="4">
        <v>36</v>
      </c>
      <c r="E38" s="2" t="s">
        <v>73</v>
      </c>
      <c r="F38" s="19" t="s">
        <v>2876</v>
      </c>
      <c r="G38" t="s">
        <v>1349</v>
      </c>
      <c r="H38" t="s">
        <v>1847</v>
      </c>
    </row>
    <row r="39" spans="1:8" ht="14.4" customHeight="1" x14ac:dyDescent="0.3">
      <c r="A39" s="6" t="s">
        <v>74</v>
      </c>
      <c r="B39" s="2" t="s">
        <v>74</v>
      </c>
      <c r="C39" s="2" t="s">
        <v>432</v>
      </c>
      <c r="D39" s="4">
        <v>37</v>
      </c>
      <c r="E39" s="2" t="s">
        <v>75</v>
      </c>
      <c r="F39" s="19" t="s">
        <v>2876</v>
      </c>
      <c r="G39" t="s">
        <v>1350</v>
      </c>
      <c r="H39" t="s">
        <v>1848</v>
      </c>
    </row>
    <row r="40" spans="1:8" ht="14.4" customHeight="1" x14ac:dyDescent="0.3">
      <c r="A40" s="6" t="s">
        <v>76</v>
      </c>
      <c r="B40" s="2" t="s">
        <v>76</v>
      </c>
      <c r="C40" s="2" t="s">
        <v>432</v>
      </c>
      <c r="D40" s="4">
        <v>38</v>
      </c>
      <c r="E40" s="2" t="s">
        <v>77</v>
      </c>
      <c r="F40" s="19" t="s">
        <v>2876</v>
      </c>
      <c r="G40" t="s">
        <v>1351</v>
      </c>
      <c r="H40" t="s">
        <v>1849</v>
      </c>
    </row>
    <row r="41" spans="1:8" ht="14.4" customHeight="1" x14ac:dyDescent="0.3">
      <c r="A41" s="6" t="s">
        <v>78</v>
      </c>
      <c r="B41" s="2" t="s">
        <v>78</v>
      </c>
      <c r="C41" s="2" t="s">
        <v>432</v>
      </c>
      <c r="D41" s="4">
        <v>39</v>
      </c>
      <c r="E41" s="2" t="s">
        <v>79</v>
      </c>
      <c r="F41" s="19" t="s">
        <v>2876</v>
      </c>
      <c r="G41" t="s">
        <v>1352</v>
      </c>
      <c r="H41" t="s">
        <v>1850</v>
      </c>
    </row>
    <row r="42" spans="1:8" ht="14.4" customHeight="1" x14ac:dyDescent="0.3">
      <c r="A42" s="6" t="s">
        <v>80</v>
      </c>
      <c r="B42" s="2" t="s">
        <v>80</v>
      </c>
      <c r="C42" s="2" t="s">
        <v>432</v>
      </c>
      <c r="D42" s="4">
        <v>40</v>
      </c>
      <c r="E42" s="2" t="s">
        <v>81</v>
      </c>
      <c r="F42" s="19" t="s">
        <v>2876</v>
      </c>
      <c r="G42" t="s">
        <v>1353</v>
      </c>
      <c r="H42" t="s">
        <v>1851</v>
      </c>
    </row>
    <row r="43" spans="1:8" ht="14.4" customHeight="1" x14ac:dyDescent="0.3">
      <c r="A43" s="6" t="s">
        <v>82</v>
      </c>
      <c r="B43" s="2" t="s">
        <v>82</v>
      </c>
      <c r="C43" s="2" t="s">
        <v>432</v>
      </c>
      <c r="D43" s="4">
        <v>41</v>
      </c>
      <c r="E43" s="2" t="s">
        <v>83</v>
      </c>
      <c r="F43" s="19" t="s">
        <v>2876</v>
      </c>
      <c r="G43" t="s">
        <v>1354</v>
      </c>
      <c r="H43" t="s">
        <v>1852</v>
      </c>
    </row>
    <row r="44" spans="1:8" ht="14.4" customHeight="1" x14ac:dyDescent="0.3">
      <c r="A44" s="6" t="s">
        <v>84</v>
      </c>
      <c r="B44" s="2" t="s">
        <v>84</v>
      </c>
      <c r="C44" s="2" t="s">
        <v>432</v>
      </c>
      <c r="D44" s="4">
        <v>42</v>
      </c>
      <c r="E44" s="2" t="s">
        <v>85</v>
      </c>
      <c r="F44" s="19" t="s">
        <v>2876</v>
      </c>
      <c r="G44" t="s">
        <v>1355</v>
      </c>
      <c r="H44" t="s">
        <v>1853</v>
      </c>
    </row>
    <row r="45" spans="1:8" ht="14.4" customHeight="1" x14ac:dyDescent="0.3">
      <c r="A45" s="6" t="s">
        <v>86</v>
      </c>
      <c r="B45" s="2" t="s">
        <v>86</v>
      </c>
      <c r="C45" s="2" t="s">
        <v>432</v>
      </c>
      <c r="D45" s="4">
        <v>43</v>
      </c>
      <c r="E45" s="2" t="s">
        <v>87</v>
      </c>
      <c r="F45" s="19" t="s">
        <v>2876</v>
      </c>
      <c r="G45" t="s">
        <v>1356</v>
      </c>
      <c r="H45" t="s">
        <v>1854</v>
      </c>
    </row>
    <row r="46" spans="1:8" ht="14.4" customHeight="1" x14ac:dyDescent="0.3">
      <c r="A46" s="6" t="s">
        <v>88</v>
      </c>
      <c r="B46" s="2" t="s">
        <v>88</v>
      </c>
      <c r="C46" s="2" t="s">
        <v>432</v>
      </c>
      <c r="D46" s="4">
        <v>44</v>
      </c>
      <c r="E46" s="2" t="s">
        <v>89</v>
      </c>
      <c r="F46" s="19" t="s">
        <v>2876</v>
      </c>
      <c r="G46" t="s">
        <v>1357</v>
      </c>
      <c r="H46" t="s">
        <v>1855</v>
      </c>
    </row>
    <row r="47" spans="1:8" ht="14.4" customHeight="1" x14ac:dyDescent="0.3">
      <c r="A47" s="6" t="s">
        <v>90</v>
      </c>
      <c r="B47" s="2" t="s">
        <v>90</v>
      </c>
      <c r="C47" s="2" t="s">
        <v>432</v>
      </c>
      <c r="D47" s="4">
        <v>45</v>
      </c>
      <c r="E47" s="2" t="s">
        <v>91</v>
      </c>
      <c r="F47" s="19" t="s">
        <v>2876</v>
      </c>
      <c r="G47" t="s">
        <v>1358</v>
      </c>
      <c r="H47" t="s">
        <v>1856</v>
      </c>
    </row>
    <row r="48" spans="1:8" ht="14.4" customHeight="1" x14ac:dyDescent="0.3">
      <c r="A48" s="6" t="s">
        <v>92</v>
      </c>
      <c r="B48" s="2" t="s">
        <v>92</v>
      </c>
      <c r="C48" s="2" t="s">
        <v>432</v>
      </c>
      <c r="D48" s="4">
        <v>46</v>
      </c>
      <c r="E48" s="2" t="s">
        <v>93</v>
      </c>
      <c r="F48" s="19" t="s">
        <v>2876</v>
      </c>
      <c r="G48" t="s">
        <v>1359</v>
      </c>
      <c r="H48" t="s">
        <v>1857</v>
      </c>
    </row>
    <row r="49" spans="1:8" ht="14.4" customHeight="1" x14ac:dyDescent="0.3">
      <c r="A49" s="6" t="s">
        <v>94</v>
      </c>
      <c r="B49" s="2" t="s">
        <v>94</v>
      </c>
      <c r="C49" s="2" t="s">
        <v>432</v>
      </c>
      <c r="D49" s="4">
        <v>47</v>
      </c>
      <c r="E49" s="2" t="s">
        <v>95</v>
      </c>
      <c r="F49" s="19" t="s">
        <v>2876</v>
      </c>
      <c r="G49" t="s">
        <v>1360</v>
      </c>
      <c r="H49" t="s">
        <v>1858</v>
      </c>
    </row>
    <row r="50" spans="1:8" ht="14.4" customHeight="1" x14ac:dyDescent="0.3">
      <c r="A50" s="6" t="s">
        <v>96</v>
      </c>
      <c r="B50" s="2" t="s">
        <v>96</v>
      </c>
      <c r="C50" s="2" t="s">
        <v>432</v>
      </c>
      <c r="D50" s="4">
        <v>48</v>
      </c>
      <c r="E50" s="2" t="s">
        <v>97</v>
      </c>
      <c r="F50" s="19" t="s">
        <v>2876</v>
      </c>
      <c r="G50" t="s">
        <v>1361</v>
      </c>
      <c r="H50" t="s">
        <v>1859</v>
      </c>
    </row>
    <row r="51" spans="1:8" ht="14.4" customHeight="1" x14ac:dyDescent="0.3">
      <c r="A51" s="6" t="s">
        <v>98</v>
      </c>
      <c r="B51" s="2" t="s">
        <v>98</v>
      </c>
      <c r="C51" s="2" t="s">
        <v>432</v>
      </c>
      <c r="D51" s="4">
        <v>49</v>
      </c>
      <c r="E51" s="2" t="s">
        <v>99</v>
      </c>
      <c r="F51" s="19" t="s">
        <v>2876</v>
      </c>
      <c r="G51" t="s">
        <v>1362</v>
      </c>
      <c r="H51" t="s">
        <v>1860</v>
      </c>
    </row>
    <row r="52" spans="1:8" ht="14.4" customHeight="1" x14ac:dyDescent="0.3">
      <c r="A52" s="6" t="s">
        <v>100</v>
      </c>
      <c r="B52" s="2" t="s">
        <v>100</v>
      </c>
      <c r="C52" s="2" t="s">
        <v>432</v>
      </c>
      <c r="D52" s="4">
        <v>50</v>
      </c>
      <c r="E52" s="2" t="s">
        <v>101</v>
      </c>
      <c r="F52" s="19" t="s">
        <v>2876</v>
      </c>
      <c r="G52" t="s">
        <v>1363</v>
      </c>
      <c r="H52" t="s">
        <v>1861</v>
      </c>
    </row>
    <row r="53" spans="1:8" ht="14.4" customHeight="1" x14ac:dyDescent="0.3">
      <c r="A53" s="6" t="s">
        <v>102</v>
      </c>
      <c r="B53" s="2" t="s">
        <v>102</v>
      </c>
      <c r="C53" s="2" t="s">
        <v>432</v>
      </c>
      <c r="D53" s="4">
        <v>51</v>
      </c>
      <c r="E53" s="2" t="s">
        <v>103</v>
      </c>
      <c r="F53" s="19" t="s">
        <v>2876</v>
      </c>
      <c r="G53" t="s">
        <v>1364</v>
      </c>
      <c r="H53" t="s">
        <v>1862</v>
      </c>
    </row>
    <row r="54" spans="1:8" ht="14.4" customHeight="1" x14ac:dyDescent="0.3">
      <c r="A54" s="6" t="s">
        <v>104</v>
      </c>
      <c r="B54" s="2" t="s">
        <v>104</v>
      </c>
      <c r="C54" s="2" t="s">
        <v>432</v>
      </c>
      <c r="D54" s="4">
        <v>52</v>
      </c>
      <c r="E54" s="2" t="s">
        <v>105</v>
      </c>
      <c r="F54" s="19" t="s">
        <v>2876</v>
      </c>
      <c r="G54" t="s">
        <v>1365</v>
      </c>
      <c r="H54" t="s">
        <v>1863</v>
      </c>
    </row>
    <row r="55" spans="1:8" ht="14.4" customHeight="1" x14ac:dyDescent="0.3">
      <c r="A55" s="6" t="s">
        <v>106</v>
      </c>
      <c r="B55" s="2" t="s">
        <v>106</v>
      </c>
      <c r="C55" s="2" t="s">
        <v>432</v>
      </c>
      <c r="D55" s="4">
        <v>53</v>
      </c>
      <c r="E55" s="2" t="s">
        <v>107</v>
      </c>
      <c r="F55" s="19" t="s">
        <v>2876</v>
      </c>
      <c r="G55" t="s">
        <v>1366</v>
      </c>
      <c r="H55" t="s">
        <v>1864</v>
      </c>
    </row>
    <row r="56" spans="1:8" ht="14.4" customHeight="1" x14ac:dyDescent="0.3">
      <c r="A56" s="6" t="s">
        <v>108</v>
      </c>
      <c r="B56" s="2" t="s">
        <v>108</v>
      </c>
      <c r="C56" s="2" t="s">
        <v>432</v>
      </c>
      <c r="D56" s="4">
        <v>54</v>
      </c>
      <c r="E56" s="2" t="s">
        <v>109</v>
      </c>
      <c r="F56" s="19" t="s">
        <v>2876</v>
      </c>
      <c r="G56" t="s">
        <v>1367</v>
      </c>
      <c r="H56" t="s">
        <v>1865</v>
      </c>
    </row>
    <row r="57" spans="1:8" ht="14.4" customHeight="1" x14ac:dyDescent="0.3">
      <c r="A57" s="6" t="s">
        <v>110</v>
      </c>
      <c r="B57" s="2" t="s">
        <v>110</v>
      </c>
      <c r="C57" s="2" t="s">
        <v>432</v>
      </c>
      <c r="D57" s="4">
        <v>55</v>
      </c>
      <c r="E57" s="2" t="s">
        <v>111</v>
      </c>
      <c r="F57" s="19" t="s">
        <v>2876</v>
      </c>
      <c r="G57" t="s">
        <v>1368</v>
      </c>
      <c r="H57" t="s">
        <v>1866</v>
      </c>
    </row>
    <row r="58" spans="1:8" ht="14.4" customHeight="1" x14ac:dyDescent="0.3">
      <c r="A58" s="6" t="s">
        <v>112</v>
      </c>
      <c r="B58" s="2" t="s">
        <v>112</v>
      </c>
      <c r="C58" s="2" t="s">
        <v>432</v>
      </c>
      <c r="D58" s="4">
        <v>56</v>
      </c>
      <c r="E58" s="2" t="s">
        <v>113</v>
      </c>
      <c r="F58" s="19" t="s">
        <v>2876</v>
      </c>
      <c r="G58" t="s">
        <v>1369</v>
      </c>
      <c r="H58" t="s">
        <v>1867</v>
      </c>
    </row>
    <row r="59" spans="1:8" ht="14.4" customHeight="1" x14ac:dyDescent="0.3">
      <c r="A59" s="6" t="s">
        <v>114</v>
      </c>
      <c r="B59" s="2" t="s">
        <v>114</v>
      </c>
      <c r="C59" s="2" t="s">
        <v>432</v>
      </c>
      <c r="D59" s="4">
        <v>57</v>
      </c>
      <c r="E59" s="2" t="s">
        <v>115</v>
      </c>
      <c r="F59" s="19" t="s">
        <v>2876</v>
      </c>
      <c r="G59" t="s">
        <v>1370</v>
      </c>
      <c r="H59" t="s">
        <v>1868</v>
      </c>
    </row>
    <row r="60" spans="1:8" ht="14.4" customHeight="1" x14ac:dyDescent="0.3">
      <c r="A60" s="6" t="s">
        <v>116</v>
      </c>
      <c r="B60" s="2" t="s">
        <v>116</v>
      </c>
      <c r="C60" s="2" t="s">
        <v>432</v>
      </c>
      <c r="D60" s="4">
        <v>58</v>
      </c>
      <c r="E60" s="2" t="s">
        <v>117</v>
      </c>
      <c r="F60" s="19" t="s">
        <v>2876</v>
      </c>
      <c r="G60" t="s">
        <v>1371</v>
      </c>
      <c r="H60" t="s">
        <v>1869</v>
      </c>
    </row>
    <row r="61" spans="1:8" ht="14.4" customHeight="1" x14ac:dyDescent="0.3">
      <c r="A61" s="6" t="s">
        <v>118</v>
      </c>
      <c r="B61" s="2" t="s">
        <v>118</v>
      </c>
      <c r="C61" s="2" t="s">
        <v>432</v>
      </c>
      <c r="D61" s="4">
        <v>59</v>
      </c>
      <c r="E61" s="2" t="s">
        <v>119</v>
      </c>
      <c r="F61" s="19" t="s">
        <v>2876</v>
      </c>
      <c r="G61" t="s">
        <v>1372</v>
      </c>
      <c r="H61" t="s">
        <v>1870</v>
      </c>
    </row>
    <row r="62" spans="1:8" ht="14.4" customHeight="1" x14ac:dyDescent="0.3">
      <c r="A62" s="6" t="s">
        <v>120</v>
      </c>
      <c r="B62" s="2" t="s">
        <v>120</v>
      </c>
      <c r="C62" s="2" t="s">
        <v>432</v>
      </c>
      <c r="D62" s="4">
        <v>60</v>
      </c>
      <c r="E62" s="2" t="s">
        <v>121</v>
      </c>
      <c r="F62" s="19" t="s">
        <v>2876</v>
      </c>
      <c r="G62" t="s">
        <v>1373</v>
      </c>
      <c r="H62" t="s">
        <v>1871</v>
      </c>
    </row>
    <row r="63" spans="1:8" ht="14.4" customHeight="1" x14ac:dyDescent="0.3">
      <c r="A63" s="6" t="s">
        <v>122</v>
      </c>
      <c r="B63" s="2" t="s">
        <v>122</v>
      </c>
      <c r="C63" s="2" t="s">
        <v>432</v>
      </c>
      <c r="D63" s="4">
        <v>61</v>
      </c>
      <c r="E63" s="2" t="s">
        <v>123</v>
      </c>
      <c r="F63" s="19" t="s">
        <v>2876</v>
      </c>
      <c r="G63" t="s">
        <v>1374</v>
      </c>
      <c r="H63" t="s">
        <v>1872</v>
      </c>
    </row>
    <row r="64" spans="1:8" ht="14.4" customHeight="1" x14ac:dyDescent="0.3">
      <c r="A64" s="6" t="s">
        <v>124</v>
      </c>
      <c r="B64" s="2" t="s">
        <v>124</v>
      </c>
      <c r="C64" s="2" t="s">
        <v>432</v>
      </c>
      <c r="D64" s="4">
        <v>62</v>
      </c>
      <c r="E64" s="2" t="s">
        <v>125</v>
      </c>
      <c r="F64" s="19" t="s">
        <v>2876</v>
      </c>
      <c r="G64" t="s">
        <v>1375</v>
      </c>
      <c r="H64" t="s">
        <v>1873</v>
      </c>
    </row>
    <row r="65" spans="1:8" ht="14.4" customHeight="1" x14ac:dyDescent="0.3">
      <c r="A65" s="6" t="s">
        <v>126</v>
      </c>
      <c r="B65" s="2" t="s">
        <v>126</v>
      </c>
      <c r="C65" s="2" t="s">
        <v>432</v>
      </c>
      <c r="D65" s="4">
        <v>63</v>
      </c>
      <c r="E65" s="2" t="s">
        <v>127</v>
      </c>
      <c r="F65" s="19" t="s">
        <v>2876</v>
      </c>
      <c r="G65" t="s">
        <v>1376</v>
      </c>
      <c r="H65" t="s">
        <v>1874</v>
      </c>
    </row>
    <row r="66" spans="1:8" ht="14.4" customHeight="1" x14ac:dyDescent="0.3">
      <c r="A66" s="6" t="s">
        <v>128</v>
      </c>
      <c r="B66" s="2" t="s">
        <v>128</v>
      </c>
      <c r="C66" s="2" t="s">
        <v>432</v>
      </c>
      <c r="D66" s="4">
        <v>64</v>
      </c>
      <c r="E66" s="2" t="s">
        <v>129</v>
      </c>
      <c r="F66" s="19" t="s">
        <v>2876</v>
      </c>
      <c r="G66" t="s">
        <v>1377</v>
      </c>
      <c r="H66" t="s">
        <v>1875</v>
      </c>
    </row>
    <row r="67" spans="1:8" ht="14.4" customHeight="1" x14ac:dyDescent="0.3">
      <c r="A67" s="6" t="s">
        <v>130</v>
      </c>
      <c r="B67" s="2" t="s">
        <v>130</v>
      </c>
      <c r="C67" s="2" t="s">
        <v>432</v>
      </c>
      <c r="D67" s="4">
        <v>65</v>
      </c>
      <c r="E67" s="2" t="s">
        <v>131</v>
      </c>
      <c r="F67" s="19" t="s">
        <v>2876</v>
      </c>
      <c r="G67" t="s">
        <v>1378</v>
      </c>
      <c r="H67" t="s">
        <v>1876</v>
      </c>
    </row>
    <row r="68" spans="1:8" ht="14.4" customHeight="1" x14ac:dyDescent="0.3">
      <c r="A68" s="6" t="s">
        <v>132</v>
      </c>
      <c r="B68" s="2" t="s">
        <v>132</v>
      </c>
      <c r="C68" s="2" t="s">
        <v>432</v>
      </c>
      <c r="D68" s="4">
        <v>66</v>
      </c>
      <c r="E68" s="2" t="s">
        <v>133</v>
      </c>
      <c r="F68" s="19" t="s">
        <v>2876</v>
      </c>
      <c r="G68" t="s">
        <v>1379</v>
      </c>
      <c r="H68" t="s">
        <v>1877</v>
      </c>
    </row>
    <row r="69" spans="1:8" ht="14.4" customHeight="1" x14ac:dyDescent="0.3">
      <c r="A69" s="6" t="s">
        <v>134</v>
      </c>
      <c r="B69" s="2" t="s">
        <v>134</v>
      </c>
      <c r="C69" s="2" t="s">
        <v>432</v>
      </c>
      <c r="D69" s="4">
        <v>67</v>
      </c>
      <c r="E69" s="2" t="s">
        <v>135</v>
      </c>
      <c r="F69" s="19" t="s">
        <v>2876</v>
      </c>
      <c r="G69" t="s">
        <v>1380</v>
      </c>
      <c r="H69" t="s">
        <v>1878</v>
      </c>
    </row>
    <row r="70" spans="1:8" ht="14.4" customHeight="1" x14ac:dyDescent="0.3">
      <c r="A70" s="6" t="s">
        <v>136</v>
      </c>
      <c r="B70" s="2" t="s">
        <v>136</v>
      </c>
      <c r="C70" s="2" t="s">
        <v>432</v>
      </c>
      <c r="D70" s="4">
        <v>68</v>
      </c>
      <c r="E70" s="2" t="s">
        <v>137</v>
      </c>
      <c r="F70" s="19" t="s">
        <v>2876</v>
      </c>
      <c r="G70" t="s">
        <v>1381</v>
      </c>
      <c r="H70" t="s">
        <v>1879</v>
      </c>
    </row>
    <row r="71" spans="1:8" ht="14.4" customHeight="1" x14ac:dyDescent="0.3">
      <c r="A71" s="6" t="s">
        <v>138</v>
      </c>
      <c r="B71" s="2" t="s">
        <v>138</v>
      </c>
      <c r="C71" s="2" t="s">
        <v>432</v>
      </c>
      <c r="D71" s="4">
        <v>69</v>
      </c>
      <c r="E71" s="2" t="s">
        <v>139</v>
      </c>
      <c r="F71" s="19" t="s">
        <v>2876</v>
      </c>
      <c r="G71" t="s">
        <v>1382</v>
      </c>
      <c r="H71" t="s">
        <v>1880</v>
      </c>
    </row>
    <row r="72" spans="1:8" ht="14.4" customHeight="1" x14ac:dyDescent="0.3">
      <c r="A72" s="6" t="s">
        <v>140</v>
      </c>
      <c r="B72" s="2" t="s">
        <v>140</v>
      </c>
      <c r="C72" s="2" t="s">
        <v>432</v>
      </c>
      <c r="D72" s="4">
        <v>70</v>
      </c>
      <c r="E72" s="2" t="s">
        <v>141</v>
      </c>
      <c r="F72" s="19" t="s">
        <v>2876</v>
      </c>
      <c r="G72" t="s">
        <v>1383</v>
      </c>
      <c r="H72" t="s">
        <v>1881</v>
      </c>
    </row>
    <row r="73" spans="1:8" ht="14.4" customHeight="1" x14ac:dyDescent="0.3">
      <c r="A73" s="6" t="s">
        <v>142</v>
      </c>
      <c r="B73" s="2" t="s">
        <v>142</v>
      </c>
      <c r="C73" s="2" t="s">
        <v>432</v>
      </c>
      <c r="D73" s="4">
        <v>71</v>
      </c>
      <c r="E73" s="2" t="s">
        <v>143</v>
      </c>
      <c r="F73" s="19" t="s">
        <v>2876</v>
      </c>
      <c r="G73" t="s">
        <v>1384</v>
      </c>
      <c r="H73" t="s">
        <v>1882</v>
      </c>
    </row>
    <row r="74" spans="1:8" ht="14.4" customHeight="1" x14ac:dyDescent="0.3">
      <c r="A74" s="6" t="s">
        <v>144</v>
      </c>
      <c r="B74" s="2" t="s">
        <v>144</v>
      </c>
      <c r="C74" s="2" t="s">
        <v>432</v>
      </c>
      <c r="D74" s="4">
        <v>72</v>
      </c>
      <c r="E74" s="2" t="s">
        <v>145</v>
      </c>
      <c r="F74" s="19" t="s">
        <v>2876</v>
      </c>
      <c r="G74" t="s">
        <v>1385</v>
      </c>
      <c r="H74" t="s">
        <v>1883</v>
      </c>
    </row>
    <row r="75" spans="1:8" ht="14.4" customHeight="1" x14ac:dyDescent="0.3">
      <c r="A75" s="6" t="s">
        <v>146</v>
      </c>
      <c r="B75" s="2" t="s">
        <v>146</v>
      </c>
      <c r="C75" s="2" t="s">
        <v>432</v>
      </c>
      <c r="D75" s="4">
        <v>73</v>
      </c>
      <c r="E75" s="2" t="s">
        <v>147</v>
      </c>
      <c r="F75" s="19" t="s">
        <v>2876</v>
      </c>
      <c r="G75" t="s">
        <v>1386</v>
      </c>
      <c r="H75" t="s">
        <v>1884</v>
      </c>
    </row>
    <row r="76" spans="1:8" ht="14.4" customHeight="1" x14ac:dyDescent="0.3">
      <c r="A76" s="6" t="s">
        <v>148</v>
      </c>
      <c r="B76" s="2" t="s">
        <v>148</v>
      </c>
      <c r="C76" s="2" t="s">
        <v>432</v>
      </c>
      <c r="D76" s="4">
        <v>74</v>
      </c>
      <c r="E76" s="2" t="s">
        <v>149</v>
      </c>
      <c r="F76" s="19" t="s">
        <v>2876</v>
      </c>
      <c r="G76" t="s">
        <v>1387</v>
      </c>
      <c r="H76" t="s">
        <v>1885</v>
      </c>
    </row>
    <row r="77" spans="1:8" ht="14.4" customHeight="1" x14ac:dyDescent="0.3">
      <c r="A77" s="6" t="s">
        <v>150</v>
      </c>
      <c r="B77" s="2" t="s">
        <v>150</v>
      </c>
      <c r="C77" s="2" t="s">
        <v>432</v>
      </c>
      <c r="D77" s="4">
        <v>75</v>
      </c>
      <c r="E77" s="2" t="s">
        <v>151</v>
      </c>
      <c r="F77" s="19" t="s">
        <v>2876</v>
      </c>
      <c r="G77" t="s">
        <v>1388</v>
      </c>
      <c r="H77" t="s">
        <v>1886</v>
      </c>
    </row>
    <row r="78" spans="1:8" ht="14.4" customHeight="1" x14ac:dyDescent="0.3">
      <c r="A78" s="6" t="s">
        <v>152</v>
      </c>
      <c r="B78" s="2" t="s">
        <v>152</v>
      </c>
      <c r="C78" s="2" t="s">
        <v>432</v>
      </c>
      <c r="D78" s="4">
        <v>76</v>
      </c>
      <c r="E78" s="2" t="s">
        <v>153</v>
      </c>
      <c r="F78" s="19" t="s">
        <v>2876</v>
      </c>
      <c r="G78" t="s">
        <v>1389</v>
      </c>
      <c r="H78" t="s">
        <v>1887</v>
      </c>
    </row>
    <row r="79" spans="1:8" ht="14.4" customHeight="1" x14ac:dyDescent="0.3">
      <c r="A79" s="6" t="s">
        <v>154</v>
      </c>
      <c r="B79" s="2" t="s">
        <v>154</v>
      </c>
      <c r="C79" s="2" t="s">
        <v>432</v>
      </c>
      <c r="D79" s="4">
        <v>77</v>
      </c>
      <c r="E79" s="2" t="s">
        <v>155</v>
      </c>
      <c r="F79" s="19" t="s">
        <v>2876</v>
      </c>
      <c r="G79" t="s">
        <v>1390</v>
      </c>
      <c r="H79" t="s">
        <v>1888</v>
      </c>
    </row>
    <row r="80" spans="1:8" ht="14.4" customHeight="1" x14ac:dyDescent="0.3">
      <c r="A80" s="6" t="s">
        <v>156</v>
      </c>
      <c r="B80" s="2" t="s">
        <v>156</v>
      </c>
      <c r="C80" s="2" t="s">
        <v>432</v>
      </c>
      <c r="D80" s="4">
        <v>78</v>
      </c>
      <c r="E80" s="2" t="s">
        <v>157</v>
      </c>
      <c r="F80" s="19" t="s">
        <v>2876</v>
      </c>
      <c r="G80" t="s">
        <v>1391</v>
      </c>
      <c r="H80" t="s">
        <v>1889</v>
      </c>
    </row>
    <row r="81" spans="1:8" ht="14.4" customHeight="1" x14ac:dyDescent="0.3">
      <c r="A81" s="6" t="s">
        <v>158</v>
      </c>
      <c r="B81" s="2" t="s">
        <v>158</v>
      </c>
      <c r="C81" s="2" t="s">
        <v>432</v>
      </c>
      <c r="D81" s="4">
        <v>79</v>
      </c>
      <c r="E81" s="2" t="s">
        <v>159</v>
      </c>
      <c r="F81" s="19" t="s">
        <v>2876</v>
      </c>
      <c r="G81" t="s">
        <v>1392</v>
      </c>
      <c r="H81" t="s">
        <v>1890</v>
      </c>
    </row>
    <row r="82" spans="1:8" ht="14.4" customHeight="1" x14ac:dyDescent="0.3">
      <c r="A82" s="6" t="s">
        <v>160</v>
      </c>
      <c r="B82" s="2" t="s">
        <v>160</v>
      </c>
      <c r="C82" s="2" t="s">
        <v>432</v>
      </c>
      <c r="D82" s="4">
        <v>80</v>
      </c>
      <c r="E82" s="2" t="s">
        <v>161</v>
      </c>
      <c r="F82" s="19" t="s">
        <v>2876</v>
      </c>
      <c r="G82" t="s">
        <v>1393</v>
      </c>
      <c r="H82" t="s">
        <v>1891</v>
      </c>
    </row>
    <row r="83" spans="1:8" ht="14.4" customHeight="1" x14ac:dyDescent="0.3">
      <c r="A83" s="6" t="s">
        <v>162</v>
      </c>
      <c r="B83" s="2" t="s">
        <v>162</v>
      </c>
      <c r="C83" s="2" t="s">
        <v>432</v>
      </c>
      <c r="D83" s="4">
        <v>81</v>
      </c>
      <c r="E83" s="2" t="s">
        <v>163</v>
      </c>
      <c r="F83" s="19" t="s">
        <v>2876</v>
      </c>
      <c r="G83" t="s">
        <v>1394</v>
      </c>
      <c r="H83" t="s">
        <v>1892</v>
      </c>
    </row>
    <row r="84" spans="1:8" ht="14.4" customHeight="1" x14ac:dyDescent="0.3">
      <c r="A84" s="6" t="s">
        <v>164</v>
      </c>
      <c r="B84" s="2" t="s">
        <v>164</v>
      </c>
      <c r="C84" s="2" t="s">
        <v>432</v>
      </c>
      <c r="D84" s="4">
        <v>82</v>
      </c>
      <c r="E84" s="2" t="s">
        <v>165</v>
      </c>
      <c r="F84" s="19" t="s">
        <v>2876</v>
      </c>
      <c r="G84" t="s">
        <v>1395</v>
      </c>
      <c r="H84" t="s">
        <v>1893</v>
      </c>
    </row>
    <row r="85" spans="1:8" ht="14.4" customHeight="1" x14ac:dyDescent="0.3">
      <c r="A85" s="6" t="s">
        <v>166</v>
      </c>
      <c r="B85" s="2" t="s">
        <v>166</v>
      </c>
      <c r="C85" s="2" t="s">
        <v>432</v>
      </c>
      <c r="D85" s="4">
        <v>83</v>
      </c>
      <c r="E85" s="2" t="s">
        <v>167</v>
      </c>
      <c r="F85" s="19" t="s">
        <v>2876</v>
      </c>
      <c r="G85" t="s">
        <v>1396</v>
      </c>
      <c r="H85" t="s">
        <v>1894</v>
      </c>
    </row>
    <row r="86" spans="1:8" ht="14.4" customHeight="1" x14ac:dyDescent="0.3">
      <c r="A86" s="6" t="s">
        <v>168</v>
      </c>
      <c r="B86" s="2" t="s">
        <v>168</v>
      </c>
      <c r="C86" s="2" t="s">
        <v>432</v>
      </c>
      <c r="D86" s="4">
        <v>84</v>
      </c>
      <c r="E86" s="2" t="s">
        <v>169</v>
      </c>
      <c r="F86" s="19" t="s">
        <v>2876</v>
      </c>
      <c r="G86" t="s">
        <v>1397</v>
      </c>
      <c r="H86" t="s">
        <v>1895</v>
      </c>
    </row>
    <row r="87" spans="1:8" ht="14.4" customHeight="1" x14ac:dyDescent="0.3">
      <c r="A87" s="6" t="s">
        <v>170</v>
      </c>
      <c r="B87" s="2" t="s">
        <v>170</v>
      </c>
      <c r="C87" s="2" t="s">
        <v>432</v>
      </c>
      <c r="D87" s="4">
        <v>85</v>
      </c>
      <c r="E87" s="2" t="s">
        <v>171</v>
      </c>
      <c r="F87" s="19" t="s">
        <v>2876</v>
      </c>
      <c r="G87" t="s">
        <v>1398</v>
      </c>
      <c r="H87" t="s">
        <v>1896</v>
      </c>
    </row>
    <row r="88" spans="1:8" ht="14.4" customHeight="1" x14ac:dyDescent="0.3">
      <c r="A88" s="6" t="s">
        <v>172</v>
      </c>
      <c r="B88" s="2" t="s">
        <v>172</v>
      </c>
      <c r="C88" s="2" t="s">
        <v>432</v>
      </c>
      <c r="D88" s="4">
        <v>86</v>
      </c>
      <c r="E88" s="2" t="s">
        <v>173</v>
      </c>
      <c r="F88" s="19" t="s">
        <v>2876</v>
      </c>
      <c r="G88" t="s">
        <v>1399</v>
      </c>
      <c r="H88" t="s">
        <v>1897</v>
      </c>
    </row>
    <row r="89" spans="1:8" ht="14.4" customHeight="1" x14ac:dyDescent="0.3">
      <c r="A89" s="6" t="s">
        <v>174</v>
      </c>
      <c r="B89" s="2" t="s">
        <v>174</v>
      </c>
      <c r="C89" s="2" t="s">
        <v>432</v>
      </c>
      <c r="D89" s="4">
        <v>87</v>
      </c>
      <c r="E89" s="2" t="s">
        <v>175</v>
      </c>
      <c r="F89" s="19" t="s">
        <v>2876</v>
      </c>
      <c r="G89" t="s">
        <v>1400</v>
      </c>
      <c r="H89" t="s">
        <v>1898</v>
      </c>
    </row>
    <row r="90" spans="1:8" ht="14.4" customHeight="1" x14ac:dyDescent="0.3">
      <c r="A90" s="6" t="s">
        <v>176</v>
      </c>
      <c r="B90" s="2" t="s">
        <v>176</v>
      </c>
      <c r="C90" s="2" t="s">
        <v>432</v>
      </c>
      <c r="D90" s="4">
        <v>88</v>
      </c>
      <c r="E90" s="2" t="s">
        <v>177</v>
      </c>
      <c r="F90" s="19" t="s">
        <v>2876</v>
      </c>
      <c r="G90" t="s">
        <v>1401</v>
      </c>
      <c r="H90" t="s">
        <v>1899</v>
      </c>
    </row>
    <row r="91" spans="1:8" ht="14.4" customHeight="1" x14ac:dyDescent="0.3">
      <c r="A91" s="6" t="s">
        <v>178</v>
      </c>
      <c r="B91" s="2" t="s">
        <v>178</v>
      </c>
      <c r="C91" s="2" t="s">
        <v>432</v>
      </c>
      <c r="D91" s="4">
        <v>89</v>
      </c>
      <c r="E91" s="2" t="s">
        <v>179</v>
      </c>
      <c r="F91" s="19" t="s">
        <v>2876</v>
      </c>
      <c r="G91" t="s">
        <v>1402</v>
      </c>
      <c r="H91" t="s">
        <v>1900</v>
      </c>
    </row>
    <row r="92" spans="1:8" ht="14.4" customHeight="1" x14ac:dyDescent="0.3">
      <c r="A92" s="6" t="s">
        <v>180</v>
      </c>
      <c r="B92" s="2" t="s">
        <v>180</v>
      </c>
      <c r="C92" s="2" t="s">
        <v>432</v>
      </c>
      <c r="D92" s="4">
        <v>90</v>
      </c>
      <c r="E92" s="2" t="s">
        <v>181</v>
      </c>
      <c r="F92" s="19" t="s">
        <v>2876</v>
      </c>
      <c r="G92" t="s">
        <v>1403</v>
      </c>
      <c r="H92" t="s">
        <v>1901</v>
      </c>
    </row>
    <row r="93" spans="1:8" ht="14.4" customHeight="1" x14ac:dyDescent="0.3">
      <c r="A93" s="6" t="s">
        <v>182</v>
      </c>
      <c r="B93" s="2" t="s">
        <v>182</v>
      </c>
      <c r="C93" s="2" t="s">
        <v>432</v>
      </c>
      <c r="D93" s="4">
        <v>91</v>
      </c>
      <c r="E93" s="2" t="s">
        <v>183</v>
      </c>
      <c r="F93" s="19" t="s">
        <v>2876</v>
      </c>
      <c r="G93" t="s">
        <v>1404</v>
      </c>
      <c r="H93" t="s">
        <v>1902</v>
      </c>
    </row>
    <row r="94" spans="1:8" ht="14.4" customHeight="1" x14ac:dyDescent="0.3">
      <c r="A94" s="6" t="s">
        <v>184</v>
      </c>
      <c r="B94" s="2" t="s">
        <v>184</v>
      </c>
      <c r="C94" s="2" t="s">
        <v>432</v>
      </c>
      <c r="D94" s="4">
        <v>92</v>
      </c>
      <c r="E94" s="2" t="s">
        <v>185</v>
      </c>
      <c r="F94" s="19" t="s">
        <v>2876</v>
      </c>
      <c r="G94" t="s">
        <v>1405</v>
      </c>
      <c r="H94" t="s">
        <v>1903</v>
      </c>
    </row>
    <row r="95" spans="1:8" ht="14.4" customHeight="1" x14ac:dyDescent="0.3">
      <c r="A95" s="6" t="s">
        <v>186</v>
      </c>
      <c r="B95" s="2" t="s">
        <v>186</v>
      </c>
      <c r="C95" s="2" t="s">
        <v>432</v>
      </c>
      <c r="D95" s="4">
        <v>93</v>
      </c>
      <c r="E95" s="2" t="s">
        <v>187</v>
      </c>
      <c r="F95" s="19" t="s">
        <v>2876</v>
      </c>
      <c r="G95" t="s">
        <v>1406</v>
      </c>
      <c r="H95" t="s">
        <v>1904</v>
      </c>
    </row>
    <row r="96" spans="1:8" ht="14.4" customHeight="1" x14ac:dyDescent="0.3">
      <c r="A96" s="6" t="s">
        <v>188</v>
      </c>
      <c r="B96" s="2" t="s">
        <v>188</v>
      </c>
      <c r="C96" s="2" t="s">
        <v>432</v>
      </c>
      <c r="D96" s="4">
        <v>94</v>
      </c>
      <c r="E96" s="2" t="s">
        <v>189</v>
      </c>
      <c r="F96" s="19" t="s">
        <v>2876</v>
      </c>
      <c r="G96" t="s">
        <v>1407</v>
      </c>
      <c r="H96" t="s">
        <v>1905</v>
      </c>
    </row>
    <row r="97" spans="1:8" ht="14.4" customHeight="1" x14ac:dyDescent="0.3">
      <c r="A97" s="6" t="s">
        <v>190</v>
      </c>
      <c r="B97" s="2" t="s">
        <v>190</v>
      </c>
      <c r="C97" s="2" t="s">
        <v>432</v>
      </c>
      <c r="D97" s="4">
        <v>95</v>
      </c>
      <c r="E97" s="2" t="s">
        <v>191</v>
      </c>
      <c r="F97" s="19" t="s">
        <v>2876</v>
      </c>
      <c r="G97" t="s">
        <v>1408</v>
      </c>
      <c r="H97" t="s">
        <v>1906</v>
      </c>
    </row>
    <row r="98" spans="1:8" ht="14.4" customHeight="1" x14ac:dyDescent="0.3">
      <c r="A98" s="6" t="s">
        <v>192</v>
      </c>
      <c r="B98" s="2" t="s">
        <v>192</v>
      </c>
      <c r="C98" s="2" t="s">
        <v>432</v>
      </c>
      <c r="D98" s="4">
        <v>96</v>
      </c>
      <c r="E98" s="2" t="s">
        <v>193</v>
      </c>
      <c r="F98" s="19" t="s">
        <v>2876</v>
      </c>
      <c r="G98" t="s">
        <v>1409</v>
      </c>
      <c r="H98" t="s">
        <v>1907</v>
      </c>
    </row>
    <row r="99" spans="1:8" ht="14.4" customHeight="1" x14ac:dyDescent="0.3">
      <c r="A99" s="6" t="s">
        <v>194</v>
      </c>
      <c r="B99" s="2" t="s">
        <v>194</v>
      </c>
      <c r="C99" s="2" t="s">
        <v>432</v>
      </c>
      <c r="D99" s="4">
        <v>97</v>
      </c>
      <c r="E99" s="2" t="s">
        <v>195</v>
      </c>
      <c r="F99" s="19" t="s">
        <v>2876</v>
      </c>
      <c r="G99" t="s">
        <v>1410</v>
      </c>
      <c r="H99" t="s">
        <v>1908</v>
      </c>
    </row>
    <row r="100" spans="1:8" ht="14.4" customHeight="1" x14ac:dyDescent="0.3">
      <c r="A100" s="6" t="s">
        <v>196</v>
      </c>
      <c r="B100" s="2" t="s">
        <v>196</v>
      </c>
      <c r="C100" s="2" t="s">
        <v>432</v>
      </c>
      <c r="D100" s="4">
        <v>98</v>
      </c>
      <c r="E100" s="2" t="s">
        <v>197</v>
      </c>
      <c r="F100" s="19" t="s">
        <v>2876</v>
      </c>
      <c r="G100" t="s">
        <v>1411</v>
      </c>
      <c r="H100" t="s">
        <v>1909</v>
      </c>
    </row>
    <row r="101" spans="1:8" ht="14.4" customHeight="1" x14ac:dyDescent="0.3">
      <c r="A101" s="6" t="s">
        <v>198</v>
      </c>
      <c r="B101" s="2" t="s">
        <v>198</v>
      </c>
      <c r="C101" s="2" t="s">
        <v>432</v>
      </c>
      <c r="D101" s="4">
        <v>99</v>
      </c>
      <c r="E101" s="2" t="s">
        <v>199</v>
      </c>
      <c r="F101" s="19" t="s">
        <v>2876</v>
      </c>
      <c r="G101" t="s">
        <v>1412</v>
      </c>
      <c r="H101" t="s">
        <v>1910</v>
      </c>
    </row>
    <row r="102" spans="1:8" ht="14.4" customHeight="1" x14ac:dyDescent="0.3">
      <c r="A102" s="6" t="s">
        <v>200</v>
      </c>
      <c r="B102" s="2" t="s">
        <v>200</v>
      </c>
      <c r="C102" s="2" t="s">
        <v>432</v>
      </c>
      <c r="D102" s="4">
        <v>100</v>
      </c>
      <c r="E102" s="2" t="s">
        <v>201</v>
      </c>
      <c r="F102" s="19" t="s">
        <v>2876</v>
      </c>
      <c r="G102" t="s">
        <v>1413</v>
      </c>
      <c r="H102" t="s">
        <v>1911</v>
      </c>
    </row>
    <row r="103" spans="1:8" ht="14.4" customHeight="1" x14ac:dyDescent="0.3">
      <c r="A103" s="6" t="s">
        <v>202</v>
      </c>
      <c r="B103" s="2" t="s">
        <v>202</v>
      </c>
      <c r="C103" s="2" t="s">
        <v>432</v>
      </c>
      <c r="D103" s="4">
        <v>101</v>
      </c>
      <c r="E103" s="2" t="s">
        <v>203</v>
      </c>
      <c r="F103" s="19" t="s">
        <v>2876</v>
      </c>
      <c r="G103" t="s">
        <v>1414</v>
      </c>
      <c r="H103" t="s">
        <v>1912</v>
      </c>
    </row>
    <row r="104" spans="1:8" ht="14.4" customHeight="1" x14ac:dyDescent="0.3">
      <c r="A104" s="6" t="s">
        <v>204</v>
      </c>
      <c r="B104" s="2" t="s">
        <v>204</v>
      </c>
      <c r="C104" s="2" t="s">
        <v>432</v>
      </c>
      <c r="D104" s="4">
        <v>102</v>
      </c>
      <c r="E104" s="2" t="s">
        <v>205</v>
      </c>
      <c r="F104" s="19" t="s">
        <v>2876</v>
      </c>
      <c r="G104" t="s">
        <v>1415</v>
      </c>
      <c r="H104" t="s">
        <v>1913</v>
      </c>
    </row>
    <row r="105" spans="1:8" ht="14.4" customHeight="1" x14ac:dyDescent="0.3">
      <c r="A105" s="6" t="s">
        <v>206</v>
      </c>
      <c r="B105" s="2" t="s">
        <v>206</v>
      </c>
      <c r="C105" s="2" t="s">
        <v>432</v>
      </c>
      <c r="D105" s="4">
        <v>103</v>
      </c>
      <c r="E105" s="2" t="s">
        <v>207</v>
      </c>
      <c r="F105" s="19" t="s">
        <v>2876</v>
      </c>
      <c r="G105" t="s">
        <v>1416</v>
      </c>
      <c r="H105" t="s">
        <v>1914</v>
      </c>
    </row>
    <row r="106" spans="1:8" ht="14.4" customHeight="1" x14ac:dyDescent="0.3">
      <c r="A106" s="6" t="s">
        <v>208</v>
      </c>
      <c r="B106" s="2" t="s">
        <v>208</v>
      </c>
      <c r="C106" s="2" t="s">
        <v>432</v>
      </c>
      <c r="D106" s="4">
        <v>104</v>
      </c>
      <c r="E106" s="2" t="s">
        <v>209</v>
      </c>
      <c r="F106" s="19" t="s">
        <v>2876</v>
      </c>
      <c r="G106" t="s">
        <v>1417</v>
      </c>
      <c r="H106" t="s">
        <v>1915</v>
      </c>
    </row>
    <row r="107" spans="1:8" ht="14.4" customHeight="1" x14ac:dyDescent="0.3">
      <c r="A107" s="6" t="s">
        <v>210</v>
      </c>
      <c r="B107" s="2" t="s">
        <v>210</v>
      </c>
      <c r="C107" s="2" t="s">
        <v>432</v>
      </c>
      <c r="D107" s="4">
        <v>105</v>
      </c>
      <c r="E107" s="2" t="s">
        <v>211</v>
      </c>
      <c r="F107" s="19" t="s">
        <v>2876</v>
      </c>
      <c r="G107" t="s">
        <v>1418</v>
      </c>
      <c r="H107" t="s">
        <v>1916</v>
      </c>
    </row>
    <row r="108" spans="1:8" ht="14.4" customHeight="1" x14ac:dyDescent="0.3">
      <c r="A108" s="6" t="s">
        <v>212</v>
      </c>
      <c r="B108" s="2" t="s">
        <v>212</v>
      </c>
      <c r="C108" s="2" t="s">
        <v>432</v>
      </c>
      <c r="D108" s="4">
        <v>106</v>
      </c>
      <c r="E108" s="2" t="s">
        <v>213</v>
      </c>
      <c r="F108" s="19" t="s">
        <v>2876</v>
      </c>
      <c r="G108" t="s">
        <v>1419</v>
      </c>
      <c r="H108" t="s">
        <v>1917</v>
      </c>
    </row>
    <row r="109" spans="1:8" ht="14.4" customHeight="1" x14ac:dyDescent="0.3">
      <c r="A109" s="6" t="s">
        <v>214</v>
      </c>
      <c r="B109" s="2" t="s">
        <v>214</v>
      </c>
      <c r="C109" s="2" t="s">
        <v>432</v>
      </c>
      <c r="D109" s="4">
        <v>107</v>
      </c>
      <c r="E109" s="2" t="s">
        <v>215</v>
      </c>
      <c r="F109" s="19" t="s">
        <v>2876</v>
      </c>
      <c r="G109" t="s">
        <v>1420</v>
      </c>
      <c r="H109" t="s">
        <v>1918</v>
      </c>
    </row>
    <row r="110" spans="1:8" ht="14.4" customHeight="1" x14ac:dyDescent="0.3">
      <c r="A110" s="6" t="s">
        <v>216</v>
      </c>
      <c r="B110" s="2" t="s">
        <v>216</v>
      </c>
      <c r="C110" s="2" t="s">
        <v>432</v>
      </c>
      <c r="D110" s="4">
        <v>108</v>
      </c>
      <c r="E110" s="2" t="s">
        <v>217</v>
      </c>
      <c r="F110" s="19" t="s">
        <v>2876</v>
      </c>
      <c r="G110" t="s">
        <v>1421</v>
      </c>
      <c r="H110" t="s">
        <v>1919</v>
      </c>
    </row>
    <row r="111" spans="1:8" ht="14.4" customHeight="1" x14ac:dyDescent="0.3">
      <c r="A111" s="6" t="s">
        <v>218</v>
      </c>
      <c r="B111" s="2" t="s">
        <v>218</v>
      </c>
      <c r="C111" s="2" t="s">
        <v>432</v>
      </c>
      <c r="D111" s="4">
        <v>109</v>
      </c>
      <c r="E111" s="2" t="s">
        <v>219</v>
      </c>
      <c r="F111" s="19" t="s">
        <v>2876</v>
      </c>
      <c r="G111" t="s">
        <v>1422</v>
      </c>
      <c r="H111" t="s">
        <v>1920</v>
      </c>
    </row>
    <row r="112" spans="1:8" ht="14.4" customHeight="1" x14ac:dyDescent="0.3">
      <c r="A112" s="6" t="s">
        <v>220</v>
      </c>
      <c r="B112" s="2" t="s">
        <v>220</v>
      </c>
      <c r="C112" s="2" t="s">
        <v>432</v>
      </c>
      <c r="D112" s="4">
        <v>110</v>
      </c>
      <c r="E112" s="2" t="s">
        <v>221</v>
      </c>
      <c r="F112" s="19" t="s">
        <v>2876</v>
      </c>
      <c r="G112" t="s">
        <v>1423</v>
      </c>
      <c r="H112" t="s">
        <v>1921</v>
      </c>
    </row>
    <row r="113" spans="1:8" ht="14.4" customHeight="1" x14ac:dyDescent="0.3">
      <c r="A113" s="6" t="s">
        <v>222</v>
      </c>
      <c r="B113" s="2" t="s">
        <v>222</v>
      </c>
      <c r="C113" s="2" t="s">
        <v>432</v>
      </c>
      <c r="D113" s="4">
        <v>111</v>
      </c>
      <c r="E113" s="2" t="s">
        <v>223</v>
      </c>
      <c r="F113" s="19" t="s">
        <v>2876</v>
      </c>
      <c r="G113" t="s">
        <v>1424</v>
      </c>
      <c r="H113" t="s">
        <v>1922</v>
      </c>
    </row>
    <row r="114" spans="1:8" ht="14.4" customHeight="1" x14ac:dyDescent="0.3">
      <c r="A114" s="6" t="s">
        <v>224</v>
      </c>
      <c r="B114" s="2" t="s">
        <v>224</v>
      </c>
      <c r="C114" s="2" t="s">
        <v>432</v>
      </c>
      <c r="D114" s="4">
        <v>112</v>
      </c>
      <c r="E114" s="2" t="s">
        <v>225</v>
      </c>
      <c r="F114" s="19" t="s">
        <v>2876</v>
      </c>
      <c r="G114" t="s">
        <v>1425</v>
      </c>
      <c r="H114" t="s">
        <v>1923</v>
      </c>
    </row>
    <row r="115" spans="1:8" ht="14.4" customHeight="1" x14ac:dyDescent="0.3">
      <c r="A115" s="6" t="s">
        <v>226</v>
      </c>
      <c r="B115" s="2" t="s">
        <v>226</v>
      </c>
      <c r="C115" s="2" t="s">
        <v>432</v>
      </c>
      <c r="D115" s="4">
        <v>113</v>
      </c>
      <c r="E115" s="2" t="s">
        <v>227</v>
      </c>
      <c r="F115" s="19" t="s">
        <v>2876</v>
      </c>
      <c r="G115" t="s">
        <v>1426</v>
      </c>
      <c r="H115" t="s">
        <v>1924</v>
      </c>
    </row>
    <row r="116" spans="1:8" ht="14.4" customHeight="1" x14ac:dyDescent="0.3">
      <c r="A116" s="6" t="s">
        <v>228</v>
      </c>
      <c r="B116" s="2" t="s">
        <v>228</v>
      </c>
      <c r="C116" s="2" t="s">
        <v>432</v>
      </c>
      <c r="D116" s="4">
        <v>114</v>
      </c>
      <c r="E116" s="2" t="s">
        <v>229</v>
      </c>
      <c r="F116" s="19" t="s">
        <v>2876</v>
      </c>
      <c r="G116" t="s">
        <v>1427</v>
      </c>
      <c r="H116" t="s">
        <v>1925</v>
      </c>
    </row>
    <row r="117" spans="1:8" ht="14.4" customHeight="1" x14ac:dyDescent="0.3">
      <c r="A117" s="6" t="s">
        <v>230</v>
      </c>
      <c r="B117" s="2" t="s">
        <v>230</v>
      </c>
      <c r="C117" s="2" t="s">
        <v>432</v>
      </c>
      <c r="D117" s="4">
        <v>115</v>
      </c>
      <c r="E117" s="2" t="s">
        <v>231</v>
      </c>
      <c r="F117" s="19" t="s">
        <v>2876</v>
      </c>
      <c r="G117" t="s">
        <v>1428</v>
      </c>
      <c r="H117" t="s">
        <v>1926</v>
      </c>
    </row>
    <row r="118" spans="1:8" ht="14.4" customHeight="1" x14ac:dyDescent="0.3">
      <c r="A118" s="6" t="s">
        <v>232</v>
      </c>
      <c r="B118" s="2" t="s">
        <v>232</v>
      </c>
      <c r="C118" s="2" t="s">
        <v>432</v>
      </c>
      <c r="D118" s="4">
        <v>116</v>
      </c>
      <c r="E118" s="2" t="s">
        <v>233</v>
      </c>
      <c r="F118" s="19" t="s">
        <v>2876</v>
      </c>
      <c r="G118" t="s">
        <v>1429</v>
      </c>
      <c r="H118" t="s">
        <v>1927</v>
      </c>
    </row>
    <row r="119" spans="1:8" ht="14.4" customHeight="1" x14ac:dyDescent="0.3">
      <c r="A119" s="6" t="s">
        <v>234</v>
      </c>
      <c r="B119" s="2" t="s">
        <v>234</v>
      </c>
      <c r="C119" s="2" t="s">
        <v>432</v>
      </c>
      <c r="D119" s="4">
        <v>117</v>
      </c>
      <c r="E119" s="2" t="s">
        <v>235</v>
      </c>
      <c r="F119" s="19" t="s">
        <v>2876</v>
      </c>
      <c r="G119" t="s">
        <v>1430</v>
      </c>
      <c r="H119" t="s">
        <v>1928</v>
      </c>
    </row>
    <row r="120" spans="1:8" ht="14.4" customHeight="1" x14ac:dyDescent="0.3">
      <c r="A120" s="6" t="s">
        <v>236</v>
      </c>
      <c r="B120" s="2" t="s">
        <v>236</v>
      </c>
      <c r="C120" s="2" t="s">
        <v>432</v>
      </c>
      <c r="D120" s="4">
        <v>118</v>
      </c>
      <c r="E120" s="2" t="s">
        <v>237</v>
      </c>
      <c r="F120" s="19" t="s">
        <v>2876</v>
      </c>
      <c r="G120" t="s">
        <v>1431</v>
      </c>
      <c r="H120" t="s">
        <v>1929</v>
      </c>
    </row>
    <row r="121" spans="1:8" ht="14.4" customHeight="1" x14ac:dyDescent="0.3">
      <c r="A121" s="6" t="s">
        <v>238</v>
      </c>
      <c r="B121" s="2" t="s">
        <v>238</v>
      </c>
      <c r="C121" s="2" t="s">
        <v>432</v>
      </c>
      <c r="D121" s="4">
        <v>119</v>
      </c>
      <c r="E121" s="2" t="s">
        <v>239</v>
      </c>
      <c r="F121" s="19" t="s">
        <v>2876</v>
      </c>
      <c r="G121" t="s">
        <v>1432</v>
      </c>
      <c r="H121" t="s">
        <v>1930</v>
      </c>
    </row>
    <row r="122" spans="1:8" ht="14.4" customHeight="1" x14ac:dyDescent="0.3">
      <c r="A122" s="6" t="s">
        <v>240</v>
      </c>
      <c r="B122" s="2" t="s">
        <v>240</v>
      </c>
      <c r="C122" s="2" t="s">
        <v>432</v>
      </c>
      <c r="D122" s="4">
        <v>120</v>
      </c>
      <c r="E122" s="2" t="s">
        <v>241</v>
      </c>
      <c r="F122" s="19" t="s">
        <v>2876</v>
      </c>
      <c r="G122" t="s">
        <v>1433</v>
      </c>
      <c r="H122" t="s">
        <v>1931</v>
      </c>
    </row>
    <row r="123" spans="1:8" ht="14.4" customHeight="1" x14ac:dyDescent="0.3">
      <c r="A123" s="6" t="s">
        <v>242</v>
      </c>
      <c r="B123" s="2" t="s">
        <v>242</v>
      </c>
      <c r="C123" s="2" t="s">
        <v>432</v>
      </c>
      <c r="D123" s="4">
        <v>121</v>
      </c>
      <c r="E123" s="2" t="s">
        <v>243</v>
      </c>
      <c r="F123" s="19" t="s">
        <v>2876</v>
      </c>
      <c r="G123" t="s">
        <v>1434</v>
      </c>
      <c r="H123" t="s">
        <v>1932</v>
      </c>
    </row>
    <row r="124" spans="1:8" ht="14.4" customHeight="1" x14ac:dyDescent="0.3">
      <c r="A124" s="6" t="s">
        <v>244</v>
      </c>
      <c r="B124" s="2" t="s">
        <v>244</v>
      </c>
      <c r="C124" s="2" t="s">
        <v>432</v>
      </c>
      <c r="D124" s="4">
        <v>122</v>
      </c>
      <c r="E124" s="2" t="s">
        <v>245</v>
      </c>
      <c r="F124" s="19" t="s">
        <v>2876</v>
      </c>
      <c r="G124" t="s">
        <v>1435</v>
      </c>
      <c r="H124" t="s">
        <v>1933</v>
      </c>
    </row>
    <row r="125" spans="1:8" ht="14.4" customHeight="1" x14ac:dyDescent="0.3">
      <c r="A125" s="6" t="s">
        <v>246</v>
      </c>
      <c r="B125" s="2" t="s">
        <v>246</v>
      </c>
      <c r="C125" s="2" t="s">
        <v>432</v>
      </c>
      <c r="D125" s="4">
        <v>123</v>
      </c>
      <c r="E125" s="2" t="s">
        <v>247</v>
      </c>
      <c r="F125" s="19" t="s">
        <v>2876</v>
      </c>
      <c r="G125" t="s">
        <v>1436</v>
      </c>
      <c r="H125" t="s">
        <v>1934</v>
      </c>
    </row>
    <row r="126" spans="1:8" ht="14.4" customHeight="1" x14ac:dyDescent="0.3">
      <c r="A126" s="6" t="s">
        <v>248</v>
      </c>
      <c r="B126" s="2" t="s">
        <v>248</v>
      </c>
      <c r="C126" s="2" t="s">
        <v>432</v>
      </c>
      <c r="D126" s="4">
        <v>124</v>
      </c>
      <c r="E126" s="2" t="s">
        <v>249</v>
      </c>
      <c r="F126" s="19" t="s">
        <v>2876</v>
      </c>
      <c r="G126" t="s">
        <v>1437</v>
      </c>
      <c r="H126" t="s">
        <v>1935</v>
      </c>
    </row>
    <row r="127" spans="1:8" ht="14.4" customHeight="1" x14ac:dyDescent="0.3">
      <c r="A127" s="6" t="s">
        <v>250</v>
      </c>
      <c r="B127" s="2" t="s">
        <v>250</v>
      </c>
      <c r="C127" s="2" t="s">
        <v>432</v>
      </c>
      <c r="D127" s="4">
        <v>125</v>
      </c>
      <c r="E127" s="2" t="s">
        <v>251</v>
      </c>
      <c r="F127" s="19" t="s">
        <v>2876</v>
      </c>
      <c r="G127" t="s">
        <v>1438</v>
      </c>
      <c r="H127" t="s">
        <v>1936</v>
      </c>
    </row>
    <row r="128" spans="1:8" ht="14.4" customHeight="1" x14ac:dyDescent="0.3">
      <c r="A128" s="6" t="s">
        <v>252</v>
      </c>
      <c r="B128" s="2" t="s">
        <v>252</v>
      </c>
      <c r="C128" s="2" t="s">
        <v>432</v>
      </c>
      <c r="D128" s="4">
        <v>126</v>
      </c>
      <c r="E128" s="2" t="s">
        <v>253</v>
      </c>
      <c r="F128" s="19" t="s">
        <v>2876</v>
      </c>
      <c r="G128" t="s">
        <v>1439</v>
      </c>
      <c r="H128" t="s">
        <v>1937</v>
      </c>
    </row>
    <row r="129" spans="1:8" ht="14.4" customHeight="1" x14ac:dyDescent="0.3">
      <c r="A129" s="6" t="s">
        <v>254</v>
      </c>
      <c r="B129" s="2" t="s">
        <v>254</v>
      </c>
      <c r="C129" s="2" t="s">
        <v>432</v>
      </c>
      <c r="D129" s="4">
        <v>127</v>
      </c>
      <c r="E129" s="2" t="s">
        <v>255</v>
      </c>
      <c r="F129" s="19" t="s">
        <v>2876</v>
      </c>
      <c r="G129" t="s">
        <v>1440</v>
      </c>
      <c r="H129" t="s">
        <v>1938</v>
      </c>
    </row>
    <row r="130" spans="1:8" ht="14.4" customHeight="1" x14ac:dyDescent="0.3">
      <c r="A130" s="6" t="s">
        <v>256</v>
      </c>
      <c r="B130" s="2" t="s">
        <v>256</v>
      </c>
      <c r="C130" s="2" t="s">
        <v>432</v>
      </c>
      <c r="D130" s="4">
        <v>128</v>
      </c>
      <c r="E130" s="2" t="s">
        <v>257</v>
      </c>
      <c r="F130" s="19" t="s">
        <v>2876</v>
      </c>
      <c r="G130" t="s">
        <v>1441</v>
      </c>
      <c r="H130" t="s">
        <v>1939</v>
      </c>
    </row>
    <row r="131" spans="1:8" ht="14.4" customHeight="1" x14ac:dyDescent="0.3">
      <c r="A131" s="6" t="s">
        <v>258</v>
      </c>
      <c r="B131" s="2" t="s">
        <v>258</v>
      </c>
      <c r="C131" s="2" t="s">
        <v>432</v>
      </c>
      <c r="D131" s="4">
        <v>129</v>
      </c>
      <c r="E131" s="2" t="s">
        <v>259</v>
      </c>
      <c r="F131" s="19" t="s">
        <v>2876</v>
      </c>
      <c r="G131" t="s">
        <v>1442</v>
      </c>
      <c r="H131" t="s">
        <v>1940</v>
      </c>
    </row>
    <row r="132" spans="1:8" ht="14.4" customHeight="1" x14ac:dyDescent="0.3">
      <c r="A132" s="6" t="s">
        <v>260</v>
      </c>
      <c r="B132" s="2" t="s">
        <v>260</v>
      </c>
      <c r="C132" s="2" t="s">
        <v>432</v>
      </c>
      <c r="D132" s="4">
        <v>130</v>
      </c>
      <c r="E132" s="2" t="s">
        <v>261</v>
      </c>
      <c r="F132" s="19" t="s">
        <v>2876</v>
      </c>
      <c r="G132" t="s">
        <v>1443</v>
      </c>
      <c r="H132" t="s">
        <v>1941</v>
      </c>
    </row>
    <row r="133" spans="1:8" ht="14.4" customHeight="1" x14ac:dyDescent="0.3">
      <c r="A133" s="6" t="s">
        <v>262</v>
      </c>
      <c r="B133" s="2" t="s">
        <v>262</v>
      </c>
      <c r="C133" s="2" t="s">
        <v>432</v>
      </c>
      <c r="D133" s="4">
        <v>131</v>
      </c>
      <c r="E133" s="2" t="s">
        <v>263</v>
      </c>
      <c r="F133" s="19" t="s">
        <v>2876</v>
      </c>
      <c r="G133" t="s">
        <v>1444</v>
      </c>
      <c r="H133" t="s">
        <v>1942</v>
      </c>
    </row>
    <row r="134" spans="1:8" ht="14.4" customHeight="1" x14ac:dyDescent="0.3">
      <c r="A134" s="6" t="s">
        <v>264</v>
      </c>
      <c r="B134" s="2" t="s">
        <v>264</v>
      </c>
      <c r="C134" s="2" t="s">
        <v>432</v>
      </c>
      <c r="D134" s="4">
        <v>132</v>
      </c>
      <c r="E134" s="2" t="s">
        <v>265</v>
      </c>
      <c r="F134" s="19" t="s">
        <v>2876</v>
      </c>
      <c r="G134" t="s">
        <v>1445</v>
      </c>
      <c r="H134" t="s">
        <v>1943</v>
      </c>
    </row>
    <row r="135" spans="1:8" ht="14.4" customHeight="1" x14ac:dyDescent="0.3">
      <c r="A135" s="6" t="s">
        <v>266</v>
      </c>
      <c r="B135" s="2" t="s">
        <v>266</v>
      </c>
      <c r="C135" s="2" t="s">
        <v>432</v>
      </c>
      <c r="D135" s="4">
        <v>133</v>
      </c>
      <c r="E135" s="2" t="s">
        <v>267</v>
      </c>
      <c r="F135" s="19" t="s">
        <v>2876</v>
      </c>
      <c r="G135" t="s">
        <v>1446</v>
      </c>
      <c r="H135" t="s">
        <v>1944</v>
      </c>
    </row>
    <row r="136" spans="1:8" ht="14.4" customHeight="1" x14ac:dyDescent="0.3">
      <c r="A136" s="6" t="s">
        <v>268</v>
      </c>
      <c r="B136" s="2" t="s">
        <v>268</v>
      </c>
      <c r="C136" s="2" t="s">
        <v>432</v>
      </c>
      <c r="D136" s="4">
        <v>134</v>
      </c>
      <c r="E136" s="2" t="s">
        <v>269</v>
      </c>
      <c r="F136" s="19" t="s">
        <v>2876</v>
      </c>
      <c r="G136" t="s">
        <v>1447</v>
      </c>
      <c r="H136" t="s">
        <v>1945</v>
      </c>
    </row>
    <row r="137" spans="1:8" ht="14.4" customHeight="1" x14ac:dyDescent="0.3">
      <c r="A137" s="6" t="s">
        <v>270</v>
      </c>
      <c r="B137" s="2" t="s">
        <v>270</v>
      </c>
      <c r="C137" s="2" t="s">
        <v>432</v>
      </c>
      <c r="D137" s="4">
        <v>135</v>
      </c>
      <c r="E137" s="2" t="s">
        <v>271</v>
      </c>
      <c r="F137" s="19" t="s">
        <v>2876</v>
      </c>
      <c r="G137" t="s">
        <v>1448</v>
      </c>
      <c r="H137" t="s">
        <v>1946</v>
      </c>
    </row>
    <row r="138" spans="1:8" ht="14.4" customHeight="1" x14ac:dyDescent="0.3">
      <c r="A138" s="6" t="s">
        <v>272</v>
      </c>
      <c r="B138" s="2" t="s">
        <v>272</v>
      </c>
      <c r="C138" s="2" t="s">
        <v>432</v>
      </c>
      <c r="D138" s="4">
        <v>136</v>
      </c>
      <c r="E138" s="2" t="s">
        <v>273</v>
      </c>
      <c r="F138" s="19" t="s">
        <v>2876</v>
      </c>
      <c r="G138" t="s">
        <v>1449</v>
      </c>
      <c r="H138" t="s">
        <v>1947</v>
      </c>
    </row>
    <row r="139" spans="1:8" ht="14.4" customHeight="1" x14ac:dyDescent="0.3">
      <c r="A139" s="6" t="s">
        <v>274</v>
      </c>
      <c r="B139" s="2" t="s">
        <v>274</v>
      </c>
      <c r="C139" s="2" t="s">
        <v>432</v>
      </c>
      <c r="D139" s="4">
        <v>137</v>
      </c>
      <c r="E139" s="2" t="s">
        <v>275</v>
      </c>
      <c r="F139" s="19" t="s">
        <v>2876</v>
      </c>
      <c r="G139" t="s">
        <v>1450</v>
      </c>
      <c r="H139" t="s">
        <v>1948</v>
      </c>
    </row>
    <row r="140" spans="1:8" ht="14.4" customHeight="1" x14ac:dyDescent="0.3">
      <c r="A140" s="6" t="s">
        <v>276</v>
      </c>
      <c r="B140" s="2" t="s">
        <v>276</v>
      </c>
      <c r="C140" s="2" t="s">
        <v>432</v>
      </c>
      <c r="D140" s="4">
        <v>138</v>
      </c>
      <c r="E140" s="2" t="s">
        <v>277</v>
      </c>
      <c r="F140" s="19" t="s">
        <v>2876</v>
      </c>
      <c r="G140" t="s">
        <v>1451</v>
      </c>
      <c r="H140" t="s">
        <v>1949</v>
      </c>
    </row>
    <row r="141" spans="1:8" ht="14.4" customHeight="1" x14ac:dyDescent="0.3">
      <c r="A141" s="6" t="s">
        <v>278</v>
      </c>
      <c r="B141" s="2" t="s">
        <v>278</v>
      </c>
      <c r="C141" s="2" t="s">
        <v>432</v>
      </c>
      <c r="D141" s="4">
        <v>139</v>
      </c>
      <c r="E141" s="2" t="s">
        <v>279</v>
      </c>
      <c r="F141" s="19" t="s">
        <v>2876</v>
      </c>
      <c r="G141" t="s">
        <v>1452</v>
      </c>
      <c r="H141" t="s">
        <v>1950</v>
      </c>
    </row>
    <row r="142" spans="1:8" ht="14.4" customHeight="1" x14ac:dyDescent="0.3">
      <c r="A142" s="6" t="s">
        <v>280</v>
      </c>
      <c r="B142" s="2" t="s">
        <v>280</v>
      </c>
      <c r="C142" s="2" t="s">
        <v>432</v>
      </c>
      <c r="D142" s="4">
        <v>140</v>
      </c>
      <c r="E142" s="2" t="s">
        <v>281</v>
      </c>
      <c r="F142" s="19" t="s">
        <v>2876</v>
      </c>
      <c r="G142" t="s">
        <v>1453</v>
      </c>
      <c r="H142" t="s">
        <v>1951</v>
      </c>
    </row>
    <row r="143" spans="1:8" ht="14.4" customHeight="1" x14ac:dyDescent="0.3">
      <c r="A143" s="6" t="s">
        <v>282</v>
      </c>
      <c r="B143" s="2" t="s">
        <v>282</v>
      </c>
      <c r="C143" s="2" t="s">
        <v>432</v>
      </c>
      <c r="D143" s="4">
        <v>141</v>
      </c>
      <c r="E143" s="2" t="s">
        <v>283</v>
      </c>
      <c r="F143" s="19" t="s">
        <v>2876</v>
      </c>
      <c r="G143" t="s">
        <v>1454</v>
      </c>
      <c r="H143" t="s">
        <v>1952</v>
      </c>
    </row>
    <row r="144" spans="1:8" ht="14.4" customHeight="1" x14ac:dyDescent="0.3">
      <c r="A144" s="6" t="s">
        <v>284</v>
      </c>
      <c r="B144" s="2" t="s">
        <v>284</v>
      </c>
      <c r="C144" s="2" t="s">
        <v>432</v>
      </c>
      <c r="D144" s="4">
        <v>142</v>
      </c>
      <c r="E144" s="2" t="s">
        <v>285</v>
      </c>
      <c r="F144" s="19" t="s">
        <v>2876</v>
      </c>
      <c r="G144" t="s">
        <v>1455</v>
      </c>
      <c r="H144" t="s">
        <v>1953</v>
      </c>
    </row>
    <row r="145" spans="1:8" ht="14.4" customHeight="1" x14ac:dyDescent="0.3">
      <c r="A145" s="6" t="s">
        <v>286</v>
      </c>
      <c r="B145" s="2" t="s">
        <v>286</v>
      </c>
      <c r="C145" s="2" t="s">
        <v>432</v>
      </c>
      <c r="D145" s="4">
        <v>143</v>
      </c>
      <c r="E145" s="2" t="s">
        <v>287</v>
      </c>
      <c r="F145" s="19" t="s">
        <v>2876</v>
      </c>
      <c r="G145" t="s">
        <v>1456</v>
      </c>
      <c r="H145" t="s">
        <v>1954</v>
      </c>
    </row>
    <row r="146" spans="1:8" ht="14.4" customHeight="1" x14ac:dyDescent="0.3">
      <c r="A146" s="6" t="s">
        <v>288</v>
      </c>
      <c r="B146" s="2" t="s">
        <v>288</v>
      </c>
      <c r="C146" s="2" t="s">
        <v>432</v>
      </c>
      <c r="D146" s="4">
        <v>144</v>
      </c>
      <c r="E146" s="2" t="s">
        <v>289</v>
      </c>
      <c r="F146" s="19" t="s">
        <v>2876</v>
      </c>
      <c r="G146" t="s">
        <v>1457</v>
      </c>
      <c r="H146" t="s">
        <v>1955</v>
      </c>
    </row>
    <row r="147" spans="1:8" ht="14.4" customHeight="1" x14ac:dyDescent="0.3">
      <c r="A147" s="6" t="s">
        <v>290</v>
      </c>
      <c r="B147" s="2" t="s">
        <v>290</v>
      </c>
      <c r="C147" s="2" t="s">
        <v>432</v>
      </c>
      <c r="D147" s="4">
        <v>145</v>
      </c>
      <c r="E147" s="2" t="s">
        <v>291</v>
      </c>
      <c r="F147" s="19" t="s">
        <v>2876</v>
      </c>
      <c r="G147" t="s">
        <v>1458</v>
      </c>
      <c r="H147" t="s">
        <v>1956</v>
      </c>
    </row>
    <row r="148" spans="1:8" ht="14.4" customHeight="1" x14ac:dyDescent="0.3">
      <c r="A148" s="6" t="s">
        <v>292</v>
      </c>
      <c r="B148" s="2" t="s">
        <v>292</v>
      </c>
      <c r="C148" s="2" t="s">
        <v>432</v>
      </c>
      <c r="D148" s="4">
        <v>146</v>
      </c>
      <c r="E148" s="2" t="s">
        <v>293</v>
      </c>
      <c r="F148" s="19" t="s">
        <v>2876</v>
      </c>
      <c r="G148" t="s">
        <v>1459</v>
      </c>
      <c r="H148" t="s">
        <v>1957</v>
      </c>
    </row>
    <row r="149" spans="1:8" ht="14.4" customHeight="1" x14ac:dyDescent="0.3">
      <c r="A149" s="6" t="s">
        <v>294</v>
      </c>
      <c r="B149" s="2" t="s">
        <v>294</v>
      </c>
      <c r="C149" s="2" t="s">
        <v>432</v>
      </c>
      <c r="D149" s="4">
        <v>147</v>
      </c>
      <c r="E149" s="2" t="s">
        <v>295</v>
      </c>
      <c r="F149" s="19" t="s">
        <v>2876</v>
      </c>
      <c r="G149" t="s">
        <v>1460</v>
      </c>
      <c r="H149" t="s">
        <v>1958</v>
      </c>
    </row>
    <row r="150" spans="1:8" ht="14.4" customHeight="1" x14ac:dyDescent="0.3">
      <c r="A150" s="6" t="s">
        <v>296</v>
      </c>
      <c r="B150" s="2" t="s">
        <v>296</v>
      </c>
      <c r="C150" s="2" t="s">
        <v>432</v>
      </c>
      <c r="D150" s="4">
        <v>148</v>
      </c>
      <c r="E150" s="2" t="s">
        <v>297</v>
      </c>
      <c r="F150" s="19" t="s">
        <v>2876</v>
      </c>
      <c r="G150" t="s">
        <v>1461</v>
      </c>
      <c r="H150" t="s">
        <v>1959</v>
      </c>
    </row>
    <row r="151" spans="1:8" ht="14.4" customHeight="1" x14ac:dyDescent="0.3">
      <c r="A151" s="6" t="s">
        <v>298</v>
      </c>
      <c r="B151" s="2" t="s">
        <v>298</v>
      </c>
      <c r="C151" s="2" t="s">
        <v>432</v>
      </c>
      <c r="D151" s="4">
        <v>149</v>
      </c>
      <c r="E151" s="2" t="s">
        <v>299</v>
      </c>
      <c r="F151" s="19" t="s">
        <v>2876</v>
      </c>
      <c r="G151" t="s">
        <v>1462</v>
      </c>
      <c r="H151" t="s">
        <v>1960</v>
      </c>
    </row>
    <row r="152" spans="1:8" ht="14.4" customHeight="1" x14ac:dyDescent="0.3">
      <c r="A152" s="6" t="s">
        <v>300</v>
      </c>
      <c r="B152" s="2" t="s">
        <v>300</v>
      </c>
      <c r="C152" s="2" t="s">
        <v>432</v>
      </c>
      <c r="D152" s="4">
        <v>150</v>
      </c>
      <c r="E152" s="2" t="s">
        <v>301</v>
      </c>
      <c r="F152" s="19" t="s">
        <v>2876</v>
      </c>
      <c r="G152" t="s">
        <v>1463</v>
      </c>
      <c r="H152" t="s">
        <v>1961</v>
      </c>
    </row>
    <row r="153" spans="1:8" ht="14.4" customHeight="1" x14ac:dyDescent="0.3">
      <c r="A153" s="6" t="s">
        <v>302</v>
      </c>
      <c r="B153" s="2" t="s">
        <v>302</v>
      </c>
      <c r="C153" s="2" t="s">
        <v>432</v>
      </c>
      <c r="D153" s="4">
        <v>151</v>
      </c>
      <c r="E153" s="2" t="s">
        <v>303</v>
      </c>
      <c r="F153" s="19" t="s">
        <v>2876</v>
      </c>
      <c r="G153" t="s">
        <v>1464</v>
      </c>
      <c r="H153" t="s">
        <v>1962</v>
      </c>
    </row>
    <row r="154" spans="1:8" ht="14.4" customHeight="1" x14ac:dyDescent="0.3">
      <c r="A154" s="6" t="s">
        <v>304</v>
      </c>
      <c r="B154" s="2" t="s">
        <v>304</v>
      </c>
      <c r="C154" s="2" t="s">
        <v>432</v>
      </c>
      <c r="D154" s="4">
        <v>152</v>
      </c>
      <c r="E154" s="2" t="s">
        <v>305</v>
      </c>
      <c r="F154" s="19" t="s">
        <v>2876</v>
      </c>
      <c r="G154" t="s">
        <v>1465</v>
      </c>
      <c r="H154" t="s">
        <v>1963</v>
      </c>
    </row>
    <row r="155" spans="1:8" ht="14.4" customHeight="1" x14ac:dyDescent="0.3">
      <c r="A155" s="6" t="s">
        <v>306</v>
      </c>
      <c r="B155" s="2" t="s">
        <v>306</v>
      </c>
      <c r="C155" s="2" t="s">
        <v>432</v>
      </c>
      <c r="D155" s="4">
        <v>153</v>
      </c>
      <c r="E155" s="2" t="s">
        <v>307</v>
      </c>
      <c r="F155" s="19" t="s">
        <v>2876</v>
      </c>
      <c r="G155" t="s">
        <v>1466</v>
      </c>
      <c r="H155" t="s">
        <v>1964</v>
      </c>
    </row>
    <row r="156" spans="1:8" ht="14.4" customHeight="1" x14ac:dyDescent="0.3">
      <c r="A156" s="6" t="s">
        <v>308</v>
      </c>
      <c r="B156" s="2" t="s">
        <v>308</v>
      </c>
      <c r="C156" s="2" t="s">
        <v>432</v>
      </c>
      <c r="D156" s="4">
        <v>154</v>
      </c>
      <c r="E156" s="2" t="s">
        <v>309</v>
      </c>
      <c r="F156" s="19" t="s">
        <v>2876</v>
      </c>
      <c r="G156" t="s">
        <v>1467</v>
      </c>
      <c r="H156" t="s">
        <v>1965</v>
      </c>
    </row>
    <row r="157" spans="1:8" ht="14.4" customHeight="1" x14ac:dyDescent="0.3">
      <c r="A157" s="6" t="s">
        <v>310</v>
      </c>
      <c r="B157" s="2" t="s">
        <v>310</v>
      </c>
      <c r="C157" s="2" t="s">
        <v>432</v>
      </c>
      <c r="D157" s="4">
        <v>155</v>
      </c>
      <c r="E157" s="2" t="s">
        <v>311</v>
      </c>
      <c r="F157" s="19" t="s">
        <v>2876</v>
      </c>
      <c r="G157" t="s">
        <v>1468</v>
      </c>
      <c r="H157" t="s">
        <v>1966</v>
      </c>
    </row>
    <row r="158" spans="1:8" ht="14.4" customHeight="1" x14ac:dyDescent="0.3">
      <c r="A158" s="6" t="s">
        <v>312</v>
      </c>
      <c r="B158" s="2" t="s">
        <v>312</v>
      </c>
      <c r="C158" s="2" t="s">
        <v>432</v>
      </c>
      <c r="D158" s="4">
        <v>156</v>
      </c>
      <c r="E158" s="2" t="s">
        <v>313</v>
      </c>
      <c r="F158" s="19" t="s">
        <v>2876</v>
      </c>
      <c r="G158" t="s">
        <v>1469</v>
      </c>
      <c r="H158" t="s">
        <v>1967</v>
      </c>
    </row>
    <row r="159" spans="1:8" ht="14.4" customHeight="1" x14ac:dyDescent="0.3">
      <c r="A159" s="6" t="s">
        <v>314</v>
      </c>
      <c r="B159" s="2" t="s">
        <v>314</v>
      </c>
      <c r="C159" s="2" t="s">
        <v>432</v>
      </c>
      <c r="D159" s="4">
        <v>157</v>
      </c>
      <c r="E159" s="2" t="s">
        <v>315</v>
      </c>
      <c r="F159" s="19" t="s">
        <v>2876</v>
      </c>
      <c r="G159" t="s">
        <v>1470</v>
      </c>
      <c r="H159" t="s">
        <v>1968</v>
      </c>
    </row>
    <row r="160" spans="1:8" ht="14.4" customHeight="1" x14ac:dyDescent="0.3">
      <c r="A160" s="6" t="s">
        <v>316</v>
      </c>
      <c r="B160" s="2" t="s">
        <v>316</v>
      </c>
      <c r="C160" s="2" t="s">
        <v>432</v>
      </c>
      <c r="D160" s="4">
        <v>158</v>
      </c>
      <c r="E160" s="2" t="s">
        <v>317</v>
      </c>
      <c r="F160" s="19" t="s">
        <v>2876</v>
      </c>
      <c r="G160" t="s">
        <v>1471</v>
      </c>
      <c r="H160" t="s">
        <v>1969</v>
      </c>
    </row>
    <row r="161" spans="1:8" ht="14.4" customHeight="1" x14ac:dyDescent="0.3">
      <c r="A161" s="6" t="s">
        <v>318</v>
      </c>
      <c r="B161" s="2" t="s">
        <v>318</v>
      </c>
      <c r="C161" s="2" t="s">
        <v>432</v>
      </c>
      <c r="D161" s="4">
        <v>159</v>
      </c>
      <c r="E161" s="2" t="s">
        <v>319</v>
      </c>
      <c r="F161" s="19" t="s">
        <v>2876</v>
      </c>
      <c r="G161" t="s">
        <v>1472</v>
      </c>
      <c r="H161" t="s">
        <v>1970</v>
      </c>
    </row>
    <row r="162" spans="1:8" ht="14.4" customHeight="1" x14ac:dyDescent="0.3">
      <c r="A162" s="6" t="s">
        <v>320</v>
      </c>
      <c r="B162" s="2" t="s">
        <v>320</v>
      </c>
      <c r="C162" s="2" t="s">
        <v>432</v>
      </c>
      <c r="D162" s="4">
        <v>160</v>
      </c>
      <c r="E162" s="2" t="s">
        <v>321</v>
      </c>
      <c r="F162" s="19" t="s">
        <v>2876</v>
      </c>
      <c r="G162" t="s">
        <v>1473</v>
      </c>
      <c r="H162" t="s">
        <v>1971</v>
      </c>
    </row>
    <row r="163" spans="1:8" ht="14.4" customHeight="1" x14ac:dyDescent="0.3">
      <c r="A163" s="6" t="s">
        <v>322</v>
      </c>
      <c r="B163" s="2" t="s">
        <v>322</v>
      </c>
      <c r="C163" s="2" t="s">
        <v>432</v>
      </c>
      <c r="D163" s="4">
        <v>161</v>
      </c>
      <c r="E163" s="2" t="s">
        <v>323</v>
      </c>
      <c r="F163" s="19" t="s">
        <v>2876</v>
      </c>
      <c r="G163" t="s">
        <v>1474</v>
      </c>
      <c r="H163" t="s">
        <v>1972</v>
      </c>
    </row>
    <row r="164" spans="1:8" ht="14.4" customHeight="1" x14ac:dyDescent="0.3">
      <c r="A164" s="6" t="s">
        <v>324</v>
      </c>
      <c r="B164" s="2" t="s">
        <v>324</v>
      </c>
      <c r="C164" s="2" t="s">
        <v>432</v>
      </c>
      <c r="D164" s="4">
        <v>162</v>
      </c>
      <c r="E164" s="2" t="s">
        <v>325</v>
      </c>
      <c r="F164" s="19" t="s">
        <v>2876</v>
      </c>
      <c r="G164" t="s">
        <v>1475</v>
      </c>
      <c r="H164" t="s">
        <v>1973</v>
      </c>
    </row>
    <row r="165" spans="1:8" ht="14.4" customHeight="1" x14ac:dyDescent="0.3">
      <c r="A165" s="6" t="s">
        <v>326</v>
      </c>
      <c r="B165" s="2" t="s">
        <v>326</v>
      </c>
      <c r="C165" s="2" t="s">
        <v>432</v>
      </c>
      <c r="D165" s="4">
        <v>163</v>
      </c>
      <c r="E165" s="2" t="s">
        <v>327</v>
      </c>
      <c r="F165" s="19" t="s">
        <v>2876</v>
      </c>
      <c r="G165" t="s">
        <v>1476</v>
      </c>
      <c r="H165" t="s">
        <v>1974</v>
      </c>
    </row>
    <row r="166" spans="1:8" ht="14.4" customHeight="1" x14ac:dyDescent="0.3">
      <c r="A166" s="6" t="s">
        <v>328</v>
      </c>
      <c r="B166" s="2" t="s">
        <v>328</v>
      </c>
      <c r="C166" s="2" t="s">
        <v>432</v>
      </c>
      <c r="D166" s="4">
        <v>164</v>
      </c>
      <c r="E166" s="2" t="s">
        <v>329</v>
      </c>
      <c r="F166" s="19" t="s">
        <v>2876</v>
      </c>
      <c r="G166" t="s">
        <v>1477</v>
      </c>
      <c r="H166" t="s">
        <v>1975</v>
      </c>
    </row>
    <row r="167" spans="1:8" ht="14.4" customHeight="1" x14ac:dyDescent="0.3">
      <c r="A167" s="6" t="s">
        <v>330</v>
      </c>
      <c r="B167" s="2" t="s">
        <v>330</v>
      </c>
      <c r="C167" s="2" t="s">
        <v>432</v>
      </c>
      <c r="D167" s="4">
        <v>165</v>
      </c>
      <c r="E167" s="2" t="s">
        <v>331</v>
      </c>
      <c r="F167" s="19" t="s">
        <v>2876</v>
      </c>
      <c r="G167" t="s">
        <v>1478</v>
      </c>
      <c r="H167" t="s">
        <v>1976</v>
      </c>
    </row>
    <row r="168" spans="1:8" ht="14.4" customHeight="1" x14ac:dyDescent="0.3">
      <c r="A168" s="6" t="s">
        <v>332</v>
      </c>
      <c r="B168" s="2" t="s">
        <v>332</v>
      </c>
      <c r="C168" s="2" t="s">
        <v>432</v>
      </c>
      <c r="D168" s="4">
        <v>166</v>
      </c>
      <c r="E168" s="2" t="s">
        <v>333</v>
      </c>
      <c r="F168" s="19" t="s">
        <v>2876</v>
      </c>
      <c r="G168" t="s">
        <v>1479</v>
      </c>
      <c r="H168" t="s">
        <v>1977</v>
      </c>
    </row>
    <row r="169" spans="1:8" ht="14.4" customHeight="1" x14ac:dyDescent="0.3">
      <c r="A169" s="6" t="s">
        <v>334</v>
      </c>
      <c r="B169" s="2" t="s">
        <v>334</v>
      </c>
      <c r="C169" s="2" t="s">
        <v>432</v>
      </c>
      <c r="D169" s="4">
        <v>167</v>
      </c>
      <c r="E169" s="2" t="s">
        <v>335</v>
      </c>
      <c r="F169" s="19" t="s">
        <v>2876</v>
      </c>
      <c r="G169" t="s">
        <v>1480</v>
      </c>
      <c r="H169" t="s">
        <v>1978</v>
      </c>
    </row>
    <row r="170" spans="1:8" ht="14.4" customHeight="1" x14ac:dyDescent="0.3">
      <c r="A170" s="6" t="s">
        <v>336</v>
      </c>
      <c r="B170" s="2" t="s">
        <v>336</v>
      </c>
      <c r="C170" s="2" t="s">
        <v>432</v>
      </c>
      <c r="D170" s="4">
        <v>168</v>
      </c>
      <c r="E170" s="2" t="s">
        <v>337</v>
      </c>
      <c r="F170" s="19" t="s">
        <v>2876</v>
      </c>
      <c r="G170" t="s">
        <v>1481</v>
      </c>
      <c r="H170" t="s">
        <v>1979</v>
      </c>
    </row>
    <row r="171" spans="1:8" ht="14.4" customHeight="1" x14ac:dyDescent="0.3">
      <c r="A171" s="6" t="s">
        <v>338</v>
      </c>
      <c r="B171" s="2" t="s">
        <v>338</v>
      </c>
      <c r="C171" s="2" t="s">
        <v>432</v>
      </c>
      <c r="D171" s="4">
        <v>169</v>
      </c>
      <c r="E171" s="2" t="s">
        <v>339</v>
      </c>
      <c r="F171" s="19" t="s">
        <v>2876</v>
      </c>
      <c r="G171" t="s">
        <v>1482</v>
      </c>
      <c r="H171" t="s">
        <v>1980</v>
      </c>
    </row>
    <row r="172" spans="1:8" ht="14.4" customHeight="1" x14ac:dyDescent="0.3">
      <c r="A172" s="6" t="s">
        <v>340</v>
      </c>
      <c r="B172" s="2" t="s">
        <v>340</v>
      </c>
      <c r="C172" s="2" t="s">
        <v>432</v>
      </c>
      <c r="D172" s="4">
        <v>170</v>
      </c>
      <c r="E172" s="2" t="s">
        <v>341</v>
      </c>
      <c r="F172" s="19" t="s">
        <v>2876</v>
      </c>
      <c r="G172" t="s">
        <v>1483</v>
      </c>
      <c r="H172" t="s">
        <v>1981</v>
      </c>
    </row>
    <row r="173" spans="1:8" ht="14.4" customHeight="1" x14ac:dyDescent="0.3">
      <c r="A173" s="6" t="s">
        <v>342</v>
      </c>
      <c r="B173" s="2" t="s">
        <v>342</v>
      </c>
      <c r="C173" s="2" t="s">
        <v>432</v>
      </c>
      <c r="D173" s="4">
        <v>171</v>
      </c>
      <c r="E173" s="2" t="s">
        <v>343</v>
      </c>
      <c r="F173" s="19" t="s">
        <v>2876</v>
      </c>
      <c r="G173" t="s">
        <v>1484</v>
      </c>
      <c r="H173" t="s">
        <v>1982</v>
      </c>
    </row>
    <row r="174" spans="1:8" ht="14.4" customHeight="1" x14ac:dyDescent="0.3">
      <c r="A174" s="6" t="s">
        <v>344</v>
      </c>
      <c r="B174" s="2" t="s">
        <v>344</v>
      </c>
      <c r="C174" s="2" t="s">
        <v>432</v>
      </c>
      <c r="D174" s="4">
        <v>172</v>
      </c>
      <c r="E174" s="2" t="s">
        <v>345</v>
      </c>
      <c r="F174" s="19" t="s">
        <v>2876</v>
      </c>
      <c r="G174" t="s">
        <v>1485</v>
      </c>
      <c r="H174" t="s">
        <v>1983</v>
      </c>
    </row>
    <row r="175" spans="1:8" ht="14.4" customHeight="1" x14ac:dyDescent="0.3">
      <c r="A175" s="6" t="s">
        <v>346</v>
      </c>
      <c r="B175" s="2" t="s">
        <v>346</v>
      </c>
      <c r="C175" s="2" t="s">
        <v>432</v>
      </c>
      <c r="D175" s="4">
        <v>173</v>
      </c>
      <c r="E175" s="2" t="s">
        <v>347</v>
      </c>
      <c r="F175" s="19" t="s">
        <v>2876</v>
      </c>
      <c r="G175" t="s">
        <v>1486</v>
      </c>
      <c r="H175" t="s">
        <v>1984</v>
      </c>
    </row>
    <row r="176" spans="1:8" ht="14.4" customHeight="1" x14ac:dyDescent="0.3">
      <c r="A176" s="6" t="s">
        <v>348</v>
      </c>
      <c r="B176" s="2" t="s">
        <v>348</v>
      </c>
      <c r="C176" s="2" t="s">
        <v>432</v>
      </c>
      <c r="D176" s="4">
        <v>174</v>
      </c>
      <c r="E176" s="2" t="s">
        <v>349</v>
      </c>
      <c r="F176" s="19" t="s">
        <v>2876</v>
      </c>
      <c r="G176" t="s">
        <v>1487</v>
      </c>
      <c r="H176" t="s">
        <v>1985</v>
      </c>
    </row>
    <row r="177" spans="1:8" ht="14.4" customHeight="1" x14ac:dyDescent="0.3">
      <c r="A177" s="6" t="s">
        <v>350</v>
      </c>
      <c r="B177" s="2" t="s">
        <v>350</v>
      </c>
      <c r="C177" s="2" t="s">
        <v>432</v>
      </c>
      <c r="D177" s="4">
        <v>175</v>
      </c>
      <c r="E177" s="2" t="s">
        <v>351</v>
      </c>
      <c r="F177" s="19" t="s">
        <v>2876</v>
      </c>
      <c r="G177" t="s">
        <v>1488</v>
      </c>
      <c r="H177" t="s">
        <v>1986</v>
      </c>
    </row>
    <row r="178" spans="1:8" ht="14.4" customHeight="1" x14ac:dyDescent="0.3">
      <c r="A178" s="6" t="s">
        <v>352</v>
      </c>
      <c r="B178" s="2" t="s">
        <v>352</v>
      </c>
      <c r="C178" s="2" t="s">
        <v>432</v>
      </c>
      <c r="D178" s="4">
        <v>176</v>
      </c>
      <c r="E178" s="2" t="s">
        <v>353</v>
      </c>
      <c r="F178" s="19" t="s">
        <v>2876</v>
      </c>
      <c r="G178" t="s">
        <v>1489</v>
      </c>
      <c r="H178" t="s">
        <v>1987</v>
      </c>
    </row>
    <row r="179" spans="1:8" ht="14.4" customHeight="1" x14ac:dyDescent="0.3">
      <c r="A179" s="6" t="s">
        <v>354</v>
      </c>
      <c r="B179" s="2" t="s">
        <v>354</v>
      </c>
      <c r="C179" s="2" t="s">
        <v>432</v>
      </c>
      <c r="D179" s="4">
        <v>177</v>
      </c>
      <c r="E179" s="2" t="s">
        <v>355</v>
      </c>
      <c r="F179" s="19" t="s">
        <v>2876</v>
      </c>
      <c r="G179" t="s">
        <v>1490</v>
      </c>
      <c r="H179" t="s">
        <v>1988</v>
      </c>
    </row>
    <row r="180" spans="1:8" ht="14.4" customHeight="1" x14ac:dyDescent="0.3">
      <c r="A180" s="6" t="s">
        <v>356</v>
      </c>
      <c r="B180" s="2" t="s">
        <v>356</v>
      </c>
      <c r="C180" s="2" t="s">
        <v>432</v>
      </c>
      <c r="D180" s="4">
        <v>178</v>
      </c>
      <c r="E180" s="2" t="s">
        <v>357</v>
      </c>
      <c r="F180" s="19" t="s">
        <v>2876</v>
      </c>
      <c r="G180" t="s">
        <v>1491</v>
      </c>
      <c r="H180" t="s">
        <v>1989</v>
      </c>
    </row>
    <row r="181" spans="1:8" ht="14.4" customHeight="1" x14ac:dyDescent="0.3">
      <c r="A181" s="6" t="s">
        <v>358</v>
      </c>
      <c r="B181" s="2" t="s">
        <v>358</v>
      </c>
      <c r="C181" s="2" t="s">
        <v>432</v>
      </c>
      <c r="D181" s="4">
        <v>179</v>
      </c>
      <c r="E181" s="2" t="s">
        <v>359</v>
      </c>
      <c r="F181" s="19" t="s">
        <v>2876</v>
      </c>
      <c r="G181" t="s">
        <v>1492</v>
      </c>
      <c r="H181" t="s">
        <v>1990</v>
      </c>
    </row>
    <row r="182" spans="1:8" ht="14.4" customHeight="1" x14ac:dyDescent="0.3">
      <c r="A182" s="6" t="s">
        <v>360</v>
      </c>
      <c r="B182" s="2" t="s">
        <v>360</v>
      </c>
      <c r="C182" s="2" t="s">
        <v>432</v>
      </c>
      <c r="D182" s="4">
        <v>180</v>
      </c>
      <c r="E182" s="2" t="s">
        <v>361</v>
      </c>
      <c r="F182" s="19" t="s">
        <v>2876</v>
      </c>
      <c r="G182" t="s">
        <v>1493</v>
      </c>
      <c r="H182" t="s">
        <v>1991</v>
      </c>
    </row>
    <row r="183" spans="1:8" ht="14.4" customHeight="1" x14ac:dyDescent="0.3">
      <c r="A183" s="6" t="s">
        <v>362</v>
      </c>
      <c r="B183" s="2" t="s">
        <v>362</v>
      </c>
      <c r="C183" s="2" t="s">
        <v>432</v>
      </c>
      <c r="D183" s="4">
        <v>181</v>
      </c>
      <c r="E183" s="2" t="s">
        <v>363</v>
      </c>
      <c r="F183" s="19" t="s">
        <v>2876</v>
      </c>
      <c r="G183" t="s">
        <v>1494</v>
      </c>
      <c r="H183" t="s">
        <v>1992</v>
      </c>
    </row>
    <row r="184" spans="1:8" ht="14.4" customHeight="1" x14ac:dyDescent="0.3">
      <c r="A184" s="6" t="s">
        <v>364</v>
      </c>
      <c r="B184" s="2" t="s">
        <v>364</v>
      </c>
      <c r="C184" s="2" t="s">
        <v>432</v>
      </c>
      <c r="D184" s="4">
        <v>182</v>
      </c>
      <c r="E184" s="2" t="s">
        <v>365</v>
      </c>
      <c r="F184" s="19" t="s">
        <v>2876</v>
      </c>
      <c r="G184" t="s">
        <v>1495</v>
      </c>
      <c r="H184" t="s">
        <v>1993</v>
      </c>
    </row>
    <row r="185" spans="1:8" ht="14.4" customHeight="1" x14ac:dyDescent="0.3">
      <c r="A185" s="6" t="s">
        <v>366</v>
      </c>
      <c r="B185" s="2" t="s">
        <v>366</v>
      </c>
      <c r="C185" s="2" t="s">
        <v>432</v>
      </c>
      <c r="D185" s="4">
        <v>183</v>
      </c>
      <c r="E185" s="2" t="s">
        <v>367</v>
      </c>
      <c r="F185" s="19" t="s">
        <v>2876</v>
      </c>
      <c r="G185" t="s">
        <v>1496</v>
      </c>
      <c r="H185" t="s">
        <v>1994</v>
      </c>
    </row>
    <row r="186" spans="1:8" ht="14.4" customHeight="1" x14ac:dyDescent="0.3">
      <c r="A186" s="6" t="s">
        <v>368</v>
      </c>
      <c r="B186" s="2" t="s">
        <v>368</v>
      </c>
      <c r="C186" s="2" t="s">
        <v>432</v>
      </c>
      <c r="D186" s="4">
        <v>184</v>
      </c>
      <c r="E186" s="2" t="s">
        <v>369</v>
      </c>
      <c r="F186" s="19" t="s">
        <v>2876</v>
      </c>
      <c r="G186" t="s">
        <v>1497</v>
      </c>
      <c r="H186" t="s">
        <v>1995</v>
      </c>
    </row>
    <row r="187" spans="1:8" ht="14.4" customHeight="1" x14ac:dyDescent="0.3">
      <c r="A187" s="6" t="s">
        <v>370</v>
      </c>
      <c r="B187" s="2" t="s">
        <v>370</v>
      </c>
      <c r="C187" s="2" t="s">
        <v>432</v>
      </c>
      <c r="D187" s="4">
        <v>185</v>
      </c>
      <c r="E187" s="2" t="s">
        <v>371</v>
      </c>
      <c r="F187" s="19" t="s">
        <v>2876</v>
      </c>
      <c r="G187" t="s">
        <v>1498</v>
      </c>
      <c r="H187" t="s">
        <v>1996</v>
      </c>
    </row>
    <row r="188" spans="1:8" ht="14.4" customHeight="1" x14ac:dyDescent="0.3">
      <c r="A188" s="6" t="s">
        <v>372</v>
      </c>
      <c r="B188" s="2" t="s">
        <v>372</v>
      </c>
      <c r="C188" s="2" t="s">
        <v>432</v>
      </c>
      <c r="D188" s="4">
        <v>186</v>
      </c>
      <c r="E188" s="2" t="s">
        <v>373</v>
      </c>
      <c r="F188" s="19" t="s">
        <v>2876</v>
      </c>
      <c r="G188" t="s">
        <v>1499</v>
      </c>
      <c r="H188" t="s">
        <v>1997</v>
      </c>
    </row>
    <row r="189" spans="1:8" ht="14.4" customHeight="1" x14ac:dyDescent="0.3">
      <c r="A189" s="6" t="s">
        <v>374</v>
      </c>
      <c r="B189" s="2" t="s">
        <v>374</v>
      </c>
      <c r="C189" s="2" t="s">
        <v>432</v>
      </c>
      <c r="D189" s="4">
        <v>187</v>
      </c>
      <c r="E189" s="2" t="s">
        <v>375</v>
      </c>
      <c r="F189" s="19" t="s">
        <v>2876</v>
      </c>
      <c r="G189" t="s">
        <v>1500</v>
      </c>
      <c r="H189" t="s">
        <v>1998</v>
      </c>
    </row>
    <row r="190" spans="1:8" ht="14.4" customHeight="1" x14ac:dyDescent="0.3">
      <c r="A190" s="6" t="s">
        <v>376</v>
      </c>
      <c r="B190" s="2" t="s">
        <v>376</v>
      </c>
      <c r="C190" s="2" t="s">
        <v>432</v>
      </c>
      <c r="D190" s="4">
        <v>188</v>
      </c>
      <c r="E190" s="2" t="s">
        <v>377</v>
      </c>
      <c r="F190" s="19" t="s">
        <v>2876</v>
      </c>
      <c r="G190" t="s">
        <v>1501</v>
      </c>
      <c r="H190" t="s">
        <v>1999</v>
      </c>
    </row>
    <row r="191" spans="1:8" ht="14.4" customHeight="1" x14ac:dyDescent="0.3">
      <c r="A191" s="6" t="s">
        <v>378</v>
      </c>
      <c r="B191" s="2" t="s">
        <v>378</v>
      </c>
      <c r="C191" s="2" t="s">
        <v>432</v>
      </c>
      <c r="D191" s="4">
        <v>189</v>
      </c>
      <c r="E191" s="2" t="s">
        <v>379</v>
      </c>
      <c r="F191" s="19" t="s">
        <v>2876</v>
      </c>
      <c r="G191" t="s">
        <v>1502</v>
      </c>
      <c r="H191" t="s">
        <v>2000</v>
      </c>
    </row>
    <row r="192" spans="1:8" ht="14.4" customHeight="1" x14ac:dyDescent="0.3">
      <c r="A192" s="6" t="s">
        <v>380</v>
      </c>
      <c r="B192" s="2" t="s">
        <v>380</v>
      </c>
      <c r="C192" s="2" t="s">
        <v>432</v>
      </c>
      <c r="D192" s="4">
        <v>190</v>
      </c>
      <c r="E192" s="2" t="s">
        <v>381</v>
      </c>
      <c r="F192" s="19" t="s">
        <v>2876</v>
      </c>
      <c r="G192" t="s">
        <v>1503</v>
      </c>
      <c r="H192" t="s">
        <v>2001</v>
      </c>
    </row>
    <row r="193" spans="1:8" ht="14.4" customHeight="1" x14ac:dyDescent="0.3">
      <c r="A193" s="6" t="s">
        <v>382</v>
      </c>
      <c r="B193" s="2" t="s">
        <v>382</v>
      </c>
      <c r="C193" s="2" t="s">
        <v>432</v>
      </c>
      <c r="D193" s="4">
        <v>191</v>
      </c>
      <c r="E193" s="2" t="s">
        <v>383</v>
      </c>
      <c r="F193" s="19" t="s">
        <v>2876</v>
      </c>
      <c r="G193" t="s">
        <v>1504</v>
      </c>
      <c r="H193" t="s">
        <v>2002</v>
      </c>
    </row>
    <row r="194" spans="1:8" ht="14.4" customHeight="1" x14ac:dyDescent="0.3">
      <c r="A194" s="6" t="s">
        <v>384</v>
      </c>
      <c r="B194" s="2" t="s">
        <v>384</v>
      </c>
      <c r="C194" s="2" t="s">
        <v>432</v>
      </c>
      <c r="D194" s="4">
        <v>192</v>
      </c>
      <c r="E194" s="2" t="s">
        <v>385</v>
      </c>
      <c r="F194" s="19" t="s">
        <v>2876</v>
      </c>
      <c r="G194" t="s">
        <v>1505</v>
      </c>
      <c r="H194" t="s">
        <v>2003</v>
      </c>
    </row>
    <row r="195" spans="1:8" ht="14.4" customHeight="1" x14ac:dyDescent="0.3">
      <c r="A195" s="6" t="s">
        <v>386</v>
      </c>
      <c r="B195" s="2" t="s">
        <v>386</v>
      </c>
      <c r="C195" s="2" t="s">
        <v>432</v>
      </c>
      <c r="D195" s="4">
        <v>193</v>
      </c>
      <c r="E195" s="2" t="s">
        <v>387</v>
      </c>
      <c r="F195" s="19" t="s">
        <v>2876</v>
      </c>
      <c r="G195" t="s">
        <v>1506</v>
      </c>
      <c r="H195" t="s">
        <v>2004</v>
      </c>
    </row>
    <row r="196" spans="1:8" ht="14.4" customHeight="1" x14ac:dyDescent="0.3">
      <c r="A196" s="6" t="s">
        <v>388</v>
      </c>
      <c r="B196" s="2" t="s">
        <v>388</v>
      </c>
      <c r="C196" s="2" t="s">
        <v>432</v>
      </c>
      <c r="D196" s="4">
        <v>194</v>
      </c>
      <c r="E196" s="2" t="s">
        <v>389</v>
      </c>
      <c r="F196" s="19" t="s">
        <v>2876</v>
      </c>
      <c r="G196" t="s">
        <v>1507</v>
      </c>
      <c r="H196" t="s">
        <v>2005</v>
      </c>
    </row>
    <row r="197" spans="1:8" ht="14.4" customHeight="1" x14ac:dyDescent="0.3">
      <c r="A197" s="6" t="s">
        <v>390</v>
      </c>
      <c r="B197" s="2" t="s">
        <v>390</v>
      </c>
      <c r="C197" s="2" t="s">
        <v>432</v>
      </c>
      <c r="D197" s="4">
        <v>195</v>
      </c>
      <c r="E197" s="2" t="s">
        <v>391</v>
      </c>
      <c r="F197" s="19" t="s">
        <v>2876</v>
      </c>
      <c r="G197" t="s">
        <v>1508</v>
      </c>
      <c r="H197" t="s">
        <v>2006</v>
      </c>
    </row>
    <row r="198" spans="1:8" ht="14.4" customHeight="1" x14ac:dyDescent="0.3">
      <c r="A198" s="6" t="s">
        <v>392</v>
      </c>
      <c r="B198" s="2" t="s">
        <v>392</v>
      </c>
      <c r="C198" s="2" t="s">
        <v>432</v>
      </c>
      <c r="D198" s="4">
        <v>196</v>
      </c>
      <c r="E198" s="2" t="s">
        <v>393</v>
      </c>
      <c r="F198" s="19" t="s">
        <v>2876</v>
      </c>
      <c r="G198" t="s">
        <v>1509</v>
      </c>
      <c r="H198" t="s">
        <v>2007</v>
      </c>
    </row>
    <row r="199" spans="1:8" ht="14.4" customHeight="1" x14ac:dyDescent="0.3">
      <c r="A199" s="6" t="s">
        <v>394</v>
      </c>
      <c r="B199" s="2" t="s">
        <v>394</v>
      </c>
      <c r="C199" s="2" t="s">
        <v>432</v>
      </c>
      <c r="D199" s="4">
        <v>197</v>
      </c>
      <c r="E199" s="2" t="s">
        <v>395</v>
      </c>
      <c r="F199" s="19" t="s">
        <v>2876</v>
      </c>
      <c r="G199" t="s">
        <v>1510</v>
      </c>
      <c r="H199" t="s">
        <v>2008</v>
      </c>
    </row>
    <row r="200" spans="1:8" ht="14.4" customHeight="1" x14ac:dyDescent="0.3">
      <c r="A200" s="6" t="s">
        <v>396</v>
      </c>
      <c r="B200" s="2" t="s">
        <v>396</v>
      </c>
      <c r="C200" s="2" t="s">
        <v>432</v>
      </c>
      <c r="D200" s="4">
        <v>198</v>
      </c>
      <c r="E200" s="2" t="s">
        <v>397</v>
      </c>
      <c r="F200" s="19" t="s">
        <v>2876</v>
      </c>
      <c r="G200" t="s">
        <v>1511</v>
      </c>
      <c r="H200" t="s">
        <v>2009</v>
      </c>
    </row>
    <row r="201" spans="1:8" ht="14.4" customHeight="1" x14ac:dyDescent="0.3">
      <c r="A201" s="6" t="s">
        <v>398</v>
      </c>
      <c r="B201" s="2" t="s">
        <v>398</v>
      </c>
      <c r="C201" s="2" t="s">
        <v>432</v>
      </c>
      <c r="D201" s="4">
        <v>199</v>
      </c>
      <c r="E201" s="2" t="s">
        <v>399</v>
      </c>
      <c r="F201" s="19" t="s">
        <v>2876</v>
      </c>
      <c r="G201" t="s">
        <v>1512</v>
      </c>
      <c r="H201" t="s">
        <v>2010</v>
      </c>
    </row>
    <row r="202" spans="1:8" ht="14.4" customHeight="1" x14ac:dyDescent="0.3">
      <c r="A202" s="6" t="s">
        <v>400</v>
      </c>
      <c r="B202" s="2" t="s">
        <v>400</v>
      </c>
      <c r="C202" s="2" t="s">
        <v>432</v>
      </c>
      <c r="D202" s="4">
        <v>200</v>
      </c>
      <c r="E202" s="2" t="s">
        <v>401</v>
      </c>
      <c r="F202" s="19" t="s">
        <v>2876</v>
      </c>
      <c r="G202" t="s">
        <v>1513</v>
      </c>
      <c r="H202" t="s">
        <v>2011</v>
      </c>
    </row>
    <row r="203" spans="1:8" ht="14.4" customHeight="1" x14ac:dyDescent="0.3">
      <c r="A203" s="6" t="s">
        <v>402</v>
      </c>
      <c r="B203" s="2" t="s">
        <v>402</v>
      </c>
      <c r="C203" s="2" t="s">
        <v>432</v>
      </c>
      <c r="D203" s="4">
        <v>201</v>
      </c>
      <c r="E203" s="2" t="s">
        <v>403</v>
      </c>
      <c r="F203" s="19" t="s">
        <v>2876</v>
      </c>
      <c r="G203" t="s">
        <v>1514</v>
      </c>
      <c r="H203" t="s">
        <v>2012</v>
      </c>
    </row>
    <row r="204" spans="1:8" ht="14.4" customHeight="1" x14ac:dyDescent="0.3">
      <c r="A204" s="6" t="s">
        <v>404</v>
      </c>
      <c r="B204" s="2" t="s">
        <v>404</v>
      </c>
      <c r="C204" s="2" t="s">
        <v>432</v>
      </c>
      <c r="D204" s="4">
        <v>202</v>
      </c>
      <c r="E204" s="2" t="s">
        <v>405</v>
      </c>
      <c r="F204" s="19" t="s">
        <v>2876</v>
      </c>
      <c r="G204" t="s">
        <v>1515</v>
      </c>
      <c r="H204" t="s">
        <v>2013</v>
      </c>
    </row>
    <row r="205" spans="1:8" ht="14.4" customHeight="1" x14ac:dyDescent="0.3">
      <c r="A205" s="6" t="s">
        <v>406</v>
      </c>
      <c r="B205" s="2" t="s">
        <v>406</v>
      </c>
      <c r="C205" s="2" t="s">
        <v>432</v>
      </c>
      <c r="D205" s="4">
        <v>203</v>
      </c>
      <c r="E205" s="2" t="s">
        <v>407</v>
      </c>
      <c r="F205" s="19" t="s">
        <v>2876</v>
      </c>
      <c r="G205" t="s">
        <v>1516</v>
      </c>
      <c r="H205" t="s">
        <v>2014</v>
      </c>
    </row>
    <row r="206" spans="1:8" ht="14.4" customHeight="1" x14ac:dyDescent="0.3">
      <c r="A206" s="6" t="s">
        <v>408</v>
      </c>
      <c r="B206" s="2" t="s">
        <v>408</v>
      </c>
      <c r="C206" s="2" t="s">
        <v>432</v>
      </c>
      <c r="D206" s="4">
        <v>204</v>
      </c>
      <c r="E206" s="2" t="s">
        <v>409</v>
      </c>
      <c r="F206" s="19" t="s">
        <v>2876</v>
      </c>
      <c r="G206" t="s">
        <v>1517</v>
      </c>
      <c r="H206" t="s">
        <v>2015</v>
      </c>
    </row>
    <row r="207" spans="1:8" ht="14.4" customHeight="1" x14ac:dyDescent="0.3">
      <c r="A207" s="6" t="s">
        <v>410</v>
      </c>
      <c r="B207" s="2" t="s">
        <v>410</v>
      </c>
      <c r="C207" s="2" t="s">
        <v>432</v>
      </c>
      <c r="D207" s="4">
        <v>205</v>
      </c>
      <c r="E207" s="2" t="s">
        <v>411</v>
      </c>
      <c r="F207" s="19" t="s">
        <v>2876</v>
      </c>
      <c r="G207" t="s">
        <v>1518</v>
      </c>
      <c r="H207" t="s">
        <v>2016</v>
      </c>
    </row>
    <row r="208" spans="1:8" ht="14.4" customHeight="1" x14ac:dyDescent="0.3">
      <c r="A208" s="6" t="s">
        <v>412</v>
      </c>
      <c r="B208" s="2" t="s">
        <v>412</v>
      </c>
      <c r="C208" s="2" t="s">
        <v>432</v>
      </c>
      <c r="D208" s="4">
        <v>206</v>
      </c>
      <c r="E208" s="2" t="s">
        <v>413</v>
      </c>
      <c r="F208" s="19" t="s">
        <v>2876</v>
      </c>
      <c r="G208" t="s">
        <v>1519</v>
      </c>
      <c r="H208" t="s">
        <v>2017</v>
      </c>
    </row>
    <row r="209" spans="1:8" ht="14.4" customHeight="1" x14ac:dyDescent="0.3">
      <c r="A209" s="6" t="s">
        <v>414</v>
      </c>
      <c r="B209" s="2" t="s">
        <v>414</v>
      </c>
      <c r="C209" s="2" t="s">
        <v>432</v>
      </c>
      <c r="D209" s="4">
        <v>207</v>
      </c>
      <c r="E209" s="2" t="s">
        <v>415</v>
      </c>
      <c r="F209" s="19" t="s">
        <v>2876</v>
      </c>
      <c r="G209" t="s">
        <v>1520</v>
      </c>
      <c r="H209" t="s">
        <v>2018</v>
      </c>
    </row>
    <row r="210" spans="1:8" ht="14.4" customHeight="1" x14ac:dyDescent="0.3">
      <c r="A210" s="6" t="s">
        <v>416</v>
      </c>
      <c r="B210" s="2" t="s">
        <v>416</v>
      </c>
      <c r="C210" s="2" t="s">
        <v>432</v>
      </c>
      <c r="D210" s="4">
        <v>208</v>
      </c>
      <c r="E210" s="2" t="s">
        <v>417</v>
      </c>
      <c r="F210" s="19" t="s">
        <v>2876</v>
      </c>
      <c r="G210" t="s">
        <v>1521</v>
      </c>
      <c r="H210" t="s">
        <v>2019</v>
      </c>
    </row>
    <row r="211" spans="1:8" ht="14.4" customHeight="1" x14ac:dyDescent="0.3">
      <c r="A211" s="6" t="s">
        <v>809</v>
      </c>
      <c r="B211" s="2" t="s">
        <v>418</v>
      </c>
      <c r="C211" s="2" t="s">
        <v>432</v>
      </c>
      <c r="D211" s="4">
        <v>209</v>
      </c>
      <c r="E211" s="2" t="s">
        <v>419</v>
      </c>
      <c r="F211" s="19" t="s">
        <v>2876</v>
      </c>
      <c r="G211" t="s">
        <v>1522</v>
      </c>
      <c r="H211" t="s">
        <v>2020</v>
      </c>
    </row>
    <row r="212" spans="1:8" x14ac:dyDescent="0.3">
      <c r="A212" s="6" t="s">
        <v>810</v>
      </c>
      <c r="B212" s="2" t="s">
        <v>423</v>
      </c>
      <c r="C212" s="2"/>
      <c r="E212" t="s">
        <v>424</v>
      </c>
      <c r="G212" t="s">
        <v>1523</v>
      </c>
      <c r="H212" t="s">
        <v>2021</v>
      </c>
    </row>
    <row r="213" spans="1:8" x14ac:dyDescent="0.3">
      <c r="A213" s="6" t="s">
        <v>811</v>
      </c>
      <c r="B213" s="2" t="s">
        <v>1029</v>
      </c>
      <c r="C213" s="2" t="s">
        <v>433</v>
      </c>
      <c r="D213" s="5">
        <v>1</v>
      </c>
      <c r="E213" s="3" t="s">
        <v>426</v>
      </c>
      <c r="F213" s="20" t="s">
        <v>2877</v>
      </c>
      <c r="G213" t="s">
        <v>1524</v>
      </c>
      <c r="H213" t="s">
        <v>2022</v>
      </c>
    </row>
    <row r="214" spans="1:8" x14ac:dyDescent="0.3">
      <c r="A214" s="6" t="s">
        <v>811</v>
      </c>
      <c r="B214" s="2" t="s">
        <v>1030</v>
      </c>
      <c r="C214" s="2" t="s">
        <v>433</v>
      </c>
      <c r="D214" s="5">
        <v>2</v>
      </c>
      <c r="E214" t="s">
        <v>429</v>
      </c>
      <c r="F214" s="20" t="s">
        <v>2877</v>
      </c>
      <c r="G214" t="s">
        <v>1525</v>
      </c>
      <c r="H214" t="s">
        <v>2023</v>
      </c>
    </row>
    <row r="215" spans="1:8" x14ac:dyDescent="0.3">
      <c r="A215" s="6" t="s">
        <v>811</v>
      </c>
      <c r="B215" s="2" t="s">
        <v>1031</v>
      </c>
      <c r="C215" s="2" t="s">
        <v>433</v>
      </c>
      <c r="D215" s="5">
        <v>3</v>
      </c>
      <c r="E215" t="s">
        <v>430</v>
      </c>
      <c r="F215" s="20" t="s">
        <v>2877</v>
      </c>
      <c r="G215" t="s">
        <v>1526</v>
      </c>
      <c r="H215" t="s">
        <v>2024</v>
      </c>
    </row>
    <row r="216" spans="1:8" x14ac:dyDescent="0.3">
      <c r="A216" s="6" t="s">
        <v>812</v>
      </c>
      <c r="B216" s="2" t="s">
        <v>1233</v>
      </c>
      <c r="C216" s="2" t="s">
        <v>433</v>
      </c>
      <c r="D216" s="4">
        <v>4</v>
      </c>
      <c r="E216" t="s">
        <v>2774</v>
      </c>
      <c r="F216" s="20" t="s">
        <v>2877</v>
      </c>
      <c r="G216" t="s">
        <v>1527</v>
      </c>
      <c r="H216" t="s">
        <v>2025</v>
      </c>
    </row>
    <row r="217" spans="1:8" x14ac:dyDescent="0.3">
      <c r="A217" s="6" t="s">
        <v>813</v>
      </c>
      <c r="B217" s="2" t="s">
        <v>1032</v>
      </c>
      <c r="C217" s="2" t="s">
        <v>433</v>
      </c>
      <c r="D217" s="4">
        <v>5</v>
      </c>
      <c r="E217" t="s">
        <v>2775</v>
      </c>
      <c r="F217" s="20" t="s">
        <v>2877</v>
      </c>
      <c r="G217" t="s">
        <v>1528</v>
      </c>
      <c r="H217" t="s">
        <v>2026</v>
      </c>
    </row>
    <row r="218" spans="1:8" x14ac:dyDescent="0.3">
      <c r="A218" s="6" t="s">
        <v>814</v>
      </c>
      <c r="B218" s="2" t="s">
        <v>1234</v>
      </c>
      <c r="C218" s="2" t="s">
        <v>433</v>
      </c>
      <c r="D218" s="4">
        <v>6</v>
      </c>
      <c r="E218" t="s">
        <v>2776</v>
      </c>
      <c r="F218" s="20" t="s">
        <v>2877</v>
      </c>
      <c r="G218" t="s">
        <v>1529</v>
      </c>
      <c r="H218" t="s">
        <v>2027</v>
      </c>
    </row>
    <row r="219" spans="1:8" x14ac:dyDescent="0.3">
      <c r="A219" s="6" t="s">
        <v>815</v>
      </c>
      <c r="B219" s="2" t="s">
        <v>1033</v>
      </c>
      <c r="C219" s="2" t="s">
        <v>433</v>
      </c>
      <c r="D219" s="4">
        <v>7</v>
      </c>
      <c r="E219" t="s">
        <v>2777</v>
      </c>
      <c r="F219" s="20" t="s">
        <v>2877</v>
      </c>
      <c r="G219" t="s">
        <v>1530</v>
      </c>
      <c r="H219" t="s">
        <v>2028</v>
      </c>
    </row>
    <row r="220" spans="1:8" x14ac:dyDescent="0.3">
      <c r="A220" s="6" t="s">
        <v>816</v>
      </c>
      <c r="B220" s="2" t="s">
        <v>1235</v>
      </c>
      <c r="C220" s="2" t="s">
        <v>433</v>
      </c>
      <c r="D220" s="4">
        <v>8</v>
      </c>
      <c r="E220" t="s">
        <v>1048</v>
      </c>
      <c r="F220" s="20" t="s">
        <v>2877</v>
      </c>
      <c r="G220" t="s">
        <v>1531</v>
      </c>
      <c r="H220" t="s">
        <v>2029</v>
      </c>
    </row>
    <row r="221" spans="1:8" x14ac:dyDescent="0.3">
      <c r="A221" s="6" t="s">
        <v>817</v>
      </c>
      <c r="B221" s="2" t="s">
        <v>1034</v>
      </c>
      <c r="C221" s="2" t="s">
        <v>433</v>
      </c>
      <c r="D221" s="4">
        <v>9</v>
      </c>
      <c r="E221" t="s">
        <v>2778</v>
      </c>
      <c r="F221" s="20" t="s">
        <v>2877</v>
      </c>
      <c r="G221" t="s">
        <v>1532</v>
      </c>
      <c r="H221" t="s">
        <v>2030</v>
      </c>
    </row>
    <row r="222" spans="1:8" x14ac:dyDescent="0.3">
      <c r="A222" s="6" t="s">
        <v>818</v>
      </c>
      <c r="B222" s="2" t="s">
        <v>1035</v>
      </c>
      <c r="C222" s="2" t="s">
        <v>433</v>
      </c>
      <c r="D222" s="4">
        <v>10</v>
      </c>
      <c r="E222" t="s">
        <v>2779</v>
      </c>
      <c r="F222" s="20" t="s">
        <v>2877</v>
      </c>
      <c r="G222" t="s">
        <v>1533</v>
      </c>
      <c r="H222" t="s">
        <v>2031</v>
      </c>
    </row>
    <row r="223" spans="1:8" x14ac:dyDescent="0.3">
      <c r="A223" s="6" t="s">
        <v>819</v>
      </c>
      <c r="B223" s="2" t="s">
        <v>1236</v>
      </c>
      <c r="C223" s="2" t="s">
        <v>433</v>
      </c>
      <c r="D223" s="4">
        <v>11</v>
      </c>
      <c r="E223" t="s">
        <v>2780</v>
      </c>
      <c r="F223" s="20" t="s">
        <v>2877</v>
      </c>
      <c r="G223" t="s">
        <v>1534</v>
      </c>
      <c r="H223" t="s">
        <v>2032</v>
      </c>
    </row>
    <row r="224" spans="1:8" x14ac:dyDescent="0.3">
      <c r="A224" s="6" t="s">
        <v>820</v>
      </c>
      <c r="B224" s="2" t="s">
        <v>1036</v>
      </c>
      <c r="C224" s="2" t="s">
        <v>433</v>
      </c>
      <c r="D224" s="4">
        <v>12</v>
      </c>
      <c r="E224" t="s">
        <v>2781</v>
      </c>
      <c r="F224" s="20" t="s">
        <v>2877</v>
      </c>
      <c r="G224" t="s">
        <v>1535</v>
      </c>
      <c r="H224" t="s">
        <v>2033</v>
      </c>
    </row>
    <row r="225" spans="1:8" x14ac:dyDescent="0.3">
      <c r="A225" s="6" t="s">
        <v>821</v>
      </c>
      <c r="B225" s="2" t="s">
        <v>1237</v>
      </c>
      <c r="C225" s="2" t="s">
        <v>433</v>
      </c>
      <c r="D225" s="4">
        <v>13</v>
      </c>
      <c r="E225" t="s">
        <v>2782</v>
      </c>
      <c r="F225" s="20" t="s">
        <v>2877</v>
      </c>
      <c r="G225" t="s">
        <v>1536</v>
      </c>
      <c r="H225" t="s">
        <v>2034</v>
      </c>
    </row>
    <row r="226" spans="1:8" x14ac:dyDescent="0.3">
      <c r="A226" s="6" t="s">
        <v>822</v>
      </c>
      <c r="B226" s="2" t="s">
        <v>1037</v>
      </c>
      <c r="C226" s="2" t="s">
        <v>433</v>
      </c>
      <c r="D226" s="4">
        <v>14</v>
      </c>
      <c r="E226" t="s">
        <v>2783</v>
      </c>
      <c r="F226" s="20" t="s">
        <v>2877</v>
      </c>
      <c r="G226" t="s">
        <v>1537</v>
      </c>
      <c r="H226" t="s">
        <v>2035</v>
      </c>
    </row>
    <row r="227" spans="1:8" x14ac:dyDescent="0.3">
      <c r="A227" s="6" t="s">
        <v>823</v>
      </c>
      <c r="B227" s="2" t="s">
        <v>1238</v>
      </c>
      <c r="C227" s="2" t="s">
        <v>433</v>
      </c>
      <c r="D227" s="4">
        <v>15</v>
      </c>
      <c r="E227" t="s">
        <v>446</v>
      </c>
      <c r="F227" s="20" t="s">
        <v>2877</v>
      </c>
      <c r="G227" t="s">
        <v>1538</v>
      </c>
      <c r="H227" t="s">
        <v>2036</v>
      </c>
    </row>
    <row r="228" spans="1:8" x14ac:dyDescent="0.3">
      <c r="A228" s="6" t="s">
        <v>824</v>
      </c>
      <c r="B228" s="2" t="s">
        <v>1052</v>
      </c>
      <c r="C228" s="2" t="s">
        <v>433</v>
      </c>
      <c r="D228" s="4">
        <v>16</v>
      </c>
      <c r="E228" t="s">
        <v>2784</v>
      </c>
      <c r="F228" s="20" t="s">
        <v>2877</v>
      </c>
      <c r="G228" t="s">
        <v>1539</v>
      </c>
      <c r="H228" t="s">
        <v>2037</v>
      </c>
    </row>
    <row r="229" spans="1:8" x14ac:dyDescent="0.3">
      <c r="A229" s="6" t="s">
        <v>825</v>
      </c>
      <c r="B229" s="2" t="s">
        <v>1050</v>
      </c>
      <c r="C229" s="2" t="s">
        <v>433</v>
      </c>
      <c r="D229" s="4">
        <v>17</v>
      </c>
      <c r="E229" t="s">
        <v>2785</v>
      </c>
      <c r="F229" s="20" t="s">
        <v>2877</v>
      </c>
      <c r="G229" t="s">
        <v>1540</v>
      </c>
      <c r="H229" t="s">
        <v>2038</v>
      </c>
    </row>
    <row r="230" spans="1:8" x14ac:dyDescent="0.3">
      <c r="A230" s="6" t="s">
        <v>826</v>
      </c>
      <c r="B230" s="2" t="s">
        <v>1055</v>
      </c>
      <c r="C230" s="2" t="s">
        <v>433</v>
      </c>
      <c r="D230" s="4">
        <v>18</v>
      </c>
      <c r="E230" t="s">
        <v>2786</v>
      </c>
      <c r="F230" s="20" t="s">
        <v>2877</v>
      </c>
      <c r="G230" t="s">
        <v>1541</v>
      </c>
      <c r="H230" t="s">
        <v>2039</v>
      </c>
    </row>
    <row r="231" spans="1:8" x14ac:dyDescent="0.3">
      <c r="A231" s="6" t="s">
        <v>827</v>
      </c>
      <c r="B231" s="2" t="s">
        <v>1057</v>
      </c>
      <c r="C231" s="2" t="s">
        <v>433</v>
      </c>
      <c r="D231" s="4">
        <v>19</v>
      </c>
      <c r="E231" t="s">
        <v>2787</v>
      </c>
      <c r="F231" s="20" t="s">
        <v>2877</v>
      </c>
      <c r="G231" t="s">
        <v>1542</v>
      </c>
      <c r="H231" t="s">
        <v>2040</v>
      </c>
    </row>
    <row r="232" spans="1:8" x14ac:dyDescent="0.3">
      <c r="A232" s="6" t="s">
        <v>828</v>
      </c>
      <c r="B232" s="2" t="s">
        <v>1053</v>
      </c>
      <c r="C232" s="2" t="s">
        <v>433</v>
      </c>
      <c r="D232" s="4">
        <v>20</v>
      </c>
      <c r="E232" t="s">
        <v>2788</v>
      </c>
      <c r="F232" s="20" t="s">
        <v>2877</v>
      </c>
      <c r="G232" t="s">
        <v>1543</v>
      </c>
      <c r="H232" t="s">
        <v>2041</v>
      </c>
    </row>
    <row r="233" spans="1:8" x14ac:dyDescent="0.3">
      <c r="A233" s="6" t="s">
        <v>829</v>
      </c>
      <c r="B233" s="2" t="s">
        <v>1038</v>
      </c>
      <c r="C233" s="2" t="s">
        <v>433</v>
      </c>
      <c r="D233" s="4">
        <v>21</v>
      </c>
      <c r="E233" t="s">
        <v>2789</v>
      </c>
      <c r="F233" s="20" t="s">
        <v>2877</v>
      </c>
      <c r="G233" t="s">
        <v>1544</v>
      </c>
      <c r="H233" t="s">
        <v>2042</v>
      </c>
    </row>
    <row r="234" spans="1:8" x14ac:dyDescent="0.3">
      <c r="A234" s="6" t="s">
        <v>830</v>
      </c>
      <c r="B234" s="2" t="s">
        <v>1054</v>
      </c>
      <c r="C234" s="2" t="s">
        <v>433</v>
      </c>
      <c r="D234" s="4">
        <v>22</v>
      </c>
      <c r="E234" t="s">
        <v>2790</v>
      </c>
      <c r="F234" s="20" t="s">
        <v>2877</v>
      </c>
      <c r="G234" t="s">
        <v>1545</v>
      </c>
      <c r="H234" t="s">
        <v>2043</v>
      </c>
    </row>
    <row r="235" spans="1:8" x14ac:dyDescent="0.3">
      <c r="A235" s="6" t="s">
        <v>831</v>
      </c>
      <c r="B235" s="2" t="s">
        <v>1039</v>
      </c>
      <c r="C235" s="2" t="s">
        <v>433</v>
      </c>
      <c r="D235" s="4">
        <v>23</v>
      </c>
      <c r="E235" t="s">
        <v>2791</v>
      </c>
      <c r="F235" s="20" t="s">
        <v>2877</v>
      </c>
      <c r="G235" t="s">
        <v>1546</v>
      </c>
      <c r="H235" t="s">
        <v>2044</v>
      </c>
    </row>
    <row r="236" spans="1:8" x14ac:dyDescent="0.3">
      <c r="A236" s="6" t="s">
        <v>832</v>
      </c>
      <c r="B236" s="2" t="s">
        <v>1040</v>
      </c>
      <c r="C236" s="2" t="s">
        <v>433</v>
      </c>
      <c r="D236" s="4">
        <v>24</v>
      </c>
      <c r="G236" t="s">
        <v>1547</v>
      </c>
      <c r="H236" t="s">
        <v>2045</v>
      </c>
    </row>
    <row r="237" spans="1:8" x14ac:dyDescent="0.3">
      <c r="A237" s="6" t="s">
        <v>833</v>
      </c>
      <c r="B237" s="2" t="s">
        <v>1051</v>
      </c>
      <c r="C237" s="2" t="s">
        <v>433</v>
      </c>
      <c r="D237" s="4">
        <v>25</v>
      </c>
      <c r="E237" t="s">
        <v>2792</v>
      </c>
      <c r="F237" s="20" t="s">
        <v>2877</v>
      </c>
      <c r="G237" t="s">
        <v>1548</v>
      </c>
      <c r="H237" t="s">
        <v>2046</v>
      </c>
    </row>
    <row r="238" spans="1:8" x14ac:dyDescent="0.3">
      <c r="A238" s="6" t="s">
        <v>834</v>
      </c>
      <c r="B238" s="2" t="s">
        <v>1056</v>
      </c>
      <c r="C238" s="2" t="s">
        <v>433</v>
      </c>
      <c r="D238" s="4">
        <v>26</v>
      </c>
      <c r="E238" t="s">
        <v>2793</v>
      </c>
      <c r="F238" s="20" t="s">
        <v>2877</v>
      </c>
      <c r="G238" t="s">
        <v>1549</v>
      </c>
      <c r="H238" t="s">
        <v>2047</v>
      </c>
    </row>
    <row r="239" spans="1:8" x14ac:dyDescent="0.3">
      <c r="A239" s="6" t="s">
        <v>835</v>
      </c>
      <c r="B239" s="2" t="s">
        <v>1058</v>
      </c>
      <c r="C239" s="2" t="s">
        <v>433</v>
      </c>
      <c r="D239" s="4">
        <v>27</v>
      </c>
      <c r="E239" t="s">
        <v>2794</v>
      </c>
      <c r="F239" s="20" t="s">
        <v>2877</v>
      </c>
      <c r="G239" t="s">
        <v>1550</v>
      </c>
      <c r="H239" t="s">
        <v>2048</v>
      </c>
    </row>
    <row r="240" spans="1:8" x14ac:dyDescent="0.3">
      <c r="A240" s="6" t="s">
        <v>836</v>
      </c>
      <c r="B240" s="2" t="s">
        <v>1049</v>
      </c>
      <c r="C240" s="2" t="s">
        <v>433</v>
      </c>
      <c r="D240" s="4">
        <v>28</v>
      </c>
      <c r="E240" t="s">
        <v>647</v>
      </c>
      <c r="F240" s="20" t="s">
        <v>2877</v>
      </c>
      <c r="G240" t="s">
        <v>1551</v>
      </c>
      <c r="H240" t="s">
        <v>2049</v>
      </c>
    </row>
    <row r="241" spans="1:8" x14ac:dyDescent="0.3">
      <c r="A241" s="6" t="s">
        <v>837</v>
      </c>
      <c r="B241" s="2" t="s">
        <v>1041</v>
      </c>
      <c r="C241" s="2" t="s">
        <v>433</v>
      </c>
      <c r="D241" s="4">
        <v>29</v>
      </c>
      <c r="E241" t="s">
        <v>2795</v>
      </c>
      <c r="F241" s="20" t="s">
        <v>2877</v>
      </c>
      <c r="G241" t="s">
        <v>1552</v>
      </c>
      <c r="H241" t="s">
        <v>2050</v>
      </c>
    </row>
    <row r="242" spans="1:8" x14ac:dyDescent="0.3">
      <c r="A242" s="6" t="s">
        <v>838</v>
      </c>
      <c r="B242" s="2" t="s">
        <v>1042</v>
      </c>
      <c r="C242" s="2" t="s">
        <v>433</v>
      </c>
      <c r="D242" s="4">
        <v>30</v>
      </c>
      <c r="E242" t="s">
        <v>2796</v>
      </c>
      <c r="F242" s="20" t="s">
        <v>2877</v>
      </c>
      <c r="G242" t="s">
        <v>1553</v>
      </c>
      <c r="H242" t="s">
        <v>2051</v>
      </c>
    </row>
    <row r="243" spans="1:8" x14ac:dyDescent="0.3">
      <c r="A243" s="6" t="s">
        <v>839</v>
      </c>
      <c r="B243" s="2" t="s">
        <v>1059</v>
      </c>
      <c r="C243" s="2" t="s">
        <v>433</v>
      </c>
      <c r="D243" s="4">
        <v>31</v>
      </c>
      <c r="E243" t="s">
        <v>2811</v>
      </c>
      <c r="F243" s="20" t="s">
        <v>2877</v>
      </c>
      <c r="G243" t="s">
        <v>1554</v>
      </c>
      <c r="H243" t="s">
        <v>2052</v>
      </c>
    </row>
    <row r="244" spans="1:8" x14ac:dyDescent="0.3">
      <c r="A244" s="6" t="s">
        <v>840</v>
      </c>
      <c r="B244" s="2" t="s">
        <v>1060</v>
      </c>
      <c r="C244" s="2" t="s">
        <v>433</v>
      </c>
      <c r="D244" s="4">
        <v>32</v>
      </c>
      <c r="E244" t="s">
        <v>2797</v>
      </c>
      <c r="F244" s="20" t="s">
        <v>2877</v>
      </c>
      <c r="G244" t="s">
        <v>1555</v>
      </c>
      <c r="H244" t="s">
        <v>2053</v>
      </c>
    </row>
    <row r="245" spans="1:8" x14ac:dyDescent="0.3">
      <c r="A245" s="6" t="s">
        <v>841</v>
      </c>
      <c r="B245" s="2" t="s">
        <v>1064</v>
      </c>
      <c r="C245" s="2" t="s">
        <v>433</v>
      </c>
      <c r="D245" s="4">
        <v>33</v>
      </c>
      <c r="E245" t="s">
        <v>2798</v>
      </c>
      <c r="F245" s="20" t="s">
        <v>2877</v>
      </c>
      <c r="G245" t="s">
        <v>1556</v>
      </c>
      <c r="H245" t="s">
        <v>2054</v>
      </c>
    </row>
    <row r="246" spans="1:8" x14ac:dyDescent="0.3">
      <c r="A246" s="6" t="s">
        <v>842</v>
      </c>
      <c r="B246" s="2" t="s">
        <v>1065</v>
      </c>
      <c r="C246" s="2" t="s">
        <v>433</v>
      </c>
      <c r="D246" s="4">
        <v>34</v>
      </c>
      <c r="E246" t="s">
        <v>2799</v>
      </c>
      <c r="F246" s="20" t="s">
        <v>2877</v>
      </c>
      <c r="G246" t="s">
        <v>1557</v>
      </c>
      <c r="H246" t="s">
        <v>2055</v>
      </c>
    </row>
    <row r="247" spans="1:8" x14ac:dyDescent="0.3">
      <c r="A247" s="6" t="s">
        <v>843</v>
      </c>
      <c r="B247" s="2" t="s">
        <v>1061</v>
      </c>
      <c r="C247" s="2" t="s">
        <v>433</v>
      </c>
      <c r="D247" s="4">
        <v>35</v>
      </c>
      <c r="E247" t="s">
        <v>654</v>
      </c>
      <c r="F247" s="20" t="s">
        <v>2877</v>
      </c>
      <c r="G247" t="s">
        <v>1558</v>
      </c>
      <c r="H247" t="s">
        <v>2056</v>
      </c>
    </row>
    <row r="248" spans="1:8" x14ac:dyDescent="0.3">
      <c r="A248" s="6" t="s">
        <v>844</v>
      </c>
      <c r="B248" s="2" t="s">
        <v>1062</v>
      </c>
      <c r="C248" s="2" t="s">
        <v>433</v>
      </c>
      <c r="D248" s="4">
        <v>36</v>
      </c>
      <c r="E248" t="s">
        <v>641</v>
      </c>
      <c r="F248" s="20" t="s">
        <v>2877</v>
      </c>
      <c r="G248" t="s">
        <v>1559</v>
      </c>
      <c r="H248" t="s">
        <v>2057</v>
      </c>
    </row>
    <row r="249" spans="1:8" x14ac:dyDescent="0.3">
      <c r="A249" s="6" t="s">
        <v>845</v>
      </c>
      <c r="B249" s="2" t="s">
        <v>1063</v>
      </c>
      <c r="C249" s="2" t="s">
        <v>433</v>
      </c>
      <c r="D249" s="4">
        <v>37</v>
      </c>
      <c r="E249" t="s">
        <v>642</v>
      </c>
      <c r="F249" s="20" t="s">
        <v>2877</v>
      </c>
      <c r="G249" t="s">
        <v>1560</v>
      </c>
      <c r="H249" t="s">
        <v>2058</v>
      </c>
    </row>
    <row r="250" spans="1:8" x14ac:dyDescent="0.3">
      <c r="A250" s="6" t="s">
        <v>846</v>
      </c>
      <c r="B250" s="2" t="s">
        <v>1043</v>
      </c>
      <c r="C250" s="2" t="s">
        <v>433</v>
      </c>
      <c r="D250" s="4">
        <v>38</v>
      </c>
      <c r="E250" t="s">
        <v>2800</v>
      </c>
      <c r="F250" s="20" t="s">
        <v>2877</v>
      </c>
      <c r="G250" t="s">
        <v>1561</v>
      </c>
      <c r="H250" t="s">
        <v>2059</v>
      </c>
    </row>
    <row r="251" spans="1:8" x14ac:dyDescent="0.3">
      <c r="A251" s="6" t="s">
        <v>847</v>
      </c>
      <c r="B251" s="2" t="s">
        <v>1066</v>
      </c>
      <c r="C251" s="2" t="s">
        <v>433</v>
      </c>
      <c r="D251" s="4">
        <v>39</v>
      </c>
      <c r="E251" t="s">
        <v>1067</v>
      </c>
      <c r="G251" t="s">
        <v>1562</v>
      </c>
      <c r="H251" t="s">
        <v>2060</v>
      </c>
    </row>
    <row r="252" spans="1:8" x14ac:dyDescent="0.3">
      <c r="A252" s="6" t="s">
        <v>848</v>
      </c>
      <c r="B252" s="2" t="s">
        <v>1068</v>
      </c>
      <c r="C252" s="2" t="s">
        <v>433</v>
      </c>
      <c r="D252" s="4">
        <v>40</v>
      </c>
      <c r="G252" t="s">
        <v>1563</v>
      </c>
      <c r="H252" t="s">
        <v>2061</v>
      </c>
    </row>
    <row r="253" spans="1:8" x14ac:dyDescent="0.3">
      <c r="A253" s="6" t="s">
        <v>849</v>
      </c>
      <c r="B253" s="2" t="s">
        <v>1089</v>
      </c>
      <c r="C253" s="2" t="s">
        <v>433</v>
      </c>
      <c r="D253" s="4">
        <v>41</v>
      </c>
      <c r="E253" t="s">
        <v>2801</v>
      </c>
      <c r="F253" s="20" t="s">
        <v>2877</v>
      </c>
      <c r="G253" t="s">
        <v>1564</v>
      </c>
      <c r="H253" t="s">
        <v>2062</v>
      </c>
    </row>
    <row r="254" spans="1:8" x14ac:dyDescent="0.3">
      <c r="A254" s="6" t="s">
        <v>850</v>
      </c>
      <c r="B254" s="2" t="s">
        <v>1069</v>
      </c>
      <c r="C254" s="2" t="s">
        <v>433</v>
      </c>
      <c r="D254" s="4">
        <v>42</v>
      </c>
      <c r="E254" t="s">
        <v>2802</v>
      </c>
      <c r="F254" s="20" t="s">
        <v>2877</v>
      </c>
      <c r="G254" t="s">
        <v>1565</v>
      </c>
      <c r="H254" t="s">
        <v>2063</v>
      </c>
    </row>
    <row r="255" spans="1:8" x14ac:dyDescent="0.3">
      <c r="A255" s="6" t="s">
        <v>851</v>
      </c>
      <c r="B255" s="2" t="s">
        <v>1090</v>
      </c>
      <c r="C255" s="2" t="s">
        <v>433</v>
      </c>
      <c r="D255" s="4">
        <v>43</v>
      </c>
      <c r="E255" t="s">
        <v>2810</v>
      </c>
      <c r="F255" s="20" t="s">
        <v>2877</v>
      </c>
      <c r="G255" t="s">
        <v>1566</v>
      </c>
      <c r="H255" t="s">
        <v>2064</v>
      </c>
    </row>
    <row r="256" spans="1:8" x14ac:dyDescent="0.3">
      <c r="A256" s="6" t="s">
        <v>852</v>
      </c>
      <c r="B256" s="2" t="s">
        <v>1070</v>
      </c>
      <c r="C256" s="2" t="s">
        <v>433</v>
      </c>
      <c r="D256" s="4">
        <v>44</v>
      </c>
      <c r="E256" t="s">
        <v>2803</v>
      </c>
      <c r="F256" s="20" t="s">
        <v>2877</v>
      </c>
      <c r="G256" t="s">
        <v>1567</v>
      </c>
      <c r="H256" t="s">
        <v>2065</v>
      </c>
    </row>
    <row r="257" spans="1:8" x14ac:dyDescent="0.3">
      <c r="A257" s="6" t="s">
        <v>853</v>
      </c>
      <c r="B257" s="2" t="s">
        <v>1091</v>
      </c>
      <c r="C257" s="2" t="s">
        <v>433</v>
      </c>
      <c r="D257" s="4">
        <v>45</v>
      </c>
      <c r="G257" t="s">
        <v>1568</v>
      </c>
      <c r="H257" t="s">
        <v>2066</v>
      </c>
    </row>
    <row r="258" spans="1:8" x14ac:dyDescent="0.3">
      <c r="A258" s="6" t="s">
        <v>854</v>
      </c>
      <c r="B258" s="2" t="s">
        <v>1071</v>
      </c>
      <c r="C258" s="2" t="s">
        <v>433</v>
      </c>
      <c r="D258" s="4">
        <v>46</v>
      </c>
      <c r="E258" t="s">
        <v>2804</v>
      </c>
      <c r="F258" s="20" t="s">
        <v>2877</v>
      </c>
      <c r="G258" t="s">
        <v>1569</v>
      </c>
      <c r="H258" t="s">
        <v>2067</v>
      </c>
    </row>
    <row r="259" spans="1:8" x14ac:dyDescent="0.3">
      <c r="A259" s="6" t="s">
        <v>855</v>
      </c>
      <c r="B259" s="2" t="s">
        <v>1072</v>
      </c>
      <c r="C259" s="2" t="s">
        <v>433</v>
      </c>
      <c r="D259" s="4">
        <v>47</v>
      </c>
      <c r="E259" t="s">
        <v>643</v>
      </c>
      <c r="F259" s="18" t="s">
        <v>2866</v>
      </c>
      <c r="G259" t="s">
        <v>1570</v>
      </c>
      <c r="H259" t="s">
        <v>2068</v>
      </c>
    </row>
    <row r="260" spans="1:8" x14ac:dyDescent="0.3">
      <c r="A260" s="6" t="s">
        <v>856</v>
      </c>
      <c r="B260" s="2" t="s">
        <v>1092</v>
      </c>
      <c r="C260" s="2" t="s">
        <v>433</v>
      </c>
      <c r="D260" s="4">
        <v>48</v>
      </c>
      <c r="E260" t="s">
        <v>2805</v>
      </c>
      <c r="F260" s="20" t="s">
        <v>2877</v>
      </c>
      <c r="G260" t="s">
        <v>1571</v>
      </c>
      <c r="H260" t="s">
        <v>2069</v>
      </c>
    </row>
    <row r="261" spans="1:8" x14ac:dyDescent="0.3">
      <c r="A261" s="6" t="s">
        <v>857</v>
      </c>
      <c r="B261" s="2" t="s">
        <v>1074</v>
      </c>
      <c r="C261" s="2" t="s">
        <v>433</v>
      </c>
      <c r="D261" s="4">
        <v>49</v>
      </c>
      <c r="E261" t="s">
        <v>648</v>
      </c>
      <c r="F261" s="20" t="s">
        <v>2877</v>
      </c>
      <c r="G261" t="s">
        <v>1572</v>
      </c>
      <c r="H261" t="s">
        <v>2070</v>
      </c>
    </row>
    <row r="262" spans="1:8" x14ac:dyDescent="0.3">
      <c r="A262" s="6" t="s">
        <v>858</v>
      </c>
      <c r="B262" s="2" t="s">
        <v>1093</v>
      </c>
      <c r="C262" s="2" t="s">
        <v>433</v>
      </c>
      <c r="D262" s="4">
        <v>50</v>
      </c>
      <c r="E262" t="s">
        <v>2806</v>
      </c>
      <c r="F262" s="20" t="s">
        <v>2877</v>
      </c>
      <c r="G262" t="s">
        <v>1573</v>
      </c>
      <c r="H262" t="s">
        <v>2071</v>
      </c>
    </row>
    <row r="263" spans="1:8" x14ac:dyDescent="0.3">
      <c r="A263" s="6" t="s">
        <v>859</v>
      </c>
      <c r="B263" s="2" t="s">
        <v>1073</v>
      </c>
      <c r="C263" s="2" t="s">
        <v>433</v>
      </c>
      <c r="D263" s="4">
        <v>51</v>
      </c>
      <c r="E263" t="s">
        <v>2809</v>
      </c>
      <c r="F263" s="20" t="s">
        <v>2877</v>
      </c>
      <c r="G263" t="s">
        <v>1574</v>
      </c>
      <c r="H263" t="s">
        <v>2072</v>
      </c>
    </row>
    <row r="264" spans="1:8" x14ac:dyDescent="0.3">
      <c r="A264" s="6" t="s">
        <v>860</v>
      </c>
      <c r="B264" s="2" t="s">
        <v>1077</v>
      </c>
      <c r="C264" s="2" t="s">
        <v>433</v>
      </c>
      <c r="D264" s="4">
        <v>52</v>
      </c>
      <c r="E264" t="s">
        <v>2807</v>
      </c>
      <c r="F264" s="20" t="s">
        <v>2877</v>
      </c>
      <c r="G264" t="s">
        <v>1575</v>
      </c>
      <c r="H264" t="s">
        <v>2073</v>
      </c>
    </row>
    <row r="265" spans="1:8" x14ac:dyDescent="0.3">
      <c r="A265" s="6" t="s">
        <v>861</v>
      </c>
      <c r="B265" s="2" t="s">
        <v>1078</v>
      </c>
      <c r="C265" s="2" t="s">
        <v>433</v>
      </c>
      <c r="D265" s="4">
        <v>53</v>
      </c>
      <c r="E265" t="s">
        <v>2808</v>
      </c>
      <c r="F265" s="20" t="s">
        <v>2877</v>
      </c>
      <c r="G265" t="s">
        <v>1576</v>
      </c>
      <c r="H265" t="s">
        <v>2074</v>
      </c>
    </row>
    <row r="266" spans="1:8" x14ac:dyDescent="0.3">
      <c r="A266" s="6" t="s">
        <v>862</v>
      </c>
      <c r="B266" s="2" t="s">
        <v>1079</v>
      </c>
      <c r="C266" s="2" t="s">
        <v>433</v>
      </c>
      <c r="D266" s="4">
        <v>54</v>
      </c>
      <c r="G266" t="s">
        <v>1577</v>
      </c>
      <c r="H266" t="s">
        <v>2075</v>
      </c>
    </row>
    <row r="267" spans="1:8" x14ac:dyDescent="0.3">
      <c r="A267" s="6" t="s">
        <v>863</v>
      </c>
      <c r="B267" s="2" t="s">
        <v>1094</v>
      </c>
      <c r="C267" s="2" t="s">
        <v>433</v>
      </c>
      <c r="D267" s="4">
        <v>55</v>
      </c>
      <c r="E267" t="s">
        <v>2878</v>
      </c>
      <c r="F267" s="20" t="s">
        <v>2877</v>
      </c>
      <c r="G267" t="s">
        <v>1578</v>
      </c>
      <c r="H267" t="s">
        <v>2076</v>
      </c>
    </row>
    <row r="268" spans="1:8" x14ac:dyDescent="0.3">
      <c r="A268" s="6" t="s">
        <v>864</v>
      </c>
      <c r="B268" s="2" t="s">
        <v>1080</v>
      </c>
      <c r="C268" s="2" t="s">
        <v>433</v>
      </c>
      <c r="D268" s="4">
        <v>56</v>
      </c>
      <c r="G268" t="s">
        <v>1579</v>
      </c>
      <c r="H268" t="s">
        <v>2077</v>
      </c>
    </row>
    <row r="269" spans="1:8" x14ac:dyDescent="0.3">
      <c r="A269" s="6" t="s">
        <v>865</v>
      </c>
      <c r="B269" s="2" t="s">
        <v>1095</v>
      </c>
      <c r="C269" s="2" t="s">
        <v>433</v>
      </c>
      <c r="D269" s="4">
        <v>57</v>
      </c>
      <c r="G269" t="s">
        <v>1580</v>
      </c>
      <c r="H269" t="s">
        <v>2078</v>
      </c>
    </row>
    <row r="270" spans="1:8" x14ac:dyDescent="0.3">
      <c r="A270" s="6" t="s">
        <v>866</v>
      </c>
      <c r="B270" s="2" t="s">
        <v>1081</v>
      </c>
      <c r="C270" s="2" t="s">
        <v>433</v>
      </c>
      <c r="D270" s="4">
        <v>58</v>
      </c>
      <c r="G270" t="s">
        <v>1581</v>
      </c>
      <c r="H270" t="s">
        <v>2079</v>
      </c>
    </row>
    <row r="271" spans="1:8" x14ac:dyDescent="0.3">
      <c r="A271" s="6" t="s">
        <v>867</v>
      </c>
      <c r="B271" s="2" t="s">
        <v>1096</v>
      </c>
      <c r="C271" s="2" t="s">
        <v>433</v>
      </c>
      <c r="D271" s="4">
        <v>59</v>
      </c>
      <c r="G271" t="s">
        <v>1582</v>
      </c>
      <c r="H271" t="s">
        <v>2080</v>
      </c>
    </row>
    <row r="272" spans="1:8" x14ac:dyDescent="0.3">
      <c r="A272" s="6" t="s">
        <v>868</v>
      </c>
      <c r="B272" s="2" t="s">
        <v>1097</v>
      </c>
      <c r="C272" s="2" t="s">
        <v>433</v>
      </c>
      <c r="D272" s="4">
        <v>60</v>
      </c>
      <c r="E272" t="s">
        <v>2812</v>
      </c>
      <c r="F272" s="20" t="s">
        <v>2877</v>
      </c>
      <c r="G272" t="s">
        <v>1583</v>
      </c>
      <c r="H272" t="s">
        <v>2081</v>
      </c>
    </row>
    <row r="273" spans="1:8" x14ac:dyDescent="0.3">
      <c r="A273" s="6" t="s">
        <v>869</v>
      </c>
      <c r="B273" s="2" t="s">
        <v>1044</v>
      </c>
      <c r="C273" s="2" t="s">
        <v>433</v>
      </c>
      <c r="D273" s="4">
        <v>61</v>
      </c>
      <c r="E273" t="s">
        <v>2813</v>
      </c>
      <c r="F273" s="20" t="s">
        <v>2877</v>
      </c>
      <c r="G273" t="s">
        <v>1584</v>
      </c>
      <c r="H273" t="s">
        <v>2082</v>
      </c>
    </row>
    <row r="274" spans="1:8" x14ac:dyDescent="0.3">
      <c r="A274" s="6" t="s">
        <v>870</v>
      </c>
      <c r="B274" s="2" t="s">
        <v>1045</v>
      </c>
      <c r="C274" s="2" t="s">
        <v>433</v>
      </c>
      <c r="D274" s="4">
        <v>62</v>
      </c>
      <c r="E274" t="s">
        <v>2814</v>
      </c>
      <c r="F274" s="20" t="s">
        <v>2877</v>
      </c>
      <c r="G274" t="s">
        <v>1585</v>
      </c>
      <c r="H274" t="s">
        <v>2083</v>
      </c>
    </row>
    <row r="275" spans="1:8" x14ac:dyDescent="0.3">
      <c r="A275" s="6" t="s">
        <v>871</v>
      </c>
      <c r="B275" s="2" t="s">
        <v>1102</v>
      </c>
      <c r="C275" s="2" t="s">
        <v>433</v>
      </c>
      <c r="D275" s="4">
        <v>63</v>
      </c>
      <c r="E275" t="s">
        <v>2815</v>
      </c>
      <c r="F275" s="20" t="s">
        <v>2877</v>
      </c>
      <c r="G275" t="s">
        <v>1586</v>
      </c>
      <c r="H275" t="s">
        <v>2084</v>
      </c>
    </row>
    <row r="276" spans="1:8" x14ac:dyDescent="0.3">
      <c r="A276" s="6" t="s">
        <v>872</v>
      </c>
      <c r="B276" s="2" t="s">
        <v>1103</v>
      </c>
      <c r="C276" s="2" t="s">
        <v>433</v>
      </c>
      <c r="D276" s="4">
        <v>64</v>
      </c>
      <c r="G276" t="s">
        <v>1587</v>
      </c>
      <c r="H276" t="s">
        <v>2085</v>
      </c>
    </row>
    <row r="277" spans="1:8" x14ac:dyDescent="0.3">
      <c r="A277" s="6" t="s">
        <v>873</v>
      </c>
      <c r="B277" s="2" t="s">
        <v>1046</v>
      </c>
      <c r="C277" s="2" t="s">
        <v>433</v>
      </c>
      <c r="D277" s="4">
        <v>65</v>
      </c>
      <c r="G277" t="s">
        <v>1588</v>
      </c>
      <c r="H277" t="s">
        <v>2086</v>
      </c>
    </row>
    <row r="278" spans="1:8" x14ac:dyDescent="0.3">
      <c r="A278" s="6" t="s">
        <v>874</v>
      </c>
      <c r="B278" s="2" t="s">
        <v>1075</v>
      </c>
      <c r="C278" s="2" t="s">
        <v>433</v>
      </c>
      <c r="D278" s="4">
        <v>66</v>
      </c>
      <c r="E278" t="s">
        <v>2816</v>
      </c>
      <c r="F278" s="20" t="s">
        <v>2877</v>
      </c>
      <c r="G278" t="s">
        <v>1589</v>
      </c>
      <c r="H278" t="s">
        <v>2087</v>
      </c>
    </row>
    <row r="279" spans="1:8" x14ac:dyDescent="0.3">
      <c r="A279" s="6" t="s">
        <v>875</v>
      </c>
      <c r="B279" s="2" t="s">
        <v>1098</v>
      </c>
      <c r="C279" s="2" t="s">
        <v>433</v>
      </c>
      <c r="D279" s="4">
        <v>67</v>
      </c>
      <c r="E279" t="s">
        <v>2817</v>
      </c>
      <c r="F279" s="20" t="s">
        <v>2877</v>
      </c>
      <c r="G279" t="s">
        <v>1590</v>
      </c>
      <c r="H279" t="s">
        <v>2088</v>
      </c>
    </row>
    <row r="280" spans="1:8" x14ac:dyDescent="0.3">
      <c r="A280" s="6" t="s">
        <v>876</v>
      </c>
      <c r="B280" s="2" t="s">
        <v>1076</v>
      </c>
      <c r="C280" s="2" t="s">
        <v>433</v>
      </c>
      <c r="D280" s="4">
        <v>68</v>
      </c>
      <c r="E280" t="s">
        <v>2818</v>
      </c>
      <c r="F280" s="20" t="s">
        <v>2877</v>
      </c>
      <c r="G280" t="s">
        <v>1591</v>
      </c>
      <c r="H280" t="s">
        <v>2089</v>
      </c>
    </row>
    <row r="281" spans="1:8" x14ac:dyDescent="0.3">
      <c r="A281" s="6" t="s">
        <v>877</v>
      </c>
      <c r="B281" s="2" t="s">
        <v>1099</v>
      </c>
      <c r="C281" s="2" t="s">
        <v>433</v>
      </c>
      <c r="D281" s="4">
        <v>69</v>
      </c>
      <c r="E281" t="s">
        <v>2819</v>
      </c>
      <c r="F281" s="20" t="s">
        <v>2877</v>
      </c>
      <c r="G281" t="s">
        <v>1592</v>
      </c>
      <c r="H281" t="s">
        <v>2090</v>
      </c>
    </row>
    <row r="282" spans="1:8" x14ac:dyDescent="0.3">
      <c r="A282" s="6" t="s">
        <v>878</v>
      </c>
      <c r="B282" s="2" t="s">
        <v>1082</v>
      </c>
      <c r="C282" s="2" t="s">
        <v>433</v>
      </c>
      <c r="D282" s="4">
        <v>70</v>
      </c>
      <c r="E282" t="s">
        <v>2820</v>
      </c>
      <c r="F282" s="20" t="s">
        <v>2877</v>
      </c>
      <c r="G282" t="s">
        <v>1593</v>
      </c>
      <c r="H282" t="s">
        <v>2091</v>
      </c>
    </row>
    <row r="283" spans="1:8" x14ac:dyDescent="0.3">
      <c r="A283" s="6" t="s">
        <v>879</v>
      </c>
      <c r="B283" s="2" t="s">
        <v>1083</v>
      </c>
      <c r="C283" s="2" t="s">
        <v>433</v>
      </c>
      <c r="D283" s="4">
        <v>71</v>
      </c>
      <c r="E283" t="s">
        <v>644</v>
      </c>
      <c r="F283" s="20" t="s">
        <v>2877</v>
      </c>
      <c r="G283" t="s">
        <v>1594</v>
      </c>
      <c r="H283" t="s">
        <v>2092</v>
      </c>
    </row>
    <row r="284" spans="1:8" x14ac:dyDescent="0.3">
      <c r="A284" s="6" t="s">
        <v>880</v>
      </c>
      <c r="B284" s="2" t="s">
        <v>1084</v>
      </c>
      <c r="C284" s="2" t="s">
        <v>433</v>
      </c>
      <c r="D284" s="4">
        <v>72</v>
      </c>
      <c r="E284" t="s">
        <v>2821</v>
      </c>
      <c r="F284" s="20" t="s">
        <v>2877</v>
      </c>
      <c r="G284" t="s">
        <v>1595</v>
      </c>
      <c r="H284" t="s">
        <v>2093</v>
      </c>
    </row>
    <row r="285" spans="1:8" x14ac:dyDescent="0.3">
      <c r="A285" s="6" t="s">
        <v>881</v>
      </c>
      <c r="B285" s="2" t="s">
        <v>1085</v>
      </c>
      <c r="C285" s="2" t="s">
        <v>433</v>
      </c>
      <c r="D285" s="4">
        <v>73</v>
      </c>
      <c r="E285" t="s">
        <v>2822</v>
      </c>
      <c r="F285" s="20" t="s">
        <v>2877</v>
      </c>
      <c r="G285" t="s">
        <v>1596</v>
      </c>
      <c r="H285" t="s">
        <v>2094</v>
      </c>
    </row>
    <row r="286" spans="1:8" x14ac:dyDescent="0.3">
      <c r="A286" s="6" t="s">
        <v>882</v>
      </c>
      <c r="B286" s="2" t="s">
        <v>1100</v>
      </c>
      <c r="C286" s="2" t="s">
        <v>433</v>
      </c>
      <c r="D286" s="4">
        <v>74</v>
      </c>
      <c r="E286" t="s">
        <v>2823</v>
      </c>
      <c r="F286" s="20" t="s">
        <v>2877</v>
      </c>
      <c r="G286" t="s">
        <v>1597</v>
      </c>
      <c r="H286" t="s">
        <v>2095</v>
      </c>
    </row>
    <row r="287" spans="1:8" x14ac:dyDescent="0.3">
      <c r="A287" s="6" t="s">
        <v>883</v>
      </c>
      <c r="B287" s="2" t="s">
        <v>1101</v>
      </c>
      <c r="C287" s="2" t="s">
        <v>433</v>
      </c>
      <c r="D287" s="4">
        <v>75</v>
      </c>
      <c r="E287" t="s">
        <v>645</v>
      </c>
      <c r="F287" s="20" t="s">
        <v>2877</v>
      </c>
      <c r="G287" t="s">
        <v>1598</v>
      </c>
      <c r="H287" t="s">
        <v>2096</v>
      </c>
    </row>
    <row r="288" spans="1:8" x14ac:dyDescent="0.3">
      <c r="A288" s="6" t="s">
        <v>884</v>
      </c>
      <c r="B288" s="2" t="s">
        <v>1104</v>
      </c>
      <c r="C288" s="2" t="s">
        <v>433</v>
      </c>
      <c r="D288" s="4">
        <v>76</v>
      </c>
      <c r="E288" t="s">
        <v>2824</v>
      </c>
      <c r="F288" s="20" t="s">
        <v>2877</v>
      </c>
      <c r="G288" t="s">
        <v>1599</v>
      </c>
      <c r="H288" t="s">
        <v>2097</v>
      </c>
    </row>
    <row r="289" spans="1:8" x14ac:dyDescent="0.3">
      <c r="A289" s="6" t="s">
        <v>885</v>
      </c>
      <c r="B289" s="2" t="s">
        <v>1086</v>
      </c>
      <c r="C289" s="2" t="s">
        <v>433</v>
      </c>
      <c r="D289" s="4">
        <v>77</v>
      </c>
      <c r="E289" t="s">
        <v>646</v>
      </c>
      <c r="F289" s="20" t="s">
        <v>2877</v>
      </c>
      <c r="G289" t="s">
        <v>1600</v>
      </c>
      <c r="H289" t="s">
        <v>2098</v>
      </c>
    </row>
    <row r="290" spans="1:8" x14ac:dyDescent="0.3">
      <c r="A290" s="6" t="s">
        <v>886</v>
      </c>
      <c r="B290" s="2" t="s">
        <v>1105</v>
      </c>
      <c r="C290" s="2" t="s">
        <v>433</v>
      </c>
      <c r="D290" s="4">
        <v>78</v>
      </c>
      <c r="E290" t="s">
        <v>2825</v>
      </c>
      <c r="F290" s="20" t="s">
        <v>2877</v>
      </c>
      <c r="G290" t="s">
        <v>1601</v>
      </c>
      <c r="H290" t="s">
        <v>2099</v>
      </c>
    </row>
    <row r="291" spans="1:8" x14ac:dyDescent="0.3">
      <c r="A291" s="6" t="s">
        <v>887</v>
      </c>
      <c r="B291" s="2" t="s">
        <v>1087</v>
      </c>
      <c r="C291" s="2" t="s">
        <v>433</v>
      </c>
      <c r="D291" s="4">
        <v>79</v>
      </c>
      <c r="E291" t="s">
        <v>2826</v>
      </c>
      <c r="F291" s="20" t="s">
        <v>2877</v>
      </c>
      <c r="G291" t="s">
        <v>1602</v>
      </c>
      <c r="H291" t="s">
        <v>2100</v>
      </c>
    </row>
    <row r="292" spans="1:8" x14ac:dyDescent="0.3">
      <c r="A292" s="6" t="s">
        <v>888</v>
      </c>
      <c r="B292" s="2" t="s">
        <v>1088</v>
      </c>
      <c r="C292" s="2" t="s">
        <v>433</v>
      </c>
      <c r="D292" s="4">
        <v>80</v>
      </c>
      <c r="E292" t="s">
        <v>2827</v>
      </c>
      <c r="F292" s="20" t="s">
        <v>2877</v>
      </c>
      <c r="G292" t="s">
        <v>1603</v>
      </c>
      <c r="H292" t="s">
        <v>2101</v>
      </c>
    </row>
    <row r="293" spans="1:8" x14ac:dyDescent="0.3">
      <c r="A293" s="6" t="s">
        <v>889</v>
      </c>
      <c r="B293" s="2" t="s">
        <v>1106</v>
      </c>
      <c r="C293" s="2" t="s">
        <v>433</v>
      </c>
      <c r="D293" s="4">
        <v>81</v>
      </c>
      <c r="E293" t="s">
        <v>2828</v>
      </c>
      <c r="F293" s="20" t="s">
        <v>2877</v>
      </c>
      <c r="G293" t="s">
        <v>1604</v>
      </c>
      <c r="H293" t="s">
        <v>2102</v>
      </c>
    </row>
    <row r="294" spans="1:8" x14ac:dyDescent="0.3">
      <c r="A294" s="6" t="s">
        <v>890</v>
      </c>
      <c r="B294" s="2" t="s">
        <v>1107</v>
      </c>
      <c r="C294" s="2" t="s">
        <v>433</v>
      </c>
      <c r="D294" s="4">
        <v>82</v>
      </c>
      <c r="G294" t="s">
        <v>1605</v>
      </c>
      <c r="H294" t="s">
        <v>2103</v>
      </c>
    </row>
    <row r="295" spans="1:8" x14ac:dyDescent="0.3">
      <c r="A295" s="6" t="s">
        <v>891</v>
      </c>
      <c r="B295" s="2" t="s">
        <v>1111</v>
      </c>
      <c r="C295" s="2" t="s">
        <v>433</v>
      </c>
      <c r="D295" s="4">
        <v>83</v>
      </c>
      <c r="E295" t="s">
        <v>2829</v>
      </c>
      <c r="F295" s="20" t="s">
        <v>2877</v>
      </c>
      <c r="G295" t="s">
        <v>1606</v>
      </c>
      <c r="H295" t="s">
        <v>2104</v>
      </c>
    </row>
    <row r="296" spans="1:8" x14ac:dyDescent="0.3">
      <c r="A296" s="6" t="s">
        <v>892</v>
      </c>
      <c r="B296" s="2" t="s">
        <v>1112</v>
      </c>
      <c r="C296" s="2" t="s">
        <v>433</v>
      </c>
      <c r="D296" s="4">
        <v>84</v>
      </c>
      <c r="G296" t="s">
        <v>1607</v>
      </c>
      <c r="H296" t="s">
        <v>2105</v>
      </c>
    </row>
    <row r="297" spans="1:8" x14ac:dyDescent="0.3">
      <c r="A297" s="6" t="s">
        <v>893</v>
      </c>
      <c r="B297" s="2" t="s">
        <v>1108</v>
      </c>
      <c r="C297" s="2" t="s">
        <v>433</v>
      </c>
      <c r="D297" s="4">
        <v>85</v>
      </c>
      <c r="E297" t="s">
        <v>2830</v>
      </c>
      <c r="F297" s="20" t="s">
        <v>2877</v>
      </c>
      <c r="G297" t="s">
        <v>1608</v>
      </c>
      <c r="H297" t="s">
        <v>2106</v>
      </c>
    </row>
    <row r="298" spans="1:8" x14ac:dyDescent="0.3">
      <c r="A298" s="6" t="s">
        <v>894</v>
      </c>
      <c r="B298" s="2" t="s">
        <v>1141</v>
      </c>
      <c r="C298" s="2" t="s">
        <v>433</v>
      </c>
      <c r="D298" s="4">
        <v>86</v>
      </c>
      <c r="E298" t="s">
        <v>2831</v>
      </c>
      <c r="F298" s="20" t="s">
        <v>2877</v>
      </c>
      <c r="G298" t="s">
        <v>1609</v>
      </c>
      <c r="H298" t="s">
        <v>2107</v>
      </c>
    </row>
    <row r="299" spans="1:8" x14ac:dyDescent="0.3">
      <c r="A299" s="6" t="s">
        <v>895</v>
      </c>
      <c r="B299" s="2" t="s">
        <v>1109</v>
      </c>
      <c r="C299" s="2" t="s">
        <v>433</v>
      </c>
      <c r="D299" s="4">
        <v>87</v>
      </c>
      <c r="E299" t="s">
        <v>2832</v>
      </c>
      <c r="F299" s="20" t="s">
        <v>2877</v>
      </c>
      <c r="G299" t="s">
        <v>1610</v>
      </c>
      <c r="H299" t="s">
        <v>2108</v>
      </c>
    </row>
    <row r="300" spans="1:8" x14ac:dyDescent="0.3">
      <c r="A300" s="6" t="s">
        <v>896</v>
      </c>
      <c r="B300" s="2" t="s">
        <v>1146</v>
      </c>
      <c r="C300" s="2" t="s">
        <v>433</v>
      </c>
      <c r="D300" s="4">
        <v>88</v>
      </c>
      <c r="E300" t="s">
        <v>2833</v>
      </c>
      <c r="F300" s="20" t="s">
        <v>2877</v>
      </c>
      <c r="G300" t="s">
        <v>1611</v>
      </c>
      <c r="H300" t="s">
        <v>2109</v>
      </c>
    </row>
    <row r="301" spans="1:8" x14ac:dyDescent="0.3">
      <c r="A301" s="6" t="s">
        <v>897</v>
      </c>
      <c r="B301" s="2" t="s">
        <v>1110</v>
      </c>
      <c r="C301" s="2" t="s">
        <v>433</v>
      </c>
      <c r="D301" s="4">
        <v>89</v>
      </c>
      <c r="G301" t="s">
        <v>1612</v>
      </c>
      <c r="H301" t="s">
        <v>2110</v>
      </c>
    </row>
    <row r="302" spans="1:8" x14ac:dyDescent="0.3">
      <c r="A302" s="6" t="s">
        <v>898</v>
      </c>
      <c r="B302" s="2" t="s">
        <v>1113</v>
      </c>
      <c r="C302" s="2" t="s">
        <v>433</v>
      </c>
      <c r="D302" s="4">
        <v>90</v>
      </c>
      <c r="E302" t="s">
        <v>2834</v>
      </c>
      <c r="F302" s="20" t="s">
        <v>2877</v>
      </c>
      <c r="G302" t="s">
        <v>1613</v>
      </c>
      <c r="H302" t="s">
        <v>2111</v>
      </c>
    </row>
    <row r="303" spans="1:8" x14ac:dyDescent="0.3">
      <c r="A303" s="6" t="s">
        <v>899</v>
      </c>
      <c r="B303" s="2" t="s">
        <v>1114</v>
      </c>
      <c r="C303" s="2" t="s">
        <v>433</v>
      </c>
      <c r="D303" s="4">
        <v>91</v>
      </c>
      <c r="G303" t="s">
        <v>1614</v>
      </c>
      <c r="H303" t="s">
        <v>2112</v>
      </c>
    </row>
    <row r="304" spans="1:8" x14ac:dyDescent="0.3">
      <c r="A304" s="6" t="s">
        <v>900</v>
      </c>
      <c r="B304" s="2" t="s">
        <v>1115</v>
      </c>
      <c r="C304" s="2" t="s">
        <v>433</v>
      </c>
      <c r="D304" s="4">
        <v>92</v>
      </c>
      <c r="E304" t="s">
        <v>2835</v>
      </c>
      <c r="F304" s="20" t="s">
        <v>2877</v>
      </c>
      <c r="G304" t="s">
        <v>1615</v>
      </c>
      <c r="H304" t="s">
        <v>2113</v>
      </c>
    </row>
    <row r="305" spans="1:8" x14ac:dyDescent="0.3">
      <c r="A305" s="6" t="s">
        <v>901</v>
      </c>
      <c r="B305" s="2" t="s">
        <v>1147</v>
      </c>
      <c r="C305" s="2" t="s">
        <v>433</v>
      </c>
      <c r="D305" s="4">
        <v>93</v>
      </c>
      <c r="G305" t="s">
        <v>1616</v>
      </c>
      <c r="H305" t="s">
        <v>2114</v>
      </c>
    </row>
    <row r="306" spans="1:8" x14ac:dyDescent="0.3">
      <c r="A306" s="6" t="s">
        <v>902</v>
      </c>
      <c r="B306" s="2" t="s">
        <v>1116</v>
      </c>
      <c r="C306" s="2" t="s">
        <v>433</v>
      </c>
      <c r="D306" s="4">
        <v>94</v>
      </c>
      <c r="E306" t="s">
        <v>2836</v>
      </c>
      <c r="F306" s="20" t="s">
        <v>2877</v>
      </c>
      <c r="G306" t="s">
        <v>1617</v>
      </c>
      <c r="H306" t="s">
        <v>2115</v>
      </c>
    </row>
    <row r="307" spans="1:8" x14ac:dyDescent="0.3">
      <c r="A307" s="6" t="s">
        <v>903</v>
      </c>
      <c r="B307" s="2" t="s">
        <v>1118</v>
      </c>
      <c r="C307" s="2" t="s">
        <v>433</v>
      </c>
      <c r="D307" s="4">
        <v>95</v>
      </c>
      <c r="G307" t="s">
        <v>1618</v>
      </c>
      <c r="H307" t="s">
        <v>2116</v>
      </c>
    </row>
    <row r="308" spans="1:8" x14ac:dyDescent="0.3">
      <c r="A308" s="6" t="s">
        <v>904</v>
      </c>
      <c r="B308" s="2" t="s">
        <v>1117</v>
      </c>
      <c r="C308" s="2" t="s">
        <v>433</v>
      </c>
      <c r="D308" s="4">
        <v>96</v>
      </c>
      <c r="G308" t="s">
        <v>1619</v>
      </c>
      <c r="H308" t="s">
        <v>2117</v>
      </c>
    </row>
    <row r="309" spans="1:8" x14ac:dyDescent="0.3">
      <c r="A309" s="6" t="s">
        <v>905</v>
      </c>
      <c r="B309" s="2" t="s">
        <v>1150</v>
      </c>
      <c r="C309" s="2" t="s">
        <v>433</v>
      </c>
      <c r="D309" s="4">
        <v>97</v>
      </c>
      <c r="E309" t="s">
        <v>2837</v>
      </c>
      <c r="F309" s="20" t="s">
        <v>2877</v>
      </c>
      <c r="G309" t="s">
        <v>1620</v>
      </c>
      <c r="H309" t="s">
        <v>2118</v>
      </c>
    </row>
    <row r="310" spans="1:8" x14ac:dyDescent="0.3">
      <c r="A310" s="6" t="s">
        <v>906</v>
      </c>
      <c r="B310" s="2" t="s">
        <v>1151</v>
      </c>
      <c r="C310" s="2" t="s">
        <v>433</v>
      </c>
      <c r="D310" s="4">
        <v>98</v>
      </c>
      <c r="E310" t="s">
        <v>2838</v>
      </c>
      <c r="F310" s="20" t="s">
        <v>2877</v>
      </c>
      <c r="G310" t="s">
        <v>1621</v>
      </c>
      <c r="H310" t="s">
        <v>2119</v>
      </c>
    </row>
    <row r="311" spans="1:8" x14ac:dyDescent="0.3">
      <c r="A311" s="6" t="s">
        <v>907</v>
      </c>
      <c r="B311" s="2" t="s">
        <v>1119</v>
      </c>
      <c r="C311" s="2" t="s">
        <v>433</v>
      </c>
      <c r="D311" s="4">
        <v>99</v>
      </c>
      <c r="E311" t="s">
        <v>649</v>
      </c>
      <c r="F311" s="20" t="s">
        <v>2877</v>
      </c>
      <c r="G311" t="s">
        <v>1622</v>
      </c>
      <c r="H311" t="s">
        <v>2120</v>
      </c>
    </row>
    <row r="312" spans="1:8" x14ac:dyDescent="0.3">
      <c r="A312" s="6" t="s">
        <v>908</v>
      </c>
      <c r="B312" s="2" t="s">
        <v>1120</v>
      </c>
      <c r="C312" s="2" t="s">
        <v>433</v>
      </c>
      <c r="D312" s="4">
        <v>100</v>
      </c>
      <c r="E312" t="s">
        <v>2839</v>
      </c>
      <c r="F312" s="18" t="s">
        <v>2866</v>
      </c>
      <c r="G312" t="s">
        <v>1623</v>
      </c>
      <c r="H312" t="s">
        <v>2121</v>
      </c>
    </row>
    <row r="313" spans="1:8" x14ac:dyDescent="0.3">
      <c r="A313" s="6" t="s">
        <v>909</v>
      </c>
      <c r="B313" s="2" t="s">
        <v>1121</v>
      </c>
      <c r="C313" s="2" t="s">
        <v>433</v>
      </c>
      <c r="D313" s="4">
        <v>101</v>
      </c>
      <c r="E313" t="s">
        <v>2840</v>
      </c>
      <c r="F313" s="20" t="s">
        <v>2877</v>
      </c>
      <c r="G313" t="s">
        <v>1624</v>
      </c>
      <c r="H313" t="s">
        <v>2122</v>
      </c>
    </row>
    <row r="314" spans="1:8" x14ac:dyDescent="0.3">
      <c r="A314" s="6" t="s">
        <v>910</v>
      </c>
      <c r="B314" s="2" t="s">
        <v>1122</v>
      </c>
      <c r="C314" s="2" t="s">
        <v>433</v>
      </c>
      <c r="D314" s="4">
        <v>102</v>
      </c>
      <c r="E314" t="s">
        <v>2841</v>
      </c>
      <c r="F314" s="20" t="s">
        <v>2877</v>
      </c>
      <c r="G314" t="s">
        <v>1625</v>
      </c>
      <c r="H314" t="s">
        <v>2123</v>
      </c>
    </row>
    <row r="315" spans="1:8" x14ac:dyDescent="0.3">
      <c r="A315" s="6" t="s">
        <v>911</v>
      </c>
      <c r="B315" s="2" t="s">
        <v>1123</v>
      </c>
      <c r="C315" s="2" t="s">
        <v>433</v>
      </c>
      <c r="D315" s="4">
        <v>103</v>
      </c>
      <c r="E315" t="s">
        <v>2842</v>
      </c>
      <c r="F315" s="20" t="s">
        <v>2877</v>
      </c>
      <c r="G315" t="s">
        <v>1626</v>
      </c>
      <c r="H315" t="s">
        <v>2124</v>
      </c>
    </row>
    <row r="316" spans="1:8" x14ac:dyDescent="0.3">
      <c r="A316" s="6" t="s">
        <v>912</v>
      </c>
      <c r="B316" s="2" t="s">
        <v>1124</v>
      </c>
      <c r="C316" s="2" t="s">
        <v>433</v>
      </c>
      <c r="D316" s="4">
        <v>104</v>
      </c>
      <c r="E316" t="s">
        <v>2843</v>
      </c>
      <c r="F316" s="20" t="s">
        <v>2877</v>
      </c>
      <c r="G316" t="s">
        <v>1627</v>
      </c>
      <c r="H316" t="s">
        <v>2125</v>
      </c>
    </row>
    <row r="317" spans="1:8" x14ac:dyDescent="0.3">
      <c r="A317" s="6" t="s">
        <v>913</v>
      </c>
      <c r="B317" s="2" t="s">
        <v>1125</v>
      </c>
      <c r="C317" s="2" t="s">
        <v>433</v>
      </c>
      <c r="D317" s="4">
        <v>105</v>
      </c>
      <c r="E317" t="s">
        <v>2844</v>
      </c>
      <c r="F317" s="20" t="s">
        <v>2877</v>
      </c>
      <c r="G317" t="s">
        <v>1628</v>
      </c>
      <c r="H317" t="s">
        <v>2126</v>
      </c>
    </row>
    <row r="318" spans="1:8" x14ac:dyDescent="0.3">
      <c r="A318" s="6" t="s">
        <v>914</v>
      </c>
      <c r="B318" s="2" t="s">
        <v>1142</v>
      </c>
      <c r="C318" s="2" t="s">
        <v>433</v>
      </c>
      <c r="D318" s="4">
        <v>106</v>
      </c>
      <c r="E318" t="s">
        <v>2845</v>
      </c>
      <c r="F318" s="20" t="s">
        <v>2877</v>
      </c>
      <c r="G318" t="s">
        <v>1629</v>
      </c>
      <c r="H318" t="s">
        <v>2127</v>
      </c>
    </row>
    <row r="319" spans="1:8" x14ac:dyDescent="0.3">
      <c r="A319" s="6" t="s">
        <v>915</v>
      </c>
      <c r="B319" s="2" t="s">
        <v>1126</v>
      </c>
      <c r="C319" s="2" t="s">
        <v>433</v>
      </c>
      <c r="D319" s="4">
        <v>107</v>
      </c>
      <c r="G319" t="s">
        <v>1630</v>
      </c>
      <c r="H319" t="s">
        <v>2128</v>
      </c>
    </row>
    <row r="320" spans="1:8" x14ac:dyDescent="0.3">
      <c r="A320" s="6" t="s">
        <v>916</v>
      </c>
      <c r="B320" s="2" t="s">
        <v>1127</v>
      </c>
      <c r="C320" s="2" t="s">
        <v>433</v>
      </c>
      <c r="D320" s="4">
        <v>108</v>
      </c>
      <c r="E320" t="s">
        <v>2846</v>
      </c>
      <c r="F320" s="20" t="s">
        <v>2877</v>
      </c>
      <c r="G320" t="s">
        <v>1631</v>
      </c>
      <c r="H320" t="s">
        <v>2129</v>
      </c>
    </row>
    <row r="321" spans="1:8" x14ac:dyDescent="0.3">
      <c r="A321" s="6" t="s">
        <v>917</v>
      </c>
      <c r="B321" s="2" t="s">
        <v>1145</v>
      </c>
      <c r="C321" s="2" t="s">
        <v>433</v>
      </c>
      <c r="D321" s="4">
        <v>109</v>
      </c>
      <c r="E321" t="s">
        <v>2847</v>
      </c>
      <c r="F321" s="20" t="s">
        <v>2877</v>
      </c>
      <c r="G321" t="s">
        <v>1632</v>
      </c>
      <c r="H321" t="s">
        <v>2130</v>
      </c>
    </row>
    <row r="322" spans="1:8" x14ac:dyDescent="0.3">
      <c r="A322" s="6" t="s">
        <v>918</v>
      </c>
      <c r="B322" s="2" t="s">
        <v>1128</v>
      </c>
      <c r="C322" s="2" t="s">
        <v>433</v>
      </c>
      <c r="D322" s="4">
        <v>110</v>
      </c>
      <c r="G322" t="s">
        <v>1633</v>
      </c>
      <c r="H322" t="s">
        <v>2131</v>
      </c>
    </row>
    <row r="323" spans="1:8" x14ac:dyDescent="0.3">
      <c r="A323" s="6" t="s">
        <v>919</v>
      </c>
      <c r="B323" s="2" t="s">
        <v>1129</v>
      </c>
      <c r="C323" s="2" t="s">
        <v>433</v>
      </c>
      <c r="D323" s="4">
        <v>111</v>
      </c>
      <c r="E323" t="s">
        <v>2848</v>
      </c>
      <c r="F323" s="20" t="s">
        <v>2877</v>
      </c>
      <c r="G323" t="s">
        <v>1634</v>
      </c>
      <c r="H323" t="s">
        <v>2132</v>
      </c>
    </row>
    <row r="324" spans="1:8" x14ac:dyDescent="0.3">
      <c r="A324" s="6" t="s">
        <v>920</v>
      </c>
      <c r="B324" s="2" t="s">
        <v>1148</v>
      </c>
      <c r="C324" s="2" t="s">
        <v>433</v>
      </c>
      <c r="D324" s="4">
        <v>112</v>
      </c>
      <c r="G324" t="s">
        <v>1635</v>
      </c>
      <c r="H324" t="s">
        <v>2133</v>
      </c>
    </row>
    <row r="325" spans="1:8" x14ac:dyDescent="0.3">
      <c r="A325" s="6" t="s">
        <v>921</v>
      </c>
      <c r="B325" s="2" t="s">
        <v>1130</v>
      </c>
      <c r="C325" s="2" t="s">
        <v>433</v>
      </c>
      <c r="D325" s="4">
        <v>113</v>
      </c>
      <c r="G325" t="s">
        <v>1636</v>
      </c>
      <c r="H325" t="s">
        <v>2134</v>
      </c>
    </row>
    <row r="326" spans="1:8" x14ac:dyDescent="0.3">
      <c r="A326" s="6" t="s">
        <v>922</v>
      </c>
      <c r="B326" s="2" t="s">
        <v>1143</v>
      </c>
      <c r="C326" s="2" t="s">
        <v>433</v>
      </c>
      <c r="D326" s="4">
        <v>114</v>
      </c>
      <c r="E326" t="s">
        <v>2849</v>
      </c>
      <c r="F326" s="20" t="s">
        <v>2877</v>
      </c>
      <c r="G326" t="s">
        <v>1637</v>
      </c>
      <c r="H326" t="s">
        <v>2135</v>
      </c>
    </row>
    <row r="327" spans="1:8" x14ac:dyDescent="0.3">
      <c r="A327" s="6" t="s">
        <v>923</v>
      </c>
      <c r="B327" s="2" t="s">
        <v>1144</v>
      </c>
      <c r="C327" s="2" t="s">
        <v>433</v>
      </c>
      <c r="D327" s="4">
        <v>115</v>
      </c>
      <c r="E327" t="s">
        <v>2850</v>
      </c>
      <c r="F327" s="20" t="s">
        <v>2877</v>
      </c>
      <c r="G327" t="s">
        <v>1638</v>
      </c>
      <c r="H327" t="s">
        <v>2136</v>
      </c>
    </row>
    <row r="328" spans="1:8" x14ac:dyDescent="0.3">
      <c r="A328" s="6" t="s">
        <v>924</v>
      </c>
      <c r="B328" s="2" t="s">
        <v>1047</v>
      </c>
      <c r="C328" s="2" t="s">
        <v>433</v>
      </c>
      <c r="D328" s="4">
        <v>116</v>
      </c>
      <c r="E328" t="s">
        <v>2851</v>
      </c>
      <c r="F328" s="20" t="s">
        <v>2877</v>
      </c>
      <c r="G328" t="s">
        <v>1639</v>
      </c>
      <c r="H328" t="s">
        <v>2137</v>
      </c>
    </row>
    <row r="329" spans="1:8" x14ac:dyDescent="0.3">
      <c r="A329" s="6" t="s">
        <v>925</v>
      </c>
      <c r="B329" s="2" t="s">
        <v>1149</v>
      </c>
      <c r="C329" s="2" t="s">
        <v>433</v>
      </c>
      <c r="D329" s="4">
        <v>117</v>
      </c>
      <c r="G329" t="s">
        <v>1640</v>
      </c>
      <c r="H329" t="s">
        <v>2138</v>
      </c>
    </row>
    <row r="330" spans="1:8" x14ac:dyDescent="0.3">
      <c r="A330" s="6" t="s">
        <v>926</v>
      </c>
      <c r="B330" s="2" t="s">
        <v>1131</v>
      </c>
      <c r="C330" s="2" t="s">
        <v>433</v>
      </c>
      <c r="D330" s="4">
        <v>118</v>
      </c>
      <c r="E330" t="s">
        <v>2852</v>
      </c>
      <c r="F330" s="20" t="s">
        <v>2877</v>
      </c>
      <c r="G330" t="s">
        <v>1641</v>
      </c>
      <c r="H330" t="s">
        <v>2139</v>
      </c>
    </row>
    <row r="331" spans="1:8" x14ac:dyDescent="0.3">
      <c r="A331" s="6" t="s">
        <v>927</v>
      </c>
      <c r="B331" s="2" t="s">
        <v>1132</v>
      </c>
      <c r="C331" s="2" t="s">
        <v>433</v>
      </c>
      <c r="D331" s="4">
        <v>119</v>
      </c>
      <c r="E331" t="s">
        <v>2853</v>
      </c>
      <c r="F331" s="20" t="s">
        <v>2877</v>
      </c>
      <c r="G331" t="s">
        <v>1642</v>
      </c>
      <c r="H331" t="s">
        <v>2140</v>
      </c>
    </row>
    <row r="332" spans="1:8" x14ac:dyDescent="0.3">
      <c r="A332" s="6" t="s">
        <v>928</v>
      </c>
      <c r="B332" s="2" t="s">
        <v>1133</v>
      </c>
      <c r="C332" s="2" t="s">
        <v>433</v>
      </c>
      <c r="D332" s="4">
        <v>120</v>
      </c>
      <c r="G332" t="s">
        <v>1643</v>
      </c>
      <c r="H332" t="s">
        <v>2141</v>
      </c>
    </row>
    <row r="333" spans="1:8" x14ac:dyDescent="0.3">
      <c r="A333" s="6" t="s">
        <v>929</v>
      </c>
      <c r="B333" s="2" t="s">
        <v>1134</v>
      </c>
      <c r="C333" s="2" t="s">
        <v>433</v>
      </c>
      <c r="D333" s="4">
        <v>121</v>
      </c>
      <c r="G333" t="s">
        <v>1644</v>
      </c>
      <c r="H333" t="s">
        <v>2142</v>
      </c>
    </row>
    <row r="334" spans="1:8" x14ac:dyDescent="0.3">
      <c r="A334" s="6" t="s">
        <v>930</v>
      </c>
      <c r="B334" s="2" t="s">
        <v>1137</v>
      </c>
      <c r="C334" s="2" t="s">
        <v>433</v>
      </c>
      <c r="D334" s="4">
        <v>122</v>
      </c>
      <c r="G334" t="s">
        <v>1645</v>
      </c>
      <c r="H334" t="s">
        <v>2143</v>
      </c>
    </row>
    <row r="335" spans="1:8" x14ac:dyDescent="0.3">
      <c r="A335" s="6" t="s">
        <v>931</v>
      </c>
      <c r="B335" s="2" t="s">
        <v>1138</v>
      </c>
      <c r="C335" s="2" t="s">
        <v>433</v>
      </c>
      <c r="D335" s="4">
        <v>123</v>
      </c>
      <c r="G335" t="s">
        <v>1646</v>
      </c>
      <c r="H335" t="s">
        <v>2144</v>
      </c>
    </row>
    <row r="336" spans="1:8" x14ac:dyDescent="0.3">
      <c r="A336" s="6" t="s">
        <v>932</v>
      </c>
      <c r="B336" s="2" t="s">
        <v>1139</v>
      </c>
      <c r="C336" s="2" t="s">
        <v>433</v>
      </c>
      <c r="D336" s="4">
        <v>124</v>
      </c>
      <c r="G336" t="s">
        <v>1647</v>
      </c>
      <c r="H336" t="s">
        <v>2145</v>
      </c>
    </row>
    <row r="337" spans="1:8" x14ac:dyDescent="0.3">
      <c r="A337" s="6" t="s">
        <v>933</v>
      </c>
      <c r="B337" s="2" t="s">
        <v>1140</v>
      </c>
      <c r="C337" s="2" t="s">
        <v>433</v>
      </c>
      <c r="D337" s="4">
        <v>125</v>
      </c>
      <c r="G337" t="s">
        <v>1648</v>
      </c>
      <c r="H337" t="s">
        <v>2146</v>
      </c>
    </row>
    <row r="338" spans="1:8" x14ac:dyDescent="0.3">
      <c r="A338" s="6" t="s">
        <v>934</v>
      </c>
      <c r="B338" s="2" t="s">
        <v>1135</v>
      </c>
      <c r="C338" s="2" t="s">
        <v>433</v>
      </c>
      <c r="D338" s="4">
        <v>126</v>
      </c>
      <c r="E338" t="s">
        <v>2879</v>
      </c>
      <c r="F338" s="20" t="s">
        <v>2877</v>
      </c>
      <c r="G338" t="s">
        <v>1649</v>
      </c>
      <c r="H338" t="s">
        <v>2147</v>
      </c>
    </row>
    <row r="339" spans="1:8" x14ac:dyDescent="0.3">
      <c r="A339" s="6" t="s">
        <v>935</v>
      </c>
      <c r="B339" s="2" t="s">
        <v>1136</v>
      </c>
      <c r="C339" s="2" t="s">
        <v>433</v>
      </c>
      <c r="D339" s="4">
        <v>127</v>
      </c>
      <c r="G339" t="s">
        <v>1650</v>
      </c>
      <c r="H339" t="s">
        <v>2148</v>
      </c>
    </row>
    <row r="340" spans="1:8" x14ac:dyDescent="0.3">
      <c r="A340" s="6" t="s">
        <v>936</v>
      </c>
      <c r="B340" s="2" t="s">
        <v>1152</v>
      </c>
      <c r="C340" s="2" t="s">
        <v>433</v>
      </c>
      <c r="D340" s="4">
        <v>128</v>
      </c>
      <c r="G340" t="s">
        <v>1651</v>
      </c>
      <c r="H340" t="s">
        <v>2149</v>
      </c>
    </row>
    <row r="341" spans="1:8" x14ac:dyDescent="0.3">
      <c r="A341" s="6" t="s">
        <v>937</v>
      </c>
      <c r="B341" s="2" t="s">
        <v>1173</v>
      </c>
      <c r="C341" s="2" t="s">
        <v>433</v>
      </c>
      <c r="D341" s="4">
        <v>129</v>
      </c>
      <c r="G341" t="s">
        <v>1652</v>
      </c>
      <c r="H341" t="s">
        <v>2150</v>
      </c>
    </row>
    <row r="342" spans="1:8" x14ac:dyDescent="0.3">
      <c r="A342" s="6" t="s">
        <v>938</v>
      </c>
      <c r="B342" s="2" t="s">
        <v>1153</v>
      </c>
      <c r="C342" s="2" t="s">
        <v>433</v>
      </c>
      <c r="D342" s="4">
        <v>130</v>
      </c>
      <c r="G342" t="s">
        <v>1653</v>
      </c>
      <c r="H342" t="s">
        <v>2151</v>
      </c>
    </row>
    <row r="343" spans="1:8" x14ac:dyDescent="0.3">
      <c r="A343" s="6" t="s">
        <v>939</v>
      </c>
      <c r="B343" s="2" t="s">
        <v>1174</v>
      </c>
      <c r="C343" s="2" t="s">
        <v>433</v>
      </c>
      <c r="D343" s="4">
        <v>131</v>
      </c>
      <c r="G343" t="s">
        <v>1654</v>
      </c>
      <c r="H343" t="s">
        <v>2152</v>
      </c>
    </row>
    <row r="344" spans="1:8" x14ac:dyDescent="0.3">
      <c r="A344" s="6" t="s">
        <v>940</v>
      </c>
      <c r="B344" s="2" t="s">
        <v>1154</v>
      </c>
      <c r="C344" s="2" t="s">
        <v>433</v>
      </c>
      <c r="D344" s="4">
        <v>132</v>
      </c>
      <c r="G344" t="s">
        <v>1655</v>
      </c>
      <c r="H344" t="s">
        <v>2153</v>
      </c>
    </row>
    <row r="345" spans="1:8" x14ac:dyDescent="0.3">
      <c r="A345" s="6" t="s">
        <v>941</v>
      </c>
      <c r="B345" s="2" t="s">
        <v>1155</v>
      </c>
      <c r="C345" s="2" t="s">
        <v>433</v>
      </c>
      <c r="D345" s="4">
        <v>133</v>
      </c>
      <c r="G345" t="s">
        <v>1656</v>
      </c>
      <c r="H345" t="s">
        <v>2154</v>
      </c>
    </row>
    <row r="346" spans="1:8" x14ac:dyDescent="0.3">
      <c r="A346" s="6" t="s">
        <v>942</v>
      </c>
      <c r="B346" s="2" t="s">
        <v>1175</v>
      </c>
      <c r="C346" s="2" t="s">
        <v>433</v>
      </c>
      <c r="D346" s="4">
        <v>134</v>
      </c>
      <c r="G346" t="s">
        <v>1657</v>
      </c>
      <c r="H346" t="s">
        <v>2155</v>
      </c>
    </row>
    <row r="347" spans="1:8" x14ac:dyDescent="0.3">
      <c r="A347" s="6" t="s">
        <v>943</v>
      </c>
      <c r="B347" s="2" t="s">
        <v>1156</v>
      </c>
      <c r="C347" s="2" t="s">
        <v>433</v>
      </c>
      <c r="D347" s="4">
        <v>135</v>
      </c>
      <c r="G347" t="s">
        <v>1658</v>
      </c>
      <c r="H347" t="s">
        <v>2156</v>
      </c>
    </row>
    <row r="348" spans="1:8" x14ac:dyDescent="0.3">
      <c r="A348" s="6" t="s">
        <v>944</v>
      </c>
      <c r="B348" s="2" t="s">
        <v>1157</v>
      </c>
      <c r="C348" s="2" t="s">
        <v>433</v>
      </c>
      <c r="D348" s="4">
        <v>136</v>
      </c>
      <c r="G348" t="s">
        <v>1659</v>
      </c>
      <c r="H348" t="s">
        <v>2157</v>
      </c>
    </row>
    <row r="349" spans="1:8" x14ac:dyDescent="0.3">
      <c r="A349" s="6" t="s">
        <v>945</v>
      </c>
      <c r="B349" s="2" t="s">
        <v>1176</v>
      </c>
      <c r="C349" s="2" t="s">
        <v>433</v>
      </c>
      <c r="D349" s="4">
        <v>137</v>
      </c>
      <c r="G349" t="s">
        <v>1660</v>
      </c>
      <c r="H349" t="s">
        <v>2158</v>
      </c>
    </row>
    <row r="350" spans="1:8" x14ac:dyDescent="0.3">
      <c r="A350" s="6" t="s">
        <v>946</v>
      </c>
      <c r="B350" s="2" t="s">
        <v>1158</v>
      </c>
      <c r="C350" s="2" t="s">
        <v>433</v>
      </c>
      <c r="D350" s="4">
        <v>138</v>
      </c>
      <c r="E350" t="s">
        <v>2854</v>
      </c>
      <c r="F350" s="20" t="s">
        <v>2877</v>
      </c>
      <c r="G350" t="s">
        <v>1661</v>
      </c>
      <c r="H350" t="s">
        <v>2159</v>
      </c>
    </row>
    <row r="351" spans="1:8" x14ac:dyDescent="0.3">
      <c r="A351" s="6" t="s">
        <v>947</v>
      </c>
      <c r="B351" s="2" t="s">
        <v>1177</v>
      </c>
      <c r="C351" s="2" t="s">
        <v>433</v>
      </c>
      <c r="D351" s="4">
        <v>139</v>
      </c>
      <c r="G351" t="s">
        <v>1662</v>
      </c>
      <c r="H351" t="s">
        <v>2160</v>
      </c>
    </row>
    <row r="352" spans="1:8" x14ac:dyDescent="0.3">
      <c r="A352" s="6" t="s">
        <v>948</v>
      </c>
      <c r="B352" s="2" t="s">
        <v>1159</v>
      </c>
      <c r="C352" s="2" t="s">
        <v>433</v>
      </c>
      <c r="D352" s="4">
        <v>140</v>
      </c>
      <c r="E352" t="s">
        <v>2855</v>
      </c>
      <c r="F352" s="20" t="s">
        <v>2877</v>
      </c>
      <c r="G352" t="s">
        <v>1663</v>
      </c>
      <c r="H352" t="s">
        <v>2161</v>
      </c>
    </row>
    <row r="353" spans="1:8" x14ac:dyDescent="0.3">
      <c r="A353" s="6" t="s">
        <v>949</v>
      </c>
      <c r="B353" s="2" t="s">
        <v>1178</v>
      </c>
      <c r="C353" s="2" t="s">
        <v>433</v>
      </c>
      <c r="D353" s="4">
        <v>141</v>
      </c>
      <c r="G353" t="s">
        <v>1664</v>
      </c>
      <c r="H353" t="s">
        <v>2162</v>
      </c>
    </row>
    <row r="354" spans="1:8" x14ac:dyDescent="0.3">
      <c r="A354" s="6" t="s">
        <v>950</v>
      </c>
      <c r="B354" s="2" t="s">
        <v>1191</v>
      </c>
      <c r="C354" s="2" t="s">
        <v>433</v>
      </c>
      <c r="D354" s="4">
        <v>142</v>
      </c>
      <c r="G354" t="s">
        <v>1665</v>
      </c>
      <c r="H354" t="s">
        <v>2163</v>
      </c>
    </row>
    <row r="355" spans="1:8" x14ac:dyDescent="0.3">
      <c r="A355" s="6" t="s">
        <v>951</v>
      </c>
      <c r="B355" s="2" t="s">
        <v>1179</v>
      </c>
      <c r="C355" s="2" t="s">
        <v>433</v>
      </c>
      <c r="D355" s="4">
        <v>143</v>
      </c>
      <c r="G355" t="s">
        <v>1666</v>
      </c>
      <c r="H355" t="s">
        <v>2164</v>
      </c>
    </row>
    <row r="356" spans="1:8" x14ac:dyDescent="0.3">
      <c r="A356" s="6" t="s">
        <v>952</v>
      </c>
      <c r="B356" s="2" t="s">
        <v>1180</v>
      </c>
      <c r="C356" s="2" t="s">
        <v>433</v>
      </c>
      <c r="D356" s="4">
        <v>144</v>
      </c>
      <c r="G356" t="s">
        <v>1667</v>
      </c>
      <c r="H356" t="s">
        <v>2165</v>
      </c>
    </row>
    <row r="357" spans="1:8" x14ac:dyDescent="0.3">
      <c r="A357" s="6" t="s">
        <v>953</v>
      </c>
      <c r="B357" s="2" t="s">
        <v>1181</v>
      </c>
      <c r="C357" s="2" t="s">
        <v>433</v>
      </c>
      <c r="D357" s="4">
        <v>145</v>
      </c>
      <c r="G357" t="s">
        <v>1668</v>
      </c>
      <c r="H357" t="s">
        <v>2166</v>
      </c>
    </row>
    <row r="358" spans="1:8" x14ac:dyDescent="0.3">
      <c r="A358" s="6" t="s">
        <v>954</v>
      </c>
      <c r="B358" s="2" t="s">
        <v>1160</v>
      </c>
      <c r="C358" s="2" t="s">
        <v>433</v>
      </c>
      <c r="D358" s="4">
        <v>146</v>
      </c>
      <c r="G358" t="s">
        <v>1669</v>
      </c>
      <c r="H358" t="s">
        <v>2167</v>
      </c>
    </row>
    <row r="359" spans="1:8" x14ac:dyDescent="0.3">
      <c r="A359" s="6" t="s">
        <v>955</v>
      </c>
      <c r="B359" s="2" t="s">
        <v>1182</v>
      </c>
      <c r="C359" s="2" t="s">
        <v>433</v>
      </c>
      <c r="D359" s="4">
        <v>147</v>
      </c>
      <c r="G359" t="s">
        <v>1670</v>
      </c>
      <c r="H359" t="s">
        <v>2168</v>
      </c>
    </row>
    <row r="360" spans="1:8" x14ac:dyDescent="0.3">
      <c r="A360" s="6" t="s">
        <v>956</v>
      </c>
      <c r="B360" s="2" t="s">
        <v>1161</v>
      </c>
      <c r="C360" s="2" t="s">
        <v>433</v>
      </c>
      <c r="D360" s="4">
        <v>148</v>
      </c>
      <c r="G360" t="s">
        <v>1671</v>
      </c>
      <c r="H360" t="s">
        <v>2169</v>
      </c>
    </row>
    <row r="361" spans="1:8" x14ac:dyDescent="0.3">
      <c r="A361" s="6" t="s">
        <v>957</v>
      </c>
      <c r="B361" s="2" t="s">
        <v>1162</v>
      </c>
      <c r="C361" s="2" t="s">
        <v>433</v>
      </c>
      <c r="D361" s="4">
        <v>149</v>
      </c>
      <c r="G361" t="s">
        <v>1672</v>
      </c>
      <c r="H361" t="s">
        <v>2170</v>
      </c>
    </row>
    <row r="362" spans="1:8" x14ac:dyDescent="0.3">
      <c r="A362" s="6" t="s">
        <v>958</v>
      </c>
      <c r="B362" s="2" t="s">
        <v>1163</v>
      </c>
      <c r="C362" s="2" t="s">
        <v>433</v>
      </c>
      <c r="D362" s="4">
        <v>150</v>
      </c>
      <c r="G362" t="s">
        <v>1673</v>
      </c>
      <c r="H362" t="s">
        <v>2171</v>
      </c>
    </row>
    <row r="363" spans="1:8" x14ac:dyDescent="0.3">
      <c r="A363" s="6" t="s">
        <v>959</v>
      </c>
      <c r="B363" s="2" t="s">
        <v>1183</v>
      </c>
      <c r="C363" s="2" t="s">
        <v>433</v>
      </c>
      <c r="D363" s="4">
        <v>151</v>
      </c>
      <c r="G363" t="s">
        <v>1674</v>
      </c>
      <c r="H363" t="s">
        <v>2172</v>
      </c>
    </row>
    <row r="364" spans="1:8" x14ac:dyDescent="0.3">
      <c r="A364" s="6" t="s">
        <v>960</v>
      </c>
      <c r="B364" s="2" t="s">
        <v>1184</v>
      </c>
      <c r="C364" s="2" t="s">
        <v>433</v>
      </c>
      <c r="D364" s="4">
        <v>152</v>
      </c>
      <c r="G364" t="s">
        <v>1675</v>
      </c>
      <c r="H364" t="s">
        <v>2173</v>
      </c>
    </row>
    <row r="365" spans="1:8" x14ac:dyDescent="0.3">
      <c r="A365" s="6" t="s">
        <v>961</v>
      </c>
      <c r="B365" s="2" t="s">
        <v>1164</v>
      </c>
      <c r="C365" s="2" t="s">
        <v>433</v>
      </c>
      <c r="D365" s="4">
        <v>153</v>
      </c>
      <c r="E365" t="s">
        <v>2856</v>
      </c>
      <c r="F365" s="18" t="s">
        <v>2866</v>
      </c>
      <c r="G365" t="s">
        <v>1676</v>
      </c>
      <c r="H365" t="s">
        <v>2174</v>
      </c>
    </row>
    <row r="366" spans="1:8" x14ac:dyDescent="0.3">
      <c r="A366" s="6" t="s">
        <v>962</v>
      </c>
      <c r="B366" s="2" t="s">
        <v>1165</v>
      </c>
      <c r="C366" s="2" t="s">
        <v>433</v>
      </c>
      <c r="D366" s="4">
        <v>154</v>
      </c>
      <c r="E366" t="s">
        <v>2857</v>
      </c>
      <c r="F366" s="18" t="s">
        <v>2866</v>
      </c>
      <c r="G366" t="s">
        <v>1677</v>
      </c>
      <c r="H366" t="s">
        <v>2175</v>
      </c>
    </row>
    <row r="367" spans="1:8" x14ac:dyDescent="0.3">
      <c r="A367" s="6" t="s">
        <v>963</v>
      </c>
      <c r="B367" s="2" t="s">
        <v>1166</v>
      </c>
      <c r="C367" s="2" t="s">
        <v>433</v>
      </c>
      <c r="D367" s="4">
        <v>155</v>
      </c>
      <c r="E367" s="12" t="s">
        <v>2858</v>
      </c>
      <c r="F367" s="18" t="s">
        <v>2866</v>
      </c>
      <c r="G367" t="s">
        <v>1678</v>
      </c>
      <c r="H367" t="s">
        <v>2176</v>
      </c>
    </row>
    <row r="368" spans="1:8" x14ac:dyDescent="0.3">
      <c r="A368" s="6" t="s">
        <v>964</v>
      </c>
      <c r="B368" s="2" t="s">
        <v>1185</v>
      </c>
      <c r="C368" s="2" t="s">
        <v>433</v>
      </c>
      <c r="D368" s="4">
        <v>156</v>
      </c>
      <c r="E368" s="12"/>
      <c r="F368" s="12"/>
      <c r="G368" t="s">
        <v>1679</v>
      </c>
      <c r="H368" t="s">
        <v>2177</v>
      </c>
    </row>
    <row r="369" spans="1:8" x14ac:dyDescent="0.3">
      <c r="A369" s="6" t="s">
        <v>965</v>
      </c>
      <c r="B369" s="2" t="s">
        <v>1167</v>
      </c>
      <c r="C369" s="2" t="s">
        <v>433</v>
      </c>
      <c r="D369" s="4">
        <v>157</v>
      </c>
      <c r="G369" t="s">
        <v>1680</v>
      </c>
      <c r="H369" t="s">
        <v>2178</v>
      </c>
    </row>
    <row r="370" spans="1:8" x14ac:dyDescent="0.3">
      <c r="A370" s="6" t="s">
        <v>966</v>
      </c>
      <c r="B370" s="2" t="s">
        <v>1187</v>
      </c>
      <c r="C370" s="2" t="s">
        <v>433</v>
      </c>
      <c r="D370" s="4">
        <v>158</v>
      </c>
      <c r="G370" t="s">
        <v>1681</v>
      </c>
      <c r="H370" t="s">
        <v>2179</v>
      </c>
    </row>
    <row r="371" spans="1:8" x14ac:dyDescent="0.3">
      <c r="A371" s="6" t="s">
        <v>967</v>
      </c>
      <c r="B371" s="2" t="s">
        <v>1186</v>
      </c>
      <c r="C371" s="2" t="s">
        <v>433</v>
      </c>
      <c r="D371" s="4">
        <v>159</v>
      </c>
      <c r="G371" t="s">
        <v>1682</v>
      </c>
      <c r="H371" t="s">
        <v>2180</v>
      </c>
    </row>
    <row r="372" spans="1:8" x14ac:dyDescent="0.3">
      <c r="A372" s="6" t="s">
        <v>968</v>
      </c>
      <c r="B372" s="2" t="s">
        <v>1192</v>
      </c>
      <c r="C372" s="2" t="s">
        <v>433</v>
      </c>
      <c r="D372" s="4">
        <v>160</v>
      </c>
      <c r="G372" t="s">
        <v>1683</v>
      </c>
      <c r="H372" t="s">
        <v>2181</v>
      </c>
    </row>
    <row r="373" spans="1:8" x14ac:dyDescent="0.3">
      <c r="A373" s="6" t="s">
        <v>969</v>
      </c>
      <c r="B373" s="2" t="s">
        <v>1188</v>
      </c>
      <c r="C373" s="2" t="s">
        <v>433</v>
      </c>
      <c r="D373" s="4">
        <v>161</v>
      </c>
      <c r="G373" t="s">
        <v>1684</v>
      </c>
      <c r="H373" t="s">
        <v>2182</v>
      </c>
    </row>
    <row r="374" spans="1:8" x14ac:dyDescent="0.3">
      <c r="A374" s="6" t="s">
        <v>970</v>
      </c>
      <c r="B374" s="2" t="s">
        <v>1168</v>
      </c>
      <c r="C374" s="2" t="s">
        <v>433</v>
      </c>
      <c r="D374" s="4">
        <v>162</v>
      </c>
      <c r="G374" t="s">
        <v>1685</v>
      </c>
      <c r="H374" t="s">
        <v>2183</v>
      </c>
    </row>
    <row r="375" spans="1:8" x14ac:dyDescent="0.3">
      <c r="A375" s="6" t="s">
        <v>971</v>
      </c>
      <c r="B375" s="2" t="s">
        <v>1189</v>
      </c>
      <c r="C375" s="2" t="s">
        <v>433</v>
      </c>
      <c r="D375" s="4">
        <v>163</v>
      </c>
      <c r="G375" t="s">
        <v>1686</v>
      </c>
      <c r="H375" t="s">
        <v>2184</v>
      </c>
    </row>
    <row r="376" spans="1:8" x14ac:dyDescent="0.3">
      <c r="A376" s="6" t="s">
        <v>972</v>
      </c>
      <c r="B376" s="2" t="s">
        <v>1169</v>
      </c>
      <c r="C376" s="2" t="s">
        <v>433</v>
      </c>
      <c r="D376" s="4">
        <v>164</v>
      </c>
      <c r="G376" t="s">
        <v>1687</v>
      </c>
      <c r="H376" t="s">
        <v>2185</v>
      </c>
    </row>
    <row r="377" spans="1:8" x14ac:dyDescent="0.3">
      <c r="A377" s="6" t="s">
        <v>973</v>
      </c>
      <c r="B377" s="2" t="s">
        <v>1190</v>
      </c>
      <c r="C377" s="2" t="s">
        <v>433</v>
      </c>
      <c r="D377" s="4">
        <v>165</v>
      </c>
      <c r="G377" t="s">
        <v>1688</v>
      </c>
      <c r="H377" t="s">
        <v>2186</v>
      </c>
    </row>
    <row r="378" spans="1:8" x14ac:dyDescent="0.3">
      <c r="A378" s="6" t="s">
        <v>974</v>
      </c>
      <c r="B378" s="2" t="s">
        <v>1193</v>
      </c>
      <c r="C378" s="2" t="s">
        <v>433</v>
      </c>
      <c r="D378" s="4">
        <v>166</v>
      </c>
      <c r="E378" t="s">
        <v>2859</v>
      </c>
      <c r="F378" s="20" t="s">
        <v>2877</v>
      </c>
      <c r="G378" t="s">
        <v>1689</v>
      </c>
      <c r="H378" t="s">
        <v>2187</v>
      </c>
    </row>
    <row r="379" spans="1:8" x14ac:dyDescent="0.3">
      <c r="A379" s="6" t="s">
        <v>975</v>
      </c>
      <c r="B379" s="2" t="s">
        <v>1170</v>
      </c>
      <c r="C379" s="2" t="s">
        <v>433</v>
      </c>
      <c r="D379" s="4">
        <v>167</v>
      </c>
      <c r="G379" t="s">
        <v>1690</v>
      </c>
      <c r="H379" t="s">
        <v>2188</v>
      </c>
    </row>
    <row r="380" spans="1:8" x14ac:dyDescent="0.3">
      <c r="A380" s="6" t="s">
        <v>976</v>
      </c>
      <c r="B380" s="2" t="s">
        <v>1171</v>
      </c>
      <c r="C380" s="2" t="s">
        <v>433</v>
      </c>
      <c r="D380" s="4">
        <v>168</v>
      </c>
      <c r="G380" t="s">
        <v>1691</v>
      </c>
      <c r="H380" t="s">
        <v>2189</v>
      </c>
    </row>
    <row r="381" spans="1:8" x14ac:dyDescent="0.3">
      <c r="A381" s="6" t="s">
        <v>977</v>
      </c>
      <c r="B381" s="2" t="s">
        <v>1172</v>
      </c>
      <c r="C381" s="2" t="s">
        <v>433</v>
      </c>
      <c r="D381" s="4">
        <v>169</v>
      </c>
      <c r="G381" t="s">
        <v>1692</v>
      </c>
      <c r="H381" t="s">
        <v>2190</v>
      </c>
    </row>
    <row r="382" spans="1:8" x14ac:dyDescent="0.3">
      <c r="A382" s="6" t="s">
        <v>978</v>
      </c>
      <c r="B382" s="2" t="s">
        <v>1194</v>
      </c>
      <c r="C382" s="2" t="s">
        <v>433</v>
      </c>
      <c r="D382" s="4">
        <v>170</v>
      </c>
      <c r="E382" t="s">
        <v>2880</v>
      </c>
      <c r="F382" s="20" t="s">
        <v>2877</v>
      </c>
      <c r="G382" t="s">
        <v>1693</v>
      </c>
      <c r="H382" t="s">
        <v>2191</v>
      </c>
    </row>
    <row r="383" spans="1:8" x14ac:dyDescent="0.3">
      <c r="A383" s="6" t="s">
        <v>979</v>
      </c>
      <c r="B383" s="2" t="s">
        <v>1197</v>
      </c>
      <c r="C383" s="2" t="s">
        <v>433</v>
      </c>
      <c r="D383" s="4">
        <v>171</v>
      </c>
      <c r="G383" t="s">
        <v>1694</v>
      </c>
      <c r="H383" t="s">
        <v>2192</v>
      </c>
    </row>
    <row r="384" spans="1:8" x14ac:dyDescent="0.3">
      <c r="A384" s="6" t="s">
        <v>980</v>
      </c>
      <c r="B384" s="2" t="s">
        <v>1195</v>
      </c>
      <c r="C384" s="2" t="s">
        <v>433</v>
      </c>
      <c r="D384" s="4">
        <v>172</v>
      </c>
      <c r="G384" t="s">
        <v>1695</v>
      </c>
      <c r="H384" t="s">
        <v>2193</v>
      </c>
    </row>
    <row r="385" spans="1:8" x14ac:dyDescent="0.3">
      <c r="A385" s="6" t="s">
        <v>981</v>
      </c>
      <c r="B385" s="2" t="s">
        <v>1212</v>
      </c>
      <c r="C385" s="2" t="s">
        <v>433</v>
      </c>
      <c r="D385" s="4">
        <v>173</v>
      </c>
      <c r="G385" t="s">
        <v>1696</v>
      </c>
      <c r="H385" t="s">
        <v>2194</v>
      </c>
    </row>
    <row r="386" spans="1:8" x14ac:dyDescent="0.3">
      <c r="A386" s="6" t="s">
        <v>982</v>
      </c>
      <c r="B386" s="2" t="s">
        <v>1196</v>
      </c>
      <c r="C386" s="2" t="s">
        <v>433</v>
      </c>
      <c r="D386" s="4">
        <v>174</v>
      </c>
      <c r="G386" t="s">
        <v>1697</v>
      </c>
      <c r="H386" t="s">
        <v>2195</v>
      </c>
    </row>
    <row r="387" spans="1:8" x14ac:dyDescent="0.3">
      <c r="A387" s="6" t="s">
        <v>983</v>
      </c>
      <c r="B387" s="2" t="s">
        <v>1198</v>
      </c>
      <c r="C387" s="2" t="s">
        <v>433</v>
      </c>
      <c r="D387" s="4">
        <v>175</v>
      </c>
      <c r="G387" t="s">
        <v>1698</v>
      </c>
      <c r="H387" t="s">
        <v>2196</v>
      </c>
    </row>
    <row r="388" spans="1:8" x14ac:dyDescent="0.3">
      <c r="A388" s="6" t="s">
        <v>984</v>
      </c>
      <c r="B388" s="2" t="s">
        <v>1199</v>
      </c>
      <c r="C388" s="2" t="s">
        <v>433</v>
      </c>
      <c r="D388" s="4">
        <v>176</v>
      </c>
      <c r="G388" t="s">
        <v>1699</v>
      </c>
      <c r="H388" t="s">
        <v>2197</v>
      </c>
    </row>
    <row r="389" spans="1:8" x14ac:dyDescent="0.3">
      <c r="A389" s="6" t="s">
        <v>985</v>
      </c>
      <c r="B389" s="2" t="s">
        <v>1200</v>
      </c>
      <c r="C389" s="2" t="s">
        <v>433</v>
      </c>
      <c r="D389" s="4">
        <v>177</v>
      </c>
      <c r="G389" t="s">
        <v>1700</v>
      </c>
      <c r="H389" t="s">
        <v>2198</v>
      </c>
    </row>
    <row r="390" spans="1:8" x14ac:dyDescent="0.3">
      <c r="A390" s="6" t="s">
        <v>986</v>
      </c>
      <c r="B390" s="2" t="s">
        <v>1201</v>
      </c>
      <c r="C390" s="2" t="s">
        <v>433</v>
      </c>
      <c r="D390" s="4">
        <v>178</v>
      </c>
      <c r="G390" t="s">
        <v>1701</v>
      </c>
      <c r="H390" t="s">
        <v>2199</v>
      </c>
    </row>
    <row r="391" spans="1:8" x14ac:dyDescent="0.3">
      <c r="A391" s="6" t="s">
        <v>987</v>
      </c>
      <c r="B391" s="2" t="s">
        <v>1202</v>
      </c>
      <c r="C391" s="2" t="s">
        <v>433</v>
      </c>
      <c r="D391" s="4">
        <v>179</v>
      </c>
      <c r="G391" t="s">
        <v>1702</v>
      </c>
      <c r="H391" t="s">
        <v>2200</v>
      </c>
    </row>
    <row r="392" spans="1:8" x14ac:dyDescent="0.3">
      <c r="A392" s="6" t="s">
        <v>988</v>
      </c>
      <c r="B392" s="2" t="s">
        <v>1203</v>
      </c>
      <c r="C392" s="2" t="s">
        <v>433</v>
      </c>
      <c r="D392" s="4">
        <v>180</v>
      </c>
      <c r="G392" t="s">
        <v>1703</v>
      </c>
      <c r="H392" t="s">
        <v>2201</v>
      </c>
    </row>
    <row r="393" spans="1:8" x14ac:dyDescent="0.3">
      <c r="A393" s="6" t="s">
        <v>989</v>
      </c>
      <c r="B393" s="2" t="s">
        <v>1213</v>
      </c>
      <c r="C393" s="2" t="s">
        <v>433</v>
      </c>
      <c r="D393" s="4">
        <v>181</v>
      </c>
      <c r="E393" t="s">
        <v>2860</v>
      </c>
      <c r="F393" s="20" t="s">
        <v>2877</v>
      </c>
      <c r="G393" t="s">
        <v>1704</v>
      </c>
      <c r="H393" t="s">
        <v>2202</v>
      </c>
    </row>
    <row r="394" spans="1:8" x14ac:dyDescent="0.3">
      <c r="A394" s="6" t="s">
        <v>990</v>
      </c>
      <c r="B394" s="2" t="s">
        <v>1204</v>
      </c>
      <c r="C394" s="2" t="s">
        <v>433</v>
      </c>
      <c r="D394" s="4">
        <v>182</v>
      </c>
      <c r="G394" t="s">
        <v>1705</v>
      </c>
      <c r="H394" t="s">
        <v>2203</v>
      </c>
    </row>
    <row r="395" spans="1:8" x14ac:dyDescent="0.3">
      <c r="A395" s="6" t="s">
        <v>991</v>
      </c>
      <c r="B395" s="2" t="s">
        <v>1205</v>
      </c>
      <c r="C395" s="2" t="s">
        <v>433</v>
      </c>
      <c r="D395" s="4">
        <v>183</v>
      </c>
      <c r="E395" t="s">
        <v>2861</v>
      </c>
      <c r="F395" s="20" t="s">
        <v>2877</v>
      </c>
      <c r="G395" t="s">
        <v>1706</v>
      </c>
      <c r="H395" t="s">
        <v>2204</v>
      </c>
    </row>
    <row r="396" spans="1:8" x14ac:dyDescent="0.3">
      <c r="A396" s="6" t="s">
        <v>992</v>
      </c>
      <c r="B396" s="2" t="s">
        <v>1206</v>
      </c>
      <c r="C396" s="2" t="s">
        <v>433</v>
      </c>
      <c r="D396" s="4">
        <v>184</v>
      </c>
      <c r="G396" t="s">
        <v>1707</v>
      </c>
      <c r="H396" t="s">
        <v>2205</v>
      </c>
    </row>
    <row r="397" spans="1:8" x14ac:dyDescent="0.3">
      <c r="A397" s="6" t="s">
        <v>993</v>
      </c>
      <c r="B397" s="2" t="s">
        <v>1214</v>
      </c>
      <c r="C397" s="2" t="s">
        <v>433</v>
      </c>
      <c r="D397" s="4">
        <v>185</v>
      </c>
      <c r="G397" t="s">
        <v>1708</v>
      </c>
      <c r="H397" t="s">
        <v>2206</v>
      </c>
    </row>
    <row r="398" spans="1:8" x14ac:dyDescent="0.3">
      <c r="A398" s="6" t="s">
        <v>994</v>
      </c>
      <c r="B398" s="2" t="s">
        <v>1215</v>
      </c>
      <c r="C398" s="2" t="s">
        <v>433</v>
      </c>
      <c r="D398" s="4">
        <v>186</v>
      </c>
      <c r="G398" t="s">
        <v>1709</v>
      </c>
      <c r="H398" t="s">
        <v>2207</v>
      </c>
    </row>
    <row r="399" spans="1:8" x14ac:dyDescent="0.3">
      <c r="A399" s="6" t="s">
        <v>995</v>
      </c>
      <c r="B399" s="2" t="s">
        <v>1207</v>
      </c>
      <c r="C399" s="2" t="s">
        <v>433</v>
      </c>
      <c r="D399" s="4">
        <v>187</v>
      </c>
      <c r="G399" t="s">
        <v>1710</v>
      </c>
      <c r="H399" t="s">
        <v>2208</v>
      </c>
    </row>
    <row r="400" spans="1:8" x14ac:dyDescent="0.3">
      <c r="A400" s="6" t="s">
        <v>996</v>
      </c>
      <c r="B400" s="2" t="s">
        <v>1208</v>
      </c>
      <c r="C400" s="2" t="s">
        <v>433</v>
      </c>
      <c r="D400" s="4">
        <v>188</v>
      </c>
      <c r="G400" t="s">
        <v>1711</v>
      </c>
      <c r="H400" t="s">
        <v>2209</v>
      </c>
    </row>
    <row r="401" spans="1:8" x14ac:dyDescent="0.3">
      <c r="A401" s="6" t="s">
        <v>997</v>
      </c>
      <c r="B401" s="2" t="s">
        <v>1209</v>
      </c>
      <c r="C401" s="2" t="s">
        <v>433</v>
      </c>
      <c r="D401" s="4">
        <v>189</v>
      </c>
      <c r="G401" t="s">
        <v>1712</v>
      </c>
      <c r="H401" t="s">
        <v>2210</v>
      </c>
    </row>
    <row r="402" spans="1:8" x14ac:dyDescent="0.3">
      <c r="A402" s="6" t="s">
        <v>998</v>
      </c>
      <c r="B402" s="2" t="s">
        <v>1216</v>
      </c>
      <c r="C402" s="2" t="s">
        <v>433</v>
      </c>
      <c r="D402" s="4">
        <v>190</v>
      </c>
      <c r="E402" t="s">
        <v>2862</v>
      </c>
      <c r="F402" s="20" t="s">
        <v>2877</v>
      </c>
      <c r="G402" t="s">
        <v>1713</v>
      </c>
      <c r="H402" t="s">
        <v>2211</v>
      </c>
    </row>
    <row r="403" spans="1:8" x14ac:dyDescent="0.3">
      <c r="A403" s="6" t="s">
        <v>999</v>
      </c>
      <c r="B403" s="2" t="s">
        <v>1210</v>
      </c>
      <c r="C403" s="2" t="s">
        <v>433</v>
      </c>
      <c r="D403" s="4">
        <v>191</v>
      </c>
      <c r="G403" t="s">
        <v>1714</v>
      </c>
      <c r="H403" t="s">
        <v>2212</v>
      </c>
    </row>
    <row r="404" spans="1:8" x14ac:dyDescent="0.3">
      <c r="A404" s="6" t="s">
        <v>1000</v>
      </c>
      <c r="B404" s="2" t="s">
        <v>1217</v>
      </c>
      <c r="C404" s="2" t="s">
        <v>433</v>
      </c>
      <c r="D404" s="4">
        <v>192</v>
      </c>
      <c r="G404" t="s">
        <v>1715</v>
      </c>
      <c r="H404" t="s">
        <v>2213</v>
      </c>
    </row>
    <row r="405" spans="1:8" x14ac:dyDescent="0.3">
      <c r="A405" s="6" t="s">
        <v>1001</v>
      </c>
      <c r="B405" s="2" t="s">
        <v>1211</v>
      </c>
      <c r="C405" s="2" t="s">
        <v>433</v>
      </c>
      <c r="D405" s="4">
        <v>193</v>
      </c>
      <c r="G405" t="s">
        <v>1716</v>
      </c>
      <c r="H405" t="s">
        <v>2214</v>
      </c>
    </row>
    <row r="406" spans="1:8" x14ac:dyDescent="0.3">
      <c r="A406" s="6" t="s">
        <v>1002</v>
      </c>
      <c r="B406" s="8" t="s">
        <v>1218</v>
      </c>
      <c r="C406" s="2" t="s">
        <v>433</v>
      </c>
      <c r="D406" s="4">
        <v>194</v>
      </c>
      <c r="E406" t="s">
        <v>2869</v>
      </c>
      <c r="F406" s="18" t="s">
        <v>2866</v>
      </c>
      <c r="G406" t="s">
        <v>1717</v>
      </c>
      <c r="H406" t="s">
        <v>2215</v>
      </c>
    </row>
    <row r="407" spans="1:8" x14ac:dyDescent="0.3">
      <c r="A407" s="6" t="s">
        <v>1003</v>
      </c>
      <c r="B407" s="2" t="s">
        <v>1224</v>
      </c>
      <c r="C407" s="2" t="s">
        <v>433</v>
      </c>
      <c r="D407" s="4">
        <v>195</v>
      </c>
      <c r="E407" t="s">
        <v>2870</v>
      </c>
      <c r="F407" s="18" t="s">
        <v>2866</v>
      </c>
      <c r="G407" t="s">
        <v>1718</v>
      </c>
      <c r="H407" t="s">
        <v>2216</v>
      </c>
    </row>
    <row r="408" spans="1:8" x14ac:dyDescent="0.3">
      <c r="A408" s="6" t="s">
        <v>1004</v>
      </c>
      <c r="B408" s="8" t="s">
        <v>1219</v>
      </c>
      <c r="C408" s="2" t="s">
        <v>433</v>
      </c>
      <c r="D408" s="4">
        <v>196</v>
      </c>
      <c r="E408" t="s">
        <v>2863</v>
      </c>
      <c r="F408" s="18" t="s">
        <v>2866</v>
      </c>
      <c r="G408" t="s">
        <v>1719</v>
      </c>
      <c r="H408" t="s">
        <v>2217</v>
      </c>
    </row>
    <row r="409" spans="1:8" x14ac:dyDescent="0.3">
      <c r="A409" s="6" t="s">
        <v>1005</v>
      </c>
      <c r="B409" s="8" t="s">
        <v>1220</v>
      </c>
      <c r="C409" s="2" t="s">
        <v>433</v>
      </c>
      <c r="D409" s="4">
        <v>197</v>
      </c>
      <c r="E409" t="s">
        <v>2868</v>
      </c>
      <c r="F409" s="18" t="s">
        <v>2866</v>
      </c>
      <c r="G409" t="s">
        <v>1720</v>
      </c>
      <c r="H409" t="s">
        <v>2218</v>
      </c>
    </row>
    <row r="410" spans="1:8" x14ac:dyDescent="0.3">
      <c r="A410" s="6" t="s">
        <v>1006</v>
      </c>
      <c r="B410" s="2" t="s">
        <v>1225</v>
      </c>
      <c r="C410" s="2" t="s">
        <v>433</v>
      </c>
      <c r="D410" s="4">
        <v>198</v>
      </c>
      <c r="E410" t="s">
        <v>2864</v>
      </c>
      <c r="F410" s="18" t="s">
        <v>2866</v>
      </c>
      <c r="G410" t="s">
        <v>1721</v>
      </c>
      <c r="H410" t="s">
        <v>2219</v>
      </c>
    </row>
    <row r="411" spans="1:8" x14ac:dyDescent="0.3">
      <c r="A411" s="6" t="s">
        <v>1007</v>
      </c>
      <c r="B411" s="8" t="s">
        <v>1221</v>
      </c>
      <c r="C411" s="2" t="s">
        <v>433</v>
      </c>
      <c r="D411" s="4">
        <v>199</v>
      </c>
      <c r="E411" t="s">
        <v>2867</v>
      </c>
      <c r="F411" s="18" t="s">
        <v>2866</v>
      </c>
      <c r="G411" t="s">
        <v>1722</v>
      </c>
      <c r="H411" t="s">
        <v>2220</v>
      </c>
    </row>
    <row r="412" spans="1:8" x14ac:dyDescent="0.3">
      <c r="A412" s="6" t="s">
        <v>1008</v>
      </c>
      <c r="B412" s="2" t="s">
        <v>1226</v>
      </c>
      <c r="C412" s="2" t="s">
        <v>433</v>
      </c>
      <c r="D412" s="4">
        <v>200</v>
      </c>
      <c r="E412" t="s">
        <v>2871</v>
      </c>
      <c r="F412" s="18" t="s">
        <v>2866</v>
      </c>
      <c r="G412" t="s">
        <v>1723</v>
      </c>
      <c r="H412" t="s">
        <v>2221</v>
      </c>
    </row>
    <row r="413" spans="1:8" x14ac:dyDescent="0.3">
      <c r="A413" s="6" t="s">
        <v>1009</v>
      </c>
      <c r="B413" s="8" t="s">
        <v>1222</v>
      </c>
      <c r="C413" s="2" t="s">
        <v>433</v>
      </c>
      <c r="D413" s="4">
        <v>201</v>
      </c>
      <c r="E413" t="s">
        <v>2872</v>
      </c>
      <c r="F413" s="18" t="s">
        <v>2866</v>
      </c>
      <c r="G413" t="s">
        <v>1724</v>
      </c>
      <c r="H413" t="s">
        <v>2222</v>
      </c>
    </row>
    <row r="414" spans="1:8" x14ac:dyDescent="0.3">
      <c r="A414" s="6" t="s">
        <v>1010</v>
      </c>
      <c r="B414" s="8" t="s">
        <v>1223</v>
      </c>
      <c r="C414" s="2" t="s">
        <v>433</v>
      </c>
      <c r="D414" s="4">
        <v>202</v>
      </c>
      <c r="G414" t="s">
        <v>1725</v>
      </c>
      <c r="H414" t="s">
        <v>2223</v>
      </c>
    </row>
    <row r="415" spans="1:8" x14ac:dyDescent="0.3">
      <c r="A415" s="6" t="s">
        <v>1011</v>
      </c>
      <c r="B415" s="2" t="s">
        <v>1227</v>
      </c>
      <c r="C415" s="2" t="s">
        <v>433</v>
      </c>
      <c r="D415" s="4">
        <v>203</v>
      </c>
      <c r="E415" t="s">
        <v>653</v>
      </c>
      <c r="F415" s="18" t="s">
        <v>2866</v>
      </c>
      <c r="G415" t="s">
        <v>1726</v>
      </c>
      <c r="H415" t="s">
        <v>2224</v>
      </c>
    </row>
    <row r="416" spans="1:8" x14ac:dyDescent="0.3">
      <c r="A416" s="6" t="s">
        <v>1012</v>
      </c>
      <c r="B416" s="2" t="s">
        <v>1228</v>
      </c>
      <c r="C416" s="2" t="s">
        <v>433</v>
      </c>
      <c r="D416" s="4">
        <v>204</v>
      </c>
      <c r="E416" t="s">
        <v>2873</v>
      </c>
      <c r="F416" s="18" t="s">
        <v>2866</v>
      </c>
      <c r="G416" t="s">
        <v>1727</v>
      </c>
      <c r="H416" t="s">
        <v>2225</v>
      </c>
    </row>
    <row r="417" spans="1:8" x14ac:dyDescent="0.3">
      <c r="A417" s="6" t="s">
        <v>1013</v>
      </c>
      <c r="B417" s="2" t="s">
        <v>1229</v>
      </c>
      <c r="C417" s="2" t="s">
        <v>433</v>
      </c>
      <c r="D417" s="4">
        <v>205</v>
      </c>
      <c r="E417" t="s">
        <v>652</v>
      </c>
      <c r="F417" s="18" t="s">
        <v>2866</v>
      </c>
      <c r="G417" t="s">
        <v>1728</v>
      </c>
      <c r="H417" t="s">
        <v>2226</v>
      </c>
    </row>
    <row r="418" spans="1:8" x14ac:dyDescent="0.3">
      <c r="A418" s="6" t="s">
        <v>1014</v>
      </c>
      <c r="B418" s="8" t="s">
        <v>1230</v>
      </c>
      <c r="C418" s="2" t="s">
        <v>433</v>
      </c>
      <c r="D418" s="4">
        <v>206</v>
      </c>
      <c r="E418" t="s">
        <v>2881</v>
      </c>
      <c r="F418" s="18" t="s">
        <v>2866</v>
      </c>
      <c r="G418" t="s">
        <v>1729</v>
      </c>
      <c r="H418" t="s">
        <v>2227</v>
      </c>
    </row>
    <row r="419" spans="1:8" x14ac:dyDescent="0.3">
      <c r="A419" s="6" t="s">
        <v>1015</v>
      </c>
      <c r="B419" s="8" t="s">
        <v>1231</v>
      </c>
      <c r="C419" s="2" t="s">
        <v>433</v>
      </c>
      <c r="D419" s="4">
        <v>207</v>
      </c>
      <c r="E419" t="s">
        <v>651</v>
      </c>
      <c r="F419" s="18" t="s">
        <v>2866</v>
      </c>
      <c r="G419" t="s">
        <v>1730</v>
      </c>
      <c r="H419" t="s">
        <v>2228</v>
      </c>
    </row>
    <row r="420" spans="1:8" x14ac:dyDescent="0.3">
      <c r="A420" s="6" t="s">
        <v>1016</v>
      </c>
      <c r="B420" s="8" t="s">
        <v>1232</v>
      </c>
      <c r="C420" s="2" t="s">
        <v>433</v>
      </c>
      <c r="D420" s="4">
        <v>208</v>
      </c>
      <c r="G420" t="s">
        <v>1731</v>
      </c>
      <c r="H420" t="s">
        <v>2229</v>
      </c>
    </row>
    <row r="421" spans="1:8" x14ac:dyDescent="0.3">
      <c r="A421" s="6" t="s">
        <v>1017</v>
      </c>
      <c r="B421" s="2" t="s">
        <v>640</v>
      </c>
      <c r="C421" s="2" t="s">
        <v>433</v>
      </c>
      <c r="D421" s="4">
        <v>209</v>
      </c>
      <c r="E421" t="s">
        <v>650</v>
      </c>
      <c r="F421" s="18" t="s">
        <v>2866</v>
      </c>
      <c r="G421" t="s">
        <v>1732</v>
      </c>
      <c r="H421" t="s">
        <v>2230</v>
      </c>
    </row>
    <row r="422" spans="1:8" x14ac:dyDescent="0.3">
      <c r="B422" s="2" t="s">
        <v>661</v>
      </c>
      <c r="E422" t="s">
        <v>662</v>
      </c>
      <c r="G422" t="s">
        <v>1733</v>
      </c>
      <c r="H422" t="s">
        <v>2231</v>
      </c>
    </row>
    <row r="423" spans="1:8" x14ac:dyDescent="0.3">
      <c r="A423" s="6" t="s">
        <v>655</v>
      </c>
      <c r="B423" s="2" t="s">
        <v>1239</v>
      </c>
      <c r="C423" s="2" t="s">
        <v>656</v>
      </c>
      <c r="E423" t="s">
        <v>657</v>
      </c>
      <c r="G423" t="s">
        <v>1734</v>
      </c>
      <c r="H423" t="s">
        <v>2232</v>
      </c>
    </row>
    <row r="424" spans="1:8" x14ac:dyDescent="0.3">
      <c r="A424" s="6" t="s">
        <v>1018</v>
      </c>
      <c r="B424" s="2" t="s">
        <v>1240</v>
      </c>
      <c r="C424" s="2" t="s">
        <v>656</v>
      </c>
      <c r="E424" t="s">
        <v>658</v>
      </c>
      <c r="G424" t="s">
        <v>1735</v>
      </c>
      <c r="H424" t="s">
        <v>2233</v>
      </c>
    </row>
    <row r="425" spans="1:8" x14ac:dyDescent="0.3">
      <c r="A425" s="6" t="s">
        <v>1019</v>
      </c>
      <c r="B425" s="2" t="s">
        <v>1241</v>
      </c>
      <c r="C425" s="2" t="s">
        <v>656</v>
      </c>
      <c r="E425" t="s">
        <v>671</v>
      </c>
      <c r="G425" t="s">
        <v>1736</v>
      </c>
      <c r="H425" t="s">
        <v>2234</v>
      </c>
    </row>
    <row r="426" spans="1:8" x14ac:dyDescent="0.3">
      <c r="A426" s="6" t="s">
        <v>1020</v>
      </c>
      <c r="B426" s="2" t="s">
        <v>1242</v>
      </c>
      <c r="C426" s="2" t="s">
        <v>656</v>
      </c>
      <c r="E426" t="s">
        <v>672</v>
      </c>
      <c r="G426" t="s">
        <v>1737</v>
      </c>
      <c r="H426" t="s">
        <v>2235</v>
      </c>
    </row>
    <row r="427" spans="1:8" x14ac:dyDescent="0.3">
      <c r="A427" s="6" t="s">
        <v>1021</v>
      </c>
      <c r="B427" s="2" t="s">
        <v>1243</v>
      </c>
      <c r="C427" s="2" t="s">
        <v>656</v>
      </c>
      <c r="E427" t="s">
        <v>673</v>
      </c>
      <c r="G427" t="s">
        <v>1738</v>
      </c>
      <c r="H427" t="s">
        <v>2236</v>
      </c>
    </row>
    <row r="428" spans="1:8" x14ac:dyDescent="0.3">
      <c r="A428" s="6" t="s">
        <v>1022</v>
      </c>
      <c r="B428" s="2" t="s">
        <v>1244</v>
      </c>
      <c r="C428" s="2" t="s">
        <v>656</v>
      </c>
      <c r="E428" t="s">
        <v>674</v>
      </c>
      <c r="G428" t="s">
        <v>1739</v>
      </c>
      <c r="H428" t="s">
        <v>2237</v>
      </c>
    </row>
    <row r="429" spans="1:8" x14ac:dyDescent="0.3">
      <c r="A429" s="6" t="s">
        <v>1023</v>
      </c>
      <c r="B429" s="2" t="s">
        <v>1245</v>
      </c>
      <c r="C429" s="2" t="s">
        <v>656</v>
      </c>
      <c r="E429" t="s">
        <v>675</v>
      </c>
      <c r="F429" s="18" t="s">
        <v>2866</v>
      </c>
      <c r="G429" t="s">
        <v>1740</v>
      </c>
      <c r="H429" t="s">
        <v>2238</v>
      </c>
    </row>
    <row r="430" spans="1:8" x14ac:dyDescent="0.3">
      <c r="A430" s="6" t="s">
        <v>1024</v>
      </c>
      <c r="B430" s="2" t="s">
        <v>1246</v>
      </c>
      <c r="C430" s="2" t="s">
        <v>656</v>
      </c>
      <c r="E430" t="s">
        <v>676</v>
      </c>
      <c r="G430" t="s">
        <v>1741</v>
      </c>
      <c r="H430" t="s">
        <v>2239</v>
      </c>
    </row>
    <row r="431" spans="1:8" x14ac:dyDescent="0.3">
      <c r="A431" s="6" t="s">
        <v>1025</v>
      </c>
      <c r="B431" s="2" t="s">
        <v>1247</v>
      </c>
      <c r="C431" s="2" t="s">
        <v>656</v>
      </c>
      <c r="E431" t="s">
        <v>2772</v>
      </c>
      <c r="G431" t="s">
        <v>1742</v>
      </c>
      <c r="H431" t="s">
        <v>2240</v>
      </c>
    </row>
    <row r="432" spans="1:8" x14ac:dyDescent="0.3">
      <c r="A432" s="6" t="s">
        <v>1026</v>
      </c>
      <c r="B432" s="2" t="s">
        <v>1248</v>
      </c>
      <c r="C432" s="2" t="s">
        <v>656</v>
      </c>
      <c r="E432" t="s">
        <v>2749</v>
      </c>
      <c r="G432" t="s">
        <v>1743</v>
      </c>
      <c r="H432" t="s">
        <v>2241</v>
      </c>
    </row>
    <row r="433" spans="1:8" x14ac:dyDescent="0.3">
      <c r="A433" s="6" t="s">
        <v>1027</v>
      </c>
      <c r="B433" s="2" t="s">
        <v>1249</v>
      </c>
      <c r="C433" s="2" t="s">
        <v>656</v>
      </c>
      <c r="E433" t="s">
        <v>2748</v>
      </c>
      <c r="G433" t="s">
        <v>1744</v>
      </c>
      <c r="H433" t="s">
        <v>2242</v>
      </c>
    </row>
    <row r="434" spans="1:8" x14ac:dyDescent="0.3">
      <c r="A434" s="6" t="s">
        <v>1028</v>
      </c>
      <c r="B434" s="2" t="s">
        <v>1250</v>
      </c>
      <c r="C434" s="2" t="s">
        <v>656</v>
      </c>
      <c r="E434" t="s">
        <v>2746</v>
      </c>
      <c r="G434" t="s">
        <v>1745</v>
      </c>
      <c r="H434" t="s">
        <v>2243</v>
      </c>
    </row>
    <row r="435" spans="1:8" x14ac:dyDescent="0.3">
      <c r="A435" s="6" t="s">
        <v>679</v>
      </c>
      <c r="B435" t="s">
        <v>1251</v>
      </c>
      <c r="C435" s="2" t="s">
        <v>656</v>
      </c>
      <c r="E435" t="s">
        <v>2773</v>
      </c>
      <c r="G435" t="s">
        <v>1746</v>
      </c>
      <c r="H435" t="s">
        <v>2244</v>
      </c>
    </row>
    <row r="436" spans="1:8" x14ac:dyDescent="0.3">
      <c r="A436" s="6" t="s">
        <v>680</v>
      </c>
      <c r="B436" t="s">
        <v>1252</v>
      </c>
      <c r="C436" s="2" t="s">
        <v>656</v>
      </c>
      <c r="E436" t="s">
        <v>2750</v>
      </c>
      <c r="G436" t="s">
        <v>1747</v>
      </c>
      <c r="H436" t="s">
        <v>2245</v>
      </c>
    </row>
    <row r="437" spans="1:8" x14ac:dyDescent="0.3">
      <c r="A437" s="6" t="s">
        <v>681</v>
      </c>
      <c r="B437" t="s">
        <v>1253</v>
      </c>
      <c r="C437" s="2" t="s">
        <v>656</v>
      </c>
      <c r="G437" t="s">
        <v>1748</v>
      </c>
      <c r="H437" t="s">
        <v>2246</v>
      </c>
    </row>
    <row r="438" spans="1:8" x14ac:dyDescent="0.3">
      <c r="A438" s="6" t="s">
        <v>682</v>
      </c>
      <c r="B438" t="s">
        <v>1254</v>
      </c>
      <c r="C438" s="2" t="s">
        <v>656</v>
      </c>
      <c r="G438" t="s">
        <v>1749</v>
      </c>
      <c r="H438" t="s">
        <v>2247</v>
      </c>
    </row>
    <row r="439" spans="1:8" x14ac:dyDescent="0.3">
      <c r="A439" s="6" t="s">
        <v>683</v>
      </c>
      <c r="B439" t="s">
        <v>1255</v>
      </c>
      <c r="C439" s="2" t="s">
        <v>656</v>
      </c>
      <c r="G439" t="s">
        <v>1750</v>
      </c>
      <c r="H439" t="s">
        <v>2248</v>
      </c>
    </row>
    <row r="440" spans="1:8" x14ac:dyDescent="0.3">
      <c r="A440" s="6" t="s">
        <v>684</v>
      </c>
      <c r="B440" t="s">
        <v>1256</v>
      </c>
      <c r="C440" s="2" t="s">
        <v>656</v>
      </c>
      <c r="G440" t="s">
        <v>1751</v>
      </c>
      <c r="H440" t="s">
        <v>2249</v>
      </c>
    </row>
    <row r="441" spans="1:8" x14ac:dyDescent="0.3">
      <c r="A441" s="6" t="s">
        <v>685</v>
      </c>
      <c r="B441" t="s">
        <v>1257</v>
      </c>
      <c r="C441" s="2" t="s">
        <v>656</v>
      </c>
      <c r="G441" t="s">
        <v>1752</v>
      </c>
      <c r="H441" t="s">
        <v>2250</v>
      </c>
    </row>
    <row r="442" spans="1:8" x14ac:dyDescent="0.3">
      <c r="A442" s="6" t="s">
        <v>686</v>
      </c>
      <c r="B442" t="s">
        <v>1258</v>
      </c>
      <c r="C442" s="2" t="s">
        <v>656</v>
      </c>
      <c r="E442" t="s">
        <v>2747</v>
      </c>
      <c r="G442" t="s">
        <v>1753</v>
      </c>
      <c r="H442" t="s">
        <v>2251</v>
      </c>
    </row>
    <row r="443" spans="1:8" x14ac:dyDescent="0.3">
      <c r="A443" s="6" t="s">
        <v>687</v>
      </c>
      <c r="B443" t="s">
        <v>1259</v>
      </c>
      <c r="C443" s="2" t="s">
        <v>656</v>
      </c>
      <c r="G443" t="s">
        <v>1754</v>
      </c>
      <c r="H443" t="s">
        <v>2252</v>
      </c>
    </row>
    <row r="444" spans="1:8" x14ac:dyDescent="0.3">
      <c r="A444" s="6" t="s">
        <v>688</v>
      </c>
      <c r="B444" t="s">
        <v>1260</v>
      </c>
      <c r="C444" s="2" t="s">
        <v>656</v>
      </c>
      <c r="G444" t="s">
        <v>1755</v>
      </c>
      <c r="H444" t="s">
        <v>2253</v>
      </c>
    </row>
    <row r="445" spans="1:8" x14ac:dyDescent="0.3">
      <c r="A445" s="6" t="s">
        <v>689</v>
      </c>
      <c r="B445" t="s">
        <v>1261</v>
      </c>
      <c r="C445" s="2" t="s">
        <v>656</v>
      </c>
      <c r="G445" t="s">
        <v>1756</v>
      </c>
      <c r="H445" t="s">
        <v>2254</v>
      </c>
    </row>
    <row r="446" spans="1:8" x14ac:dyDescent="0.3">
      <c r="A446" s="6" t="s">
        <v>690</v>
      </c>
      <c r="B446" t="s">
        <v>1262</v>
      </c>
      <c r="C446" s="2" t="s">
        <v>656</v>
      </c>
      <c r="G446" t="s">
        <v>1757</v>
      </c>
      <c r="H446" t="s">
        <v>2255</v>
      </c>
    </row>
    <row r="447" spans="1:8" x14ac:dyDescent="0.3">
      <c r="A447" s="6" t="s">
        <v>691</v>
      </c>
      <c r="B447" t="s">
        <v>1263</v>
      </c>
      <c r="C447" s="2" t="s">
        <v>656</v>
      </c>
      <c r="G447" t="s">
        <v>1758</v>
      </c>
      <c r="H447" t="s">
        <v>2256</v>
      </c>
    </row>
    <row r="448" spans="1:8" x14ac:dyDescent="0.3">
      <c r="A448" s="6" t="s">
        <v>692</v>
      </c>
      <c r="B448" t="s">
        <v>1264</v>
      </c>
      <c r="C448" s="2" t="s">
        <v>656</v>
      </c>
      <c r="E448" t="s">
        <v>2751</v>
      </c>
      <c r="G448" t="s">
        <v>1759</v>
      </c>
      <c r="H448" t="s">
        <v>2257</v>
      </c>
    </row>
    <row r="449" spans="1:8" x14ac:dyDescent="0.3">
      <c r="A449" s="6" t="s">
        <v>693</v>
      </c>
      <c r="B449" t="s">
        <v>1265</v>
      </c>
      <c r="C449" s="2" t="s">
        <v>656</v>
      </c>
      <c r="E449" t="s">
        <v>2752</v>
      </c>
      <c r="G449" t="s">
        <v>1760</v>
      </c>
      <c r="H449" t="s">
        <v>2258</v>
      </c>
    </row>
    <row r="450" spans="1:8" x14ac:dyDescent="0.3">
      <c r="A450" s="6" t="s">
        <v>694</v>
      </c>
      <c r="B450" t="s">
        <v>1266</v>
      </c>
      <c r="C450" s="2" t="s">
        <v>656</v>
      </c>
      <c r="E450" t="s">
        <v>2755</v>
      </c>
      <c r="F450" s="18" t="s">
        <v>2866</v>
      </c>
      <c r="G450" t="s">
        <v>1761</v>
      </c>
      <c r="H450" t="s">
        <v>2259</v>
      </c>
    </row>
    <row r="451" spans="1:8" x14ac:dyDescent="0.3">
      <c r="A451" s="6" t="s">
        <v>695</v>
      </c>
      <c r="B451" t="s">
        <v>1267</v>
      </c>
      <c r="C451" s="2" t="s">
        <v>656</v>
      </c>
      <c r="E451" t="s">
        <v>2754</v>
      </c>
      <c r="G451" t="s">
        <v>1762</v>
      </c>
      <c r="H451" t="s">
        <v>2260</v>
      </c>
    </row>
    <row r="452" spans="1:8" x14ac:dyDescent="0.3">
      <c r="A452" s="6" t="s">
        <v>696</v>
      </c>
      <c r="B452" t="s">
        <v>1268</v>
      </c>
      <c r="C452" s="2" t="s">
        <v>656</v>
      </c>
      <c r="G452" t="s">
        <v>1763</v>
      </c>
      <c r="H452" t="s">
        <v>2261</v>
      </c>
    </row>
    <row r="453" spans="1:8" x14ac:dyDescent="0.3">
      <c r="A453" s="6" t="s">
        <v>697</v>
      </c>
      <c r="B453" t="s">
        <v>1269</v>
      </c>
      <c r="C453" s="2" t="s">
        <v>656</v>
      </c>
      <c r="G453" t="s">
        <v>1764</v>
      </c>
      <c r="H453" t="s">
        <v>2262</v>
      </c>
    </row>
    <row r="454" spans="1:8" x14ac:dyDescent="0.3">
      <c r="A454" s="6" t="s">
        <v>698</v>
      </c>
      <c r="B454" t="s">
        <v>1270</v>
      </c>
      <c r="C454" s="2" t="s">
        <v>656</v>
      </c>
      <c r="G454" t="s">
        <v>1765</v>
      </c>
      <c r="H454" t="s">
        <v>2263</v>
      </c>
    </row>
    <row r="455" spans="1:8" x14ac:dyDescent="0.3">
      <c r="A455" s="6" t="s">
        <v>699</v>
      </c>
      <c r="B455" t="s">
        <v>1271</v>
      </c>
      <c r="C455" s="2" t="s">
        <v>656</v>
      </c>
      <c r="G455" t="s">
        <v>1766</v>
      </c>
      <c r="H455" t="s">
        <v>2264</v>
      </c>
    </row>
    <row r="456" spans="1:8" x14ac:dyDescent="0.3">
      <c r="A456" s="6" t="s">
        <v>700</v>
      </c>
      <c r="B456" t="s">
        <v>1272</v>
      </c>
      <c r="C456" s="2" t="s">
        <v>656</v>
      </c>
      <c r="E456" t="s">
        <v>2753</v>
      </c>
      <c r="F456" s="18" t="s">
        <v>2866</v>
      </c>
      <c r="G456" t="s">
        <v>1767</v>
      </c>
      <c r="H456" t="s">
        <v>2265</v>
      </c>
    </row>
    <row r="457" spans="1:8" x14ac:dyDescent="0.3">
      <c r="A457" s="6" t="s">
        <v>701</v>
      </c>
      <c r="B457" t="s">
        <v>1273</v>
      </c>
      <c r="C457" s="2" t="s">
        <v>656</v>
      </c>
      <c r="E457" t="s">
        <v>2756</v>
      </c>
      <c r="G457" t="s">
        <v>1768</v>
      </c>
      <c r="H457" t="s">
        <v>2266</v>
      </c>
    </row>
    <row r="458" spans="1:8" x14ac:dyDescent="0.3">
      <c r="A458" s="6" t="s">
        <v>702</v>
      </c>
      <c r="B458" t="s">
        <v>1274</v>
      </c>
      <c r="C458" s="2" t="s">
        <v>656</v>
      </c>
      <c r="E458" t="s">
        <v>2757</v>
      </c>
      <c r="F458" s="18" t="s">
        <v>2866</v>
      </c>
      <c r="G458" t="s">
        <v>1769</v>
      </c>
      <c r="H458" t="s">
        <v>2267</v>
      </c>
    </row>
    <row r="459" spans="1:8" x14ac:dyDescent="0.3">
      <c r="A459" s="6" t="s">
        <v>703</v>
      </c>
      <c r="B459" t="s">
        <v>1275</v>
      </c>
      <c r="C459" s="2" t="s">
        <v>656</v>
      </c>
      <c r="G459" t="s">
        <v>1770</v>
      </c>
      <c r="H459" t="s">
        <v>2268</v>
      </c>
    </row>
    <row r="460" spans="1:8" x14ac:dyDescent="0.3">
      <c r="A460" s="6" t="s">
        <v>704</v>
      </c>
      <c r="B460" t="s">
        <v>1276</v>
      </c>
      <c r="C460" s="2" t="s">
        <v>656</v>
      </c>
      <c r="G460" t="s">
        <v>1771</v>
      </c>
      <c r="H460" t="s">
        <v>2269</v>
      </c>
    </row>
    <row r="461" spans="1:8" x14ac:dyDescent="0.3">
      <c r="A461" s="6" t="s">
        <v>705</v>
      </c>
      <c r="B461" t="s">
        <v>1277</v>
      </c>
      <c r="C461" s="2" t="s">
        <v>656</v>
      </c>
      <c r="E461" t="s">
        <v>2900</v>
      </c>
      <c r="F461" s="18" t="s">
        <v>2866</v>
      </c>
      <c r="G461" t="s">
        <v>1772</v>
      </c>
      <c r="H461" t="s">
        <v>2270</v>
      </c>
    </row>
    <row r="462" spans="1:8" x14ac:dyDescent="0.3">
      <c r="A462" s="6" t="s">
        <v>706</v>
      </c>
      <c r="B462" t="s">
        <v>1278</v>
      </c>
      <c r="C462" s="2" t="s">
        <v>656</v>
      </c>
      <c r="G462" t="s">
        <v>1773</v>
      </c>
      <c r="H462" t="s">
        <v>2271</v>
      </c>
    </row>
    <row r="463" spans="1:8" x14ac:dyDescent="0.3">
      <c r="A463" s="6" t="s">
        <v>707</v>
      </c>
      <c r="B463" t="s">
        <v>1279</v>
      </c>
      <c r="C463" s="2" t="s">
        <v>656</v>
      </c>
      <c r="G463" t="s">
        <v>1774</v>
      </c>
      <c r="H463" t="s">
        <v>2272</v>
      </c>
    </row>
    <row r="464" spans="1:8" x14ac:dyDescent="0.3">
      <c r="A464" s="6" t="s">
        <v>708</v>
      </c>
      <c r="B464" t="s">
        <v>1280</v>
      </c>
      <c r="C464" s="2" t="s">
        <v>656</v>
      </c>
      <c r="E464" t="s">
        <v>2907</v>
      </c>
      <c r="F464" s="18" t="s">
        <v>2866</v>
      </c>
      <c r="G464" t="s">
        <v>1775</v>
      </c>
      <c r="H464" t="s">
        <v>2273</v>
      </c>
    </row>
    <row r="465" spans="1:8" x14ac:dyDescent="0.3">
      <c r="A465" s="6" t="s">
        <v>709</v>
      </c>
      <c r="B465" t="s">
        <v>1281</v>
      </c>
      <c r="C465" s="2" t="s">
        <v>656</v>
      </c>
      <c r="G465" t="s">
        <v>1776</v>
      </c>
      <c r="H465" t="s">
        <v>2274</v>
      </c>
    </row>
    <row r="466" spans="1:8" x14ac:dyDescent="0.3">
      <c r="A466" s="6" t="s">
        <v>710</v>
      </c>
      <c r="B466" t="s">
        <v>1282</v>
      </c>
      <c r="C466" s="2" t="s">
        <v>656</v>
      </c>
      <c r="G466" t="s">
        <v>1777</v>
      </c>
      <c r="H466" t="s">
        <v>2275</v>
      </c>
    </row>
    <row r="467" spans="1:8" x14ac:dyDescent="0.3">
      <c r="A467" s="6" t="s">
        <v>711</v>
      </c>
      <c r="B467" t="s">
        <v>1283</v>
      </c>
      <c r="C467" s="2" t="s">
        <v>656</v>
      </c>
      <c r="G467" t="s">
        <v>1778</v>
      </c>
      <c r="H467" t="s">
        <v>2276</v>
      </c>
    </row>
    <row r="468" spans="1:8" x14ac:dyDescent="0.3">
      <c r="A468" s="6" t="s">
        <v>712</v>
      </c>
      <c r="B468" t="s">
        <v>1284</v>
      </c>
      <c r="C468" s="2" t="s">
        <v>656</v>
      </c>
      <c r="E468" t="s">
        <v>2758</v>
      </c>
      <c r="F468" s="18" t="s">
        <v>2866</v>
      </c>
      <c r="G468" t="s">
        <v>1779</v>
      </c>
      <c r="H468" t="s">
        <v>2277</v>
      </c>
    </row>
    <row r="469" spans="1:8" x14ac:dyDescent="0.3">
      <c r="A469" s="6" t="s">
        <v>713</v>
      </c>
      <c r="B469" t="s">
        <v>1285</v>
      </c>
      <c r="C469" s="2" t="s">
        <v>656</v>
      </c>
      <c r="E469" t="s">
        <v>2908</v>
      </c>
      <c r="F469" s="18" t="s">
        <v>2866</v>
      </c>
      <c r="G469" t="s">
        <v>1780</v>
      </c>
      <c r="H469" t="s">
        <v>2278</v>
      </c>
    </row>
    <row r="470" spans="1:8" x14ac:dyDescent="0.3">
      <c r="A470" s="6" t="s">
        <v>714</v>
      </c>
      <c r="B470" t="s">
        <v>1286</v>
      </c>
      <c r="C470" s="2" t="s">
        <v>656</v>
      </c>
      <c r="E470" t="s">
        <v>2759</v>
      </c>
      <c r="G470" t="s">
        <v>1781</v>
      </c>
      <c r="H470" t="s">
        <v>2279</v>
      </c>
    </row>
    <row r="471" spans="1:8" x14ac:dyDescent="0.3">
      <c r="A471" s="6" t="s">
        <v>715</v>
      </c>
      <c r="B471" t="s">
        <v>1287</v>
      </c>
      <c r="C471" s="2" t="s">
        <v>656</v>
      </c>
      <c r="E471" t="s">
        <v>2760</v>
      </c>
      <c r="F471" s="18" t="s">
        <v>2866</v>
      </c>
      <c r="G471" t="s">
        <v>1782</v>
      </c>
      <c r="H471" t="s">
        <v>2280</v>
      </c>
    </row>
    <row r="472" spans="1:8" x14ac:dyDescent="0.3">
      <c r="A472" s="6" t="s">
        <v>716</v>
      </c>
      <c r="B472" t="s">
        <v>1288</v>
      </c>
      <c r="C472" s="2" t="s">
        <v>656</v>
      </c>
      <c r="E472" t="s">
        <v>2909</v>
      </c>
      <c r="F472" s="18" t="s">
        <v>2866</v>
      </c>
      <c r="G472" t="s">
        <v>1783</v>
      </c>
      <c r="H472" t="s">
        <v>2281</v>
      </c>
    </row>
    <row r="473" spans="1:8" x14ac:dyDescent="0.3">
      <c r="A473" s="6" t="s">
        <v>717</v>
      </c>
      <c r="B473" t="s">
        <v>1289</v>
      </c>
      <c r="C473" s="2" t="s">
        <v>656</v>
      </c>
      <c r="G473" t="s">
        <v>1784</v>
      </c>
      <c r="H473" t="s">
        <v>2282</v>
      </c>
    </row>
    <row r="474" spans="1:8" x14ac:dyDescent="0.3">
      <c r="A474" s="6" t="s">
        <v>718</v>
      </c>
      <c r="B474" t="s">
        <v>1290</v>
      </c>
      <c r="C474" s="2" t="s">
        <v>656</v>
      </c>
      <c r="G474" t="s">
        <v>1785</v>
      </c>
      <c r="H474" t="s">
        <v>2283</v>
      </c>
    </row>
    <row r="475" spans="1:8" x14ac:dyDescent="0.3">
      <c r="A475" s="6" t="s">
        <v>719</v>
      </c>
      <c r="B475" t="s">
        <v>1291</v>
      </c>
      <c r="C475" s="2" t="s">
        <v>656</v>
      </c>
      <c r="G475" t="s">
        <v>1786</v>
      </c>
      <c r="H475" t="s">
        <v>2284</v>
      </c>
    </row>
    <row r="476" spans="1:8" x14ac:dyDescent="0.3">
      <c r="A476" s="6" t="s">
        <v>720</v>
      </c>
      <c r="B476" t="s">
        <v>1292</v>
      </c>
      <c r="C476" s="2" t="s">
        <v>656</v>
      </c>
      <c r="G476" t="s">
        <v>1787</v>
      </c>
      <c r="H476" t="s">
        <v>2285</v>
      </c>
    </row>
    <row r="477" spans="1:8" x14ac:dyDescent="0.3">
      <c r="A477" s="6" t="s">
        <v>721</v>
      </c>
      <c r="B477" t="s">
        <v>1293</v>
      </c>
      <c r="C477" s="2" t="s">
        <v>656</v>
      </c>
      <c r="G477" t="s">
        <v>1788</v>
      </c>
      <c r="H477" t="s">
        <v>2286</v>
      </c>
    </row>
    <row r="478" spans="1:8" x14ac:dyDescent="0.3">
      <c r="A478" s="6" t="s">
        <v>722</v>
      </c>
      <c r="B478" t="s">
        <v>1294</v>
      </c>
      <c r="C478" s="2" t="s">
        <v>656</v>
      </c>
      <c r="E478" t="s">
        <v>2762</v>
      </c>
      <c r="G478" t="s">
        <v>1789</v>
      </c>
      <c r="H478" t="s">
        <v>2287</v>
      </c>
    </row>
    <row r="479" spans="1:8" x14ac:dyDescent="0.3">
      <c r="A479" s="6" t="s">
        <v>723</v>
      </c>
      <c r="B479" t="s">
        <v>1295</v>
      </c>
      <c r="C479" s="2" t="s">
        <v>656</v>
      </c>
      <c r="E479" t="s">
        <v>2910</v>
      </c>
      <c r="F479" s="18" t="s">
        <v>2866</v>
      </c>
      <c r="G479" t="s">
        <v>1790</v>
      </c>
      <c r="H479" t="s">
        <v>2288</v>
      </c>
    </row>
    <row r="480" spans="1:8" x14ac:dyDescent="0.3">
      <c r="A480" s="11" t="s">
        <v>724</v>
      </c>
      <c r="B480" t="s">
        <v>1791</v>
      </c>
      <c r="C480" s="2" t="s">
        <v>656</v>
      </c>
      <c r="E480" s="7" t="s">
        <v>2763</v>
      </c>
      <c r="F480" s="18" t="s">
        <v>2866</v>
      </c>
      <c r="G480" t="s">
        <v>1793</v>
      </c>
      <c r="H480" t="s">
        <v>2289</v>
      </c>
    </row>
    <row r="481" spans="1:8" x14ac:dyDescent="0.3">
      <c r="A481" s="6" t="s">
        <v>725</v>
      </c>
      <c r="B481" t="s">
        <v>1296</v>
      </c>
      <c r="C481" s="2" t="s">
        <v>656</v>
      </c>
      <c r="G481" t="s">
        <v>1794</v>
      </c>
      <c r="H481" t="s">
        <v>2290</v>
      </c>
    </row>
    <row r="482" spans="1:8" x14ac:dyDescent="0.3">
      <c r="A482" s="6" t="s">
        <v>726</v>
      </c>
      <c r="B482" t="s">
        <v>1297</v>
      </c>
      <c r="C482" s="2" t="s">
        <v>656</v>
      </c>
      <c r="G482" t="s">
        <v>1795</v>
      </c>
      <c r="H482" t="s">
        <v>2291</v>
      </c>
    </row>
    <row r="483" spans="1:8" x14ac:dyDescent="0.3">
      <c r="A483" s="6" t="s">
        <v>727</v>
      </c>
      <c r="B483" t="s">
        <v>1298</v>
      </c>
      <c r="C483" s="2" t="s">
        <v>656</v>
      </c>
      <c r="E483" t="s">
        <v>2764</v>
      </c>
      <c r="G483" t="s">
        <v>1796</v>
      </c>
      <c r="H483" t="s">
        <v>2292</v>
      </c>
    </row>
    <row r="484" spans="1:8" x14ac:dyDescent="0.3">
      <c r="A484" s="6" t="s">
        <v>728</v>
      </c>
      <c r="B484" t="s">
        <v>1299</v>
      </c>
      <c r="C484" s="2" t="s">
        <v>656</v>
      </c>
      <c r="G484" t="s">
        <v>1797</v>
      </c>
      <c r="H484" t="s">
        <v>2293</v>
      </c>
    </row>
    <row r="485" spans="1:8" x14ac:dyDescent="0.3">
      <c r="A485" s="6" t="s">
        <v>729</v>
      </c>
      <c r="B485" t="s">
        <v>1300</v>
      </c>
      <c r="C485" s="2" t="s">
        <v>656</v>
      </c>
      <c r="E485" t="s">
        <v>2766</v>
      </c>
      <c r="F485" s="18" t="s">
        <v>2866</v>
      </c>
      <c r="G485" t="s">
        <v>1798</v>
      </c>
      <c r="H485" t="s">
        <v>2294</v>
      </c>
    </row>
    <row r="486" spans="1:8" x14ac:dyDescent="0.3">
      <c r="A486" s="6" t="s">
        <v>730</v>
      </c>
      <c r="B486" t="s">
        <v>1301</v>
      </c>
      <c r="C486" s="2" t="s">
        <v>656</v>
      </c>
      <c r="E486" t="s">
        <v>2768</v>
      </c>
      <c r="F486" s="18" t="s">
        <v>2866</v>
      </c>
      <c r="G486" t="s">
        <v>1799</v>
      </c>
      <c r="H486" t="s">
        <v>2295</v>
      </c>
    </row>
    <row r="487" spans="1:8" x14ac:dyDescent="0.3">
      <c r="A487" s="6" t="s">
        <v>731</v>
      </c>
      <c r="B487" t="s">
        <v>1302</v>
      </c>
      <c r="C487" s="2" t="s">
        <v>656</v>
      </c>
      <c r="G487" t="s">
        <v>1800</v>
      </c>
      <c r="H487" t="s">
        <v>2296</v>
      </c>
    </row>
    <row r="488" spans="1:8" x14ac:dyDescent="0.3">
      <c r="A488" s="6" t="s">
        <v>732</v>
      </c>
      <c r="B488" t="s">
        <v>1303</v>
      </c>
      <c r="C488" s="2" t="s">
        <v>656</v>
      </c>
      <c r="E488" t="s">
        <v>2767</v>
      </c>
      <c r="G488" t="s">
        <v>1801</v>
      </c>
      <c r="H488" t="s">
        <v>2297</v>
      </c>
    </row>
    <row r="489" spans="1:8" x14ac:dyDescent="0.3">
      <c r="A489" s="6" t="s">
        <v>733</v>
      </c>
      <c r="B489" t="s">
        <v>1304</v>
      </c>
      <c r="C489" s="2" t="s">
        <v>656</v>
      </c>
      <c r="E489" t="s">
        <v>2769</v>
      </c>
      <c r="G489" t="s">
        <v>1802</v>
      </c>
      <c r="H489" t="s">
        <v>2298</v>
      </c>
    </row>
    <row r="490" spans="1:8" x14ac:dyDescent="0.3">
      <c r="A490" s="6" t="s">
        <v>734</v>
      </c>
      <c r="B490" t="s">
        <v>1305</v>
      </c>
      <c r="C490" s="2" t="s">
        <v>656</v>
      </c>
      <c r="G490" t="s">
        <v>1803</v>
      </c>
      <c r="H490" t="s">
        <v>2299</v>
      </c>
    </row>
    <row r="491" spans="1:8" x14ac:dyDescent="0.3">
      <c r="A491" s="6" t="s">
        <v>735</v>
      </c>
      <c r="B491" t="s">
        <v>1306</v>
      </c>
      <c r="C491" s="2" t="s">
        <v>656</v>
      </c>
      <c r="E491" s="1" t="s">
        <v>2905</v>
      </c>
      <c r="F491" s="18" t="s">
        <v>2866</v>
      </c>
      <c r="G491" t="s">
        <v>1804</v>
      </c>
      <c r="H491" t="s">
        <v>2300</v>
      </c>
    </row>
    <row r="492" spans="1:8" x14ac:dyDescent="0.3">
      <c r="A492" s="6" t="s">
        <v>736</v>
      </c>
      <c r="B492" t="s">
        <v>1307</v>
      </c>
      <c r="C492" s="2" t="s">
        <v>656</v>
      </c>
      <c r="E492" s="1" t="s">
        <v>2771</v>
      </c>
      <c r="F492" s="18" t="s">
        <v>2866</v>
      </c>
      <c r="G492" t="s">
        <v>1805</v>
      </c>
      <c r="H492" t="s">
        <v>2301</v>
      </c>
    </row>
    <row r="493" spans="1:8" x14ac:dyDescent="0.3">
      <c r="A493" s="6" t="s">
        <v>737</v>
      </c>
      <c r="B493" t="s">
        <v>1308</v>
      </c>
      <c r="C493" s="2" t="s">
        <v>656</v>
      </c>
      <c r="E493" s="1" t="s">
        <v>2770</v>
      </c>
      <c r="F493" s="1"/>
      <c r="G493" t="s">
        <v>1806</v>
      </c>
      <c r="H493" t="s">
        <v>2302</v>
      </c>
    </row>
    <row r="494" spans="1:8" x14ac:dyDescent="0.3">
      <c r="A494" s="6" t="s">
        <v>738</v>
      </c>
      <c r="B494" t="s">
        <v>1309</v>
      </c>
      <c r="C494" s="2" t="s">
        <v>656</v>
      </c>
      <c r="E494" s="1" t="s">
        <v>2765</v>
      </c>
      <c r="F494" s="1"/>
      <c r="G494" t="s">
        <v>1807</v>
      </c>
      <c r="H494" t="s">
        <v>2303</v>
      </c>
    </row>
    <row r="495" spans="1:8" x14ac:dyDescent="0.3">
      <c r="A495" s="6" t="s">
        <v>739</v>
      </c>
      <c r="B495" t="s">
        <v>1310</v>
      </c>
      <c r="C495" s="2" t="s">
        <v>656</v>
      </c>
      <c r="E495" s="7" t="s">
        <v>805</v>
      </c>
      <c r="F495" s="7"/>
      <c r="G495" t="s">
        <v>1808</v>
      </c>
      <c r="H495" t="s">
        <v>2304</v>
      </c>
    </row>
    <row r="496" spans="1:8" x14ac:dyDescent="0.3">
      <c r="A496" s="6" t="s">
        <v>740</v>
      </c>
      <c r="B496" t="s">
        <v>1311</v>
      </c>
      <c r="C496" s="2" t="s">
        <v>656</v>
      </c>
      <c r="E496" s="7" t="s">
        <v>806</v>
      </c>
      <c r="F496" s="7"/>
      <c r="G496" t="s">
        <v>1809</v>
      </c>
      <c r="H496" t="s">
        <v>2305</v>
      </c>
    </row>
    <row r="497" spans="1:8" x14ac:dyDescent="0.3">
      <c r="A497" s="6" t="s">
        <v>741</v>
      </c>
      <c r="B497" t="s">
        <v>1312</v>
      </c>
      <c r="C497" s="2" t="s">
        <v>656</v>
      </c>
      <c r="E497" s="1" t="s">
        <v>804</v>
      </c>
      <c r="F497" s="1"/>
      <c r="G497" t="s">
        <v>1810</v>
      </c>
      <c r="H497" t="s">
        <v>2306</v>
      </c>
    </row>
    <row r="498" spans="1:8" x14ac:dyDescent="0.3">
      <c r="A498" s="6" t="s">
        <v>2960</v>
      </c>
      <c r="B498" t="s">
        <v>2962</v>
      </c>
      <c r="C498" t="s">
        <v>2920</v>
      </c>
      <c r="E498" s="1" t="s">
        <v>2964</v>
      </c>
      <c r="F498" s="1"/>
    </row>
    <row r="499" spans="1:8" x14ac:dyDescent="0.3">
      <c r="A499" s="6" t="s">
        <v>2961</v>
      </c>
      <c r="B499" t="s">
        <v>2963</v>
      </c>
      <c r="C499" t="s">
        <v>2920</v>
      </c>
      <c r="E499" s="1" t="s">
        <v>2965</v>
      </c>
      <c r="F499" s="1"/>
    </row>
    <row r="500" spans="1:8" x14ac:dyDescent="0.3">
      <c r="A500" s="6" t="s">
        <v>2956</v>
      </c>
      <c r="B500" t="s">
        <v>2955</v>
      </c>
      <c r="C500" t="s">
        <v>2920</v>
      </c>
      <c r="E500" s="1" t="s">
        <v>2966</v>
      </c>
      <c r="F500" s="1"/>
    </row>
    <row r="501" spans="1:8" x14ac:dyDescent="0.3">
      <c r="A501" s="6" t="s">
        <v>2915</v>
      </c>
      <c r="B501" t="s">
        <v>2949</v>
      </c>
      <c r="C501" t="s">
        <v>2920</v>
      </c>
      <c r="D501"/>
      <c r="E501" t="s">
        <v>2921</v>
      </c>
    </row>
    <row r="502" spans="1:8" x14ac:dyDescent="0.3">
      <c r="A502" s="6" t="s">
        <v>2916</v>
      </c>
      <c r="B502" t="s">
        <v>2950</v>
      </c>
      <c r="C502" t="s">
        <v>2920</v>
      </c>
      <c r="D502"/>
      <c r="E502" t="s">
        <v>2922</v>
      </c>
    </row>
    <row r="503" spans="1:8" x14ac:dyDescent="0.3">
      <c r="A503" s="6" t="s">
        <v>2917</v>
      </c>
      <c r="B503" t="s">
        <v>2951</v>
      </c>
      <c r="C503" t="s">
        <v>2920</v>
      </c>
      <c r="D503"/>
      <c r="E503" t="s">
        <v>2923</v>
      </c>
    </row>
    <row r="504" spans="1:8" x14ac:dyDescent="0.3">
      <c r="A504" s="6" t="s">
        <v>2918</v>
      </c>
      <c r="B504" t="s">
        <v>2952</v>
      </c>
      <c r="C504" t="s">
        <v>2920</v>
      </c>
      <c r="D504"/>
      <c r="E504" t="s">
        <v>2924</v>
      </c>
    </row>
    <row r="505" spans="1:8" x14ac:dyDescent="0.3">
      <c r="A505" s="6" t="s">
        <v>2919</v>
      </c>
      <c r="B505" t="s">
        <v>2953</v>
      </c>
      <c r="C505" t="s">
        <v>2920</v>
      </c>
      <c r="D505"/>
      <c r="E505" t="s">
        <v>2925</v>
      </c>
    </row>
    <row r="506" spans="1:8" x14ac:dyDescent="0.3">
      <c r="A506" s="6" t="s">
        <v>2926</v>
      </c>
      <c r="B506" t="s">
        <v>2954</v>
      </c>
      <c r="C506" t="s">
        <v>2920</v>
      </c>
      <c r="D506"/>
      <c r="E506" t="s">
        <v>2927</v>
      </c>
    </row>
    <row r="507" spans="1:8" x14ac:dyDescent="0.3">
      <c r="A507" s="6" t="s">
        <v>2928</v>
      </c>
      <c r="B507" t="s">
        <v>2948</v>
      </c>
      <c r="C507" t="s">
        <v>2920</v>
      </c>
      <c r="D507"/>
      <c r="E507" t="s">
        <v>2929</v>
      </c>
    </row>
    <row r="508" spans="1:8" x14ac:dyDescent="0.3">
      <c r="A508" s="6" t="s">
        <v>2930</v>
      </c>
      <c r="B508" t="s">
        <v>2941</v>
      </c>
      <c r="C508" t="s">
        <v>2920</v>
      </c>
      <c r="D508"/>
      <c r="E508" t="s">
        <v>2931</v>
      </c>
    </row>
    <row r="509" spans="1:8" x14ac:dyDescent="0.3">
      <c r="A509" s="6" t="s">
        <v>2932</v>
      </c>
      <c r="B509" s="1" t="s">
        <v>2942</v>
      </c>
      <c r="C509" t="s">
        <v>2920</v>
      </c>
      <c r="D509"/>
      <c r="E509" t="s">
        <v>2933</v>
      </c>
    </row>
    <row r="510" spans="1:8" x14ac:dyDescent="0.3">
      <c r="A510" s="6" t="s">
        <v>2934</v>
      </c>
      <c r="B510" t="s">
        <v>2943</v>
      </c>
      <c r="C510" t="s">
        <v>2920</v>
      </c>
      <c r="D510"/>
      <c r="E510" t="s">
        <v>2935</v>
      </c>
    </row>
    <row r="511" spans="1:8" x14ac:dyDescent="0.3">
      <c r="A511" s="6" t="s">
        <v>2936</v>
      </c>
      <c r="B511" t="s">
        <v>2944</v>
      </c>
      <c r="C511" t="s">
        <v>2920</v>
      </c>
      <c r="D511"/>
      <c r="E511" t="s">
        <v>2937</v>
      </c>
    </row>
    <row r="512" spans="1:8" x14ac:dyDescent="0.3">
      <c r="A512" s="6" t="s">
        <v>2940</v>
      </c>
      <c r="B512" t="s">
        <v>2946</v>
      </c>
      <c r="C512" t="s">
        <v>2920</v>
      </c>
      <c r="D512"/>
      <c r="E512" t="s">
        <v>2945</v>
      </c>
    </row>
    <row r="513" spans="1:5" x14ac:dyDescent="0.3">
      <c r="A513" s="6" t="s">
        <v>2958</v>
      </c>
      <c r="B513" t="s">
        <v>2957</v>
      </c>
      <c r="C513" t="s">
        <v>2920</v>
      </c>
      <c r="D513"/>
      <c r="E513" t="s">
        <v>2959</v>
      </c>
    </row>
    <row r="514" spans="1:5" x14ac:dyDescent="0.3">
      <c r="A514" s="6" t="s">
        <v>2938</v>
      </c>
      <c r="B514" t="s">
        <v>2947</v>
      </c>
      <c r="C514" t="s">
        <v>2920</v>
      </c>
      <c r="E514" t="s">
        <v>2939</v>
      </c>
    </row>
  </sheetData>
  <hyperlinks>
    <hyperlink ref="F410" r:id="rId1"/>
    <hyperlink ref="F408" r:id="rId2"/>
    <hyperlink ref="F411" r:id="rId3"/>
    <hyperlink ref="F409" r:id="rId4"/>
    <hyperlink ref="F367" r:id="rId5"/>
    <hyperlink ref="F365" r:id="rId6"/>
    <hyperlink ref="F366" r:id="rId7"/>
    <hyperlink ref="F312" r:id="rId8"/>
    <hyperlink ref="F406" r:id="rId9"/>
    <hyperlink ref="F407" r:id="rId10"/>
    <hyperlink ref="F415" r:id="rId11"/>
    <hyperlink ref="F412" r:id="rId12"/>
    <hyperlink ref="F413" r:id="rId13"/>
    <hyperlink ref="F416" r:id="rId14"/>
    <hyperlink ref="F417" r:id="rId15"/>
    <hyperlink ref="F421" r:id="rId16"/>
    <hyperlink ref="F259" r:id="rId17"/>
    <hyperlink ref="F3" r:id="rId18"/>
    <hyperlink ref="F2" r:id="rId19"/>
    <hyperlink ref="F4:F211" r:id="rId20" display="Wikipedia"/>
    <hyperlink ref="F213" r:id="rId21"/>
    <hyperlink ref="F214:F235" r:id="rId22" display="AccuStandard"/>
    <hyperlink ref="F237:F250" r:id="rId23" display="AccuStandard"/>
    <hyperlink ref="F253:F256" r:id="rId24" display="AccuStandard"/>
    <hyperlink ref="F258" r:id="rId25"/>
    <hyperlink ref="F260:F265" r:id="rId26" display="AccuStandard"/>
    <hyperlink ref="F267" r:id="rId27"/>
    <hyperlink ref="F272:F275" r:id="rId28" display="AccuStandard"/>
    <hyperlink ref="F278:F293" r:id="rId29" display="AccuStandard"/>
    <hyperlink ref="F295" r:id="rId30"/>
    <hyperlink ref="F297" r:id="rId31"/>
    <hyperlink ref="F298" r:id="rId32"/>
    <hyperlink ref="F299" r:id="rId33"/>
    <hyperlink ref="F300" r:id="rId34"/>
    <hyperlink ref="F302" r:id="rId35"/>
    <hyperlink ref="F304" r:id="rId36"/>
    <hyperlink ref="F306" r:id="rId37"/>
    <hyperlink ref="F309" r:id="rId38"/>
    <hyperlink ref="F310" r:id="rId39"/>
    <hyperlink ref="F311" r:id="rId40"/>
    <hyperlink ref="F313" r:id="rId41"/>
    <hyperlink ref="F314" r:id="rId42"/>
    <hyperlink ref="F315" r:id="rId43"/>
    <hyperlink ref="F316" r:id="rId44"/>
    <hyperlink ref="F317" r:id="rId45"/>
    <hyperlink ref="F318" r:id="rId46"/>
    <hyperlink ref="F320" r:id="rId47"/>
    <hyperlink ref="F321" r:id="rId48"/>
    <hyperlink ref="F323" r:id="rId49"/>
    <hyperlink ref="F326" r:id="rId50"/>
    <hyperlink ref="F327" r:id="rId51"/>
    <hyperlink ref="F328" r:id="rId52"/>
    <hyperlink ref="F330" r:id="rId53"/>
    <hyperlink ref="F331" r:id="rId54"/>
    <hyperlink ref="F338" r:id="rId55"/>
    <hyperlink ref="F350" r:id="rId56"/>
    <hyperlink ref="F352" r:id="rId57"/>
    <hyperlink ref="F378" r:id="rId58"/>
    <hyperlink ref="F393" r:id="rId59"/>
    <hyperlink ref="F395" r:id="rId60"/>
    <hyperlink ref="F382" r:id="rId61"/>
    <hyperlink ref="F402" r:id="rId62"/>
    <hyperlink ref="F418" r:id="rId63"/>
    <hyperlink ref="F419" r:id="rId64"/>
    <hyperlink ref="F461" r:id="rId65"/>
    <hyperlink ref="F458" r:id="rId66"/>
    <hyperlink ref="F468" r:id="rId67"/>
    <hyperlink ref="F471" r:id="rId68"/>
    <hyperlink ref="F480" r:id="rId69"/>
    <hyperlink ref="F485" r:id="rId70"/>
    <hyperlink ref="F486" r:id="rId71"/>
    <hyperlink ref="F491" r:id="rId72"/>
    <hyperlink ref="F492" r:id="rId73"/>
    <hyperlink ref="F429" r:id="rId74"/>
    <hyperlink ref="F456" r:id="rId75"/>
    <hyperlink ref="F450" r:id="rId76"/>
    <hyperlink ref="F464" r:id="rId77"/>
    <hyperlink ref="F469" r:id="rId78"/>
    <hyperlink ref="F472" r:id="rId79"/>
    <hyperlink ref="F479" r:id="rId80"/>
  </hyperlinks>
  <pageMargins left="0.7" right="0.7" top="0.75" bottom="0.75" header="0.3" footer="0.3"/>
  <pageSetup orientation="portrait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9"/>
  <sheetViews>
    <sheetView zoomScaleNormal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4" x14ac:dyDescent="0.3"/>
  <cols>
    <col min="1" max="1" width="7.33203125" style="14" bestFit="1" customWidth="1"/>
    <col min="2" max="2" width="33" style="1" bestFit="1" customWidth="1"/>
    <col min="3" max="3" width="10.44140625" style="1" bestFit="1" customWidth="1"/>
    <col min="4" max="4" width="9.6640625" style="1" customWidth="1"/>
    <col min="6" max="6" width="30.6640625" customWidth="1"/>
    <col min="7" max="7" width="9.88671875" bestFit="1" customWidth="1"/>
    <col min="10" max="10" width="26.44140625" bestFit="1" customWidth="1"/>
    <col min="11" max="11" width="9.88671875" bestFit="1" customWidth="1"/>
    <col min="12" max="12" width="7" bestFit="1" customWidth="1"/>
    <col min="13" max="13" width="10.33203125" customWidth="1"/>
    <col min="14" max="14" width="11.33203125" customWidth="1"/>
    <col min="15" max="15" width="9.109375" customWidth="1"/>
    <col min="16" max="16" width="7" bestFit="1" customWidth="1"/>
    <col min="17" max="17" width="12" bestFit="1" customWidth="1"/>
    <col min="18" max="18" width="31.5546875" bestFit="1" customWidth="1"/>
    <col min="19" max="19" width="10.5546875" customWidth="1"/>
    <col min="20" max="20" width="11.33203125" customWidth="1"/>
    <col min="21" max="21" width="13.33203125" customWidth="1"/>
    <col min="22" max="22" width="12" bestFit="1" customWidth="1"/>
    <col min="23" max="23" width="9.109375" customWidth="1"/>
    <col min="24" max="24" width="7" bestFit="1" customWidth="1"/>
    <col min="25" max="25" width="12" bestFit="1" customWidth="1"/>
    <col min="26" max="26" width="30.6640625" bestFit="1" customWidth="1"/>
    <col min="27" max="27" width="12" bestFit="1" customWidth="1"/>
  </cols>
  <sheetData>
    <row r="1" spans="1:27" x14ac:dyDescent="0.3">
      <c r="A1" s="9" t="s">
        <v>3014</v>
      </c>
      <c r="H1">
        <v>273.14999999999998</v>
      </c>
      <c r="M1" s="16" t="s">
        <v>3020</v>
      </c>
      <c r="N1">
        <f>1/133.32237</f>
        <v>7.5006167382112993E-3</v>
      </c>
      <c r="P1" s="16" t="s">
        <v>2893</v>
      </c>
      <c r="Q1">
        <v>8.3144597999999998</v>
      </c>
      <c r="R1" s="6" t="s">
        <v>2894</v>
      </c>
      <c r="S1" s="6"/>
      <c r="V1" s="16" t="s">
        <v>3003</v>
      </c>
      <c r="W1">
        <v>273.14999999999998</v>
      </c>
      <c r="X1" s="16" t="s">
        <v>2893</v>
      </c>
      <c r="Y1">
        <v>8.3144597999999998</v>
      </c>
      <c r="Z1" s="6" t="s">
        <v>2894</v>
      </c>
    </row>
    <row r="2" spans="1:27" ht="14.4" customHeight="1" x14ac:dyDescent="0.3">
      <c r="A2" s="39"/>
      <c r="B2" s="40"/>
      <c r="C2" s="40"/>
      <c r="D2" s="41"/>
      <c r="E2" s="419" t="s">
        <v>2311</v>
      </c>
      <c r="F2" s="419"/>
      <c r="G2" s="420"/>
      <c r="H2" s="421" t="s">
        <v>3002</v>
      </c>
      <c r="I2" s="421"/>
      <c r="J2" s="421"/>
      <c r="K2" s="422"/>
      <c r="L2" s="415" t="s">
        <v>2888</v>
      </c>
      <c r="M2" s="415"/>
      <c r="N2" s="415"/>
      <c r="O2" s="415"/>
      <c r="P2" s="415"/>
      <c r="Q2" s="415"/>
      <c r="R2" s="415"/>
      <c r="S2" s="416"/>
      <c r="T2" s="417"/>
      <c r="U2" s="417"/>
      <c r="V2" s="417"/>
      <c r="W2" s="417"/>
      <c r="X2" s="417"/>
      <c r="Y2" s="417"/>
      <c r="Z2" s="417"/>
      <c r="AA2" s="418"/>
    </row>
    <row r="3" spans="1:27" ht="29.4" thickBot="1" x14ac:dyDescent="0.35">
      <c r="A3" s="42"/>
      <c r="B3" s="43" t="s">
        <v>420</v>
      </c>
      <c r="C3" s="43" t="s">
        <v>421</v>
      </c>
      <c r="D3" s="44" t="s">
        <v>2313</v>
      </c>
      <c r="E3" s="30" t="s">
        <v>3013</v>
      </c>
      <c r="F3" s="30" t="s">
        <v>2882</v>
      </c>
      <c r="G3" s="363" t="s">
        <v>2744</v>
      </c>
      <c r="H3" s="29" t="s">
        <v>3021</v>
      </c>
      <c r="I3" s="29" t="s">
        <v>3022</v>
      </c>
      <c r="J3" s="30" t="s">
        <v>2882</v>
      </c>
      <c r="K3" s="364" t="s">
        <v>2744</v>
      </c>
      <c r="L3" s="31" t="s">
        <v>2874</v>
      </c>
      <c r="M3" s="32" t="s">
        <v>3017</v>
      </c>
      <c r="N3" s="32" t="s">
        <v>3019</v>
      </c>
      <c r="O3" s="33" t="s">
        <v>2891</v>
      </c>
      <c r="P3" s="95" t="s">
        <v>3007</v>
      </c>
      <c r="Q3" s="94" t="s">
        <v>3023</v>
      </c>
      <c r="R3" s="30" t="s">
        <v>2882</v>
      </c>
      <c r="S3" s="34" t="s">
        <v>2744</v>
      </c>
      <c r="T3" s="32" t="s">
        <v>3032</v>
      </c>
      <c r="U3" s="32" t="s">
        <v>3031</v>
      </c>
      <c r="V3" s="32" t="s">
        <v>2892</v>
      </c>
      <c r="W3" s="33" t="s">
        <v>2891</v>
      </c>
      <c r="X3" s="95" t="s">
        <v>3007</v>
      </c>
      <c r="Y3" s="94" t="s">
        <v>3029</v>
      </c>
      <c r="Z3" s="33" t="s">
        <v>2882</v>
      </c>
      <c r="AA3" s="35" t="s">
        <v>2744</v>
      </c>
    </row>
    <row r="4" spans="1:27" x14ac:dyDescent="0.3">
      <c r="A4" s="39"/>
      <c r="B4" s="25" t="s">
        <v>0</v>
      </c>
      <c r="C4" s="45" t="s">
        <v>1</v>
      </c>
      <c r="D4" s="46">
        <v>154.21</v>
      </c>
      <c r="E4" s="66">
        <v>4.01</v>
      </c>
      <c r="F4" s="67" t="s">
        <v>2997</v>
      </c>
      <c r="G4" s="61">
        <f>E6</f>
        <v>4.008</v>
      </c>
      <c r="H4" s="60"/>
      <c r="I4" s="60">
        <v>69</v>
      </c>
      <c r="J4" s="67" t="s">
        <v>2309</v>
      </c>
      <c r="K4" s="61">
        <f>I6</f>
        <v>69.850000000000023</v>
      </c>
      <c r="L4" s="60">
        <v>25</v>
      </c>
      <c r="M4" s="60"/>
      <c r="N4" s="60"/>
      <c r="O4" s="60"/>
      <c r="P4" s="60"/>
      <c r="Q4" s="60">
        <v>8.9300000000000004E-3</v>
      </c>
      <c r="R4" s="67" t="s">
        <v>2310</v>
      </c>
      <c r="S4" s="63"/>
      <c r="T4" s="60"/>
      <c r="U4" s="60"/>
      <c r="V4" s="60"/>
      <c r="W4" s="60"/>
      <c r="X4" s="60"/>
      <c r="Y4" s="60">
        <v>6.94</v>
      </c>
      <c r="Z4" s="67" t="s">
        <v>2310</v>
      </c>
      <c r="AA4" s="63"/>
    </row>
    <row r="5" spans="1:27" x14ac:dyDescent="0.3">
      <c r="A5" s="39"/>
      <c r="B5" s="25"/>
      <c r="C5" s="45"/>
      <c r="D5" s="46">
        <v>154.21</v>
      </c>
      <c r="E5" s="60">
        <v>3.98</v>
      </c>
      <c r="F5" s="67" t="s">
        <v>2996</v>
      </c>
      <c r="G5" s="61"/>
      <c r="H5" s="60"/>
      <c r="I5" s="60">
        <v>69</v>
      </c>
      <c r="J5" s="67" t="s">
        <v>3005</v>
      </c>
      <c r="K5" s="61"/>
      <c r="L5" s="60">
        <v>25</v>
      </c>
      <c r="M5" s="60"/>
      <c r="N5" s="60"/>
      <c r="O5" s="60"/>
      <c r="P5" s="60"/>
      <c r="Q5" s="60">
        <v>8.9300000000000004E-3</v>
      </c>
      <c r="R5" s="67" t="s">
        <v>3005</v>
      </c>
      <c r="S5" s="63"/>
      <c r="T5" s="60"/>
      <c r="U5" s="60"/>
      <c r="V5" s="60"/>
      <c r="W5" s="60"/>
      <c r="X5" s="60"/>
      <c r="Y5" s="64">
        <v>6.94</v>
      </c>
      <c r="Z5" s="67" t="s">
        <v>3005</v>
      </c>
      <c r="AA5" s="63"/>
    </row>
    <row r="6" spans="1:27" x14ac:dyDescent="0.3">
      <c r="A6" s="39"/>
      <c r="B6" s="25"/>
      <c r="C6" s="45"/>
      <c r="D6" s="46">
        <v>154.21</v>
      </c>
      <c r="E6" s="68">
        <v>4.008</v>
      </c>
      <c r="F6" s="67" t="s">
        <v>2969</v>
      </c>
      <c r="G6" s="61"/>
      <c r="H6" s="60">
        <v>343</v>
      </c>
      <c r="I6" s="68">
        <f>H6-$H$1</f>
        <v>69.850000000000023</v>
      </c>
      <c r="J6" s="62" t="s">
        <v>2314</v>
      </c>
      <c r="K6" s="61"/>
      <c r="L6" s="60"/>
      <c r="M6" s="60"/>
      <c r="N6" s="60"/>
      <c r="O6" s="60"/>
      <c r="P6" s="60"/>
      <c r="Q6" s="60"/>
      <c r="R6" s="60"/>
      <c r="S6" s="63"/>
      <c r="T6" s="60"/>
      <c r="U6" s="60"/>
      <c r="V6" s="60"/>
      <c r="W6" s="60"/>
      <c r="X6" s="60"/>
      <c r="Y6" s="64"/>
      <c r="Z6" s="67"/>
      <c r="AA6" s="63"/>
    </row>
    <row r="7" spans="1:27" x14ac:dyDescent="0.3">
      <c r="A7" s="79" t="s">
        <v>2317</v>
      </c>
      <c r="B7" s="80" t="s">
        <v>2</v>
      </c>
      <c r="C7" s="81" t="s">
        <v>3</v>
      </c>
      <c r="D7" s="82">
        <v>188.65</v>
      </c>
      <c r="E7" s="83">
        <v>4.6500000000000004</v>
      </c>
      <c r="F7" s="84" t="s">
        <v>2309</v>
      </c>
      <c r="G7" s="85">
        <f>E11</f>
        <v>4.6304999999999996</v>
      </c>
      <c r="H7" s="83"/>
      <c r="I7" s="83">
        <v>34</v>
      </c>
      <c r="J7" s="84" t="s">
        <v>2309</v>
      </c>
      <c r="K7" s="85">
        <f>I10</f>
        <v>32.150000000000034</v>
      </c>
      <c r="L7" s="83">
        <v>25</v>
      </c>
      <c r="M7" s="83"/>
      <c r="N7" s="83"/>
      <c r="O7" s="83"/>
      <c r="P7" s="83"/>
      <c r="Q7" s="83">
        <v>1.3799999999999999E-3</v>
      </c>
      <c r="R7" s="84" t="s">
        <v>2310</v>
      </c>
      <c r="S7" s="86"/>
      <c r="T7" s="87"/>
      <c r="U7" s="88"/>
      <c r="V7" s="83"/>
      <c r="W7" s="83"/>
      <c r="X7" s="83"/>
      <c r="Y7" s="89">
        <v>1.45</v>
      </c>
      <c r="Z7" s="90" t="s">
        <v>3010</v>
      </c>
      <c r="AA7" s="86"/>
    </row>
    <row r="8" spans="1:27" x14ac:dyDescent="0.3">
      <c r="A8" s="39"/>
      <c r="B8" s="25"/>
      <c r="C8" s="45"/>
      <c r="D8" s="46">
        <v>188.65</v>
      </c>
      <c r="E8" s="60">
        <v>4.53</v>
      </c>
      <c r="F8" s="67" t="s">
        <v>3005</v>
      </c>
      <c r="G8" s="61"/>
      <c r="H8" s="60"/>
      <c r="I8" s="60">
        <v>34</v>
      </c>
      <c r="J8" s="67" t="s">
        <v>3005</v>
      </c>
      <c r="K8" s="61"/>
      <c r="L8" s="60">
        <v>25</v>
      </c>
      <c r="M8" s="60"/>
      <c r="N8" s="60"/>
      <c r="O8" s="60"/>
      <c r="P8" s="60"/>
      <c r="Q8" s="60">
        <v>1.3799999999999999E-3</v>
      </c>
      <c r="R8" s="67" t="s">
        <v>3005</v>
      </c>
      <c r="S8" s="63"/>
      <c r="T8" s="64"/>
      <c r="U8" s="62"/>
      <c r="V8" s="60"/>
      <c r="W8" s="60"/>
      <c r="X8" s="60"/>
      <c r="Y8" s="52">
        <v>4.83</v>
      </c>
      <c r="Z8" s="67" t="s">
        <v>3005</v>
      </c>
      <c r="AA8" s="63"/>
    </row>
    <row r="9" spans="1:27" x14ac:dyDescent="0.3">
      <c r="A9" s="39"/>
      <c r="B9" s="25"/>
      <c r="C9" s="45"/>
      <c r="D9" s="46">
        <v>188.65</v>
      </c>
      <c r="E9" s="60">
        <v>4.5309999999999997</v>
      </c>
      <c r="F9" s="67" t="s">
        <v>2969</v>
      </c>
      <c r="G9" s="61"/>
      <c r="H9" s="60"/>
      <c r="I9" s="60">
        <v>32.1</v>
      </c>
      <c r="J9" s="62" t="s">
        <v>2914</v>
      </c>
      <c r="K9" s="61"/>
      <c r="L9" s="60"/>
      <c r="M9" s="60"/>
      <c r="N9" s="60"/>
      <c r="O9" s="60"/>
      <c r="P9" s="60"/>
      <c r="Q9" s="60"/>
      <c r="R9" s="60"/>
      <c r="S9" s="63"/>
      <c r="T9" s="64">
        <v>-4.54</v>
      </c>
      <c r="U9" s="62" t="s">
        <v>3030</v>
      </c>
      <c r="V9" s="60"/>
      <c r="W9" s="60"/>
      <c r="X9" s="60"/>
      <c r="Y9" s="64">
        <f>1000*$D9*10^T9</f>
        <v>5.4407254306483361</v>
      </c>
      <c r="Z9" s="62" t="s">
        <v>3008</v>
      </c>
      <c r="AA9" s="63"/>
    </row>
    <row r="10" spans="1:27" x14ac:dyDescent="0.3">
      <c r="A10" s="39"/>
      <c r="B10" s="25"/>
      <c r="C10" s="45"/>
      <c r="D10" s="46">
        <v>188.65</v>
      </c>
      <c r="E10" s="60">
        <v>4.7300000000000004</v>
      </c>
      <c r="F10" s="67" t="s">
        <v>2884</v>
      </c>
      <c r="G10" s="61"/>
      <c r="H10" s="15">
        <v>305.3</v>
      </c>
      <c r="I10" s="68">
        <f>H10-$H$1</f>
        <v>32.150000000000034</v>
      </c>
      <c r="J10" s="62" t="s">
        <v>2314</v>
      </c>
      <c r="K10" s="61"/>
      <c r="L10" s="60"/>
      <c r="M10" s="60"/>
      <c r="N10" s="60"/>
      <c r="O10" s="60"/>
      <c r="P10" s="60"/>
      <c r="Q10" s="60"/>
      <c r="R10" s="60"/>
      <c r="S10" s="63"/>
      <c r="T10" s="64"/>
      <c r="U10" s="62"/>
      <c r="V10" s="60"/>
      <c r="W10" s="60"/>
      <c r="X10" s="60"/>
      <c r="Y10" s="64"/>
      <c r="Z10" s="60"/>
      <c r="AA10" s="63"/>
    </row>
    <row r="11" spans="1:27" ht="24" x14ac:dyDescent="0.3">
      <c r="A11" s="39"/>
      <c r="B11" s="25"/>
      <c r="C11" s="45"/>
      <c r="D11" s="46">
        <v>188.65</v>
      </c>
      <c r="E11" s="68">
        <f>AVERAGE(4.531,4.73)</f>
        <v>4.6304999999999996</v>
      </c>
      <c r="F11" s="70" t="s">
        <v>2883</v>
      </c>
      <c r="G11" s="61"/>
      <c r="H11" s="60"/>
      <c r="I11" s="60"/>
      <c r="J11" s="62"/>
      <c r="K11" s="61"/>
      <c r="L11" s="60"/>
      <c r="M11" s="60"/>
      <c r="N11" s="60"/>
      <c r="O11" s="60"/>
      <c r="P11" s="60"/>
      <c r="Q11" s="60"/>
      <c r="R11" s="60"/>
      <c r="S11" s="63"/>
      <c r="T11" s="64"/>
      <c r="U11" s="62"/>
      <c r="V11" s="60"/>
      <c r="W11" s="60"/>
      <c r="X11" s="60"/>
      <c r="Y11" s="64"/>
      <c r="Z11" s="60"/>
      <c r="AA11" s="63"/>
    </row>
    <row r="12" spans="1:27" x14ac:dyDescent="0.3">
      <c r="A12" s="79" t="s">
        <v>2318</v>
      </c>
      <c r="B12" s="80" t="s">
        <v>4</v>
      </c>
      <c r="C12" s="81" t="s">
        <v>5</v>
      </c>
      <c r="D12" s="82">
        <v>188.65</v>
      </c>
      <c r="E12" s="83">
        <v>4.58</v>
      </c>
      <c r="F12" s="84" t="s">
        <v>2309</v>
      </c>
      <c r="G12" s="85"/>
      <c r="H12" s="83"/>
      <c r="I12" s="83">
        <v>16</v>
      </c>
      <c r="J12" s="84" t="s">
        <v>2309</v>
      </c>
      <c r="K12" s="85">
        <f>I14</f>
        <v>17</v>
      </c>
      <c r="L12" s="93">
        <v>0</v>
      </c>
      <c r="M12" s="93"/>
      <c r="N12" s="83"/>
      <c r="O12" s="83"/>
      <c r="P12" s="83"/>
      <c r="Q12" s="163">
        <v>8.3999999999999995E-3</v>
      </c>
      <c r="R12" s="90" t="s">
        <v>3015</v>
      </c>
      <c r="S12" s="86"/>
      <c r="T12" s="87"/>
      <c r="U12" s="88"/>
      <c r="V12" s="83"/>
      <c r="W12" s="83"/>
      <c r="X12" s="83"/>
      <c r="Y12" s="87">
        <v>3.63</v>
      </c>
      <c r="Z12" s="84" t="s">
        <v>2310</v>
      </c>
      <c r="AA12" s="86"/>
    </row>
    <row r="13" spans="1:27" x14ac:dyDescent="0.3">
      <c r="A13" s="39"/>
      <c r="B13" s="25"/>
      <c r="C13" s="45"/>
      <c r="D13" s="46">
        <v>188.65</v>
      </c>
      <c r="E13" s="60">
        <v>4.58</v>
      </c>
      <c r="F13" s="67" t="s">
        <v>3005</v>
      </c>
      <c r="G13" s="61"/>
      <c r="H13" s="60"/>
      <c r="I13" s="60">
        <v>16</v>
      </c>
      <c r="J13" s="67" t="s">
        <v>3005</v>
      </c>
      <c r="K13" s="61"/>
      <c r="L13" s="72">
        <v>25</v>
      </c>
      <c r="M13" s="72"/>
      <c r="N13" s="60"/>
      <c r="O13" s="60"/>
      <c r="P13" s="60"/>
      <c r="Q13" s="60">
        <v>7.345E-3</v>
      </c>
      <c r="R13" s="67" t="s">
        <v>3005</v>
      </c>
      <c r="S13" s="63"/>
      <c r="T13" s="64"/>
      <c r="U13" s="62"/>
      <c r="V13" s="60"/>
      <c r="W13" s="60"/>
      <c r="X13" s="60"/>
      <c r="Y13" s="64">
        <v>3.63</v>
      </c>
      <c r="Z13" s="67" t="s">
        <v>3005</v>
      </c>
      <c r="AA13" s="63"/>
    </row>
    <row r="14" spans="1:27" x14ac:dyDescent="0.3">
      <c r="A14" s="39"/>
      <c r="B14" s="25"/>
      <c r="C14" s="45"/>
      <c r="D14" s="46">
        <v>188.65</v>
      </c>
      <c r="E14" s="60"/>
      <c r="F14" s="67"/>
      <c r="G14" s="61"/>
      <c r="H14" s="60"/>
      <c r="I14" s="68">
        <v>17</v>
      </c>
      <c r="J14" s="67" t="s">
        <v>2743</v>
      </c>
      <c r="K14" s="61"/>
      <c r="L14" s="72"/>
      <c r="M14" s="72"/>
      <c r="N14" s="60"/>
      <c r="O14" s="60"/>
      <c r="P14" s="60"/>
      <c r="Q14" s="60"/>
      <c r="R14" s="60"/>
      <c r="S14" s="63"/>
      <c r="T14" s="64">
        <v>-4.88</v>
      </c>
      <c r="U14" s="62" t="s">
        <v>3030</v>
      </c>
      <c r="V14" s="60"/>
      <c r="W14" s="60"/>
      <c r="X14" s="60"/>
      <c r="Y14" s="64">
        <f>1000*$D14*10^T14</f>
        <v>2.4868913372866586</v>
      </c>
      <c r="Z14" s="62" t="s">
        <v>3008</v>
      </c>
      <c r="AA14" s="63"/>
    </row>
    <row r="15" spans="1:27" x14ac:dyDescent="0.3">
      <c r="A15" s="79" t="s">
        <v>2319</v>
      </c>
      <c r="B15" s="80" t="s">
        <v>6</v>
      </c>
      <c r="C15" s="81" t="s">
        <v>7</v>
      </c>
      <c r="D15" s="82">
        <v>188.65</v>
      </c>
      <c r="E15" s="83">
        <v>4.6100000000000003</v>
      </c>
      <c r="F15" s="84" t="s">
        <v>2309</v>
      </c>
      <c r="G15" s="85"/>
      <c r="H15" s="83"/>
      <c r="I15" s="83">
        <v>78.8</v>
      </c>
      <c r="J15" s="84" t="s">
        <v>2309</v>
      </c>
      <c r="K15" s="85">
        <f>I17</f>
        <v>78.400000000000006</v>
      </c>
      <c r="L15" s="83">
        <v>25</v>
      </c>
      <c r="M15" s="83"/>
      <c r="N15" s="87"/>
      <c r="O15" s="83"/>
      <c r="P15" s="83"/>
      <c r="Q15" s="87">
        <v>1.0500000000000001E-2</v>
      </c>
      <c r="R15" s="84" t="s">
        <v>2310</v>
      </c>
      <c r="S15" s="86">
        <f>Q17</f>
        <v>1.5463782638490727E-3</v>
      </c>
      <c r="T15" s="87"/>
      <c r="U15" s="88"/>
      <c r="V15" s="87"/>
      <c r="W15" s="83"/>
      <c r="X15" s="83"/>
      <c r="Y15" s="87">
        <v>1.34</v>
      </c>
      <c r="Z15" s="84" t="s">
        <v>2310</v>
      </c>
      <c r="AA15" s="86">
        <f>Y17</f>
        <v>1.4219086026996306</v>
      </c>
    </row>
    <row r="16" spans="1:27" x14ac:dyDescent="0.3">
      <c r="A16" s="39"/>
      <c r="B16" s="25"/>
      <c r="C16" s="45"/>
      <c r="D16" s="46">
        <v>188.65</v>
      </c>
      <c r="E16" s="60">
        <v>4.6100000000000003</v>
      </c>
      <c r="F16" s="67" t="s">
        <v>3005</v>
      </c>
      <c r="G16" s="61"/>
      <c r="H16" s="60"/>
      <c r="I16" s="60">
        <v>78.8</v>
      </c>
      <c r="J16" s="67" t="s">
        <v>3005</v>
      </c>
      <c r="K16" s="61"/>
      <c r="L16" s="60">
        <v>25</v>
      </c>
      <c r="M16" s="60"/>
      <c r="N16" s="64"/>
      <c r="O16" s="60"/>
      <c r="P16" s="60"/>
      <c r="Q16" s="64">
        <v>1.0500000000000001E-2</v>
      </c>
      <c r="R16" s="67" t="s">
        <v>3005</v>
      </c>
      <c r="S16" s="63"/>
      <c r="T16" s="64"/>
      <c r="U16" s="62"/>
      <c r="V16" s="64"/>
      <c r="W16" s="60"/>
      <c r="X16" s="60"/>
      <c r="Y16" s="64">
        <v>1.34</v>
      </c>
      <c r="Z16" s="67" t="s">
        <v>3005</v>
      </c>
      <c r="AA16" s="63"/>
    </row>
    <row r="17" spans="1:27" x14ac:dyDescent="0.3">
      <c r="A17" s="39"/>
      <c r="B17" s="25"/>
      <c r="C17" s="45"/>
      <c r="D17" s="46">
        <v>188.65</v>
      </c>
      <c r="E17" s="60"/>
      <c r="F17" s="60"/>
      <c r="G17" s="61"/>
      <c r="H17" s="60"/>
      <c r="I17" s="68">
        <v>78.400000000000006</v>
      </c>
      <c r="J17" s="67" t="s">
        <v>2743</v>
      </c>
      <c r="K17" s="61"/>
      <c r="L17" s="60">
        <v>25</v>
      </c>
      <c r="M17" s="64">
        <f>10^(-0.33)</f>
        <v>0.46773514128719818</v>
      </c>
      <c r="N17" s="64">
        <f>$N$1*M17</f>
        <v>3.5083020297883858E-3</v>
      </c>
      <c r="O17" s="60">
        <v>38.03</v>
      </c>
      <c r="P17" s="60">
        <f>$K15</f>
        <v>78.400000000000006</v>
      </c>
      <c r="Q17" s="73">
        <f>N17*EXP(-O17*((P17+273.15)/298.15-1)/$Q$1)</f>
        <v>1.5463782638490727E-3</v>
      </c>
      <c r="R17" s="67" t="s">
        <v>3012</v>
      </c>
      <c r="S17" s="63"/>
      <c r="T17" s="64"/>
      <c r="U17" s="62"/>
      <c r="V17" s="64">
        <f>$D17*0.0171</f>
        <v>3.2259150000000001</v>
      </c>
      <c r="W17" s="60">
        <v>38.03</v>
      </c>
      <c r="X17" s="60">
        <f>$K15</f>
        <v>78.400000000000006</v>
      </c>
      <c r="Y17" s="73">
        <f>V17*EXP(-$W17*(($X17+$W$1)/298.15-1)/$Y$1)</f>
        <v>1.4219086026996306</v>
      </c>
      <c r="Z17" s="67" t="s">
        <v>3012</v>
      </c>
      <c r="AA17" s="63"/>
    </row>
    <row r="18" spans="1:27" x14ac:dyDescent="0.3">
      <c r="A18" s="39"/>
      <c r="B18" s="25"/>
      <c r="C18" s="45"/>
      <c r="D18" s="46">
        <v>188.65</v>
      </c>
      <c r="E18" s="60"/>
      <c r="F18" s="60"/>
      <c r="G18" s="61"/>
      <c r="H18" s="60"/>
      <c r="I18" s="60"/>
      <c r="J18" s="67"/>
      <c r="K18" s="61"/>
      <c r="L18" s="60">
        <v>25</v>
      </c>
      <c r="M18" s="64">
        <f>10^(-3737/298.15+12.21)</f>
        <v>0.47428630391172588</v>
      </c>
      <c r="N18" s="64">
        <f>$N$1*M18</f>
        <v>3.5574397898246622E-3</v>
      </c>
      <c r="O18" s="60">
        <v>38.03</v>
      </c>
      <c r="P18" s="60">
        <f>$K15</f>
        <v>78.400000000000006</v>
      </c>
      <c r="Q18" s="74">
        <f>N18*EXP(-O18*((P18+273.15)/298.15-1)/$Q$1)</f>
        <v>1.5680370501819337E-3</v>
      </c>
      <c r="R18" s="67" t="s">
        <v>3016</v>
      </c>
      <c r="S18" s="63"/>
      <c r="T18" s="64"/>
      <c r="U18" s="62"/>
      <c r="V18" s="64">
        <f>$D18*10^(-631/298.15+0.35)</f>
        <v>3.2305200384723562</v>
      </c>
      <c r="W18" s="60">
        <v>38.03</v>
      </c>
      <c r="X18" s="60">
        <f>$K15</f>
        <v>78.400000000000006</v>
      </c>
      <c r="Y18" s="74">
        <f>V18*EXP(-$W18*(($X18+$W$1)/298.15-1)/$Y$1)</f>
        <v>1.423938396981131</v>
      </c>
      <c r="Z18" s="67" t="s">
        <v>3016</v>
      </c>
      <c r="AA18" s="63"/>
    </row>
    <row r="19" spans="1:27" x14ac:dyDescent="0.3">
      <c r="A19" s="39"/>
      <c r="B19" s="25"/>
      <c r="C19" s="45"/>
      <c r="D19" s="46">
        <v>188.65</v>
      </c>
      <c r="E19" s="60"/>
      <c r="F19" s="60"/>
      <c r="G19" s="61"/>
      <c r="H19" s="60"/>
      <c r="I19" s="60"/>
      <c r="J19" s="67"/>
      <c r="K19" s="61"/>
      <c r="L19" s="60"/>
      <c r="M19" s="64"/>
      <c r="N19" s="64"/>
      <c r="O19" s="60"/>
      <c r="P19" s="60"/>
      <c r="Q19" s="64"/>
      <c r="R19" s="67"/>
      <c r="S19" s="63"/>
      <c r="T19" s="64">
        <v>-5.2</v>
      </c>
      <c r="U19" s="62" t="s">
        <v>3030</v>
      </c>
      <c r="V19" s="64"/>
      <c r="W19" s="60"/>
      <c r="X19" s="60"/>
      <c r="Y19" s="64">
        <f>1000*$D19*10^T19</f>
        <v>1.1903010303618824</v>
      </c>
      <c r="Z19" s="62" t="s">
        <v>3008</v>
      </c>
      <c r="AA19" s="63"/>
    </row>
    <row r="20" spans="1:27" x14ac:dyDescent="0.3">
      <c r="A20" s="91" t="s">
        <v>2320</v>
      </c>
      <c r="B20" s="80" t="s">
        <v>8</v>
      </c>
      <c r="C20" s="81" t="s">
        <v>9</v>
      </c>
      <c r="D20" s="82">
        <v>223.1</v>
      </c>
      <c r="E20" s="83">
        <v>5</v>
      </c>
      <c r="F20" s="84" t="s">
        <v>2309</v>
      </c>
      <c r="G20" s="85">
        <f>E22</f>
        <v>4.9649999999999999</v>
      </c>
      <c r="H20" s="83"/>
      <c r="I20" s="83">
        <v>61.5</v>
      </c>
      <c r="J20" s="84" t="s">
        <v>2309</v>
      </c>
      <c r="K20" s="85">
        <f>I22</f>
        <v>61</v>
      </c>
      <c r="L20" s="83">
        <v>25</v>
      </c>
      <c r="M20" s="83"/>
      <c r="N20" s="83"/>
      <c r="O20" s="83"/>
      <c r="P20" s="83"/>
      <c r="Q20" s="83">
        <v>2.7499999999999998E-3</v>
      </c>
      <c r="R20" s="84" t="s">
        <v>2310</v>
      </c>
      <c r="S20" s="86"/>
      <c r="T20" s="87"/>
      <c r="U20" s="88"/>
      <c r="V20" s="83"/>
      <c r="W20" s="83"/>
      <c r="X20" s="83"/>
      <c r="Y20" s="87">
        <v>1.85</v>
      </c>
      <c r="Z20" s="84" t="s">
        <v>2310</v>
      </c>
      <c r="AA20" s="86"/>
    </row>
    <row r="21" spans="1:27" x14ac:dyDescent="0.3">
      <c r="A21" s="59"/>
      <c r="B21" s="25"/>
      <c r="C21" s="45"/>
      <c r="D21" s="46">
        <v>223.1</v>
      </c>
      <c r="E21" s="60">
        <v>4.97</v>
      </c>
      <c r="F21" s="67" t="s">
        <v>3005</v>
      </c>
      <c r="G21" s="61"/>
      <c r="H21" s="60"/>
      <c r="I21" s="60">
        <v>61.5</v>
      </c>
      <c r="J21" s="67" t="s">
        <v>3005</v>
      </c>
      <c r="K21" s="61"/>
      <c r="L21" s="60">
        <v>25</v>
      </c>
      <c r="M21" s="60"/>
      <c r="N21" s="60"/>
      <c r="O21" s="60"/>
      <c r="P21" s="60"/>
      <c r="Q21" s="60">
        <v>2.7499999999999998E-3</v>
      </c>
      <c r="R21" s="67" t="s">
        <v>3005</v>
      </c>
      <c r="S21" s="63"/>
      <c r="T21" s="64"/>
      <c r="U21" s="62"/>
      <c r="V21" s="60"/>
      <c r="W21" s="60"/>
      <c r="X21" s="60"/>
      <c r="Y21" s="64">
        <v>1.85</v>
      </c>
      <c r="Z21" s="67" t="s">
        <v>3005</v>
      </c>
      <c r="AA21" s="63"/>
    </row>
    <row r="22" spans="1:27" x14ac:dyDescent="0.3">
      <c r="A22" s="59"/>
      <c r="B22" s="25"/>
      <c r="C22" s="45"/>
      <c r="D22" s="46">
        <v>223.1</v>
      </c>
      <c r="E22" s="68">
        <v>4.9649999999999999</v>
      </c>
      <c r="F22" s="67" t="s">
        <v>2969</v>
      </c>
      <c r="G22" s="61"/>
      <c r="H22" s="60"/>
      <c r="I22" s="68">
        <v>61</v>
      </c>
      <c r="J22" s="62" t="s">
        <v>2914</v>
      </c>
      <c r="K22" s="61"/>
      <c r="L22" s="60"/>
      <c r="M22" s="60"/>
      <c r="N22" s="60"/>
      <c r="O22" s="60"/>
      <c r="P22" s="60"/>
      <c r="Q22" s="60"/>
      <c r="R22" s="60"/>
      <c r="S22" s="63"/>
      <c r="T22" s="64">
        <v>-5.27</v>
      </c>
      <c r="U22" s="62" t="s">
        <v>3030</v>
      </c>
      <c r="V22" s="60"/>
      <c r="W22" s="60"/>
      <c r="X22" s="60"/>
      <c r="Y22" s="64">
        <f>1000*$D22*10^T22</f>
        <v>1.1981179377020346</v>
      </c>
      <c r="Z22" s="62" t="s">
        <v>3008</v>
      </c>
      <c r="AA22" s="63"/>
    </row>
    <row r="23" spans="1:27" x14ac:dyDescent="0.3">
      <c r="A23" s="79" t="s">
        <v>2321</v>
      </c>
      <c r="B23" s="80" t="s">
        <v>10</v>
      </c>
      <c r="C23" s="81" t="s">
        <v>11</v>
      </c>
      <c r="D23" s="82">
        <v>223.1</v>
      </c>
      <c r="E23" s="83">
        <v>5.0199999999999996</v>
      </c>
      <c r="F23" s="84" t="s">
        <v>2309</v>
      </c>
      <c r="G23" s="85"/>
      <c r="H23" s="83"/>
      <c r="I23" s="83"/>
      <c r="J23" s="83"/>
      <c r="K23" s="85"/>
      <c r="L23" s="83"/>
      <c r="M23" s="83"/>
      <c r="N23" s="83"/>
      <c r="O23" s="83"/>
      <c r="P23" s="83"/>
      <c r="Q23" s="83"/>
      <c r="R23" s="83"/>
      <c r="S23" s="86"/>
      <c r="T23" s="83"/>
      <c r="U23" s="83"/>
      <c r="V23" s="83"/>
      <c r="W23" s="83"/>
      <c r="X23" s="83"/>
      <c r="Y23" s="87">
        <v>0.997</v>
      </c>
      <c r="Z23" s="84" t="s">
        <v>2310</v>
      </c>
      <c r="AA23" s="86"/>
    </row>
    <row r="24" spans="1:27" x14ac:dyDescent="0.3">
      <c r="A24" s="39"/>
      <c r="B24" s="25"/>
      <c r="C24" s="45"/>
      <c r="D24" s="46">
        <v>223.1</v>
      </c>
      <c r="E24" s="60">
        <v>5.0199999999999996</v>
      </c>
      <c r="F24" s="67" t="s">
        <v>3005</v>
      </c>
      <c r="G24" s="61"/>
      <c r="H24" s="60"/>
      <c r="I24" s="60"/>
      <c r="J24" s="60"/>
      <c r="K24" s="61"/>
      <c r="L24" s="60"/>
      <c r="M24" s="60"/>
      <c r="N24" s="60"/>
      <c r="O24" s="60"/>
      <c r="P24" s="60"/>
      <c r="Q24" s="60"/>
      <c r="R24" s="60"/>
      <c r="S24" s="63"/>
      <c r="T24" s="60"/>
      <c r="U24" s="60"/>
      <c r="V24" s="60"/>
      <c r="W24" s="60"/>
      <c r="X24" s="60"/>
      <c r="Y24" s="64">
        <v>0.997</v>
      </c>
      <c r="Z24" s="67" t="s">
        <v>3005</v>
      </c>
      <c r="AA24" s="63"/>
    </row>
    <row r="25" spans="1:27" x14ac:dyDescent="0.3">
      <c r="A25" s="79" t="s">
        <v>2322</v>
      </c>
      <c r="B25" s="80" t="s">
        <v>12</v>
      </c>
      <c r="C25" s="81" t="s">
        <v>13</v>
      </c>
      <c r="D25" s="82">
        <v>223.1</v>
      </c>
      <c r="E25" s="83">
        <v>5.0199999999999996</v>
      </c>
      <c r="F25" s="84" t="s">
        <v>2309</v>
      </c>
      <c r="G25" s="85"/>
      <c r="H25" s="83"/>
      <c r="I25" s="83"/>
      <c r="J25" s="83"/>
      <c r="K25" s="85"/>
      <c r="L25" s="83"/>
      <c r="M25" s="83"/>
      <c r="N25" s="83"/>
      <c r="O25" s="83"/>
      <c r="P25" s="83"/>
      <c r="Q25" s="83"/>
      <c r="R25" s="83"/>
      <c r="S25" s="86"/>
      <c r="T25" s="83"/>
      <c r="U25" s="83"/>
      <c r="V25" s="83"/>
      <c r="W25" s="83"/>
      <c r="X25" s="83"/>
      <c r="Y25" s="87">
        <v>0.57999999999999996</v>
      </c>
      <c r="Z25" s="84" t="s">
        <v>2310</v>
      </c>
      <c r="AA25" s="86"/>
    </row>
    <row r="26" spans="1:27" x14ac:dyDescent="0.3">
      <c r="A26" s="39"/>
      <c r="B26" s="25"/>
      <c r="C26" s="45"/>
      <c r="D26" s="46">
        <v>223.1</v>
      </c>
      <c r="E26" s="60">
        <v>5.0199999999999996</v>
      </c>
      <c r="F26" s="67" t="s">
        <v>3005</v>
      </c>
      <c r="G26" s="61"/>
      <c r="H26" s="60"/>
      <c r="I26" s="60"/>
      <c r="J26" s="60"/>
      <c r="K26" s="61"/>
      <c r="L26" s="60"/>
      <c r="M26" s="60"/>
      <c r="N26" s="60"/>
      <c r="O26" s="60"/>
      <c r="P26" s="60"/>
      <c r="Q26" s="60"/>
      <c r="R26" s="60"/>
      <c r="S26" s="63"/>
      <c r="T26" s="60"/>
      <c r="U26" s="60"/>
      <c r="V26" s="60"/>
      <c r="W26" s="60"/>
      <c r="X26" s="60"/>
      <c r="Y26" s="64">
        <v>0.57999999999999996</v>
      </c>
      <c r="Z26" s="67" t="s">
        <v>3005</v>
      </c>
      <c r="AA26" s="63"/>
    </row>
    <row r="27" spans="1:27" x14ac:dyDescent="0.3">
      <c r="A27" s="79" t="s">
        <v>2323</v>
      </c>
      <c r="B27" s="80" t="s">
        <v>14</v>
      </c>
      <c r="C27" s="81" t="s">
        <v>15</v>
      </c>
      <c r="D27" s="82">
        <v>223.1</v>
      </c>
      <c r="E27" s="83">
        <v>5.16</v>
      </c>
      <c r="F27" s="84" t="s">
        <v>2309</v>
      </c>
      <c r="G27" s="85"/>
      <c r="H27" s="83"/>
      <c r="I27" s="83"/>
      <c r="J27" s="88"/>
      <c r="K27" s="85"/>
      <c r="L27" s="83">
        <v>25</v>
      </c>
      <c r="M27" s="83"/>
      <c r="N27" s="83"/>
      <c r="O27" s="83"/>
      <c r="P27" s="83"/>
      <c r="Q27" s="83">
        <v>1.3799999999999999E-3</v>
      </c>
      <c r="R27" s="84" t="s">
        <v>2310</v>
      </c>
      <c r="S27" s="86"/>
      <c r="T27" s="87"/>
      <c r="U27" s="88"/>
      <c r="V27" s="83"/>
      <c r="W27" s="83"/>
      <c r="X27" s="83"/>
      <c r="Y27" s="87">
        <v>1.1499999999999999</v>
      </c>
      <c r="Z27" s="84" t="s">
        <v>2310</v>
      </c>
      <c r="AA27" s="86"/>
    </row>
    <row r="28" spans="1:27" x14ac:dyDescent="0.3">
      <c r="A28" s="39"/>
      <c r="B28" s="25"/>
      <c r="C28" s="45"/>
      <c r="D28" s="46">
        <v>223.1</v>
      </c>
      <c r="E28" s="60">
        <v>5.16</v>
      </c>
      <c r="F28" s="67" t="s">
        <v>3005</v>
      </c>
      <c r="G28" s="61"/>
      <c r="H28" s="60"/>
      <c r="I28" s="60"/>
      <c r="J28" s="62"/>
      <c r="K28" s="61"/>
      <c r="L28" s="60">
        <v>25</v>
      </c>
      <c r="M28" s="60"/>
      <c r="N28" s="60"/>
      <c r="O28" s="60"/>
      <c r="P28" s="60"/>
      <c r="Q28" s="60">
        <v>1.3799999999999999E-3</v>
      </c>
      <c r="R28" s="67" t="s">
        <v>3005</v>
      </c>
      <c r="S28" s="63"/>
      <c r="T28" s="64"/>
      <c r="U28" s="62"/>
      <c r="V28" s="60"/>
      <c r="W28" s="60"/>
      <c r="X28" s="60"/>
      <c r="Y28" s="64">
        <v>1.1499999999999999</v>
      </c>
      <c r="Z28" s="67" t="s">
        <v>3005</v>
      </c>
      <c r="AA28" s="63"/>
    </row>
    <row r="29" spans="1:27" x14ac:dyDescent="0.3">
      <c r="A29" s="39"/>
      <c r="B29" s="25"/>
      <c r="C29" s="45"/>
      <c r="D29" s="46">
        <v>223.1</v>
      </c>
      <c r="E29" s="60"/>
      <c r="F29" s="67"/>
      <c r="G29" s="61"/>
      <c r="H29" s="60"/>
      <c r="I29" s="60"/>
      <c r="J29" s="62"/>
      <c r="K29" s="61"/>
      <c r="L29" s="60"/>
      <c r="M29" s="60"/>
      <c r="N29" s="60"/>
      <c r="O29" s="60"/>
      <c r="P29" s="60"/>
      <c r="Q29" s="60"/>
      <c r="R29" s="67"/>
      <c r="S29" s="63"/>
      <c r="T29" s="64">
        <v>-5.25</v>
      </c>
      <c r="U29" s="62" t="s">
        <v>3030</v>
      </c>
      <c r="V29" s="60"/>
      <c r="W29" s="60"/>
      <c r="X29" s="60"/>
      <c r="Y29" s="64">
        <f>1000*$D29*10^T29</f>
        <v>1.2545834964996672</v>
      </c>
      <c r="Z29" s="62" t="s">
        <v>3008</v>
      </c>
      <c r="AA29" s="63"/>
    </row>
    <row r="30" spans="1:27" x14ac:dyDescent="0.3">
      <c r="A30" s="79" t="s">
        <v>2324</v>
      </c>
      <c r="B30" s="80" t="s">
        <v>16</v>
      </c>
      <c r="C30" s="81" t="s">
        <v>17</v>
      </c>
      <c r="D30" s="82">
        <v>223.1</v>
      </c>
      <c r="E30" s="83">
        <v>5.09</v>
      </c>
      <c r="F30" s="84" t="s">
        <v>2309</v>
      </c>
      <c r="G30" s="85">
        <f>E32</f>
        <v>5.58</v>
      </c>
      <c r="H30" s="83"/>
      <c r="I30" s="126">
        <v>43</v>
      </c>
      <c r="J30" s="88" t="s">
        <v>2914</v>
      </c>
      <c r="K30" s="85">
        <f>I30</f>
        <v>43</v>
      </c>
      <c r="L30" s="83">
        <v>25</v>
      </c>
      <c r="M30" s="87"/>
      <c r="N30" s="87"/>
      <c r="O30" s="83"/>
      <c r="P30" s="83"/>
      <c r="Q30" s="87">
        <v>2.0899999999999998E-3</v>
      </c>
      <c r="R30" s="84" t="s">
        <v>2310</v>
      </c>
      <c r="S30" s="127">
        <f>Q32</f>
        <v>6.1447321290450754E-4</v>
      </c>
      <c r="T30" s="87"/>
      <c r="U30" s="88"/>
      <c r="V30" s="87"/>
      <c r="W30" s="83"/>
      <c r="X30" s="83"/>
      <c r="Y30" s="87">
        <v>1.17</v>
      </c>
      <c r="Z30" s="84" t="s">
        <v>2310</v>
      </c>
      <c r="AA30" s="86">
        <f>Y32</f>
        <v>1.0488424390575157</v>
      </c>
    </row>
    <row r="31" spans="1:27" x14ac:dyDescent="0.3">
      <c r="A31" s="39"/>
      <c r="B31" s="25"/>
      <c r="C31" s="45"/>
      <c r="D31" s="46">
        <v>223.1</v>
      </c>
      <c r="E31" s="60">
        <v>5.09</v>
      </c>
      <c r="F31" s="67" t="s">
        <v>3005</v>
      </c>
      <c r="G31" s="61"/>
      <c r="H31" s="60"/>
      <c r="I31" s="60"/>
      <c r="J31" s="62"/>
      <c r="K31" s="61"/>
      <c r="L31" s="60">
        <v>25</v>
      </c>
      <c r="M31" s="64"/>
      <c r="N31" s="64"/>
      <c r="O31" s="60"/>
      <c r="P31" s="60"/>
      <c r="Q31" s="60">
        <v>2.0929999999999998E-3</v>
      </c>
      <c r="R31" s="67" t="s">
        <v>3005</v>
      </c>
      <c r="S31" s="63"/>
      <c r="T31" s="64"/>
      <c r="U31" s="62"/>
      <c r="V31" s="64"/>
      <c r="W31" s="60"/>
      <c r="X31" s="60"/>
      <c r="Y31" s="64">
        <v>1.17</v>
      </c>
      <c r="Z31" s="67" t="s">
        <v>3005</v>
      </c>
      <c r="AA31" s="63"/>
    </row>
    <row r="32" spans="1:27" x14ac:dyDescent="0.3">
      <c r="A32" s="39"/>
      <c r="B32" s="25"/>
      <c r="C32" s="45"/>
      <c r="D32" s="46">
        <v>223.1</v>
      </c>
      <c r="E32" s="68">
        <v>5.58</v>
      </c>
      <c r="F32" s="67" t="s">
        <v>2884</v>
      </c>
      <c r="G32" s="61"/>
      <c r="H32" s="60"/>
      <c r="I32" s="60"/>
      <c r="J32" s="62"/>
      <c r="K32" s="61"/>
      <c r="L32" s="60">
        <v>25</v>
      </c>
      <c r="M32" s="64">
        <f>10^(-0.91)</f>
        <v>0.12302687708123815</v>
      </c>
      <c r="N32" s="64">
        <f>$N$1*M32</f>
        <v>9.2277745348539892E-4</v>
      </c>
      <c r="O32" s="60">
        <v>56</v>
      </c>
      <c r="P32" s="60">
        <f>$K30</f>
        <v>43</v>
      </c>
      <c r="Q32" s="73">
        <f>N32*EXP(-O32*((P32+273.15)/298.15-1)/$Q$1)</f>
        <v>6.1447321290450754E-4</v>
      </c>
      <c r="R32" s="67" t="s">
        <v>3012</v>
      </c>
      <c r="S32" s="63"/>
      <c r="T32" s="64"/>
      <c r="U32" s="62"/>
      <c r="V32" s="64">
        <f>$D30*0.00706</f>
        <v>1.575086</v>
      </c>
      <c r="W32" s="60">
        <v>56</v>
      </c>
      <c r="X32" s="60">
        <f>$K30</f>
        <v>43</v>
      </c>
      <c r="Y32" s="73">
        <f>V32*EXP(-$W32*(($X32+$W$1)/298.15-1)/$Y$1)</f>
        <v>1.0488424390575157</v>
      </c>
      <c r="Z32" s="67" t="s">
        <v>3012</v>
      </c>
      <c r="AA32" s="63"/>
    </row>
    <row r="33" spans="1:27" x14ac:dyDescent="0.3">
      <c r="A33" s="39"/>
      <c r="B33" s="25"/>
      <c r="C33" s="45"/>
      <c r="D33" s="46">
        <v>223.1</v>
      </c>
      <c r="E33" s="60"/>
      <c r="F33" s="67"/>
      <c r="G33" s="61"/>
      <c r="H33" s="60"/>
      <c r="I33" s="60"/>
      <c r="J33" s="62"/>
      <c r="K33" s="61"/>
      <c r="L33" s="60">
        <v>25</v>
      </c>
      <c r="M33" s="64">
        <f>10^(-3818/298.15+11.9)</f>
        <v>0.12426970071090497</v>
      </c>
      <c r="N33" s="64">
        <f>$N$1*M33</f>
        <v>9.3209939720472238E-4</v>
      </c>
      <c r="O33" s="60">
        <v>56</v>
      </c>
      <c r="P33" s="60">
        <f>$K30</f>
        <v>43</v>
      </c>
      <c r="Q33" s="74">
        <f>N33*EXP(-O33*((P33+273.15)/298.15-1)/$Q$1)</f>
        <v>6.2068065185535341E-4</v>
      </c>
      <c r="R33" s="67" t="s">
        <v>3016</v>
      </c>
      <c r="S33" s="63"/>
      <c r="T33" s="64">
        <v>-5.28</v>
      </c>
      <c r="U33" s="62" t="s">
        <v>3030</v>
      </c>
      <c r="V33" s="64"/>
      <c r="W33" s="60"/>
      <c r="X33" s="60"/>
      <c r="Y33" s="64">
        <f>1000*$D33*10^T33</f>
        <v>1.1708454438172415</v>
      </c>
      <c r="Z33" s="62" t="s">
        <v>3008</v>
      </c>
      <c r="AA33" s="63"/>
    </row>
    <row r="34" spans="1:27" x14ac:dyDescent="0.3">
      <c r="A34" s="79" t="s">
        <v>2325</v>
      </c>
      <c r="B34" s="80" t="s">
        <v>18</v>
      </c>
      <c r="C34" s="81" t="s">
        <v>19</v>
      </c>
      <c r="D34" s="82">
        <v>223.1</v>
      </c>
      <c r="E34" s="83">
        <v>5.0999999999999996</v>
      </c>
      <c r="F34" s="84" t="s">
        <v>2309</v>
      </c>
      <c r="G34" s="85"/>
      <c r="H34" s="83"/>
      <c r="I34" s="83"/>
      <c r="J34" s="83"/>
      <c r="K34" s="85"/>
      <c r="L34" s="83">
        <v>25</v>
      </c>
      <c r="M34" s="83"/>
      <c r="N34" s="83"/>
      <c r="O34" s="83"/>
      <c r="P34" s="83"/>
      <c r="Q34" s="83">
        <v>1.3799999999999999E-3</v>
      </c>
      <c r="R34" s="84" t="s">
        <v>2310</v>
      </c>
      <c r="S34" s="86"/>
      <c r="T34" s="83"/>
      <c r="U34" s="83"/>
      <c r="V34" s="83"/>
      <c r="W34" s="83"/>
      <c r="X34" s="83"/>
      <c r="Y34" s="87">
        <v>1.1200000000000001</v>
      </c>
      <c r="Z34" s="84" t="s">
        <v>2310</v>
      </c>
      <c r="AA34" s="86"/>
    </row>
    <row r="35" spans="1:27" x14ac:dyDescent="0.3">
      <c r="A35" s="39"/>
      <c r="B35" s="25"/>
      <c r="C35" s="45"/>
      <c r="D35" s="46">
        <v>223.1</v>
      </c>
      <c r="E35" s="60">
        <v>5.0999999999999996</v>
      </c>
      <c r="F35" s="67" t="s">
        <v>3005</v>
      </c>
      <c r="G35" s="61"/>
      <c r="H35" s="60"/>
      <c r="I35" s="60"/>
      <c r="J35" s="60"/>
      <c r="K35" s="61"/>
      <c r="L35" s="60">
        <v>25</v>
      </c>
      <c r="M35" s="60"/>
      <c r="N35" s="60"/>
      <c r="O35" s="60"/>
      <c r="P35" s="60"/>
      <c r="Q35" s="60">
        <v>1.3799999999999999E-3</v>
      </c>
      <c r="R35" s="67" t="s">
        <v>3005</v>
      </c>
      <c r="S35" s="63"/>
      <c r="T35" s="60"/>
      <c r="U35" s="60"/>
      <c r="V35" s="60"/>
      <c r="W35" s="60"/>
      <c r="X35" s="60"/>
      <c r="Y35" s="64">
        <v>1.1200000000000001</v>
      </c>
      <c r="Z35" s="67" t="s">
        <v>3005</v>
      </c>
      <c r="AA35" s="63"/>
    </row>
    <row r="36" spans="1:27" x14ac:dyDescent="0.3">
      <c r="A36" s="79" t="s">
        <v>2326</v>
      </c>
      <c r="B36" s="80" t="s">
        <v>20</v>
      </c>
      <c r="C36" s="81" t="s">
        <v>21</v>
      </c>
      <c r="D36" s="82">
        <v>223.1</v>
      </c>
      <c r="E36" s="83">
        <v>4.9800000000000004</v>
      </c>
      <c r="F36" s="84" t="s">
        <v>2309</v>
      </c>
      <c r="G36" s="85">
        <f>E38</f>
        <v>4.9820000000000002</v>
      </c>
      <c r="H36" s="128">
        <v>307.89999999999998</v>
      </c>
      <c r="I36" s="129">
        <f>H36-$H$1</f>
        <v>34.75</v>
      </c>
      <c r="J36" s="84" t="s">
        <v>2745</v>
      </c>
      <c r="K36" s="85">
        <f>I37</f>
        <v>34.75</v>
      </c>
      <c r="L36" s="83"/>
      <c r="M36" s="83"/>
      <c r="N36" s="83"/>
      <c r="O36" s="83"/>
      <c r="P36" s="83"/>
      <c r="Q36" s="83"/>
      <c r="R36" s="83"/>
      <c r="S36" s="86"/>
      <c r="T36" s="87"/>
      <c r="U36" s="88"/>
      <c r="V36" s="83"/>
      <c r="W36" s="83"/>
      <c r="X36" s="83"/>
      <c r="Y36" s="87">
        <v>2.41</v>
      </c>
      <c r="Z36" s="84" t="s">
        <v>2310</v>
      </c>
      <c r="AA36" s="86"/>
    </row>
    <row r="37" spans="1:27" x14ac:dyDescent="0.3">
      <c r="A37" s="39"/>
      <c r="B37" s="25"/>
      <c r="C37" s="45"/>
      <c r="D37" s="46">
        <v>223.1</v>
      </c>
      <c r="E37" s="60">
        <v>4.9800000000000004</v>
      </c>
      <c r="F37" s="67" t="s">
        <v>3005</v>
      </c>
      <c r="G37" s="61"/>
      <c r="H37" s="15">
        <v>307.89999999999998</v>
      </c>
      <c r="I37" s="68">
        <f>H37-$H$1</f>
        <v>34.75</v>
      </c>
      <c r="J37" s="62" t="s">
        <v>2314</v>
      </c>
      <c r="K37" s="61"/>
      <c r="L37" s="60"/>
      <c r="M37" s="60"/>
      <c r="N37" s="60"/>
      <c r="O37" s="60"/>
      <c r="P37" s="60"/>
      <c r="Q37" s="60"/>
      <c r="R37" s="60"/>
      <c r="S37" s="63"/>
      <c r="T37" s="64"/>
      <c r="U37" s="62"/>
      <c r="V37" s="60"/>
      <c r="W37" s="60"/>
      <c r="X37" s="60"/>
      <c r="Y37" s="64">
        <v>2.41</v>
      </c>
      <c r="Z37" s="67" t="s">
        <v>3005</v>
      </c>
      <c r="AA37" s="63"/>
    </row>
    <row r="38" spans="1:27" x14ac:dyDescent="0.3">
      <c r="A38" s="39"/>
      <c r="B38" s="25"/>
      <c r="C38" s="45"/>
      <c r="D38" s="46">
        <v>223.1</v>
      </c>
      <c r="E38" s="50">
        <v>4.9820000000000002</v>
      </c>
      <c r="F38" s="13" t="s">
        <v>2969</v>
      </c>
      <c r="G38" s="61"/>
      <c r="H38" s="60"/>
      <c r="I38" s="60"/>
      <c r="J38" s="67"/>
      <c r="K38" s="61"/>
      <c r="L38" s="60"/>
      <c r="M38" s="60"/>
      <c r="N38" s="60"/>
      <c r="O38" s="60"/>
      <c r="P38" s="60"/>
      <c r="Q38" s="60"/>
      <c r="R38" s="60"/>
      <c r="S38" s="63"/>
      <c r="T38" s="64">
        <v>-5.21</v>
      </c>
      <c r="U38" s="62" t="s">
        <v>3030</v>
      </c>
      <c r="V38" s="60"/>
      <c r="W38" s="60"/>
      <c r="X38" s="60"/>
      <c r="Y38" s="64">
        <f>1000*$D38*10^T38</f>
        <v>1.3756234491529644</v>
      </c>
      <c r="Z38" s="62" t="s">
        <v>3008</v>
      </c>
      <c r="AA38" s="63"/>
    </row>
    <row r="39" spans="1:27" x14ac:dyDescent="0.3">
      <c r="A39" s="79" t="s">
        <v>2327</v>
      </c>
      <c r="B39" s="80" t="s">
        <v>22</v>
      </c>
      <c r="C39" s="81" t="s">
        <v>23</v>
      </c>
      <c r="D39" s="82">
        <v>223.1</v>
      </c>
      <c r="E39" s="83">
        <v>5.27</v>
      </c>
      <c r="F39" s="84" t="s">
        <v>2309</v>
      </c>
      <c r="G39" s="85"/>
      <c r="H39" s="83"/>
      <c r="I39" s="83">
        <v>29</v>
      </c>
      <c r="J39" s="84" t="s">
        <v>2309</v>
      </c>
      <c r="K39" s="85">
        <f>I41</f>
        <v>29</v>
      </c>
      <c r="L39" s="83">
        <v>25</v>
      </c>
      <c r="M39" s="83"/>
      <c r="N39" s="83"/>
      <c r="O39" s="83"/>
      <c r="P39" s="83"/>
      <c r="Q39" s="83">
        <v>6.4899999999999995E-4</v>
      </c>
      <c r="R39" s="84" t="s">
        <v>2310</v>
      </c>
      <c r="S39" s="86"/>
      <c r="T39" s="87"/>
      <c r="U39" s="88"/>
      <c r="V39" s="83"/>
      <c r="W39" s="83"/>
      <c r="X39" s="83"/>
      <c r="Y39" s="87">
        <v>0.35499999999999998</v>
      </c>
      <c r="Z39" s="84" t="s">
        <v>2310</v>
      </c>
      <c r="AA39" s="86"/>
    </row>
    <row r="40" spans="1:27" x14ac:dyDescent="0.3">
      <c r="A40" s="39"/>
      <c r="B40" s="25"/>
      <c r="C40" s="45"/>
      <c r="D40" s="46">
        <v>223.1</v>
      </c>
      <c r="E40" s="60">
        <v>5.27</v>
      </c>
      <c r="F40" s="67" t="s">
        <v>3005</v>
      </c>
      <c r="G40" s="61"/>
      <c r="H40" s="60"/>
      <c r="I40" s="60">
        <v>29</v>
      </c>
      <c r="J40" s="67" t="s">
        <v>3005</v>
      </c>
      <c r="K40" s="61"/>
      <c r="L40" s="60">
        <v>25</v>
      </c>
      <c r="M40" s="60"/>
      <c r="N40" s="60"/>
      <c r="O40" s="60"/>
      <c r="P40" s="60"/>
      <c r="Q40" s="60">
        <v>6.4899999999999995E-4</v>
      </c>
      <c r="R40" s="67" t="s">
        <v>3005</v>
      </c>
      <c r="S40" s="63"/>
      <c r="T40" s="64"/>
      <c r="U40" s="62"/>
      <c r="V40" s="60"/>
      <c r="W40" s="60"/>
      <c r="X40" s="60"/>
      <c r="Y40" s="64">
        <v>0.35499999999999998</v>
      </c>
      <c r="Z40" s="67" t="s">
        <v>3005</v>
      </c>
      <c r="AA40" s="63"/>
    </row>
    <row r="41" spans="1:27" x14ac:dyDescent="0.3">
      <c r="A41" s="39"/>
      <c r="B41" s="25"/>
      <c r="C41" s="45"/>
      <c r="D41" s="46">
        <v>223.1</v>
      </c>
      <c r="E41" s="60"/>
      <c r="F41" s="67"/>
      <c r="G41" s="61"/>
      <c r="H41" s="60"/>
      <c r="I41" s="68">
        <v>29</v>
      </c>
      <c r="J41" s="62" t="s">
        <v>2914</v>
      </c>
      <c r="K41" s="61"/>
      <c r="L41" s="60"/>
      <c r="M41" s="60"/>
      <c r="N41" s="60"/>
      <c r="O41" s="60"/>
      <c r="P41" s="60"/>
      <c r="Q41" s="60"/>
      <c r="R41" s="60"/>
      <c r="S41" s="63"/>
      <c r="T41" s="64">
        <v>-5.8</v>
      </c>
      <c r="U41" s="62" t="s">
        <v>3030</v>
      </c>
      <c r="V41" s="60"/>
      <c r="W41" s="60"/>
      <c r="X41" s="60"/>
      <c r="Y41" s="64">
        <f>1000*$D41*10^T41</f>
        <v>0.35358967123807389</v>
      </c>
      <c r="Z41" s="62" t="s">
        <v>3008</v>
      </c>
      <c r="AA41" s="63"/>
    </row>
    <row r="42" spans="1:27" x14ac:dyDescent="0.3">
      <c r="A42" s="79" t="s">
        <v>2328</v>
      </c>
      <c r="B42" s="80" t="s">
        <v>24</v>
      </c>
      <c r="C42" s="81" t="s">
        <v>25</v>
      </c>
      <c r="D42" s="82">
        <v>223.1</v>
      </c>
      <c r="E42" s="83">
        <v>5.29</v>
      </c>
      <c r="F42" s="84" t="s">
        <v>2309</v>
      </c>
      <c r="G42" s="85"/>
      <c r="H42" s="83"/>
      <c r="I42" s="126">
        <v>49.5</v>
      </c>
      <c r="J42" s="88" t="s">
        <v>2914</v>
      </c>
      <c r="K42" s="85">
        <f>I42</f>
        <v>49.5</v>
      </c>
      <c r="L42" s="83"/>
      <c r="M42" s="83"/>
      <c r="N42" s="83"/>
      <c r="O42" s="83"/>
      <c r="P42" s="83"/>
      <c r="Q42" s="83"/>
      <c r="R42" s="83"/>
      <c r="S42" s="86"/>
      <c r="T42" s="87"/>
      <c r="U42" s="88"/>
      <c r="V42" s="83"/>
      <c r="W42" s="83"/>
      <c r="X42" s="83"/>
      <c r="Y42" s="83">
        <v>9.0899999999999995E-2</v>
      </c>
      <c r="Z42" s="83"/>
      <c r="AA42" s="86"/>
    </row>
    <row r="43" spans="1:27" x14ac:dyDescent="0.3">
      <c r="A43" s="39"/>
      <c r="B43" s="25"/>
      <c r="C43" s="45"/>
      <c r="D43" s="46">
        <v>223.1</v>
      </c>
      <c r="E43" s="60">
        <v>5.29</v>
      </c>
      <c r="F43" s="67" t="s">
        <v>3005</v>
      </c>
      <c r="G43" s="61"/>
      <c r="H43" s="60"/>
      <c r="I43" s="60"/>
      <c r="J43" s="62"/>
      <c r="K43" s="61"/>
      <c r="L43" s="60"/>
      <c r="M43" s="60"/>
      <c r="N43" s="60"/>
      <c r="O43" s="60"/>
      <c r="P43" s="60"/>
      <c r="Q43" s="60"/>
      <c r="R43" s="60"/>
      <c r="S43" s="63"/>
      <c r="T43" s="64"/>
      <c r="U43" s="62"/>
      <c r="V43" s="60"/>
      <c r="W43" s="60"/>
      <c r="X43" s="60"/>
      <c r="Y43" s="64">
        <v>9.0899999999999995E-2</v>
      </c>
      <c r="Z43" s="60"/>
      <c r="AA43" s="63"/>
    </row>
    <row r="44" spans="1:27" x14ac:dyDescent="0.3">
      <c r="A44" s="39"/>
      <c r="B44" s="25"/>
      <c r="C44" s="45"/>
      <c r="D44" s="46">
        <v>223.1</v>
      </c>
      <c r="E44" s="60"/>
      <c r="F44" s="67"/>
      <c r="G44" s="61"/>
      <c r="H44" s="60"/>
      <c r="I44" s="60"/>
      <c r="J44" s="62"/>
      <c r="K44" s="61"/>
      <c r="L44" s="60"/>
      <c r="M44" s="60"/>
      <c r="N44" s="60"/>
      <c r="O44" s="60"/>
      <c r="P44" s="60"/>
      <c r="Q44" s="60"/>
      <c r="R44" s="60"/>
      <c r="S44" s="63"/>
      <c r="T44" s="64">
        <v>-7.44</v>
      </c>
      <c r="U44" s="62" t="s">
        <v>3030</v>
      </c>
      <c r="V44" s="60"/>
      <c r="W44" s="60"/>
      <c r="X44" s="60"/>
      <c r="Y44" s="64">
        <f>1000*$D44*10^T44</f>
        <v>8.1002714019209332E-3</v>
      </c>
      <c r="Z44" s="62" t="s">
        <v>3008</v>
      </c>
      <c r="AA44" s="63"/>
    </row>
    <row r="45" spans="1:27" x14ac:dyDescent="0.3">
      <c r="A45" s="79" t="s">
        <v>2329</v>
      </c>
      <c r="B45" s="80" t="s">
        <v>26</v>
      </c>
      <c r="C45" s="81" t="s">
        <v>27</v>
      </c>
      <c r="D45" s="82">
        <v>223.1</v>
      </c>
      <c r="E45" s="83">
        <v>5.15</v>
      </c>
      <c r="F45" s="84" t="s">
        <v>2309</v>
      </c>
      <c r="G45" s="85"/>
      <c r="H45" s="83"/>
      <c r="I45" s="83"/>
      <c r="J45" s="83"/>
      <c r="K45" s="85"/>
      <c r="L45" s="83"/>
      <c r="M45" s="83"/>
      <c r="N45" s="83"/>
      <c r="O45" s="83"/>
      <c r="P45" s="83"/>
      <c r="Q45" s="83"/>
      <c r="R45" s="83"/>
      <c r="S45" s="86"/>
      <c r="T45" s="83"/>
      <c r="U45" s="83"/>
      <c r="V45" s="83"/>
      <c r="W45" s="83"/>
      <c r="X45" s="83"/>
      <c r="Y45" s="87">
        <v>8.8800000000000004E-2</v>
      </c>
      <c r="Z45" s="84" t="s">
        <v>2310</v>
      </c>
      <c r="AA45" s="86"/>
    </row>
    <row r="46" spans="1:27" x14ac:dyDescent="0.3">
      <c r="A46" s="39"/>
      <c r="B46" s="25"/>
      <c r="C46" s="45"/>
      <c r="D46" s="46">
        <v>223.1</v>
      </c>
      <c r="E46" s="60">
        <v>5.15</v>
      </c>
      <c r="F46" s="67" t="s">
        <v>3005</v>
      </c>
      <c r="G46" s="61"/>
      <c r="H46" s="60"/>
      <c r="I46" s="60"/>
      <c r="J46" s="60"/>
      <c r="K46" s="61"/>
      <c r="L46" s="60"/>
      <c r="M46" s="60"/>
      <c r="N46" s="60"/>
      <c r="O46" s="60"/>
      <c r="P46" s="60"/>
      <c r="Q46" s="60"/>
      <c r="R46" s="60"/>
      <c r="S46" s="63"/>
      <c r="T46" s="60"/>
      <c r="U46" s="60"/>
      <c r="V46" s="60"/>
      <c r="W46" s="60"/>
      <c r="X46" s="60"/>
      <c r="Y46" s="64">
        <v>8.8800000000000004E-2</v>
      </c>
      <c r="Z46" s="67" t="s">
        <v>3005</v>
      </c>
      <c r="AA46" s="63"/>
    </row>
    <row r="47" spans="1:27" x14ac:dyDescent="0.3">
      <c r="A47" s="79" t="s">
        <v>2330</v>
      </c>
      <c r="B47" s="80" t="s">
        <v>28</v>
      </c>
      <c r="C47" s="81" t="s">
        <v>29</v>
      </c>
      <c r="D47" s="82">
        <v>223.1</v>
      </c>
      <c r="E47" s="83">
        <v>5.41</v>
      </c>
      <c r="F47" s="84" t="s">
        <v>2309</v>
      </c>
      <c r="G47" s="85"/>
      <c r="H47" s="83"/>
      <c r="I47" s="83"/>
      <c r="J47" s="83"/>
      <c r="K47" s="85"/>
      <c r="L47" s="83"/>
      <c r="M47" s="83"/>
      <c r="N47" s="83"/>
      <c r="O47" s="83"/>
      <c r="P47" s="83"/>
      <c r="Q47" s="83"/>
      <c r="R47" s="83"/>
      <c r="S47" s="86"/>
      <c r="T47" s="83"/>
      <c r="U47" s="83"/>
      <c r="V47" s="83"/>
      <c r="W47" s="83"/>
      <c r="X47" s="83"/>
      <c r="Y47" s="92"/>
      <c r="Z47" s="83"/>
      <c r="AA47" s="86"/>
    </row>
    <row r="48" spans="1:27" x14ac:dyDescent="0.3">
      <c r="A48" s="39"/>
      <c r="B48" s="25"/>
      <c r="C48" s="45"/>
      <c r="D48" s="46">
        <v>223.1</v>
      </c>
      <c r="E48" s="60">
        <v>5.41</v>
      </c>
      <c r="F48" s="67" t="s">
        <v>3005</v>
      </c>
      <c r="G48" s="61"/>
      <c r="H48" s="60"/>
      <c r="I48" s="60"/>
      <c r="J48" s="62"/>
      <c r="K48" s="61"/>
      <c r="L48" s="60"/>
      <c r="M48" s="60"/>
      <c r="N48" s="60"/>
      <c r="O48" s="60"/>
      <c r="P48" s="60"/>
      <c r="Q48" s="60"/>
      <c r="R48" s="60"/>
      <c r="S48" s="63"/>
      <c r="T48" s="60"/>
      <c r="U48" s="60"/>
      <c r="V48" s="60"/>
      <c r="W48" s="60"/>
      <c r="X48" s="60"/>
      <c r="Y48" s="65"/>
      <c r="Z48" s="60"/>
      <c r="AA48" s="63"/>
    </row>
    <row r="49" spans="1:27" x14ac:dyDescent="0.3">
      <c r="A49" s="79" t="s">
        <v>2331</v>
      </c>
      <c r="B49" s="80" t="s">
        <v>30</v>
      </c>
      <c r="C49" s="81" t="s">
        <v>31</v>
      </c>
      <c r="D49" s="82">
        <v>223.1</v>
      </c>
      <c r="E49" s="83">
        <v>5.23</v>
      </c>
      <c r="F49" s="84" t="s">
        <v>2309</v>
      </c>
      <c r="G49" s="85"/>
      <c r="H49" s="83"/>
      <c r="I49" s="83">
        <v>149.30000000000001</v>
      </c>
      <c r="J49" s="84" t="s">
        <v>2309</v>
      </c>
      <c r="K49" s="85">
        <f>I51</f>
        <v>149.35000000000002</v>
      </c>
      <c r="L49" s="83">
        <v>25</v>
      </c>
      <c r="M49" s="87"/>
      <c r="N49" s="87"/>
      <c r="O49" s="83"/>
      <c r="P49" s="83"/>
      <c r="Q49" s="83">
        <v>5.3499999999999999E-4</v>
      </c>
      <c r="R49" s="84" t="s">
        <v>2310</v>
      </c>
      <c r="S49" s="86">
        <f>Q51</f>
        <v>2.6615009346943004E-5</v>
      </c>
      <c r="T49" s="87"/>
      <c r="U49" s="88"/>
      <c r="V49" s="87"/>
      <c r="W49" s="83"/>
      <c r="X49" s="83"/>
      <c r="Y49" s="83">
        <v>6.2E-2</v>
      </c>
      <c r="Z49" s="84" t="s">
        <v>2310</v>
      </c>
      <c r="AA49" s="86">
        <f>Y51</f>
        <v>6.7220110635384744E-2</v>
      </c>
    </row>
    <row r="50" spans="1:27" x14ac:dyDescent="0.3">
      <c r="A50" s="39"/>
      <c r="B50" s="25"/>
      <c r="C50" s="45"/>
      <c r="D50" s="46">
        <v>223.1</v>
      </c>
      <c r="E50" s="60">
        <v>5.23</v>
      </c>
      <c r="F50" s="67" t="s">
        <v>3005</v>
      </c>
      <c r="G50" s="61"/>
      <c r="H50" s="60"/>
      <c r="I50" s="60">
        <v>149.30000000000001</v>
      </c>
      <c r="J50" s="67" t="s">
        <v>3005</v>
      </c>
      <c r="K50" s="61"/>
      <c r="L50" s="60">
        <v>25</v>
      </c>
      <c r="M50" s="64"/>
      <c r="N50" s="64"/>
      <c r="O50" s="60"/>
      <c r="P50" s="60"/>
      <c r="Q50" s="60">
        <v>5.3499999999999999E-4</v>
      </c>
      <c r="R50" s="67" t="s">
        <v>3005</v>
      </c>
      <c r="S50" s="63"/>
      <c r="T50" s="64"/>
      <c r="U50" s="62"/>
      <c r="V50" s="64"/>
      <c r="W50" s="60"/>
      <c r="X50" s="60"/>
      <c r="Y50" s="60">
        <v>6.2E-2</v>
      </c>
      <c r="Z50" s="67" t="s">
        <v>3005</v>
      </c>
      <c r="AA50" s="63"/>
    </row>
    <row r="51" spans="1:27" x14ac:dyDescent="0.3">
      <c r="A51" s="39"/>
      <c r="B51" s="25"/>
      <c r="C51" s="45"/>
      <c r="D51" s="46">
        <v>223.1</v>
      </c>
      <c r="E51" s="60"/>
      <c r="F51" s="60"/>
      <c r="G51" s="61"/>
      <c r="H51" s="15">
        <v>422.5</v>
      </c>
      <c r="I51" s="68">
        <f>H51-$H$1</f>
        <v>149.35000000000002</v>
      </c>
      <c r="J51" s="62" t="s">
        <v>2314</v>
      </c>
      <c r="K51" s="61"/>
      <c r="L51" s="60"/>
      <c r="M51" s="64">
        <f>10^(-1.23)</f>
        <v>5.8884365535558883E-2</v>
      </c>
      <c r="N51" s="64">
        <f>$N$1*M51</f>
        <v>4.4166905775496553E-4</v>
      </c>
      <c r="O51" s="60">
        <v>56</v>
      </c>
      <c r="P51" s="60">
        <f>$K49</f>
        <v>149.35000000000002</v>
      </c>
      <c r="Q51" s="73">
        <f>N51*EXP(-O51*((P51+273.15)/298.15-1)/$Q$1)</f>
        <v>2.6615009346943004E-5</v>
      </c>
      <c r="R51" s="67" t="s">
        <v>3012</v>
      </c>
      <c r="S51" s="63"/>
      <c r="T51" s="64"/>
      <c r="U51" s="62"/>
      <c r="V51" s="64">
        <f>$D51*0.005</f>
        <v>1.1154999999999999</v>
      </c>
      <c r="W51" s="60">
        <v>56</v>
      </c>
      <c r="X51" s="60">
        <f>$K49</f>
        <v>149.35000000000002</v>
      </c>
      <c r="Y51" s="73">
        <f>V51*EXP(-$W51*(($X51+$W$1)/298.15-1)/$Y$1)</f>
        <v>6.7220110635384744E-2</v>
      </c>
      <c r="Z51" s="67" t="s">
        <v>3012</v>
      </c>
      <c r="AA51" s="63"/>
    </row>
    <row r="52" spans="1:27" x14ac:dyDescent="0.3">
      <c r="A52" s="39"/>
      <c r="B52" s="25"/>
      <c r="C52" s="45"/>
      <c r="D52" s="46">
        <v>223.1</v>
      </c>
      <c r="E52" s="60"/>
      <c r="F52" s="60"/>
      <c r="G52" s="61"/>
      <c r="H52" s="60"/>
      <c r="I52" s="60">
        <v>149.15</v>
      </c>
      <c r="J52" s="67" t="s">
        <v>2743</v>
      </c>
      <c r="K52" s="61"/>
      <c r="L52" s="60"/>
      <c r="M52" s="64">
        <f>10^(-3931/298.15+11.89)</f>
        <v>5.0741277281259968E-2</v>
      </c>
      <c r="N52" s="64">
        <f>$N$1*M52</f>
        <v>3.8059087369403925E-4</v>
      </c>
      <c r="O52" s="60">
        <v>56</v>
      </c>
      <c r="P52" s="60">
        <f>$K49</f>
        <v>149.35000000000002</v>
      </c>
      <c r="Q52" s="74">
        <f>N52*EXP(-O52*((P52+273.15)/298.15-1)/$Q$1)</f>
        <v>2.2934433560314712E-5</v>
      </c>
      <c r="R52" s="67" t="s">
        <v>3016</v>
      </c>
      <c r="S52" s="63"/>
      <c r="T52" s="64"/>
      <c r="U52" s="62"/>
      <c r="V52" s="64">
        <f>$D52*10^(-807/298.15+0.41)</f>
        <v>1.1267000341920266</v>
      </c>
      <c r="W52" s="60">
        <v>56</v>
      </c>
      <c r="X52" s="60">
        <f>$K49</f>
        <v>149.35000000000002</v>
      </c>
      <c r="Y52" s="74">
        <f>V52*EXP(-$W52*(($X52+$W$1)/298.15-1)/$Y$1)</f>
        <v>6.7895025505405479E-2</v>
      </c>
      <c r="Z52" s="67" t="s">
        <v>3011</v>
      </c>
      <c r="AA52" s="63"/>
    </row>
    <row r="53" spans="1:27" x14ac:dyDescent="0.3">
      <c r="A53" s="39"/>
      <c r="B53" s="25"/>
      <c r="C53" s="45"/>
      <c r="D53" s="46">
        <v>223.1</v>
      </c>
      <c r="E53" s="60"/>
      <c r="F53" s="60"/>
      <c r="G53" s="61"/>
      <c r="H53" s="60"/>
      <c r="I53" s="60"/>
      <c r="J53" s="67"/>
      <c r="K53" s="61"/>
      <c r="L53" s="60"/>
      <c r="M53" s="64"/>
      <c r="N53" s="64"/>
      <c r="O53" s="60"/>
      <c r="P53" s="60"/>
      <c r="Q53" s="64"/>
      <c r="R53" s="67"/>
      <c r="S53" s="63"/>
      <c r="T53" s="64">
        <v>-6.56</v>
      </c>
      <c r="U53" s="62" t="s">
        <v>3030</v>
      </c>
      <c r="V53" s="64"/>
      <c r="W53" s="60"/>
      <c r="X53" s="60"/>
      <c r="Y53" s="64">
        <f>1000*$D53*10^T53</f>
        <v>6.1446842371474422E-2</v>
      </c>
      <c r="Z53" s="62" t="s">
        <v>3008</v>
      </c>
      <c r="AA53" s="63"/>
    </row>
    <row r="54" spans="1:27" x14ac:dyDescent="0.3">
      <c r="A54" s="79" t="s">
        <v>2332</v>
      </c>
      <c r="B54" s="80" t="s">
        <v>32</v>
      </c>
      <c r="C54" s="81" t="s">
        <v>33</v>
      </c>
      <c r="D54" s="82">
        <v>257.54000000000002</v>
      </c>
      <c r="E54" s="83">
        <v>5.31</v>
      </c>
      <c r="F54" s="84" t="s">
        <v>2309</v>
      </c>
      <c r="G54" s="85"/>
      <c r="H54" s="83"/>
      <c r="I54" s="83"/>
      <c r="J54" s="83"/>
      <c r="K54" s="85"/>
      <c r="L54" s="83"/>
      <c r="M54" s="83"/>
      <c r="N54" s="83"/>
      <c r="O54" s="83"/>
      <c r="P54" s="83"/>
      <c r="Q54" s="83"/>
      <c r="R54" s="83"/>
      <c r="S54" s="86"/>
      <c r="T54" s="83"/>
      <c r="U54" s="83"/>
      <c r="V54" s="83"/>
      <c r="W54" s="83"/>
      <c r="X54" s="83"/>
      <c r="Y54" s="87">
        <v>0.29299999999999998</v>
      </c>
      <c r="Z54" s="84" t="s">
        <v>2310</v>
      </c>
      <c r="AA54" s="86"/>
    </row>
    <row r="55" spans="1:27" x14ac:dyDescent="0.3">
      <c r="A55" s="39"/>
      <c r="B55" s="25"/>
      <c r="C55" s="45"/>
      <c r="D55" s="46">
        <v>257.54000000000002</v>
      </c>
      <c r="E55" s="60">
        <v>5.31</v>
      </c>
      <c r="F55" s="67" t="s">
        <v>3005</v>
      </c>
      <c r="G55" s="61"/>
      <c r="H55" s="60"/>
      <c r="I55" s="60"/>
      <c r="J55" s="60"/>
      <c r="K55" s="61"/>
      <c r="L55" s="60"/>
      <c r="M55" s="60"/>
      <c r="N55" s="60"/>
      <c r="O55" s="60"/>
      <c r="P55" s="60"/>
      <c r="Q55" s="60"/>
      <c r="R55" s="60"/>
      <c r="S55" s="63"/>
      <c r="T55" s="60"/>
      <c r="U55" s="60"/>
      <c r="V55" s="60"/>
      <c r="W55" s="60"/>
      <c r="X55" s="60"/>
      <c r="Y55" s="64">
        <v>0.29299999999999998</v>
      </c>
      <c r="Z55" s="67" t="s">
        <v>3005</v>
      </c>
      <c r="AA55" s="63"/>
    </row>
    <row r="56" spans="1:27" x14ac:dyDescent="0.3">
      <c r="A56" s="79" t="s">
        <v>2333</v>
      </c>
      <c r="B56" s="80" t="s">
        <v>34</v>
      </c>
      <c r="C56" s="81" t="s">
        <v>35</v>
      </c>
      <c r="D56" s="82">
        <v>257.54000000000002</v>
      </c>
      <c r="E56" s="83">
        <v>5.76</v>
      </c>
      <c r="F56" s="84" t="s">
        <v>2309</v>
      </c>
      <c r="G56" s="85"/>
      <c r="H56" s="83"/>
      <c r="I56" s="83"/>
      <c r="J56" s="83"/>
      <c r="K56" s="85"/>
      <c r="L56" s="83"/>
      <c r="M56" s="83"/>
      <c r="N56" s="83"/>
      <c r="O56" s="83"/>
      <c r="P56" s="83"/>
      <c r="Q56" s="83"/>
      <c r="R56" s="83"/>
      <c r="S56" s="86"/>
      <c r="T56" s="83"/>
      <c r="U56" s="83"/>
      <c r="V56" s="83"/>
      <c r="W56" s="83"/>
      <c r="X56" s="83"/>
      <c r="Y56" s="87">
        <v>8.3299999999999999E-2</v>
      </c>
      <c r="Z56" s="84" t="s">
        <v>2310</v>
      </c>
      <c r="AA56" s="86"/>
    </row>
    <row r="57" spans="1:27" x14ac:dyDescent="0.3">
      <c r="A57" s="39"/>
      <c r="B57" s="25"/>
      <c r="C57" s="45"/>
      <c r="D57" s="46">
        <v>257.54000000000002</v>
      </c>
      <c r="E57" s="60">
        <v>5.76</v>
      </c>
      <c r="F57" s="67" t="s">
        <v>3005</v>
      </c>
      <c r="G57" s="61"/>
      <c r="H57" s="60"/>
      <c r="I57" s="60"/>
      <c r="J57" s="60"/>
      <c r="K57" s="61"/>
      <c r="L57" s="60"/>
      <c r="M57" s="60"/>
      <c r="N57" s="60"/>
      <c r="O57" s="60"/>
      <c r="P57" s="60"/>
      <c r="Q57" s="60"/>
      <c r="R57" s="60"/>
      <c r="S57" s="63"/>
      <c r="T57" s="60"/>
      <c r="U57" s="60"/>
      <c r="V57" s="60"/>
      <c r="W57" s="60"/>
      <c r="X57" s="60"/>
      <c r="Y57" s="64">
        <v>8.3299999999999999E-2</v>
      </c>
      <c r="Z57" s="67" t="s">
        <v>3005</v>
      </c>
      <c r="AA57" s="63"/>
    </row>
    <row r="58" spans="1:27" x14ac:dyDescent="0.3">
      <c r="A58" s="79" t="s">
        <v>2334</v>
      </c>
      <c r="B58" s="80" t="s">
        <v>36</v>
      </c>
      <c r="C58" s="81" t="s">
        <v>37</v>
      </c>
      <c r="D58" s="82">
        <v>257.54000000000002</v>
      </c>
      <c r="E58" s="83">
        <v>5.55</v>
      </c>
      <c r="F58" s="84" t="s">
        <v>2309</v>
      </c>
      <c r="G58" s="85"/>
      <c r="H58" s="83"/>
      <c r="I58" s="126">
        <v>44</v>
      </c>
      <c r="J58" s="88" t="s">
        <v>2914</v>
      </c>
      <c r="K58" s="85">
        <f>I58</f>
        <v>44</v>
      </c>
      <c r="L58" s="83">
        <v>25</v>
      </c>
      <c r="M58" s="83"/>
      <c r="N58" s="83"/>
      <c r="O58" s="83"/>
      <c r="P58" s="83"/>
      <c r="Q58" s="83">
        <v>1.0499999999999999E-3</v>
      </c>
      <c r="R58" s="84" t="s">
        <v>2310</v>
      </c>
      <c r="S58" s="86"/>
      <c r="T58" s="87"/>
      <c r="U58" s="88"/>
      <c r="V58" s="83"/>
      <c r="W58" s="83"/>
      <c r="X58" s="83"/>
      <c r="Y58" s="87">
        <v>0.4</v>
      </c>
      <c r="Z58" s="84" t="s">
        <v>2310</v>
      </c>
      <c r="AA58" s="86"/>
    </row>
    <row r="59" spans="1:27" x14ac:dyDescent="0.3">
      <c r="A59" s="39"/>
      <c r="B59" s="25"/>
      <c r="C59" s="45"/>
      <c r="D59" s="46">
        <v>257.54000000000002</v>
      </c>
      <c r="E59" s="60">
        <v>5.55</v>
      </c>
      <c r="F59" s="67" t="s">
        <v>3005</v>
      </c>
      <c r="G59" s="61"/>
      <c r="H59" s="60"/>
      <c r="I59" s="60"/>
      <c r="J59" s="62"/>
      <c r="K59" s="61"/>
      <c r="L59" s="60">
        <v>25</v>
      </c>
      <c r="M59" s="60"/>
      <c r="N59" s="60"/>
      <c r="O59" s="60"/>
      <c r="P59" s="60"/>
      <c r="Q59" s="60">
        <v>1.0499999999999999E-3</v>
      </c>
      <c r="R59" s="67" t="s">
        <v>3005</v>
      </c>
      <c r="S59" s="63"/>
      <c r="T59" s="64"/>
      <c r="U59" s="62"/>
      <c r="V59" s="60"/>
      <c r="W59" s="60"/>
      <c r="X59" s="60"/>
      <c r="Y59" s="64">
        <v>0.4</v>
      </c>
      <c r="Z59" s="67" t="s">
        <v>3005</v>
      </c>
      <c r="AA59" s="63"/>
    </row>
    <row r="60" spans="1:27" x14ac:dyDescent="0.3">
      <c r="A60" s="39"/>
      <c r="B60" s="25"/>
      <c r="C60" s="45"/>
      <c r="D60" s="46">
        <v>257.54000000000002</v>
      </c>
      <c r="E60" s="60"/>
      <c r="F60" s="67"/>
      <c r="G60" s="61"/>
      <c r="H60" s="60"/>
      <c r="I60" s="60"/>
      <c r="J60" s="62"/>
      <c r="K60" s="61"/>
      <c r="L60" s="60"/>
      <c r="M60" s="60"/>
      <c r="N60" s="60"/>
      <c r="O60" s="60"/>
      <c r="P60" s="60"/>
      <c r="Q60" s="60"/>
      <c r="R60" s="67"/>
      <c r="S60" s="63"/>
      <c r="T60" s="64">
        <v>-6.02</v>
      </c>
      <c r="U60" s="62" t="s">
        <v>3030</v>
      </c>
      <c r="V60" s="60"/>
      <c r="W60" s="60"/>
      <c r="X60" s="60"/>
      <c r="Y60" s="64">
        <f>1000*$D60*10^T60</f>
        <v>0.24594879060396038</v>
      </c>
      <c r="Z60" s="62" t="s">
        <v>3008</v>
      </c>
      <c r="AA60" s="63"/>
    </row>
    <row r="61" spans="1:27" x14ac:dyDescent="0.3">
      <c r="A61" s="79" t="s">
        <v>2335</v>
      </c>
      <c r="B61" s="80" t="s">
        <v>38</v>
      </c>
      <c r="C61" s="81" t="s">
        <v>39</v>
      </c>
      <c r="D61" s="82">
        <v>257.54000000000002</v>
      </c>
      <c r="E61" s="83">
        <v>5.48</v>
      </c>
      <c r="F61" s="84" t="s">
        <v>2309</v>
      </c>
      <c r="G61" s="85"/>
      <c r="H61" s="83"/>
      <c r="I61" s="83"/>
      <c r="J61" s="83"/>
      <c r="K61" s="85"/>
      <c r="L61" s="83"/>
      <c r="M61" s="83"/>
      <c r="N61" s="83"/>
      <c r="O61" s="83"/>
      <c r="P61" s="83"/>
      <c r="Q61" s="83"/>
      <c r="R61" s="83"/>
      <c r="S61" s="86"/>
      <c r="T61" s="83"/>
      <c r="U61" s="83"/>
      <c r="V61" s="83"/>
      <c r="W61" s="83"/>
      <c r="X61" s="83"/>
      <c r="Y61" s="87">
        <v>0.32400000000000001</v>
      </c>
      <c r="Z61" s="84" t="s">
        <v>2310</v>
      </c>
      <c r="AA61" s="86"/>
    </row>
    <row r="62" spans="1:27" x14ac:dyDescent="0.3">
      <c r="A62" s="39"/>
      <c r="B62" s="25"/>
      <c r="C62" s="45"/>
      <c r="D62" s="46">
        <v>257.54000000000002</v>
      </c>
      <c r="E62" s="60">
        <v>5.48</v>
      </c>
      <c r="F62" s="67" t="s">
        <v>3005</v>
      </c>
      <c r="G62" s="61"/>
      <c r="H62" s="60"/>
      <c r="I62" s="60"/>
      <c r="J62" s="60"/>
      <c r="K62" s="61"/>
      <c r="L62" s="60"/>
      <c r="M62" s="60"/>
      <c r="N62" s="60"/>
      <c r="O62" s="60"/>
      <c r="P62" s="60"/>
      <c r="Q62" s="60"/>
      <c r="R62" s="60"/>
      <c r="S62" s="63"/>
      <c r="T62" s="60"/>
      <c r="U62" s="60"/>
      <c r="V62" s="60"/>
      <c r="W62" s="60"/>
      <c r="X62" s="60"/>
      <c r="Y62" s="64">
        <v>0.32400000000000001</v>
      </c>
      <c r="Z62" s="67" t="s">
        <v>3005</v>
      </c>
      <c r="AA62" s="63"/>
    </row>
    <row r="63" spans="1:27" x14ac:dyDescent="0.3">
      <c r="A63" s="79" t="s">
        <v>2336</v>
      </c>
      <c r="B63" s="80" t="s">
        <v>40</v>
      </c>
      <c r="C63" s="81" t="s">
        <v>41</v>
      </c>
      <c r="D63" s="82">
        <v>257.54000000000002</v>
      </c>
      <c r="E63" s="83">
        <v>5.57</v>
      </c>
      <c r="F63" s="84" t="s">
        <v>2309</v>
      </c>
      <c r="G63" s="85"/>
      <c r="H63" s="83"/>
      <c r="I63" s="83"/>
      <c r="J63" s="83"/>
      <c r="K63" s="85"/>
      <c r="L63" s="83"/>
      <c r="M63" s="83"/>
      <c r="N63" s="83"/>
      <c r="O63" s="83"/>
      <c r="P63" s="83"/>
      <c r="Q63" s="83"/>
      <c r="R63" s="83"/>
      <c r="S63" s="86"/>
      <c r="T63" s="83"/>
      <c r="U63" s="83"/>
      <c r="V63" s="83"/>
      <c r="W63" s="83"/>
      <c r="X63" s="83"/>
      <c r="Y63" s="92"/>
      <c r="Z63" s="83"/>
      <c r="AA63" s="86"/>
    </row>
    <row r="64" spans="1:27" x14ac:dyDescent="0.3">
      <c r="A64" s="39"/>
      <c r="B64" s="25"/>
      <c r="C64" s="45"/>
      <c r="D64" s="46">
        <v>257.54000000000002</v>
      </c>
      <c r="E64" s="60">
        <v>5.57</v>
      </c>
      <c r="F64" s="67" t="s">
        <v>3005</v>
      </c>
      <c r="G64" s="61"/>
      <c r="H64" s="60"/>
      <c r="I64" s="60"/>
      <c r="J64" s="60"/>
      <c r="K64" s="61"/>
      <c r="L64" s="60"/>
      <c r="M64" s="60"/>
      <c r="N64" s="60"/>
      <c r="O64" s="60"/>
      <c r="P64" s="60"/>
      <c r="Q64" s="60"/>
      <c r="R64" s="60"/>
      <c r="S64" s="63"/>
      <c r="T64" s="60"/>
      <c r="U64" s="60"/>
      <c r="V64" s="60"/>
      <c r="W64" s="60"/>
      <c r="X64" s="60"/>
      <c r="Y64" s="65"/>
      <c r="Z64" s="60"/>
      <c r="AA64" s="63"/>
    </row>
    <row r="65" spans="1:27" x14ac:dyDescent="0.3">
      <c r="A65" s="79" t="s">
        <v>2337</v>
      </c>
      <c r="B65" s="80" t="s">
        <v>42</v>
      </c>
      <c r="C65" s="81" t="s">
        <v>43</v>
      </c>
      <c r="D65" s="82">
        <v>257.54000000000002</v>
      </c>
      <c r="E65" s="83">
        <v>5.86</v>
      </c>
      <c r="F65" s="84" t="s">
        <v>2309</v>
      </c>
      <c r="G65" s="85">
        <f>E67</f>
        <v>5.86</v>
      </c>
      <c r="H65" s="83"/>
      <c r="I65" s="83"/>
      <c r="J65" s="83"/>
      <c r="K65" s="85"/>
      <c r="L65" s="83"/>
      <c r="M65" s="83"/>
      <c r="N65" s="83"/>
      <c r="O65" s="83"/>
      <c r="P65" s="83"/>
      <c r="Q65" s="83"/>
      <c r="R65" s="83"/>
      <c r="S65" s="86"/>
      <c r="T65" s="83"/>
      <c r="U65" s="83"/>
      <c r="V65" s="83"/>
      <c r="W65" s="83"/>
      <c r="X65" s="83"/>
      <c r="Y65" s="87">
        <v>0.17</v>
      </c>
      <c r="Z65" s="84" t="s">
        <v>2310</v>
      </c>
      <c r="AA65" s="86"/>
    </row>
    <row r="66" spans="1:27" x14ac:dyDescent="0.3">
      <c r="A66" s="39"/>
      <c r="B66" s="25"/>
      <c r="C66" s="45"/>
      <c r="D66" s="46">
        <v>257.54000000000002</v>
      </c>
      <c r="E66" s="60">
        <v>5.86</v>
      </c>
      <c r="F66" s="67" t="s">
        <v>3005</v>
      </c>
      <c r="G66" s="61"/>
      <c r="H66" s="60"/>
      <c r="I66" s="60"/>
      <c r="J66" s="60"/>
      <c r="K66" s="61"/>
      <c r="L66" s="60"/>
      <c r="M66" s="60"/>
      <c r="N66" s="60"/>
      <c r="O66" s="60"/>
      <c r="P66" s="60"/>
      <c r="Q66" s="60"/>
      <c r="R66" s="60"/>
      <c r="S66" s="63"/>
      <c r="T66" s="60"/>
      <c r="U66" s="60"/>
      <c r="V66" s="60"/>
      <c r="W66" s="60"/>
      <c r="X66" s="60"/>
      <c r="Y66" s="64">
        <v>0.17019999999999999</v>
      </c>
      <c r="Z66" s="67" t="s">
        <v>3005</v>
      </c>
      <c r="AA66" s="63"/>
    </row>
    <row r="67" spans="1:27" x14ac:dyDescent="0.3">
      <c r="A67" s="39"/>
      <c r="B67" s="25"/>
      <c r="C67" s="45"/>
      <c r="D67" s="46">
        <v>257.54000000000002</v>
      </c>
      <c r="E67" s="50">
        <v>5.86</v>
      </c>
      <c r="F67" s="13" t="s">
        <v>2969</v>
      </c>
      <c r="G67" s="61"/>
      <c r="H67" s="60"/>
      <c r="I67" s="60"/>
      <c r="J67" s="60"/>
      <c r="K67" s="61"/>
      <c r="L67" s="60"/>
      <c r="M67" s="60"/>
      <c r="N67" s="60"/>
      <c r="O67" s="60"/>
      <c r="P67" s="60"/>
      <c r="Q67" s="60"/>
      <c r="R67" s="60"/>
      <c r="S67" s="63"/>
      <c r="T67" s="60"/>
      <c r="U67" s="60"/>
      <c r="V67" s="60"/>
      <c r="W67" s="60"/>
      <c r="X67" s="60"/>
      <c r="Y67" s="65"/>
      <c r="Z67" s="60"/>
      <c r="AA67" s="63"/>
    </row>
    <row r="68" spans="1:27" x14ac:dyDescent="0.3">
      <c r="A68" s="79" t="s">
        <v>2338</v>
      </c>
      <c r="B68" s="80" t="s">
        <v>44</v>
      </c>
      <c r="C68" s="81" t="s">
        <v>45</v>
      </c>
      <c r="D68" s="82">
        <v>257.54000000000002</v>
      </c>
      <c r="E68" s="83">
        <v>5.42</v>
      </c>
      <c r="F68" s="84" t="s">
        <v>2309</v>
      </c>
      <c r="G68" s="85"/>
      <c r="H68" s="83"/>
      <c r="I68" s="126">
        <v>69</v>
      </c>
      <c r="J68" s="88" t="s">
        <v>2914</v>
      </c>
      <c r="K68" s="85">
        <f>I68</f>
        <v>69</v>
      </c>
      <c r="L68" s="83"/>
      <c r="M68" s="83"/>
      <c r="N68" s="83"/>
      <c r="O68" s="83"/>
      <c r="P68" s="83"/>
      <c r="Q68" s="83"/>
      <c r="R68" s="83"/>
      <c r="S68" s="86"/>
      <c r="T68" s="87"/>
      <c r="U68" s="88"/>
      <c r="V68" s="83"/>
      <c r="W68" s="83"/>
      <c r="X68" s="83"/>
      <c r="Y68" s="87">
        <v>0.14199999999999999</v>
      </c>
      <c r="Z68" s="84" t="s">
        <v>2310</v>
      </c>
      <c r="AA68" s="86"/>
    </row>
    <row r="69" spans="1:27" x14ac:dyDescent="0.3">
      <c r="A69" s="39"/>
      <c r="B69" s="25"/>
      <c r="C69" s="45"/>
      <c r="D69" s="46">
        <v>257.54000000000002</v>
      </c>
      <c r="E69" s="60">
        <v>5.42</v>
      </c>
      <c r="F69" s="67" t="s">
        <v>3005</v>
      </c>
      <c r="G69" s="61"/>
      <c r="H69" s="60"/>
      <c r="I69" s="60"/>
      <c r="J69" s="62"/>
      <c r="K69" s="61"/>
      <c r="L69" s="60"/>
      <c r="M69" s="60"/>
      <c r="N69" s="60"/>
      <c r="O69" s="60"/>
      <c r="P69" s="60"/>
      <c r="Q69" s="60"/>
      <c r="R69" s="60"/>
      <c r="S69" s="63"/>
      <c r="T69" s="64"/>
      <c r="U69" s="62"/>
      <c r="V69" s="60"/>
      <c r="W69" s="60"/>
      <c r="X69" s="60"/>
      <c r="Y69" s="64">
        <v>0.14199999999999999</v>
      </c>
      <c r="Z69" s="67" t="s">
        <v>3005</v>
      </c>
      <c r="AA69" s="63"/>
    </row>
    <row r="70" spans="1:27" x14ac:dyDescent="0.3">
      <c r="A70" s="39"/>
      <c r="B70" s="25"/>
      <c r="C70" s="45"/>
      <c r="D70" s="46">
        <v>257.54000000000002</v>
      </c>
      <c r="E70" s="60"/>
      <c r="F70" s="67"/>
      <c r="G70" s="61"/>
      <c r="H70" s="60"/>
      <c r="I70" s="60"/>
      <c r="J70" s="62"/>
      <c r="K70" s="61"/>
      <c r="L70" s="60"/>
      <c r="M70" s="60"/>
      <c r="N70" s="60"/>
      <c r="O70" s="60"/>
      <c r="P70" s="60"/>
      <c r="Q70" s="60"/>
      <c r="R70" s="60"/>
      <c r="S70" s="63"/>
      <c r="T70" s="64">
        <v>-6.26</v>
      </c>
      <c r="U70" s="62" t="s">
        <v>3030</v>
      </c>
      <c r="V70" s="60"/>
      <c r="W70" s="60"/>
      <c r="X70" s="60"/>
      <c r="Y70" s="64">
        <f>1000*$D70*10^T70</f>
        <v>0.14152875665329254</v>
      </c>
      <c r="Z70" s="62" t="s">
        <v>3008</v>
      </c>
      <c r="AA70" s="63"/>
    </row>
    <row r="71" spans="1:27" x14ac:dyDescent="0.3">
      <c r="A71" s="130" t="s">
        <v>2339</v>
      </c>
      <c r="B71" s="131" t="s">
        <v>46</v>
      </c>
      <c r="C71" s="132" t="s">
        <v>47</v>
      </c>
      <c r="D71" s="133">
        <v>257.54000000000002</v>
      </c>
      <c r="E71" s="134"/>
      <c r="F71" s="134"/>
      <c r="G71" s="135"/>
      <c r="H71" s="134"/>
      <c r="I71" s="134"/>
      <c r="J71" s="134"/>
      <c r="K71" s="135"/>
      <c r="L71" s="134"/>
      <c r="M71" s="134"/>
      <c r="N71" s="134"/>
      <c r="O71" s="134"/>
      <c r="P71" s="134"/>
      <c r="Q71" s="134"/>
      <c r="R71" s="134"/>
      <c r="S71" s="136"/>
      <c r="T71" s="134"/>
      <c r="U71" s="134"/>
      <c r="V71" s="134"/>
      <c r="W71" s="134"/>
      <c r="X71" s="134"/>
      <c r="Y71" s="137"/>
      <c r="Z71" s="134"/>
      <c r="AA71" s="136"/>
    </row>
    <row r="72" spans="1:27" x14ac:dyDescent="0.3">
      <c r="A72" s="79" t="s">
        <v>2340</v>
      </c>
      <c r="B72" s="80" t="s">
        <v>48</v>
      </c>
      <c r="C72" s="81" t="s">
        <v>49</v>
      </c>
      <c r="D72" s="82">
        <v>257.54000000000002</v>
      </c>
      <c r="E72" s="83">
        <v>5.67</v>
      </c>
      <c r="F72" s="84" t="s">
        <v>2309</v>
      </c>
      <c r="G72" s="85"/>
      <c r="H72" s="83"/>
      <c r="I72" s="126">
        <v>49</v>
      </c>
      <c r="J72" s="88" t="s">
        <v>2914</v>
      </c>
      <c r="K72" s="85">
        <f>I72</f>
        <v>49</v>
      </c>
      <c r="L72" s="83"/>
      <c r="M72" s="83"/>
      <c r="N72" s="83"/>
      <c r="O72" s="83"/>
      <c r="P72" s="83"/>
      <c r="Q72" s="83"/>
      <c r="R72" s="83"/>
      <c r="S72" s="86"/>
      <c r="T72" s="87"/>
      <c r="U72" s="88"/>
      <c r="V72" s="83"/>
      <c r="W72" s="83"/>
      <c r="X72" s="83"/>
      <c r="Y72" s="87">
        <v>8.3299999999999999E-2</v>
      </c>
      <c r="Z72" s="84" t="s">
        <v>2310</v>
      </c>
      <c r="AA72" s="86"/>
    </row>
    <row r="73" spans="1:27" x14ac:dyDescent="0.3">
      <c r="A73" s="39"/>
      <c r="B73" s="25"/>
      <c r="C73" s="45"/>
      <c r="D73" s="46">
        <v>257.54000000000002</v>
      </c>
      <c r="E73" s="60">
        <v>5.67</v>
      </c>
      <c r="F73" s="67" t="s">
        <v>3005</v>
      </c>
      <c r="G73" s="61"/>
      <c r="H73" s="60"/>
      <c r="I73" s="60"/>
      <c r="J73" s="62"/>
      <c r="K73" s="61"/>
      <c r="L73" s="60"/>
      <c r="M73" s="60"/>
      <c r="N73" s="60"/>
      <c r="O73" s="60"/>
      <c r="P73" s="60"/>
      <c r="Q73" s="60"/>
      <c r="R73" s="60"/>
      <c r="S73" s="63"/>
      <c r="T73" s="64"/>
      <c r="U73" s="62"/>
      <c r="V73" s="60"/>
      <c r="W73" s="60"/>
      <c r="X73" s="60"/>
      <c r="Y73" s="64">
        <v>8.3299999999999999E-2</v>
      </c>
      <c r="Z73" s="67" t="s">
        <v>3005</v>
      </c>
      <c r="AA73" s="63"/>
    </row>
    <row r="74" spans="1:27" x14ac:dyDescent="0.3">
      <c r="A74" s="39"/>
      <c r="B74" s="25"/>
      <c r="C74" s="45"/>
      <c r="D74" s="46">
        <v>257.54000000000002</v>
      </c>
      <c r="E74" s="60"/>
      <c r="F74" s="67"/>
      <c r="G74" s="61"/>
      <c r="H74" s="60"/>
      <c r="I74" s="60"/>
      <c r="J74" s="62"/>
      <c r="K74" s="61"/>
      <c r="L74" s="60"/>
      <c r="M74" s="60"/>
      <c r="N74" s="60"/>
      <c r="O74" s="60"/>
      <c r="P74" s="60"/>
      <c r="Q74" s="60"/>
      <c r="R74" s="60"/>
      <c r="S74" s="63"/>
      <c r="T74" s="64">
        <v>-6.29</v>
      </c>
      <c r="U74" s="62" t="s">
        <v>3030</v>
      </c>
      <c r="V74" s="60"/>
      <c r="W74" s="60"/>
      <c r="X74" s="60"/>
      <c r="Y74" s="64">
        <f>1000*$D74*10^T74</f>
        <v>0.13208232083313584</v>
      </c>
      <c r="Z74" s="62" t="s">
        <v>3008</v>
      </c>
      <c r="AA74" s="63"/>
    </row>
    <row r="75" spans="1:27" x14ac:dyDescent="0.3">
      <c r="A75" s="130" t="s">
        <v>2341</v>
      </c>
      <c r="B75" s="131" t="s">
        <v>50</v>
      </c>
      <c r="C75" s="132" t="s">
        <v>51</v>
      </c>
      <c r="D75" s="133">
        <v>257.54000000000002</v>
      </c>
      <c r="E75" s="134"/>
      <c r="F75" s="134"/>
      <c r="G75" s="135"/>
      <c r="H75" s="134"/>
      <c r="I75" s="134"/>
      <c r="J75" s="134"/>
      <c r="K75" s="135"/>
      <c r="L75" s="134"/>
      <c r="M75" s="134"/>
      <c r="N75" s="134"/>
      <c r="O75" s="134"/>
      <c r="P75" s="134"/>
      <c r="Q75" s="134"/>
      <c r="R75" s="134"/>
      <c r="S75" s="136"/>
      <c r="T75" s="134"/>
      <c r="U75" s="134"/>
      <c r="V75" s="134"/>
      <c r="W75" s="134"/>
      <c r="X75" s="134"/>
      <c r="Y75" s="137"/>
      <c r="Z75" s="134"/>
      <c r="AA75" s="136"/>
    </row>
    <row r="76" spans="1:27" x14ac:dyDescent="0.3">
      <c r="A76" s="79" t="s">
        <v>2342</v>
      </c>
      <c r="B76" s="80" t="s">
        <v>52</v>
      </c>
      <c r="C76" s="81" t="s">
        <v>53</v>
      </c>
      <c r="D76" s="82">
        <v>257.54000000000002</v>
      </c>
      <c r="E76" s="83">
        <v>5.76</v>
      </c>
      <c r="F76" s="84" t="s">
        <v>2309</v>
      </c>
      <c r="G76" s="85"/>
      <c r="H76" s="83"/>
      <c r="I76" s="126">
        <v>40</v>
      </c>
      <c r="J76" s="88" t="s">
        <v>2914</v>
      </c>
      <c r="K76" s="85">
        <f>I76</f>
        <v>40</v>
      </c>
      <c r="L76" s="83"/>
      <c r="M76" s="83"/>
      <c r="N76" s="83"/>
      <c r="O76" s="83"/>
      <c r="P76" s="83"/>
      <c r="Q76" s="83"/>
      <c r="R76" s="83"/>
      <c r="S76" s="86"/>
      <c r="T76" s="87"/>
      <c r="U76" s="88"/>
      <c r="V76" s="83"/>
      <c r="W76" s="83"/>
      <c r="X76" s="83"/>
      <c r="Y76" s="87">
        <v>0.253</v>
      </c>
      <c r="Z76" s="84" t="s">
        <v>2310</v>
      </c>
      <c r="AA76" s="86"/>
    </row>
    <row r="77" spans="1:27" x14ac:dyDescent="0.3">
      <c r="A77" s="39"/>
      <c r="B77" s="25"/>
      <c r="C77" s="45"/>
      <c r="D77" s="46">
        <v>257.54000000000002</v>
      </c>
      <c r="E77" s="60">
        <v>5.76</v>
      </c>
      <c r="F77" s="67" t="s">
        <v>3005</v>
      </c>
      <c r="G77" s="61"/>
      <c r="H77" s="60"/>
      <c r="I77" s="60"/>
      <c r="J77" s="62"/>
      <c r="K77" s="61"/>
      <c r="L77" s="60"/>
      <c r="M77" s="60"/>
      <c r="N77" s="60"/>
      <c r="O77" s="60"/>
      <c r="P77" s="60"/>
      <c r="Q77" s="60"/>
      <c r="R77" s="60"/>
      <c r="S77" s="63"/>
      <c r="T77" s="64"/>
      <c r="U77" s="62"/>
      <c r="V77" s="60"/>
      <c r="W77" s="60"/>
      <c r="X77" s="60"/>
      <c r="Y77" s="64">
        <v>0.253</v>
      </c>
      <c r="Z77" s="67" t="s">
        <v>3005</v>
      </c>
      <c r="AA77" s="63"/>
    </row>
    <row r="78" spans="1:27" x14ac:dyDescent="0.3">
      <c r="A78" s="39"/>
      <c r="B78" s="25"/>
      <c r="C78" s="45"/>
      <c r="D78" s="46">
        <v>257.54000000000002</v>
      </c>
      <c r="E78" s="60"/>
      <c r="F78" s="67"/>
      <c r="G78" s="61"/>
      <c r="H78" s="60"/>
      <c r="I78" s="60"/>
      <c r="J78" s="62"/>
      <c r="K78" s="61"/>
      <c r="L78" s="60"/>
      <c r="M78" s="60"/>
      <c r="N78" s="60"/>
      <c r="O78" s="60"/>
      <c r="P78" s="60"/>
      <c r="Q78" s="60"/>
      <c r="R78" s="60"/>
      <c r="S78" s="63"/>
      <c r="T78" s="64">
        <v>-6.01</v>
      </c>
      <c r="U78" s="62" t="s">
        <v>3030</v>
      </c>
      <c r="V78" s="60"/>
      <c r="W78" s="60"/>
      <c r="X78" s="60"/>
      <c r="Y78" s="64">
        <f>1000*$D78*10^T78</f>
        <v>0.25167767388495926</v>
      </c>
      <c r="Z78" s="62" t="s">
        <v>3008</v>
      </c>
      <c r="AA78" s="63"/>
    </row>
    <row r="79" spans="1:27" x14ac:dyDescent="0.3">
      <c r="A79" s="79" t="s">
        <v>2343</v>
      </c>
      <c r="B79" s="80" t="s">
        <v>54</v>
      </c>
      <c r="C79" s="81" t="s">
        <v>55</v>
      </c>
      <c r="D79" s="82">
        <v>257.54000000000002</v>
      </c>
      <c r="E79" s="83"/>
      <c r="F79" s="83"/>
      <c r="G79" s="85"/>
      <c r="H79" s="83"/>
      <c r="I79" s="83"/>
      <c r="J79" s="83"/>
      <c r="K79" s="85"/>
      <c r="L79" s="83"/>
      <c r="M79" s="83"/>
      <c r="N79" s="83"/>
      <c r="O79" s="83"/>
      <c r="P79" s="83"/>
      <c r="Q79" s="83"/>
      <c r="R79" s="83"/>
      <c r="S79" s="86"/>
      <c r="T79" s="83"/>
      <c r="U79" s="83"/>
      <c r="V79" s="83"/>
      <c r="W79" s="83"/>
      <c r="X79" s="83"/>
      <c r="Y79" s="87">
        <v>3.8600000000000002E-2</v>
      </c>
      <c r="Z79" s="84" t="s">
        <v>2310</v>
      </c>
      <c r="AA79" s="86"/>
    </row>
    <row r="80" spans="1:27" x14ac:dyDescent="0.3">
      <c r="A80" s="39"/>
      <c r="B80" s="25"/>
      <c r="C80" s="45"/>
      <c r="D80" s="46">
        <v>257.54000000000002</v>
      </c>
      <c r="E80" s="60"/>
      <c r="F80" s="60"/>
      <c r="G80" s="61"/>
      <c r="H80" s="60"/>
      <c r="I80" s="60"/>
      <c r="J80" s="60"/>
      <c r="K80" s="61"/>
      <c r="L80" s="60"/>
      <c r="M80" s="60"/>
      <c r="N80" s="60"/>
      <c r="O80" s="60"/>
      <c r="P80" s="60"/>
      <c r="Q80" s="60"/>
      <c r="R80" s="60"/>
      <c r="S80" s="63"/>
      <c r="T80" s="60"/>
      <c r="U80" s="60"/>
      <c r="V80" s="60"/>
      <c r="W80" s="60"/>
      <c r="X80" s="60"/>
      <c r="Y80" s="64">
        <v>3.8580000000000003E-2</v>
      </c>
      <c r="Z80" s="67" t="s">
        <v>3005</v>
      </c>
      <c r="AA80" s="63"/>
    </row>
    <row r="81" spans="1:27" x14ac:dyDescent="0.3">
      <c r="A81" s="79" t="s">
        <v>2344</v>
      </c>
      <c r="B81" s="80" t="s">
        <v>56</v>
      </c>
      <c r="C81" s="81" t="s">
        <v>57</v>
      </c>
      <c r="D81" s="82">
        <v>257.54000000000002</v>
      </c>
      <c r="E81" s="83">
        <v>5.62</v>
      </c>
      <c r="F81" s="84" t="s">
        <v>2309</v>
      </c>
      <c r="G81" s="85"/>
      <c r="H81" s="83"/>
      <c r="I81" s="126">
        <v>57</v>
      </c>
      <c r="J81" s="88" t="s">
        <v>2914</v>
      </c>
      <c r="K81" s="85">
        <f>I81</f>
        <v>57</v>
      </c>
      <c r="L81" s="83">
        <v>25</v>
      </c>
      <c r="M81" s="87"/>
      <c r="N81" s="87"/>
      <c r="O81" s="83"/>
      <c r="P81" s="83"/>
      <c r="Q81" s="92">
        <v>4.0000000000000002E-4</v>
      </c>
      <c r="R81" s="84" t="s">
        <v>2310</v>
      </c>
      <c r="S81" s="86">
        <f>Q83</f>
        <v>8.5339884567296693E-5</v>
      </c>
      <c r="T81" s="87"/>
      <c r="U81" s="88"/>
      <c r="V81" s="87"/>
      <c r="W81" s="83"/>
      <c r="X81" s="83"/>
      <c r="Y81" s="163">
        <v>0.42</v>
      </c>
      <c r="Z81" s="90" t="s">
        <v>3009</v>
      </c>
      <c r="AA81" s="86">
        <f>Y83</f>
        <v>0.12624702171634888</v>
      </c>
    </row>
    <row r="82" spans="1:27" x14ac:dyDescent="0.3">
      <c r="A82" s="39"/>
      <c r="B82" s="25"/>
      <c r="C82" s="45"/>
      <c r="D82" s="46">
        <v>257.54000000000002</v>
      </c>
      <c r="E82" s="60">
        <v>5.62</v>
      </c>
      <c r="F82" s="67" t="s">
        <v>3005</v>
      </c>
      <c r="G82" s="61"/>
      <c r="H82" s="60"/>
      <c r="I82" s="60"/>
      <c r="J82" s="62"/>
      <c r="K82" s="61"/>
      <c r="L82" s="60">
        <v>25</v>
      </c>
      <c r="M82" s="64"/>
      <c r="N82" s="64"/>
      <c r="O82" s="60"/>
      <c r="P82" s="60"/>
      <c r="Q82" s="65">
        <v>1.95E-4</v>
      </c>
      <c r="R82" s="67" t="s">
        <v>3005</v>
      </c>
      <c r="S82" s="63"/>
      <c r="T82" s="64"/>
      <c r="U82" s="62"/>
      <c r="V82" s="64"/>
      <c r="W82" s="60"/>
      <c r="X82" s="60"/>
      <c r="Y82" s="64">
        <v>0.27</v>
      </c>
      <c r="Z82" s="67" t="s">
        <v>3005</v>
      </c>
      <c r="AA82" s="63"/>
    </row>
    <row r="83" spans="1:27" x14ac:dyDescent="0.3">
      <c r="A83" s="39"/>
      <c r="B83" s="25"/>
      <c r="C83" s="45"/>
      <c r="D83" s="46">
        <v>257.54000000000002</v>
      </c>
      <c r="E83" s="60"/>
      <c r="F83" s="60"/>
      <c r="G83" s="61"/>
      <c r="H83" s="60"/>
      <c r="I83" s="60"/>
      <c r="J83" s="62"/>
      <c r="K83" s="61"/>
      <c r="L83" s="60">
        <v>25</v>
      </c>
      <c r="M83" s="64">
        <f>10^(-1.63)</f>
        <v>2.3442288153199219E-2</v>
      </c>
      <c r="N83" s="64">
        <f>$N$1*M83</f>
        <v>1.7583161890385852E-4</v>
      </c>
      <c r="O83" s="60">
        <v>56</v>
      </c>
      <c r="P83" s="60">
        <f>$K81</f>
        <v>57</v>
      </c>
      <c r="Q83" s="73">
        <f>N83*EXP(-O83*((P83+273.15)/298.15-1)/$Q$1)</f>
        <v>8.5339884567296693E-5</v>
      </c>
      <c r="R83" s="67" t="s">
        <v>3012</v>
      </c>
      <c r="S83" s="63"/>
      <c r="T83" s="64"/>
      <c r="U83" s="62"/>
      <c r="V83" s="64">
        <f>$D83*0.00101</f>
        <v>0.26011540000000005</v>
      </c>
      <c r="W83" s="60">
        <v>56</v>
      </c>
      <c r="X83" s="60">
        <f>$K81</f>
        <v>57</v>
      </c>
      <c r="Y83" s="73">
        <f>V83*EXP(-$W83*(($X83+$W$1)/298.15-1)/$Y$1)</f>
        <v>0.12624702171634888</v>
      </c>
      <c r="Z83" s="67" t="s">
        <v>3012</v>
      </c>
      <c r="AA83" s="63"/>
    </row>
    <row r="84" spans="1:27" x14ac:dyDescent="0.3">
      <c r="A84" s="39"/>
      <c r="B84" s="25"/>
      <c r="C84" s="45"/>
      <c r="D84" s="46">
        <v>257.54000000000002</v>
      </c>
      <c r="E84" s="60"/>
      <c r="F84" s="60"/>
      <c r="G84" s="61"/>
      <c r="H84" s="60"/>
      <c r="I84" s="60"/>
      <c r="J84" s="62"/>
      <c r="K84" s="61"/>
      <c r="L84" s="60">
        <v>25</v>
      </c>
      <c r="M84" s="64">
        <f>10^(-4157/298.15+12.31)</f>
        <v>2.329987982416519E-2</v>
      </c>
      <c r="N84" s="64">
        <f>$N$1*M84</f>
        <v>1.7476346860744517E-4</v>
      </c>
      <c r="O84" s="60">
        <v>56</v>
      </c>
      <c r="P84" s="60">
        <f>$K81</f>
        <v>57</v>
      </c>
      <c r="Q84" s="74">
        <f>N84*EXP(-O84*((P84+273.15)/298.15-1)/$Q$1)</f>
        <v>8.4821457770314961E-5</v>
      </c>
      <c r="R84" s="67" t="s">
        <v>3016</v>
      </c>
      <c r="S84" s="63"/>
      <c r="T84" s="64">
        <v>-6.21</v>
      </c>
      <c r="U84" s="62"/>
      <c r="V84" s="64"/>
      <c r="W84" s="60"/>
      <c r="X84" s="60"/>
      <c r="Y84" s="64">
        <f>1000*$D84*10^T84</f>
        <v>0.15879787677940596</v>
      </c>
      <c r="Z84" s="62" t="s">
        <v>3008</v>
      </c>
      <c r="AA84" s="63"/>
    </row>
    <row r="85" spans="1:27" x14ac:dyDescent="0.3">
      <c r="A85" s="79" t="s">
        <v>2345</v>
      </c>
      <c r="B85" s="80" t="s">
        <v>58</v>
      </c>
      <c r="C85" s="81" t="s">
        <v>59</v>
      </c>
      <c r="D85" s="82">
        <v>257.54000000000002</v>
      </c>
      <c r="E85" s="83">
        <v>5.81</v>
      </c>
      <c r="F85" s="84" t="s">
        <v>2309</v>
      </c>
      <c r="G85" s="85">
        <f>E87</f>
        <v>5.9009999999999998</v>
      </c>
      <c r="H85" s="83"/>
      <c r="I85" s="83">
        <v>76.3</v>
      </c>
      <c r="J85" s="84" t="s">
        <v>2309</v>
      </c>
      <c r="K85" s="85">
        <f>I87</f>
        <v>76.350000000000023</v>
      </c>
      <c r="L85" s="83">
        <v>25</v>
      </c>
      <c r="M85" s="87"/>
      <c r="N85" s="87"/>
      <c r="O85" s="83"/>
      <c r="P85" s="83"/>
      <c r="Q85" s="92">
        <v>9.7499999999999996E-4</v>
      </c>
      <c r="R85" s="84" t="s">
        <v>2310</v>
      </c>
      <c r="S85" s="86">
        <f>Q87</f>
        <v>8.6805860948204527E-5</v>
      </c>
      <c r="T85" s="87"/>
      <c r="U85" s="88"/>
      <c r="V85" s="87"/>
      <c r="W85" s="83"/>
      <c r="X85" s="83"/>
      <c r="Y85" s="83">
        <v>0.16300000000000001</v>
      </c>
      <c r="Z85" s="84" t="s">
        <v>2310</v>
      </c>
      <c r="AA85" s="86">
        <f>Y87</f>
        <v>0.12411083847730046</v>
      </c>
    </row>
    <row r="86" spans="1:27" x14ac:dyDescent="0.3">
      <c r="A86" s="39"/>
      <c r="B86" s="25"/>
      <c r="C86" s="45"/>
      <c r="D86" s="46">
        <v>257.54000000000002</v>
      </c>
      <c r="E86" s="60">
        <v>5.81</v>
      </c>
      <c r="F86" s="67" t="s">
        <v>3005</v>
      </c>
      <c r="G86" s="61"/>
      <c r="H86" s="60"/>
      <c r="I86" s="60">
        <v>76.3</v>
      </c>
      <c r="J86" s="67" t="s">
        <v>3005</v>
      </c>
      <c r="K86" s="61"/>
      <c r="L86" s="60">
        <v>25</v>
      </c>
      <c r="M86" s="64"/>
      <c r="N86" s="64"/>
      <c r="O86" s="60"/>
      <c r="P86" s="60"/>
      <c r="Q86" s="65">
        <v>9.7499999999999996E-4</v>
      </c>
      <c r="R86" s="67" t="s">
        <v>3005</v>
      </c>
      <c r="S86" s="63"/>
      <c r="T86" s="64"/>
      <c r="U86" s="62"/>
      <c r="V86" s="64"/>
      <c r="W86" s="60"/>
      <c r="X86" s="60"/>
      <c r="Y86" s="60">
        <v>0.16300000000000001</v>
      </c>
      <c r="Z86" s="67" t="s">
        <v>3005</v>
      </c>
      <c r="AA86" s="63"/>
    </row>
    <row r="87" spans="1:27" x14ac:dyDescent="0.3">
      <c r="A87" s="39"/>
      <c r="B87" s="25"/>
      <c r="C87" s="45"/>
      <c r="D87" s="46">
        <v>257.54000000000002</v>
      </c>
      <c r="E87" s="50">
        <v>5.9009999999999998</v>
      </c>
      <c r="F87" s="13" t="s">
        <v>2969</v>
      </c>
      <c r="G87" s="61"/>
      <c r="H87" s="60">
        <v>349.5</v>
      </c>
      <c r="I87" s="68">
        <f>H87-$H$1</f>
        <v>76.350000000000023</v>
      </c>
      <c r="J87" s="62" t="s">
        <v>2314</v>
      </c>
      <c r="K87" s="61"/>
      <c r="L87" s="60">
        <v>25</v>
      </c>
      <c r="M87" s="64">
        <f>10^(-1.35)</f>
        <v>4.4668359215096293E-2</v>
      </c>
      <c r="N87" s="64">
        <f>$N$1*M87</f>
        <v>3.3504024279718621E-4</v>
      </c>
      <c r="O87" s="60">
        <v>65.2</v>
      </c>
      <c r="P87" s="60">
        <f>$K85</f>
        <v>76.350000000000023</v>
      </c>
      <c r="Q87" s="73">
        <f>N87*EXP(-O87*((P87+273.15)/298.15-1)/$Q$1)</f>
        <v>8.6805860948204527E-5</v>
      </c>
      <c r="R87" s="67" t="s">
        <v>3012</v>
      </c>
      <c r="S87" s="63"/>
      <c r="T87" s="64"/>
      <c r="U87" s="62"/>
      <c r="V87" s="64">
        <f>$D87*0.00186</f>
        <v>0.47902440000000007</v>
      </c>
      <c r="W87" s="60">
        <v>65.2</v>
      </c>
      <c r="X87" s="60">
        <f>$K85</f>
        <v>76.350000000000023</v>
      </c>
      <c r="Y87" s="73">
        <f>V87*EXP(-$W87*(($X87+$W$1)/298.15-1)/$Y$1)</f>
        <v>0.12411083847730046</v>
      </c>
      <c r="Z87" s="67" t="s">
        <v>3012</v>
      </c>
      <c r="AA87" s="63"/>
    </row>
    <row r="88" spans="1:27" x14ac:dyDescent="0.3">
      <c r="A88" s="39"/>
      <c r="B88" s="25"/>
      <c r="C88" s="45"/>
      <c r="D88" s="46">
        <v>257.54000000000002</v>
      </c>
      <c r="E88" s="60"/>
      <c r="F88" s="60"/>
      <c r="G88" s="61"/>
      <c r="H88" s="60"/>
      <c r="I88" s="60">
        <f>AVERAGE(76,78)</f>
        <v>77</v>
      </c>
      <c r="J88" s="67" t="s">
        <v>2743</v>
      </c>
      <c r="K88" s="61"/>
      <c r="L88" s="60"/>
      <c r="M88" s="64"/>
      <c r="N88" s="64"/>
      <c r="O88" s="60"/>
      <c r="P88" s="60"/>
      <c r="Q88" s="74"/>
      <c r="R88" s="67"/>
      <c r="S88" s="63"/>
      <c r="T88" s="64"/>
      <c r="U88" s="62"/>
      <c r="V88" s="64">
        <f>$D88*10^(-824/298.15+0.03)</f>
        <v>0.47548316971409738</v>
      </c>
      <c r="W88" s="60">
        <v>65.2</v>
      </c>
      <c r="X88" s="60">
        <f>$K85</f>
        <v>76.350000000000023</v>
      </c>
      <c r="Y88" s="74">
        <f>V88*EXP(-$W88*(($X88+$W$1)/298.15-1)/$Y$1)</f>
        <v>0.12319333811609842</v>
      </c>
      <c r="Z88" s="67" t="s">
        <v>3011</v>
      </c>
      <c r="AA88" s="63"/>
    </row>
    <row r="89" spans="1:27" x14ac:dyDescent="0.3">
      <c r="A89" s="39"/>
      <c r="B89" s="25"/>
      <c r="C89" s="45"/>
      <c r="D89" s="46">
        <v>257.54000000000002</v>
      </c>
      <c r="E89" s="60"/>
      <c r="F89" s="60"/>
      <c r="G89" s="61"/>
      <c r="H89" s="60"/>
      <c r="I89" s="60"/>
      <c r="J89" s="67"/>
      <c r="K89" s="61"/>
      <c r="L89" s="60"/>
      <c r="M89" s="64"/>
      <c r="N89" s="64"/>
      <c r="O89" s="60"/>
      <c r="P89" s="60"/>
      <c r="Q89" s="64"/>
      <c r="R89" s="67"/>
      <c r="S89" s="63"/>
      <c r="T89" s="64">
        <v>-6.27</v>
      </c>
      <c r="U89" s="62" t="s">
        <v>3030</v>
      </c>
      <c r="V89" s="64"/>
      <c r="W89" s="60"/>
      <c r="X89" s="60"/>
      <c r="Y89" s="64">
        <f>1000*$D89*10^T89</f>
        <v>0.13830716883719482</v>
      </c>
      <c r="Z89" s="62" t="s">
        <v>3008</v>
      </c>
      <c r="AA89" s="63"/>
    </row>
    <row r="90" spans="1:27" x14ac:dyDescent="0.3">
      <c r="A90" s="79" t="s">
        <v>2346</v>
      </c>
      <c r="B90" s="80" t="s">
        <v>60</v>
      </c>
      <c r="C90" s="81" t="s">
        <v>61</v>
      </c>
      <c r="D90" s="82">
        <v>257.54000000000002</v>
      </c>
      <c r="E90" s="83">
        <v>5.47</v>
      </c>
      <c r="F90" s="84" t="s">
        <v>2309</v>
      </c>
      <c r="G90" s="85">
        <f>E92</f>
        <v>5.7110000000000003</v>
      </c>
      <c r="H90" s="83">
        <v>334.3</v>
      </c>
      <c r="I90" s="126">
        <f>H90-$H$1</f>
        <v>61.150000000000034</v>
      </c>
      <c r="J90" s="84" t="s">
        <v>2745</v>
      </c>
      <c r="K90" s="85">
        <f>I90</f>
        <v>61.150000000000034</v>
      </c>
      <c r="L90" s="83">
        <v>25</v>
      </c>
      <c r="M90" s="83"/>
      <c r="N90" s="83"/>
      <c r="O90" s="83"/>
      <c r="P90" s="83"/>
      <c r="Q90" s="92">
        <v>7.1599999999999995E-4</v>
      </c>
      <c r="R90" s="84" t="s">
        <v>2310</v>
      </c>
      <c r="S90" s="86"/>
      <c r="T90" s="87"/>
      <c r="U90" s="88"/>
      <c r="V90" s="92"/>
      <c r="W90" s="83"/>
      <c r="X90" s="83"/>
      <c r="Y90" s="83">
        <v>0.252</v>
      </c>
      <c r="Z90" s="83"/>
      <c r="AA90" s="86"/>
    </row>
    <row r="91" spans="1:27" x14ac:dyDescent="0.3">
      <c r="A91" s="39"/>
      <c r="B91" s="25"/>
      <c r="C91" s="45"/>
      <c r="D91" s="46">
        <v>257.54000000000002</v>
      </c>
      <c r="E91" s="60">
        <v>5.47</v>
      </c>
      <c r="F91" s="67" t="s">
        <v>3005</v>
      </c>
      <c r="G91" s="61"/>
      <c r="H91" s="60"/>
      <c r="I91" s="60"/>
      <c r="J91" s="67"/>
      <c r="K91" s="61"/>
      <c r="L91" s="60">
        <v>25</v>
      </c>
      <c r="M91" s="60"/>
      <c r="N91" s="60"/>
      <c r="O91" s="60"/>
      <c r="P91" s="60"/>
      <c r="Q91" s="65">
        <v>7.1599999999999995E-4</v>
      </c>
      <c r="R91" s="67" t="s">
        <v>3005</v>
      </c>
      <c r="S91" s="63"/>
      <c r="T91" s="64"/>
      <c r="U91" s="62"/>
      <c r="V91" s="65"/>
      <c r="W91" s="60"/>
      <c r="X91" s="60"/>
      <c r="Y91" s="64">
        <v>0.252</v>
      </c>
      <c r="Z91" s="60"/>
      <c r="AA91" s="63"/>
    </row>
    <row r="92" spans="1:27" x14ac:dyDescent="0.3">
      <c r="A92" s="39"/>
      <c r="B92" s="25"/>
      <c r="C92" s="45"/>
      <c r="D92" s="46">
        <v>257.54000000000002</v>
      </c>
      <c r="E92" s="50">
        <v>5.7110000000000003</v>
      </c>
      <c r="F92" s="13" t="s">
        <v>2969</v>
      </c>
      <c r="G92" s="61"/>
      <c r="H92" s="60"/>
      <c r="I92" s="60"/>
      <c r="J92" s="67"/>
      <c r="K92" s="61"/>
      <c r="L92" s="60"/>
      <c r="M92" s="60"/>
      <c r="N92" s="60"/>
      <c r="O92" s="60"/>
      <c r="P92" s="60"/>
      <c r="Q92" s="60"/>
      <c r="R92" s="60"/>
      <c r="S92" s="63"/>
      <c r="T92" s="64">
        <v>-6.14</v>
      </c>
      <c r="U92" s="62" t="s">
        <v>3030</v>
      </c>
      <c r="V92" s="65"/>
      <c r="W92" s="60"/>
      <c r="X92" s="60"/>
      <c r="Y92" s="64">
        <f>1000*$D92*10^T92</f>
        <v>0.18657123715771295</v>
      </c>
      <c r="Z92" s="62" t="s">
        <v>3008</v>
      </c>
      <c r="AA92" s="63"/>
    </row>
    <row r="93" spans="1:27" x14ac:dyDescent="0.3">
      <c r="A93" s="79" t="s">
        <v>2347</v>
      </c>
      <c r="B93" s="80" t="s">
        <v>62</v>
      </c>
      <c r="C93" s="81" t="s">
        <v>63</v>
      </c>
      <c r="D93" s="82">
        <v>257.54000000000002</v>
      </c>
      <c r="E93" s="83">
        <v>5.69</v>
      </c>
      <c r="F93" s="84" t="s">
        <v>2309</v>
      </c>
      <c r="G93" s="85"/>
      <c r="H93" s="83"/>
      <c r="I93" s="126">
        <v>67</v>
      </c>
      <c r="J93" s="88" t="s">
        <v>2914</v>
      </c>
      <c r="K93" s="85">
        <f>I93</f>
        <v>67</v>
      </c>
      <c r="L93" s="83">
        <v>25</v>
      </c>
      <c r="M93" s="87"/>
      <c r="N93" s="87"/>
      <c r="O93" s="83"/>
      <c r="P93" s="83"/>
      <c r="Q93" s="92">
        <v>4.0000000000000002E-4</v>
      </c>
      <c r="R93" s="84" t="s">
        <v>2310</v>
      </c>
      <c r="S93" s="86">
        <f>Q95</f>
        <v>6.9669751655077549E-5</v>
      </c>
      <c r="T93" s="87"/>
      <c r="U93" s="88"/>
      <c r="V93" s="87"/>
      <c r="W93" s="83"/>
      <c r="X93" s="83"/>
      <c r="Y93" s="83">
        <v>0.14299999999999999</v>
      </c>
      <c r="Z93" s="84" t="s">
        <v>2310</v>
      </c>
      <c r="AA93" s="86">
        <f>Y95</f>
        <v>8.506306168105629E-2</v>
      </c>
    </row>
    <row r="94" spans="1:27" x14ac:dyDescent="0.3">
      <c r="A94" s="39"/>
      <c r="B94" s="25"/>
      <c r="C94" s="45"/>
      <c r="D94" s="46">
        <v>257.54000000000002</v>
      </c>
      <c r="E94" s="60">
        <v>5.69</v>
      </c>
      <c r="F94" s="67" t="s">
        <v>3005</v>
      </c>
      <c r="G94" s="61"/>
      <c r="H94" s="60"/>
      <c r="I94" s="60"/>
      <c r="J94" s="62"/>
      <c r="K94" s="61"/>
      <c r="L94" s="60">
        <v>25</v>
      </c>
      <c r="M94" s="64"/>
      <c r="N94" s="64"/>
      <c r="O94" s="60"/>
      <c r="P94" s="60"/>
      <c r="Q94" s="65">
        <v>4.0000000000000002E-4</v>
      </c>
      <c r="R94" s="67" t="s">
        <v>3005</v>
      </c>
      <c r="S94" s="63"/>
      <c r="T94" s="64"/>
      <c r="U94" s="62"/>
      <c r="V94" s="64"/>
      <c r="W94" s="60"/>
      <c r="X94" s="60"/>
      <c r="Y94" s="60">
        <v>0.14299999999999999</v>
      </c>
      <c r="Z94" s="67" t="s">
        <v>3005</v>
      </c>
      <c r="AA94" s="63"/>
    </row>
    <row r="95" spans="1:27" x14ac:dyDescent="0.3">
      <c r="A95" s="39"/>
      <c r="B95" s="25"/>
      <c r="C95" s="45"/>
      <c r="D95" s="46">
        <v>257.54000000000002</v>
      </c>
      <c r="E95" s="60"/>
      <c r="F95" s="60"/>
      <c r="G95" s="61"/>
      <c r="H95" s="60"/>
      <c r="I95" s="60"/>
      <c r="J95" s="62"/>
      <c r="K95" s="61"/>
      <c r="L95" s="60">
        <v>25</v>
      </c>
      <c r="M95" s="64">
        <f>10^(-1.62)</f>
        <v>2.3988329190194894E-2</v>
      </c>
      <c r="N95" s="64">
        <f>$N$1*M95</f>
        <v>1.7992726344569852E-4</v>
      </c>
      <c r="O95" s="60">
        <v>56</v>
      </c>
      <c r="P95" s="60">
        <f>$K93</f>
        <v>67</v>
      </c>
      <c r="Q95" s="73">
        <f>N95*EXP(-O95*((P95+273.15)/298.15-1)/$Q$1)</f>
        <v>6.9669751655077549E-5</v>
      </c>
      <c r="R95" s="67" t="s">
        <v>3012</v>
      </c>
      <c r="S95" s="63"/>
      <c r="T95" s="64"/>
      <c r="U95" s="62"/>
      <c r="V95" s="64">
        <f>$D95*0.000853</f>
        <v>0.21968162000000002</v>
      </c>
      <c r="W95" s="60">
        <v>56</v>
      </c>
      <c r="X95" s="60">
        <f>$K93</f>
        <v>67</v>
      </c>
      <c r="Y95" s="73">
        <f>V95*EXP(-$W95*(($X95+$W$1)/298.15-1)/$Y$1)</f>
        <v>8.506306168105629E-2</v>
      </c>
      <c r="Z95" s="67" t="s">
        <v>3012</v>
      </c>
      <c r="AA95" s="63"/>
    </row>
    <row r="96" spans="1:27" x14ac:dyDescent="0.3">
      <c r="A96" s="39"/>
      <c r="B96" s="25"/>
      <c r="C96" s="45"/>
      <c r="D96" s="46">
        <v>257.54000000000002</v>
      </c>
      <c r="E96" s="60"/>
      <c r="F96" s="60"/>
      <c r="G96" s="61"/>
      <c r="H96" s="60"/>
      <c r="I96" s="60"/>
      <c r="J96" s="62"/>
      <c r="K96" s="61"/>
      <c r="L96" s="60">
        <v>25</v>
      </c>
      <c r="M96" s="64">
        <f>10^(-4149/298.15+12.29)</f>
        <v>2.3669321707160036E-2</v>
      </c>
      <c r="N96" s="64">
        <f>$N$1*M96</f>
        <v>1.775345105788326E-4</v>
      </c>
      <c r="O96" s="60">
        <v>56</v>
      </c>
      <c r="P96" s="60">
        <f>$K93</f>
        <v>67</v>
      </c>
      <c r="Q96" s="74">
        <f>N96*EXP(-O96*((P96+273.15)/298.15-1)/$Q$1)</f>
        <v>6.8743252275194335E-5</v>
      </c>
      <c r="R96" s="67" t="s">
        <v>3016</v>
      </c>
      <c r="S96" s="63"/>
      <c r="T96" s="64">
        <v>-6.25</v>
      </c>
      <c r="U96" s="62" t="s">
        <v>3030</v>
      </c>
      <c r="V96" s="64"/>
      <c r="W96" s="60"/>
      <c r="X96" s="60"/>
      <c r="Y96" s="64">
        <f>1000*$D96*10^T96</f>
        <v>0.14482538488952243</v>
      </c>
      <c r="Z96" s="62" t="s">
        <v>3008</v>
      </c>
      <c r="AA96" s="63"/>
    </row>
    <row r="97" spans="1:27" x14ac:dyDescent="0.3">
      <c r="A97" s="79" t="s">
        <v>2348</v>
      </c>
      <c r="B97" s="80" t="s">
        <v>64</v>
      </c>
      <c r="C97" s="81" t="s">
        <v>65</v>
      </c>
      <c r="D97" s="82">
        <v>257.54000000000002</v>
      </c>
      <c r="E97" s="83">
        <v>5.75</v>
      </c>
      <c r="F97" s="84" t="s">
        <v>2309</v>
      </c>
      <c r="G97" s="85"/>
      <c r="H97" s="83"/>
      <c r="I97" s="83"/>
      <c r="J97" s="83"/>
      <c r="K97" s="85"/>
      <c r="L97" s="83"/>
      <c r="M97" s="83"/>
      <c r="N97" s="83"/>
      <c r="O97" s="83"/>
      <c r="P97" s="83"/>
      <c r="Q97" s="83"/>
      <c r="R97" s="83"/>
      <c r="S97" s="86"/>
      <c r="T97" s="83"/>
      <c r="U97" s="83"/>
      <c r="V97" s="92"/>
      <c r="W97" s="83"/>
      <c r="X97" s="83"/>
      <c r="Y97" s="87">
        <v>0.159</v>
      </c>
      <c r="Z97" s="84" t="s">
        <v>2310</v>
      </c>
      <c r="AA97" s="86"/>
    </row>
    <row r="98" spans="1:27" x14ac:dyDescent="0.3">
      <c r="A98" s="39"/>
      <c r="B98" s="25"/>
      <c r="C98" s="45"/>
      <c r="D98" s="46">
        <v>257.54000000000002</v>
      </c>
      <c r="E98" s="60">
        <v>5.75</v>
      </c>
      <c r="F98" s="67" t="s">
        <v>3005</v>
      </c>
      <c r="G98" s="61"/>
      <c r="H98" s="60"/>
      <c r="I98" s="60"/>
      <c r="J98" s="60"/>
      <c r="K98" s="61"/>
      <c r="L98" s="60"/>
      <c r="M98" s="60"/>
      <c r="N98" s="60"/>
      <c r="O98" s="60"/>
      <c r="P98" s="60"/>
      <c r="Q98" s="60"/>
      <c r="R98" s="60"/>
      <c r="S98" s="63"/>
      <c r="T98" s="60"/>
      <c r="U98" s="60"/>
      <c r="V98" s="65"/>
      <c r="W98" s="60"/>
      <c r="X98" s="60"/>
      <c r="Y98" s="64">
        <v>0.159</v>
      </c>
      <c r="Z98" s="67" t="s">
        <v>3005</v>
      </c>
      <c r="AA98" s="63"/>
    </row>
    <row r="99" spans="1:27" x14ac:dyDescent="0.3">
      <c r="A99" s="79" t="s">
        <v>2349</v>
      </c>
      <c r="B99" s="80" t="s">
        <v>66</v>
      </c>
      <c r="C99" s="81" t="s">
        <v>67</v>
      </c>
      <c r="D99" s="82">
        <v>257.54000000000002</v>
      </c>
      <c r="E99" s="83">
        <v>5.87</v>
      </c>
      <c r="F99" s="84" t="s">
        <v>2309</v>
      </c>
      <c r="G99" s="85">
        <f>E101</f>
        <v>5.8719999999999999</v>
      </c>
      <c r="H99" s="83"/>
      <c r="I99" s="126">
        <v>60</v>
      </c>
      <c r="J99" s="88" t="s">
        <v>2914</v>
      </c>
      <c r="K99" s="85">
        <f>I99</f>
        <v>60</v>
      </c>
      <c r="L99" s="83">
        <v>25</v>
      </c>
      <c r="M99" s="83"/>
      <c r="N99" s="83"/>
      <c r="O99" s="83"/>
      <c r="P99" s="83"/>
      <c r="Q99" s="83">
        <v>1.03E-4</v>
      </c>
      <c r="R99" s="84" t="s">
        <v>2310</v>
      </c>
      <c r="S99" s="86"/>
      <c r="T99" s="87"/>
      <c r="U99" s="88"/>
      <c r="V99" s="83"/>
      <c r="W99" s="83"/>
      <c r="X99" s="83"/>
      <c r="Y99" s="87">
        <v>0.13300000000000001</v>
      </c>
      <c r="Z99" s="84" t="s">
        <v>2310</v>
      </c>
      <c r="AA99" s="86"/>
    </row>
    <row r="100" spans="1:27" x14ac:dyDescent="0.3">
      <c r="A100" s="39"/>
      <c r="B100" s="25"/>
      <c r="C100" s="45"/>
      <c r="D100" s="46">
        <v>257.54000000000002</v>
      </c>
      <c r="E100" s="60">
        <v>5.87</v>
      </c>
      <c r="F100" s="67" t="s">
        <v>3005</v>
      </c>
      <c r="G100" s="61"/>
      <c r="H100" s="60"/>
      <c r="I100" s="60"/>
      <c r="J100" s="62"/>
      <c r="K100" s="61"/>
      <c r="L100" s="60">
        <v>25</v>
      </c>
      <c r="M100" s="60"/>
      <c r="N100" s="60"/>
      <c r="O100" s="60"/>
      <c r="P100" s="60"/>
      <c r="Q100" s="60">
        <v>1.03E-4</v>
      </c>
      <c r="R100" s="67" t="s">
        <v>3005</v>
      </c>
      <c r="S100" s="63"/>
      <c r="T100" s="64"/>
      <c r="U100" s="62"/>
      <c r="V100" s="60"/>
      <c r="W100" s="60"/>
      <c r="X100" s="60"/>
      <c r="Y100" s="64">
        <v>0.13300000000000001</v>
      </c>
      <c r="Z100" s="67" t="s">
        <v>3005</v>
      </c>
      <c r="AA100" s="63"/>
    </row>
    <row r="101" spans="1:27" x14ac:dyDescent="0.3">
      <c r="A101" s="39"/>
      <c r="B101" s="25"/>
      <c r="C101" s="45"/>
      <c r="D101" s="46">
        <v>257.54000000000002</v>
      </c>
      <c r="E101" s="50">
        <v>5.8719999999999999</v>
      </c>
      <c r="F101" s="13" t="s">
        <v>2969</v>
      </c>
      <c r="G101" s="61"/>
      <c r="H101" s="60"/>
      <c r="I101" s="60"/>
      <c r="J101" s="62"/>
      <c r="K101" s="61"/>
      <c r="L101" s="60"/>
      <c r="M101" s="60"/>
      <c r="N101" s="60"/>
      <c r="O101" s="60"/>
      <c r="P101" s="60"/>
      <c r="Q101" s="60"/>
      <c r="R101" s="60"/>
      <c r="S101" s="63"/>
      <c r="T101" s="64">
        <v>-6.29</v>
      </c>
      <c r="U101" s="62" t="s">
        <v>3030</v>
      </c>
      <c r="V101" s="60"/>
      <c r="W101" s="60"/>
      <c r="X101" s="60"/>
      <c r="Y101" s="64">
        <f>1000*$D101*10^T101</f>
        <v>0.13208232083313584</v>
      </c>
      <c r="Z101" s="62" t="s">
        <v>3008</v>
      </c>
      <c r="AA101" s="63"/>
    </row>
    <row r="102" spans="1:27" x14ac:dyDescent="0.3">
      <c r="A102" s="79" t="s">
        <v>2350</v>
      </c>
      <c r="B102" s="80" t="s">
        <v>68</v>
      </c>
      <c r="C102" s="81" t="s">
        <v>69</v>
      </c>
      <c r="D102" s="82">
        <v>257.54000000000002</v>
      </c>
      <c r="E102" s="83"/>
      <c r="F102" s="83"/>
      <c r="G102" s="85"/>
      <c r="H102" s="83"/>
      <c r="I102" s="83"/>
      <c r="J102" s="83"/>
      <c r="K102" s="85"/>
      <c r="L102" s="83"/>
      <c r="M102" s="83"/>
      <c r="N102" s="83"/>
      <c r="O102" s="83"/>
      <c r="P102" s="83"/>
      <c r="Q102" s="83"/>
      <c r="R102" s="83"/>
      <c r="S102" s="86"/>
      <c r="T102" s="83"/>
      <c r="U102" s="83"/>
      <c r="V102" s="83"/>
      <c r="W102" s="83"/>
      <c r="X102" s="83"/>
      <c r="Y102" s="87">
        <v>0.129</v>
      </c>
      <c r="Z102" s="84" t="s">
        <v>2310</v>
      </c>
      <c r="AA102" s="86"/>
    </row>
    <row r="103" spans="1:27" x14ac:dyDescent="0.3">
      <c r="A103" s="39"/>
      <c r="B103" s="25"/>
      <c r="C103" s="45"/>
      <c r="D103" s="46">
        <v>257.54000000000002</v>
      </c>
      <c r="E103" s="60"/>
      <c r="F103" s="60"/>
      <c r="G103" s="61"/>
      <c r="H103" s="60"/>
      <c r="I103" s="60"/>
      <c r="J103" s="60"/>
      <c r="K103" s="61"/>
      <c r="L103" s="60"/>
      <c r="M103" s="60"/>
      <c r="N103" s="60"/>
      <c r="O103" s="60"/>
      <c r="P103" s="60"/>
      <c r="Q103" s="60"/>
      <c r="R103" s="60"/>
      <c r="S103" s="63"/>
      <c r="T103" s="60"/>
      <c r="U103" s="60"/>
      <c r="V103" s="60"/>
      <c r="W103" s="60"/>
      <c r="X103" s="60"/>
      <c r="Y103" s="64">
        <v>0.12909999999999999</v>
      </c>
      <c r="Z103" s="67" t="s">
        <v>3005</v>
      </c>
      <c r="AA103" s="63"/>
    </row>
    <row r="104" spans="1:27" x14ac:dyDescent="0.3">
      <c r="A104" s="130" t="s">
        <v>2351</v>
      </c>
      <c r="B104" s="131" t="s">
        <v>70</v>
      </c>
      <c r="C104" s="132" t="s">
        <v>71</v>
      </c>
      <c r="D104" s="133">
        <v>257.54000000000002</v>
      </c>
      <c r="E104" s="134"/>
      <c r="F104" s="134"/>
      <c r="G104" s="135"/>
      <c r="H104" s="134"/>
      <c r="I104" s="134"/>
      <c r="J104" s="134"/>
      <c r="K104" s="135"/>
      <c r="L104" s="134"/>
      <c r="M104" s="134"/>
      <c r="N104" s="134"/>
      <c r="O104" s="134"/>
      <c r="P104" s="134"/>
      <c r="Q104" s="134"/>
      <c r="R104" s="134"/>
      <c r="S104" s="136"/>
      <c r="T104" s="134"/>
      <c r="U104" s="134"/>
      <c r="V104" s="134"/>
      <c r="W104" s="134"/>
      <c r="X104" s="134"/>
      <c r="Y104" s="138"/>
      <c r="Z104" s="139"/>
      <c r="AA104" s="136"/>
    </row>
    <row r="105" spans="1:27" x14ac:dyDescent="0.3">
      <c r="A105" s="79" t="s">
        <v>2352</v>
      </c>
      <c r="B105" s="80" t="s">
        <v>72</v>
      </c>
      <c r="C105" s="81" t="s">
        <v>73</v>
      </c>
      <c r="D105" s="82">
        <v>257.54000000000002</v>
      </c>
      <c r="E105" s="83">
        <v>5.81</v>
      </c>
      <c r="F105" s="84" t="s">
        <v>2309</v>
      </c>
      <c r="G105" s="85"/>
      <c r="H105" s="83"/>
      <c r="I105" s="83"/>
      <c r="J105" s="83"/>
      <c r="K105" s="85"/>
      <c r="L105" s="83"/>
      <c r="M105" s="83"/>
      <c r="N105" s="83"/>
      <c r="O105" s="83"/>
      <c r="P105" s="83"/>
      <c r="Q105" s="83"/>
      <c r="R105" s="83"/>
      <c r="S105" s="86"/>
      <c r="T105" s="83"/>
      <c r="U105" s="83"/>
      <c r="V105" s="83"/>
      <c r="W105" s="83"/>
      <c r="X105" s="83"/>
      <c r="Y105" s="92"/>
      <c r="Z105" s="83"/>
      <c r="AA105" s="86"/>
    </row>
    <row r="106" spans="1:27" x14ac:dyDescent="0.3">
      <c r="A106" s="39"/>
      <c r="B106" s="25"/>
      <c r="C106" s="45"/>
      <c r="D106" s="46">
        <v>257.54000000000002</v>
      </c>
      <c r="E106" s="60">
        <v>5.81</v>
      </c>
      <c r="F106" s="67" t="s">
        <v>3005</v>
      </c>
      <c r="G106" s="61"/>
      <c r="H106" s="60"/>
      <c r="I106" s="60"/>
      <c r="J106" s="60"/>
      <c r="K106" s="61"/>
      <c r="L106" s="60"/>
      <c r="M106" s="60"/>
      <c r="N106" s="60"/>
      <c r="O106" s="60"/>
      <c r="P106" s="60"/>
      <c r="Q106" s="60"/>
      <c r="R106" s="60"/>
      <c r="S106" s="63"/>
      <c r="T106" s="60"/>
      <c r="U106" s="60"/>
      <c r="V106" s="60"/>
      <c r="W106" s="60"/>
      <c r="X106" s="60"/>
      <c r="Y106" s="65"/>
      <c r="Z106" s="60"/>
      <c r="AA106" s="63"/>
    </row>
    <row r="107" spans="1:27" x14ac:dyDescent="0.3">
      <c r="A107" s="79" t="s">
        <v>2353</v>
      </c>
      <c r="B107" s="80" t="s">
        <v>74</v>
      </c>
      <c r="C107" s="81" t="s">
        <v>75</v>
      </c>
      <c r="D107" s="82">
        <v>257.54000000000002</v>
      </c>
      <c r="E107" s="83">
        <v>5.9</v>
      </c>
      <c r="F107" s="84" t="s">
        <v>2309</v>
      </c>
      <c r="G107" s="85"/>
      <c r="H107" s="83"/>
      <c r="I107" s="83"/>
      <c r="J107" s="83"/>
      <c r="K107" s="85"/>
      <c r="L107" s="83"/>
      <c r="M107" s="83"/>
      <c r="N107" s="83"/>
      <c r="O107" s="83"/>
      <c r="P107" s="83"/>
      <c r="Q107" s="83"/>
      <c r="R107" s="83"/>
      <c r="S107" s="86"/>
      <c r="T107" s="83"/>
      <c r="U107" s="83"/>
      <c r="V107" s="83"/>
      <c r="W107" s="83"/>
      <c r="X107" s="83"/>
      <c r="Y107" s="87">
        <v>7.1900000000000006E-2</v>
      </c>
      <c r="Z107" s="84" t="s">
        <v>2310</v>
      </c>
      <c r="AA107" s="86"/>
    </row>
    <row r="108" spans="1:27" x14ac:dyDescent="0.3">
      <c r="A108" s="39"/>
      <c r="B108" s="25"/>
      <c r="C108" s="45"/>
      <c r="D108" s="46">
        <v>257.54000000000002</v>
      </c>
      <c r="E108" s="60">
        <v>5.9</v>
      </c>
      <c r="F108" s="67" t="s">
        <v>3005</v>
      </c>
      <c r="G108" s="61"/>
      <c r="H108" s="60"/>
      <c r="I108" s="60"/>
      <c r="J108" s="60"/>
      <c r="K108" s="61"/>
      <c r="L108" s="60"/>
      <c r="M108" s="60"/>
      <c r="N108" s="60"/>
      <c r="O108" s="60"/>
      <c r="P108" s="60"/>
      <c r="Q108" s="60"/>
      <c r="R108" s="60"/>
      <c r="S108" s="63"/>
      <c r="T108" s="60"/>
      <c r="U108" s="60"/>
      <c r="V108" s="60"/>
      <c r="W108" s="60"/>
      <c r="X108" s="60"/>
      <c r="Y108" s="64">
        <v>7.1900000000000006E-2</v>
      </c>
      <c r="Z108" s="67" t="s">
        <v>3005</v>
      </c>
      <c r="AA108" s="63"/>
    </row>
    <row r="109" spans="1:27" x14ac:dyDescent="0.3">
      <c r="A109" s="130" t="s">
        <v>2354</v>
      </c>
      <c r="B109" s="131" t="s">
        <v>76</v>
      </c>
      <c r="C109" s="132" t="s">
        <v>77</v>
      </c>
      <c r="D109" s="133">
        <v>257.54000000000002</v>
      </c>
      <c r="E109" s="134"/>
      <c r="F109" s="134"/>
      <c r="G109" s="135"/>
      <c r="H109" s="134"/>
      <c r="I109" s="134"/>
      <c r="J109" s="134"/>
      <c r="K109" s="135"/>
      <c r="L109" s="134"/>
      <c r="M109" s="134"/>
      <c r="N109" s="134"/>
      <c r="O109" s="134"/>
      <c r="P109" s="134"/>
      <c r="Q109" s="134"/>
      <c r="R109" s="134"/>
      <c r="S109" s="136"/>
      <c r="T109" s="134"/>
      <c r="U109" s="134"/>
      <c r="V109" s="134"/>
      <c r="W109" s="134"/>
      <c r="X109" s="134"/>
      <c r="Y109" s="137"/>
      <c r="Z109" s="134"/>
      <c r="AA109" s="136"/>
    </row>
    <row r="110" spans="1:27" x14ac:dyDescent="0.3">
      <c r="A110" s="130" t="s">
        <v>2355</v>
      </c>
      <c r="B110" s="131" t="s">
        <v>78</v>
      </c>
      <c r="C110" s="132" t="s">
        <v>79</v>
      </c>
      <c r="D110" s="133">
        <v>257.54000000000002</v>
      </c>
      <c r="E110" s="134"/>
      <c r="F110" s="134"/>
      <c r="G110" s="135"/>
      <c r="H110" s="134"/>
      <c r="I110" s="134"/>
      <c r="J110" s="134"/>
      <c r="K110" s="135"/>
      <c r="L110" s="134"/>
      <c r="M110" s="134"/>
      <c r="N110" s="134"/>
      <c r="O110" s="134"/>
      <c r="P110" s="134"/>
      <c r="Q110" s="134"/>
      <c r="R110" s="134"/>
      <c r="S110" s="136"/>
      <c r="T110" s="134"/>
      <c r="U110" s="134"/>
      <c r="V110" s="134"/>
      <c r="W110" s="134"/>
      <c r="X110" s="134"/>
      <c r="Y110" s="137"/>
      <c r="Z110" s="134"/>
      <c r="AA110" s="136"/>
    </row>
    <row r="111" spans="1:27" x14ac:dyDescent="0.3">
      <c r="A111" s="79" t="s">
        <v>2356</v>
      </c>
      <c r="B111" s="80" t="s">
        <v>80</v>
      </c>
      <c r="C111" s="81" t="s">
        <v>81</v>
      </c>
      <c r="D111" s="82">
        <v>291.98</v>
      </c>
      <c r="E111" s="83">
        <v>6.18</v>
      </c>
      <c r="F111" s="84" t="s">
        <v>2309</v>
      </c>
      <c r="G111" s="85">
        <f>E113</f>
        <v>6.1779999999999999</v>
      </c>
      <c r="H111" s="83"/>
      <c r="I111" s="126">
        <v>121</v>
      </c>
      <c r="J111" s="88" t="s">
        <v>2914</v>
      </c>
      <c r="K111" s="85">
        <f>I111</f>
        <v>121</v>
      </c>
      <c r="L111" s="83">
        <v>25</v>
      </c>
      <c r="M111" s="83"/>
      <c r="N111" s="83"/>
      <c r="O111" s="83"/>
      <c r="P111" s="83"/>
      <c r="Q111" s="92">
        <v>7.3499999999999998E-5</v>
      </c>
      <c r="R111" s="84" t="s">
        <v>2310</v>
      </c>
      <c r="S111" s="86"/>
      <c r="T111" s="87"/>
      <c r="U111" s="88"/>
      <c r="V111" s="83"/>
      <c r="W111" s="83"/>
      <c r="X111" s="83"/>
      <c r="Y111" s="87">
        <v>1.5599999999999999E-2</v>
      </c>
      <c r="Z111" s="84" t="s">
        <v>2310</v>
      </c>
      <c r="AA111" s="86"/>
    </row>
    <row r="112" spans="1:27" x14ac:dyDescent="0.3">
      <c r="A112" s="39"/>
      <c r="B112" s="25"/>
      <c r="C112" s="45"/>
      <c r="D112" s="46">
        <v>291.98</v>
      </c>
      <c r="E112" s="60">
        <v>6.18</v>
      </c>
      <c r="F112" s="67" t="s">
        <v>3005</v>
      </c>
      <c r="G112" s="61"/>
      <c r="H112" s="60"/>
      <c r="I112" s="60"/>
      <c r="J112" s="62"/>
      <c r="K112" s="61"/>
      <c r="L112" s="60">
        <v>25</v>
      </c>
      <c r="M112" s="60"/>
      <c r="N112" s="60"/>
      <c r="O112" s="60"/>
      <c r="P112" s="60"/>
      <c r="Q112" s="65">
        <v>7.3499999999999998E-5</v>
      </c>
      <c r="R112" s="67" t="s">
        <v>3005</v>
      </c>
      <c r="S112" s="63"/>
      <c r="T112" s="64"/>
      <c r="U112" s="62"/>
      <c r="V112" s="60"/>
      <c r="W112" s="60"/>
      <c r="X112" s="60"/>
      <c r="Y112" s="64">
        <v>1.5599999999999999E-2</v>
      </c>
      <c r="Z112" s="67" t="s">
        <v>3005</v>
      </c>
      <c r="AA112" s="63"/>
    </row>
    <row r="113" spans="1:27" x14ac:dyDescent="0.3">
      <c r="A113" s="39"/>
      <c r="B113" s="25"/>
      <c r="C113" s="45"/>
      <c r="D113" s="46">
        <v>291.98</v>
      </c>
      <c r="E113" s="50">
        <v>6.1779999999999999</v>
      </c>
      <c r="F113" s="13" t="s">
        <v>2969</v>
      </c>
      <c r="G113" s="61"/>
      <c r="H113" s="60"/>
      <c r="I113" s="60"/>
      <c r="J113" s="62"/>
      <c r="K113" s="61"/>
      <c r="L113" s="60"/>
      <c r="M113" s="60"/>
      <c r="N113" s="60"/>
      <c r="O113" s="60"/>
      <c r="P113" s="60"/>
      <c r="Q113" s="60"/>
      <c r="R113" s="60"/>
      <c r="S113" s="63"/>
      <c r="T113" s="64">
        <v>-7.28</v>
      </c>
      <c r="U113" s="62" t="s">
        <v>3030</v>
      </c>
      <c r="V113" s="60"/>
      <c r="W113" s="60"/>
      <c r="X113" s="60"/>
      <c r="Y113" s="64">
        <f>1000*$D113*10^T113</f>
        <v>1.5323328224372839E-2</v>
      </c>
      <c r="Z113" s="62" t="s">
        <v>3008</v>
      </c>
      <c r="AA113" s="63"/>
    </row>
    <row r="114" spans="1:27" x14ac:dyDescent="0.3">
      <c r="A114" s="79" t="s">
        <v>2357</v>
      </c>
      <c r="B114" s="80" t="s">
        <v>82</v>
      </c>
      <c r="C114" s="81" t="s">
        <v>83</v>
      </c>
      <c r="D114" s="82">
        <v>291.98</v>
      </c>
      <c r="E114" s="83">
        <v>6.11</v>
      </c>
      <c r="F114" s="84" t="s">
        <v>2309</v>
      </c>
      <c r="G114" s="85"/>
      <c r="H114" s="83"/>
      <c r="I114" s="83"/>
      <c r="J114" s="83"/>
      <c r="K114" s="85"/>
      <c r="L114" s="83"/>
      <c r="M114" s="83"/>
      <c r="N114" s="83"/>
      <c r="O114" s="83"/>
      <c r="P114" s="83"/>
      <c r="Q114" s="83"/>
      <c r="R114" s="83"/>
      <c r="S114" s="86"/>
      <c r="T114" s="83"/>
      <c r="U114" s="83"/>
      <c r="V114" s="83"/>
      <c r="W114" s="83"/>
      <c r="X114" s="83"/>
      <c r="Y114" s="87">
        <v>4.3200000000000002E-2</v>
      </c>
      <c r="Z114" s="84" t="s">
        <v>2310</v>
      </c>
      <c r="AA114" s="86"/>
    </row>
    <row r="115" spans="1:27" x14ac:dyDescent="0.3">
      <c r="A115" s="39"/>
      <c r="B115" s="25"/>
      <c r="C115" s="45"/>
      <c r="D115" s="46">
        <v>291.98</v>
      </c>
      <c r="E115" s="60">
        <v>6.11</v>
      </c>
      <c r="F115" s="67" t="s">
        <v>3005</v>
      </c>
      <c r="G115" s="61"/>
      <c r="H115" s="60"/>
      <c r="I115" s="60"/>
      <c r="J115" s="60"/>
      <c r="K115" s="61"/>
      <c r="L115" s="60"/>
      <c r="M115" s="60"/>
      <c r="N115" s="60"/>
      <c r="O115" s="60"/>
      <c r="P115" s="60"/>
      <c r="Q115" s="60"/>
      <c r="R115" s="60"/>
      <c r="S115" s="63"/>
      <c r="T115" s="60"/>
      <c r="U115" s="60"/>
      <c r="V115" s="60"/>
      <c r="W115" s="60"/>
      <c r="X115" s="60"/>
      <c r="Y115" s="64">
        <v>4.3200000000000002E-2</v>
      </c>
      <c r="Z115" s="67" t="s">
        <v>3005</v>
      </c>
      <c r="AA115" s="63"/>
    </row>
    <row r="116" spans="1:27" x14ac:dyDescent="0.3">
      <c r="A116" s="79" t="s">
        <v>2358</v>
      </c>
      <c r="B116" s="80" t="s">
        <v>84</v>
      </c>
      <c r="C116" s="81" t="s">
        <v>85</v>
      </c>
      <c r="D116" s="82">
        <v>291.98</v>
      </c>
      <c r="E116" s="83"/>
      <c r="F116" s="83"/>
      <c r="G116" s="85"/>
      <c r="H116" s="83"/>
      <c r="I116" s="83"/>
      <c r="J116" s="83"/>
      <c r="K116" s="85"/>
      <c r="L116" s="83"/>
      <c r="M116" s="83"/>
      <c r="N116" s="83"/>
      <c r="O116" s="83"/>
      <c r="P116" s="83"/>
      <c r="Q116" s="83"/>
      <c r="R116" s="83"/>
      <c r="S116" s="86"/>
      <c r="T116" s="83"/>
      <c r="U116" s="83"/>
      <c r="V116" s="83"/>
      <c r="W116" s="83"/>
      <c r="X116" s="83"/>
      <c r="Y116" s="87">
        <v>6.08E-2</v>
      </c>
      <c r="Z116" s="84" t="s">
        <v>2310</v>
      </c>
      <c r="AA116" s="86"/>
    </row>
    <row r="117" spans="1:27" x14ac:dyDescent="0.3">
      <c r="A117" s="39"/>
      <c r="B117" s="25"/>
      <c r="C117" s="45"/>
      <c r="D117" s="46">
        <v>291.98</v>
      </c>
      <c r="E117" s="60"/>
      <c r="F117" s="60"/>
      <c r="G117" s="61"/>
      <c r="H117" s="60"/>
      <c r="I117" s="60"/>
      <c r="J117" s="60"/>
      <c r="K117" s="61"/>
      <c r="L117" s="60"/>
      <c r="M117" s="60"/>
      <c r="N117" s="60"/>
      <c r="O117" s="60"/>
      <c r="P117" s="60"/>
      <c r="Q117" s="60"/>
      <c r="R117" s="60"/>
      <c r="S117" s="63"/>
      <c r="T117" s="60"/>
      <c r="U117" s="60"/>
      <c r="V117" s="60"/>
      <c r="W117" s="60"/>
      <c r="X117" s="60"/>
      <c r="Y117" s="64">
        <v>6.0830000000000002E-2</v>
      </c>
      <c r="Z117" s="67" t="s">
        <v>3005</v>
      </c>
      <c r="AA117" s="63"/>
    </row>
    <row r="118" spans="1:27" x14ac:dyDescent="0.3">
      <c r="A118" s="79" t="s">
        <v>2359</v>
      </c>
      <c r="B118" s="80" t="s">
        <v>86</v>
      </c>
      <c r="C118" s="81" t="s">
        <v>87</v>
      </c>
      <c r="D118" s="82">
        <v>291.98</v>
      </c>
      <c r="E118" s="83"/>
      <c r="F118" s="83"/>
      <c r="G118" s="85"/>
      <c r="H118" s="83"/>
      <c r="I118" s="83"/>
      <c r="J118" s="83"/>
      <c r="K118" s="85"/>
      <c r="L118" s="83"/>
      <c r="M118" s="83"/>
      <c r="N118" s="83"/>
      <c r="O118" s="83"/>
      <c r="P118" s="83"/>
      <c r="Q118" s="83"/>
      <c r="R118" s="83"/>
      <c r="S118" s="86"/>
      <c r="T118" s="83"/>
      <c r="U118" s="83"/>
      <c r="V118" s="83"/>
      <c r="W118" s="83"/>
      <c r="X118" s="83"/>
      <c r="Y118" s="87">
        <v>0.17199999999999999</v>
      </c>
      <c r="Z118" s="84" t="s">
        <v>2310</v>
      </c>
      <c r="AA118" s="86"/>
    </row>
    <row r="119" spans="1:27" x14ac:dyDescent="0.3">
      <c r="A119" s="39"/>
      <c r="B119" s="25"/>
      <c r="C119" s="45"/>
      <c r="D119" s="46">
        <v>291.98</v>
      </c>
      <c r="E119" s="60"/>
      <c r="F119" s="60"/>
      <c r="G119" s="61"/>
      <c r="H119" s="60"/>
      <c r="I119" s="60"/>
      <c r="J119" s="60"/>
      <c r="K119" s="61"/>
      <c r="L119" s="60"/>
      <c r="M119" s="60"/>
      <c r="N119" s="60"/>
      <c r="O119" s="60"/>
      <c r="P119" s="60"/>
      <c r="Q119" s="60"/>
      <c r="R119" s="60"/>
      <c r="S119" s="63"/>
      <c r="T119" s="60"/>
      <c r="U119" s="60"/>
      <c r="V119" s="60"/>
      <c r="W119" s="60"/>
      <c r="X119" s="60"/>
      <c r="Y119" s="64">
        <v>0.1719</v>
      </c>
      <c r="Z119" s="67" t="s">
        <v>3005</v>
      </c>
      <c r="AA119" s="63"/>
    </row>
    <row r="120" spans="1:27" x14ac:dyDescent="0.3">
      <c r="A120" s="79" t="s">
        <v>2360</v>
      </c>
      <c r="B120" s="80" t="s">
        <v>88</v>
      </c>
      <c r="C120" s="81" t="s">
        <v>89</v>
      </c>
      <c r="D120" s="82">
        <v>291.98</v>
      </c>
      <c r="E120" s="83">
        <v>5.81</v>
      </c>
      <c r="F120" s="84" t="s">
        <v>2309</v>
      </c>
      <c r="G120" s="85"/>
      <c r="H120" s="83"/>
      <c r="I120" s="126">
        <v>47</v>
      </c>
      <c r="J120" s="88" t="s">
        <v>2914</v>
      </c>
      <c r="K120" s="85">
        <f>I120</f>
        <v>47</v>
      </c>
      <c r="L120" s="83"/>
      <c r="M120" s="83"/>
      <c r="N120" s="83"/>
      <c r="O120" s="83"/>
      <c r="P120" s="83"/>
      <c r="Q120" s="83"/>
      <c r="R120" s="83"/>
      <c r="S120" s="86"/>
      <c r="T120" s="87"/>
      <c r="U120" s="88"/>
      <c r="V120" s="83"/>
      <c r="W120" s="83"/>
      <c r="X120" s="83"/>
      <c r="Y120" s="87">
        <v>0.1</v>
      </c>
      <c r="Z120" s="84" t="s">
        <v>2310</v>
      </c>
      <c r="AA120" s="86"/>
    </row>
    <row r="121" spans="1:27" x14ac:dyDescent="0.3">
      <c r="A121" s="39"/>
      <c r="B121" s="25"/>
      <c r="C121" s="45"/>
      <c r="D121" s="46">
        <v>291.98</v>
      </c>
      <c r="E121" s="60">
        <v>5.81</v>
      </c>
      <c r="F121" s="67" t="s">
        <v>3005</v>
      </c>
      <c r="G121" s="61"/>
      <c r="H121" s="60"/>
      <c r="I121" s="60"/>
      <c r="J121" s="62"/>
      <c r="K121" s="61"/>
      <c r="L121" s="60"/>
      <c r="M121" s="60"/>
      <c r="N121" s="60"/>
      <c r="O121" s="60"/>
      <c r="P121" s="60"/>
      <c r="Q121" s="60"/>
      <c r="R121" s="60"/>
      <c r="S121" s="63"/>
      <c r="T121" s="64"/>
      <c r="U121" s="62"/>
      <c r="V121" s="60"/>
      <c r="W121" s="60"/>
      <c r="X121" s="60"/>
      <c r="Y121" s="64">
        <v>0.1</v>
      </c>
      <c r="Z121" s="67" t="s">
        <v>3005</v>
      </c>
      <c r="AA121" s="63"/>
    </row>
    <row r="122" spans="1:27" x14ac:dyDescent="0.3">
      <c r="A122" s="39"/>
      <c r="B122" s="25"/>
      <c r="C122" s="45"/>
      <c r="D122" s="46">
        <v>291.98</v>
      </c>
      <c r="E122" s="60"/>
      <c r="F122" s="67"/>
      <c r="G122" s="61"/>
      <c r="H122" s="60"/>
      <c r="I122" s="60"/>
      <c r="J122" s="62"/>
      <c r="K122" s="61"/>
      <c r="L122" s="60"/>
      <c r="M122" s="60"/>
      <c r="N122" s="60"/>
      <c r="O122" s="60"/>
      <c r="P122" s="60"/>
      <c r="Q122" s="60"/>
      <c r="R122" s="60"/>
      <c r="S122" s="63"/>
      <c r="T122" s="64">
        <v>-6.47</v>
      </c>
      <c r="U122" s="62" t="s">
        <v>3030</v>
      </c>
      <c r="V122" s="60"/>
      <c r="W122" s="60"/>
      <c r="X122" s="60"/>
      <c r="Y122" s="64">
        <f>1000*$D122*10^T122</f>
        <v>9.8935716709524321E-2</v>
      </c>
      <c r="Z122" s="62" t="s">
        <v>3008</v>
      </c>
      <c r="AA122" s="63"/>
    </row>
    <row r="123" spans="1:27" x14ac:dyDescent="0.3">
      <c r="A123" s="79" t="s">
        <v>2361</v>
      </c>
      <c r="B123" s="80" t="s">
        <v>90</v>
      </c>
      <c r="C123" s="81" t="s">
        <v>91</v>
      </c>
      <c r="D123" s="82">
        <v>291.98</v>
      </c>
      <c r="E123" s="83"/>
      <c r="F123" s="83"/>
      <c r="G123" s="85"/>
      <c r="H123" s="83"/>
      <c r="I123" s="83"/>
      <c r="J123" s="83"/>
      <c r="K123" s="85"/>
      <c r="L123" s="83"/>
      <c r="M123" s="83"/>
      <c r="N123" s="83"/>
      <c r="O123" s="83"/>
      <c r="P123" s="83"/>
      <c r="Q123" s="83"/>
      <c r="R123" s="83"/>
      <c r="S123" s="86"/>
      <c r="T123" s="83"/>
      <c r="U123" s="83"/>
      <c r="V123" s="83"/>
      <c r="W123" s="83"/>
      <c r="X123" s="83"/>
      <c r="Y123" s="87">
        <v>0.14599999999999999</v>
      </c>
      <c r="Z123" s="84" t="s">
        <v>2310</v>
      </c>
      <c r="AA123" s="86"/>
    </row>
    <row r="124" spans="1:27" x14ac:dyDescent="0.3">
      <c r="A124" s="39"/>
      <c r="B124" s="25"/>
      <c r="C124" s="45"/>
      <c r="D124" s="46">
        <v>291.98</v>
      </c>
      <c r="E124" s="60"/>
      <c r="F124" s="60"/>
      <c r="G124" s="61"/>
      <c r="H124" s="60"/>
      <c r="I124" s="60"/>
      <c r="J124" s="60"/>
      <c r="K124" s="61"/>
      <c r="L124" s="60"/>
      <c r="M124" s="60"/>
      <c r="N124" s="60"/>
      <c r="O124" s="60"/>
      <c r="P124" s="60"/>
      <c r="Q124" s="60"/>
      <c r="R124" s="60"/>
      <c r="S124" s="63"/>
      <c r="T124" s="60"/>
      <c r="U124" s="60"/>
      <c r="V124" s="60"/>
      <c r="W124" s="60"/>
      <c r="X124" s="60"/>
      <c r="Y124" s="64">
        <v>0.14630000000000001</v>
      </c>
      <c r="Z124" s="67" t="s">
        <v>3005</v>
      </c>
      <c r="AA124" s="63"/>
    </row>
    <row r="125" spans="1:27" x14ac:dyDescent="0.3">
      <c r="A125" s="79" t="s">
        <v>2362</v>
      </c>
      <c r="B125" s="80" t="s">
        <v>92</v>
      </c>
      <c r="C125" s="81" t="s">
        <v>93</v>
      </c>
      <c r="D125" s="82">
        <v>291.98</v>
      </c>
      <c r="E125" s="83"/>
      <c r="F125" s="83"/>
      <c r="G125" s="85"/>
      <c r="H125" s="83"/>
      <c r="I125" s="83"/>
      <c r="J125" s="83"/>
      <c r="K125" s="85"/>
      <c r="L125" s="83"/>
      <c r="M125" s="83"/>
      <c r="N125" s="83"/>
      <c r="O125" s="83"/>
      <c r="P125" s="83"/>
      <c r="Q125" s="83"/>
      <c r="R125" s="83"/>
      <c r="S125" s="86"/>
      <c r="T125" s="83"/>
      <c r="U125" s="83"/>
      <c r="V125" s="83"/>
      <c r="W125" s="83"/>
      <c r="X125" s="83"/>
      <c r="Y125" s="87">
        <v>0.14599999999999999</v>
      </c>
      <c r="Z125" s="84" t="s">
        <v>2310</v>
      </c>
      <c r="AA125" s="86"/>
    </row>
    <row r="126" spans="1:27" x14ac:dyDescent="0.3">
      <c r="A126" s="39"/>
      <c r="B126" s="25"/>
      <c r="C126" s="45"/>
      <c r="D126" s="46">
        <v>291.98</v>
      </c>
      <c r="E126" s="60"/>
      <c r="F126" s="60"/>
      <c r="G126" s="61"/>
      <c r="H126" s="60"/>
      <c r="I126" s="60"/>
      <c r="J126" s="60"/>
      <c r="K126" s="61"/>
      <c r="L126" s="60"/>
      <c r="M126" s="60"/>
      <c r="N126" s="60"/>
      <c r="O126" s="60"/>
      <c r="P126" s="60"/>
      <c r="Q126" s="60"/>
      <c r="R126" s="60"/>
      <c r="S126" s="63"/>
      <c r="T126" s="60"/>
      <c r="U126" s="60"/>
      <c r="V126" s="60"/>
      <c r="W126" s="60"/>
      <c r="X126" s="60"/>
      <c r="Y126" s="64">
        <v>0.14630000000000001</v>
      </c>
      <c r="Z126" s="67" t="s">
        <v>3005</v>
      </c>
      <c r="AA126" s="63"/>
    </row>
    <row r="127" spans="1:27" x14ac:dyDescent="0.3">
      <c r="A127" s="79" t="s">
        <v>2363</v>
      </c>
      <c r="B127" s="80" t="s">
        <v>94</v>
      </c>
      <c r="C127" s="81" t="s">
        <v>95</v>
      </c>
      <c r="D127" s="82">
        <v>291.98</v>
      </c>
      <c r="E127" s="83">
        <v>6.29</v>
      </c>
      <c r="F127" s="84" t="s">
        <v>2309</v>
      </c>
      <c r="G127" s="85"/>
      <c r="H127" s="83"/>
      <c r="I127" s="126">
        <v>83</v>
      </c>
      <c r="J127" s="88" t="s">
        <v>2914</v>
      </c>
      <c r="K127" s="85">
        <f>I127</f>
        <v>83</v>
      </c>
      <c r="L127" s="83">
        <v>25</v>
      </c>
      <c r="M127" s="83"/>
      <c r="N127" s="83"/>
      <c r="O127" s="83"/>
      <c r="P127" s="83"/>
      <c r="Q127" s="92">
        <v>8.6299999999999997E-5</v>
      </c>
      <c r="R127" s="84" t="s">
        <v>2310</v>
      </c>
      <c r="S127" s="86"/>
      <c r="T127" s="87"/>
      <c r="U127" s="88"/>
      <c r="V127" s="83"/>
      <c r="W127" s="83"/>
      <c r="X127" s="83"/>
      <c r="Y127" s="89">
        <v>0.27700000000000002</v>
      </c>
      <c r="Z127" s="90" t="s">
        <v>3033</v>
      </c>
      <c r="AA127" s="86"/>
    </row>
    <row r="128" spans="1:27" x14ac:dyDescent="0.3">
      <c r="A128" s="39"/>
      <c r="B128" s="25"/>
      <c r="C128" s="45"/>
      <c r="D128" s="46">
        <v>291.98</v>
      </c>
      <c r="E128" s="60">
        <v>6.29</v>
      </c>
      <c r="F128" s="67" t="s">
        <v>3005</v>
      </c>
      <c r="G128" s="61"/>
      <c r="H128" s="60"/>
      <c r="I128" s="60"/>
      <c r="J128" s="62"/>
      <c r="K128" s="61"/>
      <c r="L128" s="60">
        <v>25</v>
      </c>
      <c r="M128" s="60"/>
      <c r="N128" s="60"/>
      <c r="O128" s="60"/>
      <c r="P128" s="60"/>
      <c r="Q128" s="65">
        <v>8.6299999999999997E-5</v>
      </c>
      <c r="R128" s="67" t="s">
        <v>3005</v>
      </c>
      <c r="S128" s="63"/>
      <c r="T128" s="64"/>
      <c r="U128" s="62"/>
      <c r="V128" s="60"/>
      <c r="W128" s="60"/>
      <c r="X128" s="60"/>
      <c r="Y128" s="64">
        <v>5.4100000000000002E-2</v>
      </c>
      <c r="Z128" s="67" t="s">
        <v>3005</v>
      </c>
      <c r="AA128" s="63"/>
    </row>
    <row r="129" spans="1:27" x14ac:dyDescent="0.3">
      <c r="A129" s="39"/>
      <c r="B129" s="25"/>
      <c r="C129" s="45"/>
      <c r="D129" s="46">
        <v>291.98</v>
      </c>
      <c r="E129" s="60"/>
      <c r="F129" s="67"/>
      <c r="G129" s="61"/>
      <c r="H129" s="60"/>
      <c r="I129" s="60"/>
      <c r="J129" s="62"/>
      <c r="K129" s="61"/>
      <c r="L129" s="60"/>
      <c r="M129" s="60"/>
      <c r="N129" s="60"/>
      <c r="O129" s="60"/>
      <c r="P129" s="60"/>
      <c r="Q129" s="65"/>
      <c r="R129" s="67"/>
      <c r="S129" s="63"/>
      <c r="T129" s="64">
        <v>-6.51</v>
      </c>
      <c r="U129" s="62" t="s">
        <v>3030</v>
      </c>
      <c r="V129" s="60"/>
      <c r="W129" s="60"/>
      <c r="X129" s="60"/>
      <c r="Y129" s="64">
        <f>1000*$D129*10^T129</f>
        <v>9.0230446038531656E-2</v>
      </c>
      <c r="Z129" s="62" t="s">
        <v>3008</v>
      </c>
      <c r="AA129" s="63"/>
    </row>
    <row r="130" spans="1:27" x14ac:dyDescent="0.3">
      <c r="A130" s="79" t="s">
        <v>2364</v>
      </c>
      <c r="B130" s="80" t="s">
        <v>96</v>
      </c>
      <c r="C130" s="81" t="s">
        <v>97</v>
      </c>
      <c r="D130" s="82">
        <v>291.98</v>
      </c>
      <c r="E130" s="83"/>
      <c r="F130" s="83"/>
      <c r="G130" s="85"/>
      <c r="H130" s="83"/>
      <c r="I130" s="83"/>
      <c r="J130" s="83"/>
      <c r="K130" s="85"/>
      <c r="L130" s="83"/>
      <c r="M130" s="83"/>
      <c r="N130" s="83"/>
      <c r="O130" s="83"/>
      <c r="P130" s="83"/>
      <c r="Q130" s="83"/>
      <c r="R130" s="83"/>
      <c r="S130" s="86"/>
      <c r="T130" s="83"/>
      <c r="U130" s="83"/>
      <c r="V130" s="83"/>
      <c r="W130" s="83"/>
      <c r="X130" s="83"/>
      <c r="Y130" s="87">
        <v>1.6400000000000001E-2</v>
      </c>
      <c r="Z130" s="84" t="s">
        <v>2310</v>
      </c>
      <c r="AA130" s="86"/>
    </row>
    <row r="131" spans="1:27" x14ac:dyDescent="0.3">
      <c r="A131" s="39"/>
      <c r="B131" s="25"/>
      <c r="C131" s="45"/>
      <c r="D131" s="46">
        <v>291.98</v>
      </c>
      <c r="E131" s="60"/>
      <c r="F131" s="60"/>
      <c r="G131" s="61"/>
      <c r="H131" s="60"/>
      <c r="I131" s="60"/>
      <c r="J131" s="60"/>
      <c r="K131" s="61"/>
      <c r="L131" s="60"/>
      <c r="M131" s="60"/>
      <c r="N131" s="60"/>
      <c r="O131" s="60"/>
      <c r="P131" s="60"/>
      <c r="Q131" s="60"/>
      <c r="R131" s="60"/>
      <c r="S131" s="63"/>
      <c r="T131" s="60"/>
      <c r="U131" s="60"/>
      <c r="V131" s="60"/>
      <c r="W131" s="60"/>
      <c r="X131" s="60"/>
      <c r="Y131" s="64">
        <v>1.6400000000000001E-2</v>
      </c>
      <c r="Z131" s="67" t="s">
        <v>3005</v>
      </c>
      <c r="AA131" s="63"/>
    </row>
    <row r="132" spans="1:27" x14ac:dyDescent="0.3">
      <c r="A132" s="79" t="s">
        <v>2365</v>
      </c>
      <c r="B132" s="80" t="s">
        <v>98</v>
      </c>
      <c r="C132" s="81" t="s">
        <v>99</v>
      </c>
      <c r="D132" s="82">
        <v>291.98</v>
      </c>
      <c r="E132" s="83">
        <v>6.22</v>
      </c>
      <c r="F132" s="84" t="s">
        <v>2309</v>
      </c>
      <c r="G132" s="85">
        <f>E134</f>
        <v>6.3609999999999998</v>
      </c>
      <c r="H132" s="83">
        <v>339.1</v>
      </c>
      <c r="I132" s="126">
        <f>H132-$H$1</f>
        <v>65.950000000000045</v>
      </c>
      <c r="J132" s="84" t="s">
        <v>2745</v>
      </c>
      <c r="K132" s="85">
        <f>I132</f>
        <v>65.950000000000045</v>
      </c>
      <c r="L132" s="83">
        <v>25</v>
      </c>
      <c r="M132" s="83"/>
      <c r="N132" s="83"/>
      <c r="O132" s="83"/>
      <c r="P132" s="83"/>
      <c r="Q132" s="92">
        <v>8.4800000000000001E-6</v>
      </c>
      <c r="R132" s="84" t="s">
        <v>2310</v>
      </c>
      <c r="S132" s="86"/>
      <c r="T132" s="87"/>
      <c r="U132" s="88"/>
      <c r="V132" s="83"/>
      <c r="W132" s="83"/>
      <c r="X132" s="83"/>
      <c r="Y132" s="87">
        <v>7.8100000000000003E-2</v>
      </c>
      <c r="Z132" s="84" t="s">
        <v>2310</v>
      </c>
      <c r="AA132" s="86"/>
    </row>
    <row r="133" spans="1:27" x14ac:dyDescent="0.3">
      <c r="A133" s="39"/>
      <c r="B133" s="25"/>
      <c r="C133" s="45"/>
      <c r="D133" s="46">
        <v>291.98</v>
      </c>
      <c r="E133" s="60">
        <v>6.22</v>
      </c>
      <c r="F133" s="67" t="s">
        <v>3005</v>
      </c>
      <c r="G133" s="61"/>
      <c r="H133" s="60"/>
      <c r="I133" s="60"/>
      <c r="J133" s="67"/>
      <c r="K133" s="61"/>
      <c r="L133" s="60">
        <v>25</v>
      </c>
      <c r="M133" s="60"/>
      <c r="N133" s="60"/>
      <c r="O133" s="60"/>
      <c r="P133" s="60"/>
      <c r="Q133" s="65">
        <v>8.4800000000000001E-6</v>
      </c>
      <c r="R133" s="67" t="s">
        <v>3005</v>
      </c>
      <c r="S133" s="63"/>
      <c r="T133" s="64"/>
      <c r="U133" s="62"/>
      <c r="V133" s="60"/>
      <c r="W133" s="60"/>
      <c r="X133" s="60"/>
      <c r="Y133" s="64">
        <v>7.8100000000000003E-2</v>
      </c>
      <c r="Z133" s="67" t="s">
        <v>3005</v>
      </c>
      <c r="AA133" s="63"/>
    </row>
    <row r="134" spans="1:27" x14ac:dyDescent="0.3">
      <c r="A134" s="39"/>
      <c r="B134" s="25"/>
      <c r="C134" s="45"/>
      <c r="D134" s="46">
        <v>291.98</v>
      </c>
      <c r="E134" s="68">
        <v>6.3609999999999998</v>
      </c>
      <c r="F134" s="13" t="s">
        <v>2969</v>
      </c>
      <c r="G134" s="61"/>
      <c r="H134" s="60"/>
      <c r="I134" s="60"/>
      <c r="J134" s="67"/>
      <c r="K134" s="61"/>
      <c r="L134" s="60"/>
      <c r="M134" s="60"/>
      <c r="N134" s="60"/>
      <c r="O134" s="60"/>
      <c r="P134" s="60"/>
      <c r="Q134" s="60"/>
      <c r="R134" s="60"/>
      <c r="S134" s="63"/>
      <c r="T134" s="64">
        <v>-6.57</v>
      </c>
      <c r="U134" s="62" t="s">
        <v>3030</v>
      </c>
      <c r="V134" s="60"/>
      <c r="W134" s="60"/>
      <c r="X134" s="60"/>
      <c r="Y134" s="64">
        <f>1000*$D134*10^T134</f>
        <v>7.8587433205057858E-2</v>
      </c>
      <c r="Z134" s="62" t="s">
        <v>3008</v>
      </c>
      <c r="AA134" s="63"/>
    </row>
    <row r="135" spans="1:27" x14ac:dyDescent="0.3">
      <c r="A135" s="79" t="s">
        <v>2366</v>
      </c>
      <c r="B135" s="80" t="s">
        <v>100</v>
      </c>
      <c r="C135" s="81" t="s">
        <v>101</v>
      </c>
      <c r="D135" s="82">
        <v>291.98</v>
      </c>
      <c r="E135" s="83"/>
      <c r="F135" s="83"/>
      <c r="G135" s="85"/>
      <c r="H135" s="83"/>
      <c r="I135" s="83"/>
      <c r="J135" s="83"/>
      <c r="K135" s="85"/>
      <c r="L135" s="83"/>
      <c r="M135" s="83"/>
      <c r="N135" s="83"/>
      <c r="O135" s="83"/>
      <c r="P135" s="83"/>
      <c r="Q135" s="83"/>
      <c r="R135" s="83"/>
      <c r="S135" s="86"/>
      <c r="T135" s="83"/>
      <c r="U135" s="83"/>
      <c r="V135" s="83"/>
      <c r="W135" s="83"/>
      <c r="X135" s="83"/>
      <c r="Y135" s="87">
        <v>6.54E-2</v>
      </c>
      <c r="Z135" s="84" t="s">
        <v>2310</v>
      </c>
      <c r="AA135" s="86"/>
    </row>
    <row r="136" spans="1:27" x14ac:dyDescent="0.3">
      <c r="A136" s="39"/>
      <c r="B136" s="25"/>
      <c r="C136" s="45"/>
      <c r="D136" s="46">
        <v>291.98</v>
      </c>
      <c r="E136" s="60"/>
      <c r="F136" s="60"/>
      <c r="G136" s="61"/>
      <c r="H136" s="60"/>
      <c r="I136" s="60"/>
      <c r="J136" s="60"/>
      <c r="K136" s="61"/>
      <c r="L136" s="60"/>
      <c r="M136" s="60"/>
      <c r="N136" s="60"/>
      <c r="O136" s="60"/>
      <c r="P136" s="60"/>
      <c r="Q136" s="60"/>
      <c r="R136" s="60"/>
      <c r="S136" s="63"/>
      <c r="T136" s="60"/>
      <c r="U136" s="60"/>
      <c r="V136" s="60"/>
      <c r="W136" s="60"/>
      <c r="X136" s="60"/>
      <c r="Y136" s="64">
        <v>6.5369999999999998E-2</v>
      </c>
      <c r="Z136" s="67" t="s">
        <v>3005</v>
      </c>
      <c r="AA136" s="63"/>
    </row>
    <row r="137" spans="1:27" x14ac:dyDescent="0.3">
      <c r="A137" s="79" t="s">
        <v>2367</v>
      </c>
      <c r="B137" s="80" t="s">
        <v>102</v>
      </c>
      <c r="C137" s="81" t="s">
        <v>103</v>
      </c>
      <c r="D137" s="82">
        <v>291.98</v>
      </c>
      <c r="E137" s="83"/>
      <c r="F137" s="83"/>
      <c r="G137" s="85"/>
      <c r="H137" s="83"/>
      <c r="I137" s="83"/>
      <c r="J137" s="83"/>
      <c r="K137" s="85"/>
      <c r="L137" s="83"/>
      <c r="M137" s="83"/>
      <c r="N137" s="83"/>
      <c r="O137" s="83"/>
      <c r="P137" s="83"/>
      <c r="Q137" s="83"/>
      <c r="R137" s="83"/>
      <c r="S137" s="86"/>
      <c r="T137" s="83"/>
      <c r="U137" s="83"/>
      <c r="V137" s="83"/>
      <c r="W137" s="83"/>
      <c r="X137" s="83"/>
      <c r="Y137" s="87">
        <v>6.54E-2</v>
      </c>
      <c r="Z137" s="84" t="s">
        <v>2310</v>
      </c>
      <c r="AA137" s="86"/>
    </row>
    <row r="138" spans="1:27" x14ac:dyDescent="0.3">
      <c r="A138" s="39"/>
      <c r="B138" s="25"/>
      <c r="C138" s="45"/>
      <c r="D138" s="46">
        <v>291.98</v>
      </c>
      <c r="E138" s="60"/>
      <c r="F138" s="60"/>
      <c r="G138" s="61"/>
      <c r="H138" s="60"/>
      <c r="I138" s="60"/>
      <c r="J138" s="60"/>
      <c r="K138" s="61"/>
      <c r="L138" s="60"/>
      <c r="M138" s="60"/>
      <c r="N138" s="60"/>
      <c r="O138" s="60"/>
      <c r="P138" s="60"/>
      <c r="Q138" s="60"/>
      <c r="R138" s="60"/>
      <c r="S138" s="63"/>
      <c r="T138" s="60"/>
      <c r="U138" s="60"/>
      <c r="V138" s="60"/>
      <c r="W138" s="60"/>
      <c r="X138" s="60"/>
      <c r="Y138" s="64">
        <v>6.5369999999999998E-2</v>
      </c>
      <c r="Z138" s="67" t="s">
        <v>3005</v>
      </c>
      <c r="AA138" s="63"/>
    </row>
    <row r="139" spans="1:27" x14ac:dyDescent="0.3">
      <c r="A139" s="79" t="s">
        <v>2368</v>
      </c>
      <c r="B139" s="80" t="s">
        <v>104</v>
      </c>
      <c r="C139" s="81" t="s">
        <v>105</v>
      </c>
      <c r="D139" s="82">
        <v>291.98</v>
      </c>
      <c r="E139" s="83">
        <v>6.09</v>
      </c>
      <c r="F139" s="84" t="s">
        <v>2309</v>
      </c>
      <c r="G139" s="85">
        <f>E141</f>
        <v>5.62</v>
      </c>
      <c r="H139" s="83"/>
      <c r="I139" s="126">
        <v>87</v>
      </c>
      <c r="J139" s="88" t="s">
        <v>2914</v>
      </c>
      <c r="K139" s="85">
        <f>I139</f>
        <v>87</v>
      </c>
      <c r="L139" s="83">
        <v>25</v>
      </c>
      <c r="M139" s="87">
        <f>10^(-1.97)</f>
        <v>1.0715193052376056E-2</v>
      </c>
      <c r="N139" s="87">
        <f>$N$1*M139</f>
        <v>8.0370556361817271E-5</v>
      </c>
      <c r="O139" s="83">
        <v>46.1</v>
      </c>
      <c r="P139" s="83">
        <f>$K139</f>
        <v>87</v>
      </c>
      <c r="Q139" s="140">
        <f>N139*EXP(-O139*((P139+273.15)/298.15-1)/$Q$1)</f>
        <v>2.5372416341833036E-5</v>
      </c>
      <c r="R139" s="84" t="s">
        <v>3012</v>
      </c>
      <c r="S139" s="86">
        <f>Q139</f>
        <v>2.5372416341833036E-5</v>
      </c>
      <c r="T139" s="87"/>
      <c r="U139" s="88"/>
      <c r="V139" s="87"/>
      <c r="W139" s="83"/>
      <c r="X139" s="83"/>
      <c r="Y139" s="83">
        <v>1.5299999999999999E-2</v>
      </c>
      <c r="Z139" s="84" t="s">
        <v>2310</v>
      </c>
      <c r="AA139" s="86">
        <f>Y141</f>
        <v>6.2864046597783871E-2</v>
      </c>
    </row>
    <row r="140" spans="1:27" x14ac:dyDescent="0.3">
      <c r="A140" s="39"/>
      <c r="B140" s="25"/>
      <c r="C140" s="45"/>
      <c r="D140" s="46">
        <v>291.98</v>
      </c>
      <c r="E140" s="60">
        <v>6.09</v>
      </c>
      <c r="F140" s="67" t="s">
        <v>3005</v>
      </c>
      <c r="G140" s="61"/>
      <c r="H140" s="60"/>
      <c r="I140" s="60"/>
      <c r="J140" s="62"/>
      <c r="K140" s="61"/>
      <c r="L140" s="60">
        <v>25</v>
      </c>
      <c r="M140" s="64">
        <f>10^(-4190/298.15+12.08)</f>
        <v>1.0633375209915957E-2</v>
      </c>
      <c r="N140" s="64">
        <f>$N$1*M140</f>
        <v>7.975687208317671E-5</v>
      </c>
      <c r="O140" s="60">
        <v>46.1</v>
      </c>
      <c r="P140" s="60">
        <f>$K139</f>
        <v>87</v>
      </c>
      <c r="Q140" s="74">
        <f>N140*EXP(-O140*((P140+273.15)/298.15-1)/$Q$1)</f>
        <v>2.5178680554438347E-5</v>
      </c>
      <c r="R140" s="67" t="s">
        <v>3016</v>
      </c>
      <c r="S140" s="63"/>
      <c r="T140" s="64"/>
      <c r="U140" s="62"/>
      <c r="V140" s="64"/>
      <c r="W140" s="60"/>
      <c r="X140" s="60"/>
      <c r="Y140" s="60">
        <v>1.5299999999999999E-2</v>
      </c>
      <c r="Z140" s="67" t="s">
        <v>3005</v>
      </c>
      <c r="AA140" s="63"/>
    </row>
    <row r="141" spans="1:27" x14ac:dyDescent="0.3">
      <c r="A141" s="39"/>
      <c r="B141" s="25"/>
      <c r="C141" s="45"/>
      <c r="D141" s="46">
        <v>291.98</v>
      </c>
      <c r="E141" s="68">
        <v>5.62</v>
      </c>
      <c r="F141" s="67" t="s">
        <v>2884</v>
      </c>
      <c r="G141" s="61"/>
      <c r="H141" s="60"/>
      <c r="I141" s="60"/>
      <c r="J141" s="62"/>
      <c r="K141" s="61"/>
      <c r="L141" s="60"/>
      <c r="M141" s="64"/>
      <c r="N141" s="64"/>
      <c r="O141" s="60"/>
      <c r="P141" s="60"/>
      <c r="Q141" s="64"/>
      <c r="R141" s="67"/>
      <c r="S141" s="63"/>
      <c r="T141" s="64"/>
      <c r="U141" s="62"/>
      <c r="V141" s="64">
        <f>$D141*0.000682</f>
        <v>0.19913036000000001</v>
      </c>
      <c r="W141" s="60">
        <v>46.1</v>
      </c>
      <c r="X141" s="60">
        <f>$K139</f>
        <v>87</v>
      </c>
      <c r="Y141" s="73">
        <f>V141*EXP(-$W141*(($X141+$W$1)/298.15-1)/$Y$1)</f>
        <v>6.2864046597783871E-2</v>
      </c>
      <c r="Z141" s="67" t="s">
        <v>3012</v>
      </c>
      <c r="AA141" s="63"/>
    </row>
    <row r="142" spans="1:27" x14ac:dyDescent="0.3">
      <c r="A142" s="39"/>
      <c r="B142" s="25"/>
      <c r="C142" s="45"/>
      <c r="D142" s="46">
        <v>291.98</v>
      </c>
      <c r="E142" s="60"/>
      <c r="F142" s="67"/>
      <c r="G142" s="61"/>
      <c r="H142" s="60"/>
      <c r="I142" s="60"/>
      <c r="J142" s="62"/>
      <c r="K142" s="61"/>
      <c r="L142" s="60"/>
      <c r="M142" s="64"/>
      <c r="N142" s="64"/>
      <c r="O142" s="60"/>
      <c r="P142" s="60"/>
      <c r="Q142" s="64"/>
      <c r="R142" s="67"/>
      <c r="S142" s="63"/>
      <c r="T142" s="64">
        <v>-7</v>
      </c>
      <c r="U142" s="62" t="s">
        <v>3030</v>
      </c>
      <c r="V142" s="64"/>
      <c r="W142" s="60"/>
      <c r="X142" s="60"/>
      <c r="Y142" s="64">
        <f>1000*$D142*10^T142</f>
        <v>2.9197999999999998E-2</v>
      </c>
      <c r="Z142" s="62" t="s">
        <v>3008</v>
      </c>
      <c r="AA142" s="63"/>
    </row>
    <row r="143" spans="1:27" x14ac:dyDescent="0.3">
      <c r="A143" s="79" t="s">
        <v>2369</v>
      </c>
      <c r="B143" s="80" t="s">
        <v>106</v>
      </c>
      <c r="C143" s="81" t="s">
        <v>107</v>
      </c>
      <c r="D143" s="82">
        <v>291.98</v>
      </c>
      <c r="E143" s="83"/>
      <c r="F143" s="83"/>
      <c r="G143" s="85"/>
      <c r="H143" s="83"/>
      <c r="I143" s="126">
        <v>103</v>
      </c>
      <c r="J143" s="88" t="s">
        <v>2914</v>
      </c>
      <c r="K143" s="85">
        <f>I143</f>
        <v>103</v>
      </c>
      <c r="L143" s="83">
        <v>25</v>
      </c>
      <c r="M143" s="83"/>
      <c r="N143" s="83"/>
      <c r="O143" s="83"/>
      <c r="P143" s="83"/>
      <c r="Q143" s="92">
        <v>2.2500000000000001E-5</v>
      </c>
      <c r="R143" s="84" t="s">
        <v>2310</v>
      </c>
      <c r="S143" s="86"/>
      <c r="T143" s="87"/>
      <c r="U143" s="88"/>
      <c r="V143" s="92"/>
      <c r="W143" s="83"/>
      <c r="X143" s="83"/>
      <c r="Y143" s="87">
        <v>4.7600000000000003E-2</v>
      </c>
      <c r="Z143" s="84" t="s">
        <v>2310</v>
      </c>
      <c r="AA143" s="86"/>
    </row>
    <row r="144" spans="1:27" x14ac:dyDescent="0.3">
      <c r="A144" s="39"/>
      <c r="B144" s="25"/>
      <c r="C144" s="45"/>
      <c r="D144" s="46">
        <v>291.98</v>
      </c>
      <c r="E144" s="60"/>
      <c r="F144" s="60"/>
      <c r="G144" s="61"/>
      <c r="H144" s="60"/>
      <c r="I144" s="77"/>
      <c r="J144" s="62"/>
      <c r="K144" s="61"/>
      <c r="L144" s="60">
        <v>25</v>
      </c>
      <c r="M144" s="60"/>
      <c r="N144" s="60"/>
      <c r="O144" s="60"/>
      <c r="P144" s="60"/>
      <c r="Q144" s="65">
        <v>2.2500000000000001E-5</v>
      </c>
      <c r="R144" s="67" t="s">
        <v>3005</v>
      </c>
      <c r="S144" s="63"/>
      <c r="T144" s="64"/>
      <c r="U144" s="62"/>
      <c r="V144" s="65"/>
      <c r="W144" s="60"/>
      <c r="X144" s="60"/>
      <c r="Y144" s="64">
        <v>4.759E-2</v>
      </c>
      <c r="Z144" s="67" t="s">
        <v>3005</v>
      </c>
      <c r="AA144" s="63"/>
    </row>
    <row r="145" spans="1:27" x14ac:dyDescent="0.3">
      <c r="A145" s="39"/>
      <c r="B145" s="25"/>
      <c r="C145" s="45"/>
      <c r="D145" s="46">
        <v>291.98</v>
      </c>
      <c r="E145" s="60"/>
      <c r="F145" s="60"/>
      <c r="G145" s="61"/>
      <c r="H145" s="60"/>
      <c r="I145" s="77"/>
      <c r="J145" s="62"/>
      <c r="K145" s="61"/>
      <c r="L145" s="60"/>
      <c r="M145" s="60"/>
      <c r="N145" s="60"/>
      <c r="O145" s="60"/>
      <c r="P145" s="60"/>
      <c r="Q145" s="65"/>
      <c r="R145" s="67"/>
      <c r="S145" s="63"/>
      <c r="T145" s="64">
        <v>-6.8</v>
      </c>
      <c r="U145" s="62" t="s">
        <v>3030</v>
      </c>
      <c r="V145" s="65"/>
      <c r="W145" s="60"/>
      <c r="X145" s="60"/>
      <c r="Y145" s="64">
        <f>1000*$D145*10^T145</f>
        <v>4.6275711433479555E-2</v>
      </c>
      <c r="Z145" s="62" t="s">
        <v>3008</v>
      </c>
      <c r="AA145" s="63"/>
    </row>
    <row r="146" spans="1:27" x14ac:dyDescent="0.3">
      <c r="A146" s="79" t="s">
        <v>2370</v>
      </c>
      <c r="B146" s="80" t="s">
        <v>108</v>
      </c>
      <c r="C146" s="81" t="s">
        <v>109</v>
      </c>
      <c r="D146" s="82">
        <v>291.98</v>
      </c>
      <c r="E146" s="83">
        <v>5.94</v>
      </c>
      <c r="F146" s="84" t="s">
        <v>2309</v>
      </c>
      <c r="G146" s="85">
        <f>E150</f>
        <v>5.9930000000000003</v>
      </c>
      <c r="H146" s="83"/>
      <c r="I146" s="126">
        <v>198</v>
      </c>
      <c r="J146" s="88" t="s">
        <v>2914</v>
      </c>
      <c r="K146" s="85">
        <f>I146</f>
        <v>198</v>
      </c>
      <c r="L146" s="83"/>
      <c r="M146" s="83"/>
      <c r="N146" s="83"/>
      <c r="O146" s="83"/>
      <c r="P146" s="83"/>
      <c r="Q146" s="83"/>
      <c r="R146" s="83"/>
      <c r="S146" s="86"/>
      <c r="T146" s="87"/>
      <c r="U146" s="88"/>
      <c r="V146" s="92"/>
      <c r="W146" s="83"/>
      <c r="X146" s="83"/>
      <c r="Y146" s="87">
        <v>1.1900000000000001E-2</v>
      </c>
      <c r="Z146" s="84" t="s">
        <v>2310</v>
      </c>
      <c r="AA146" s="86"/>
    </row>
    <row r="147" spans="1:27" x14ac:dyDescent="0.3">
      <c r="A147" s="39"/>
      <c r="B147" s="25"/>
      <c r="C147" s="45"/>
      <c r="D147" s="46">
        <v>291.98</v>
      </c>
      <c r="E147" s="60">
        <v>5.94</v>
      </c>
      <c r="F147" s="67" t="s">
        <v>3005</v>
      </c>
      <c r="G147" s="61"/>
      <c r="H147" s="60"/>
      <c r="I147" s="60"/>
      <c r="J147" s="62"/>
      <c r="K147" s="61"/>
      <c r="L147" s="60"/>
      <c r="M147" s="60"/>
      <c r="N147" s="60"/>
      <c r="O147" s="60"/>
      <c r="P147" s="60"/>
      <c r="Q147" s="60"/>
      <c r="R147" s="60"/>
      <c r="S147" s="63"/>
      <c r="T147" s="64"/>
      <c r="U147" s="62"/>
      <c r="V147" s="65"/>
      <c r="W147" s="60"/>
      <c r="X147" s="60"/>
      <c r="Y147" s="64">
        <v>1.1900000000000001E-2</v>
      </c>
      <c r="Z147" s="67" t="s">
        <v>3005</v>
      </c>
      <c r="AA147" s="63"/>
    </row>
    <row r="148" spans="1:27" x14ac:dyDescent="0.3">
      <c r="A148" s="39"/>
      <c r="B148" s="25"/>
      <c r="C148" s="45"/>
      <c r="D148" s="46">
        <v>291.98</v>
      </c>
      <c r="E148" s="60">
        <v>5.9359999999999999</v>
      </c>
      <c r="F148" s="67" t="s">
        <v>2969</v>
      </c>
      <c r="G148" s="61"/>
      <c r="H148" s="60"/>
      <c r="I148" s="60"/>
      <c r="J148" s="62"/>
      <c r="K148" s="61"/>
      <c r="L148" s="60"/>
      <c r="M148" s="60"/>
      <c r="N148" s="60"/>
      <c r="O148" s="60"/>
      <c r="P148" s="60"/>
      <c r="Q148" s="60"/>
      <c r="R148" s="60"/>
      <c r="S148" s="63"/>
      <c r="T148" s="64">
        <v>-8.0299999999999994</v>
      </c>
      <c r="U148" s="62" t="s">
        <v>3030</v>
      </c>
      <c r="V148" s="65"/>
      <c r="W148" s="60"/>
      <c r="X148" s="60"/>
      <c r="Y148" s="64">
        <f>1000*$D148*10^T148</f>
        <v>2.7249159074670504E-3</v>
      </c>
      <c r="Z148" s="62" t="s">
        <v>3008</v>
      </c>
      <c r="AA148" s="63"/>
    </row>
    <row r="149" spans="1:27" x14ac:dyDescent="0.3">
      <c r="A149" s="39"/>
      <c r="B149" s="25"/>
      <c r="C149" s="45"/>
      <c r="D149" s="46">
        <v>291.98</v>
      </c>
      <c r="E149" s="60">
        <v>6.05</v>
      </c>
      <c r="F149" s="67" t="s">
        <v>2884</v>
      </c>
      <c r="G149" s="61"/>
      <c r="H149" s="60"/>
      <c r="I149" s="60"/>
      <c r="J149" s="62"/>
      <c r="K149" s="61"/>
      <c r="L149" s="60"/>
      <c r="M149" s="60"/>
      <c r="N149" s="60"/>
      <c r="O149" s="60"/>
      <c r="P149" s="60"/>
      <c r="Q149" s="60"/>
      <c r="R149" s="60"/>
      <c r="S149" s="63"/>
      <c r="T149" s="64"/>
      <c r="U149" s="62"/>
      <c r="V149" s="65"/>
      <c r="W149" s="60"/>
      <c r="X149" s="60"/>
      <c r="Y149" s="65"/>
      <c r="Z149" s="60"/>
      <c r="AA149" s="63"/>
    </row>
    <row r="150" spans="1:27" ht="24" x14ac:dyDescent="0.3">
      <c r="A150" s="39"/>
      <c r="B150" s="25"/>
      <c r="C150" s="45"/>
      <c r="D150" s="46">
        <v>291.98</v>
      </c>
      <c r="E150" s="68">
        <f>AVERAGE(E148:E149)</f>
        <v>5.9930000000000003</v>
      </c>
      <c r="F150" s="70" t="s">
        <v>2883</v>
      </c>
      <c r="G150" s="61"/>
      <c r="H150" s="60"/>
      <c r="I150" s="60"/>
      <c r="J150" s="62"/>
      <c r="K150" s="61"/>
      <c r="L150" s="60"/>
      <c r="M150" s="60"/>
      <c r="N150" s="60"/>
      <c r="O150" s="60"/>
      <c r="P150" s="60"/>
      <c r="Q150" s="60"/>
      <c r="R150" s="60"/>
      <c r="S150" s="63"/>
      <c r="T150" s="64"/>
      <c r="U150" s="62"/>
      <c r="V150" s="65"/>
      <c r="W150" s="60"/>
      <c r="X150" s="60"/>
      <c r="Y150" s="65"/>
      <c r="Z150" s="60"/>
      <c r="AA150" s="63"/>
    </row>
    <row r="151" spans="1:27" x14ac:dyDescent="0.3">
      <c r="A151" s="79" t="s">
        <v>2371</v>
      </c>
      <c r="B151" s="80" t="s">
        <v>110</v>
      </c>
      <c r="C151" s="81" t="s">
        <v>111</v>
      </c>
      <c r="D151" s="82">
        <v>291.98</v>
      </c>
      <c r="E151" s="83"/>
      <c r="F151" s="83"/>
      <c r="G151" s="85"/>
      <c r="H151" s="83"/>
      <c r="I151" s="83"/>
      <c r="J151" s="83"/>
      <c r="K151" s="85"/>
      <c r="L151" s="83"/>
      <c r="M151" s="83"/>
      <c r="N151" s="83"/>
      <c r="O151" s="83"/>
      <c r="P151" s="83"/>
      <c r="Q151" s="83"/>
      <c r="R151" s="83"/>
      <c r="S151" s="86"/>
      <c r="T151" s="83"/>
      <c r="U151" s="83"/>
      <c r="V151" s="92"/>
      <c r="W151" s="83"/>
      <c r="X151" s="83"/>
      <c r="Y151" s="87">
        <v>4.9599999999999998E-2</v>
      </c>
      <c r="Z151" s="84" t="s">
        <v>2310</v>
      </c>
      <c r="AA151" s="86"/>
    </row>
    <row r="152" spans="1:27" x14ac:dyDescent="0.3">
      <c r="A152" s="39"/>
      <c r="B152" s="25"/>
      <c r="C152" s="45"/>
      <c r="D152" s="46">
        <v>291.98</v>
      </c>
      <c r="E152" s="60"/>
      <c r="F152" s="60"/>
      <c r="G152" s="61"/>
      <c r="H152" s="60"/>
      <c r="I152" s="60"/>
      <c r="J152" s="60"/>
      <c r="K152" s="61"/>
      <c r="L152" s="60"/>
      <c r="M152" s="60"/>
      <c r="N152" s="60"/>
      <c r="O152" s="60"/>
      <c r="P152" s="60"/>
      <c r="Q152" s="60"/>
      <c r="R152" s="60"/>
      <c r="S152" s="63"/>
      <c r="T152" s="60"/>
      <c r="U152" s="60"/>
      <c r="V152" s="65"/>
      <c r="W152" s="60"/>
      <c r="X152" s="60"/>
      <c r="Y152" s="64">
        <v>4.9590000000000002E-2</v>
      </c>
      <c r="Z152" s="67" t="s">
        <v>3005</v>
      </c>
      <c r="AA152" s="63"/>
    </row>
    <row r="153" spans="1:27" x14ac:dyDescent="0.3">
      <c r="A153" s="130" t="s">
        <v>2372</v>
      </c>
      <c r="B153" s="131" t="s">
        <v>112</v>
      </c>
      <c r="C153" s="132" t="s">
        <v>113</v>
      </c>
      <c r="D153" s="133">
        <v>291.98</v>
      </c>
      <c r="E153" s="134"/>
      <c r="F153" s="134"/>
      <c r="G153" s="135"/>
      <c r="H153" s="134"/>
      <c r="I153" s="134"/>
      <c r="J153" s="134"/>
      <c r="K153" s="135"/>
      <c r="L153" s="134"/>
      <c r="M153" s="134"/>
      <c r="N153" s="134"/>
      <c r="O153" s="134"/>
      <c r="P153" s="134"/>
      <c r="Q153" s="134"/>
      <c r="R153" s="134"/>
      <c r="S153" s="136"/>
      <c r="T153" s="134"/>
      <c r="U153" s="134"/>
      <c r="V153" s="137"/>
      <c r="W153" s="134"/>
      <c r="X153" s="134"/>
      <c r="Y153" s="137"/>
      <c r="Z153" s="134"/>
      <c r="AA153" s="136"/>
    </row>
    <row r="154" spans="1:27" x14ac:dyDescent="0.3">
      <c r="A154" s="130" t="s">
        <v>2373</v>
      </c>
      <c r="B154" s="131" t="s">
        <v>114</v>
      </c>
      <c r="C154" s="132" t="s">
        <v>115</v>
      </c>
      <c r="D154" s="133">
        <v>291.98</v>
      </c>
      <c r="E154" s="134"/>
      <c r="F154" s="134"/>
      <c r="G154" s="135"/>
      <c r="H154" s="134"/>
      <c r="I154" s="134"/>
      <c r="J154" s="134"/>
      <c r="K154" s="135"/>
      <c r="L154" s="134"/>
      <c r="M154" s="134"/>
      <c r="N154" s="134"/>
      <c r="O154" s="134"/>
      <c r="P154" s="134"/>
      <c r="Q154" s="134"/>
      <c r="R154" s="134"/>
      <c r="S154" s="136"/>
      <c r="T154" s="134"/>
      <c r="U154" s="134"/>
      <c r="V154" s="137"/>
      <c r="W154" s="134"/>
      <c r="X154" s="134"/>
      <c r="Y154" s="137"/>
      <c r="Z154" s="134"/>
      <c r="AA154" s="136"/>
    </row>
    <row r="155" spans="1:27" x14ac:dyDescent="0.3">
      <c r="A155" s="79" t="s">
        <v>2374</v>
      </c>
      <c r="B155" s="80" t="s">
        <v>116</v>
      </c>
      <c r="C155" s="81" t="s">
        <v>117</v>
      </c>
      <c r="D155" s="82">
        <v>291.98</v>
      </c>
      <c r="E155" s="83">
        <v>6.17</v>
      </c>
      <c r="F155" s="84" t="s">
        <v>2309</v>
      </c>
      <c r="G155" s="85"/>
      <c r="H155" s="83"/>
      <c r="I155" s="83"/>
      <c r="J155" s="83"/>
      <c r="K155" s="85"/>
      <c r="L155" s="83"/>
      <c r="M155" s="83"/>
      <c r="N155" s="83"/>
      <c r="O155" s="83"/>
      <c r="P155" s="83"/>
      <c r="Q155" s="83"/>
      <c r="R155" s="83"/>
      <c r="S155" s="86"/>
      <c r="T155" s="83"/>
      <c r="U155" s="83"/>
      <c r="V155" s="92"/>
      <c r="W155" s="83"/>
      <c r="X155" s="83"/>
      <c r="Y155" s="92"/>
      <c r="Z155" s="83"/>
      <c r="AA155" s="86"/>
    </row>
    <row r="156" spans="1:27" x14ac:dyDescent="0.3">
      <c r="A156" s="39"/>
      <c r="B156" s="25"/>
      <c r="C156" s="45"/>
      <c r="D156" s="46">
        <v>291.98</v>
      </c>
      <c r="E156" s="60">
        <v>6.17</v>
      </c>
      <c r="F156" s="67" t="s">
        <v>3005</v>
      </c>
      <c r="G156" s="61"/>
      <c r="H156" s="60"/>
      <c r="I156" s="60"/>
      <c r="J156" s="60"/>
      <c r="K156" s="61"/>
      <c r="L156" s="60"/>
      <c r="M156" s="60"/>
      <c r="N156" s="60"/>
      <c r="O156" s="60"/>
      <c r="P156" s="60"/>
      <c r="Q156" s="60"/>
      <c r="R156" s="60"/>
      <c r="S156" s="63"/>
      <c r="T156" s="60"/>
      <c r="U156" s="60"/>
      <c r="V156" s="65"/>
      <c r="W156" s="60"/>
      <c r="X156" s="60"/>
      <c r="Y156" s="65"/>
      <c r="Z156" s="60"/>
      <c r="AA156" s="63"/>
    </row>
    <row r="157" spans="1:27" x14ac:dyDescent="0.3">
      <c r="A157" s="130" t="s">
        <v>2375</v>
      </c>
      <c r="B157" s="131" t="s">
        <v>118</v>
      </c>
      <c r="C157" s="132" t="s">
        <v>119</v>
      </c>
      <c r="D157" s="133">
        <v>291.98</v>
      </c>
      <c r="E157" s="134"/>
      <c r="F157" s="134"/>
      <c r="G157" s="135"/>
      <c r="H157" s="134"/>
      <c r="I157" s="134"/>
      <c r="J157" s="134"/>
      <c r="K157" s="135"/>
      <c r="L157" s="134"/>
      <c r="M157" s="134"/>
      <c r="N157" s="134"/>
      <c r="O157" s="134"/>
      <c r="P157" s="134"/>
      <c r="Q157" s="134"/>
      <c r="R157" s="134"/>
      <c r="S157" s="136"/>
      <c r="T157" s="134"/>
      <c r="U157" s="134"/>
      <c r="V157" s="137"/>
      <c r="W157" s="134"/>
      <c r="X157" s="134"/>
      <c r="Y157" s="137"/>
      <c r="Z157" s="134"/>
      <c r="AA157" s="136"/>
    </row>
    <row r="158" spans="1:27" x14ac:dyDescent="0.3">
      <c r="A158" s="79" t="s">
        <v>2376</v>
      </c>
      <c r="B158" s="80" t="s">
        <v>120</v>
      </c>
      <c r="C158" s="81" t="s">
        <v>121</v>
      </c>
      <c r="D158" s="82">
        <v>291.98</v>
      </c>
      <c r="E158" s="83">
        <v>5.84</v>
      </c>
      <c r="F158" s="84" t="s">
        <v>2309</v>
      </c>
      <c r="G158" s="85"/>
      <c r="H158" s="83"/>
      <c r="I158" s="83"/>
      <c r="J158" s="83"/>
      <c r="K158" s="85"/>
      <c r="L158" s="83"/>
      <c r="M158" s="83"/>
      <c r="N158" s="83"/>
      <c r="O158" s="83"/>
      <c r="P158" s="83"/>
      <c r="Q158" s="83"/>
      <c r="R158" s="83"/>
      <c r="S158" s="86"/>
      <c r="T158" s="87"/>
      <c r="U158" s="87"/>
      <c r="V158" s="92"/>
      <c r="W158" s="83"/>
      <c r="X158" s="83"/>
      <c r="Y158" s="87">
        <v>3.8899999999999997E-2</v>
      </c>
      <c r="Z158" s="84" t="s">
        <v>2310</v>
      </c>
      <c r="AA158" s="86"/>
    </row>
    <row r="159" spans="1:27" x14ac:dyDescent="0.3">
      <c r="A159" s="39"/>
      <c r="B159" s="25"/>
      <c r="C159" s="45"/>
      <c r="D159" s="46">
        <v>291.98</v>
      </c>
      <c r="E159" s="60">
        <v>5.84</v>
      </c>
      <c r="F159" s="67" t="s">
        <v>3005</v>
      </c>
      <c r="G159" s="61"/>
      <c r="H159" s="60"/>
      <c r="I159" s="60"/>
      <c r="J159" s="60"/>
      <c r="K159" s="61"/>
      <c r="L159" s="60"/>
      <c r="M159" s="60"/>
      <c r="N159" s="60"/>
      <c r="O159" s="60"/>
      <c r="P159" s="60"/>
      <c r="Q159" s="60"/>
      <c r="R159" s="60"/>
      <c r="S159" s="63"/>
      <c r="T159" s="64"/>
      <c r="U159" s="64"/>
      <c r="V159" s="65"/>
      <c r="W159" s="60"/>
      <c r="X159" s="60"/>
      <c r="Y159" s="64">
        <v>3.8899999999999997E-2</v>
      </c>
      <c r="Z159" s="67" t="s">
        <v>3005</v>
      </c>
      <c r="AA159" s="63"/>
    </row>
    <row r="160" spans="1:27" x14ac:dyDescent="0.3">
      <c r="A160" s="79" t="s">
        <v>2377</v>
      </c>
      <c r="B160" s="80" t="s">
        <v>122</v>
      </c>
      <c r="C160" s="81" t="s">
        <v>123</v>
      </c>
      <c r="D160" s="82">
        <v>291.98</v>
      </c>
      <c r="E160" s="83">
        <v>6.41</v>
      </c>
      <c r="F160" s="84" t="s">
        <v>2309</v>
      </c>
      <c r="G160" s="85">
        <f>E164</f>
        <v>6.4079999999999995</v>
      </c>
      <c r="H160" s="83"/>
      <c r="I160" s="83">
        <v>90.7</v>
      </c>
      <c r="J160" s="88" t="s">
        <v>2914</v>
      </c>
      <c r="K160" s="85">
        <f>I161</f>
        <v>90.75</v>
      </c>
      <c r="L160" s="83">
        <v>25</v>
      </c>
      <c r="M160" s="87"/>
      <c r="N160" s="87"/>
      <c r="O160" s="83"/>
      <c r="P160" s="83"/>
      <c r="Q160" s="92">
        <v>3.7499999999999997E-5</v>
      </c>
      <c r="R160" s="84" t="s">
        <v>2310</v>
      </c>
      <c r="S160" s="86">
        <f>Q162</f>
        <v>8.6924179879987858E-6</v>
      </c>
      <c r="T160" s="87"/>
      <c r="U160" s="88"/>
      <c r="V160" s="87"/>
      <c r="W160" s="83"/>
      <c r="X160" s="83"/>
      <c r="Y160" s="83">
        <v>1.4E-2</v>
      </c>
      <c r="Z160" s="84" t="s">
        <v>2310</v>
      </c>
      <c r="AA160" s="86">
        <f>Y162</f>
        <v>1.695521715482947E-2</v>
      </c>
    </row>
    <row r="161" spans="1:27" x14ac:dyDescent="0.3">
      <c r="A161" s="39"/>
      <c r="B161" s="25"/>
      <c r="C161" s="45"/>
      <c r="D161" s="46">
        <v>291.98</v>
      </c>
      <c r="E161" s="60">
        <v>6.41</v>
      </c>
      <c r="F161" s="67" t="s">
        <v>3005</v>
      </c>
      <c r="G161" s="61"/>
      <c r="H161" s="60">
        <v>363.9</v>
      </c>
      <c r="I161" s="68">
        <f>H161-$H$1</f>
        <v>90.75</v>
      </c>
      <c r="J161" s="62" t="s">
        <v>2314</v>
      </c>
      <c r="K161" s="61"/>
      <c r="L161" s="60">
        <v>25</v>
      </c>
      <c r="M161" s="64"/>
      <c r="N161" s="64"/>
      <c r="O161" s="60"/>
      <c r="P161" s="60"/>
      <c r="Q161" s="65">
        <v>3.7499999999999997E-5</v>
      </c>
      <c r="R161" s="67" t="s">
        <v>3005</v>
      </c>
      <c r="S161" s="63"/>
      <c r="T161" s="64"/>
      <c r="U161" s="62"/>
      <c r="V161" s="64"/>
      <c r="W161" s="60"/>
      <c r="X161" s="60"/>
      <c r="Y161" s="60">
        <v>1.4E-2</v>
      </c>
      <c r="Z161" s="67" t="s">
        <v>3005</v>
      </c>
      <c r="AA161" s="63"/>
    </row>
    <row r="162" spans="1:27" x14ac:dyDescent="0.3">
      <c r="A162" s="39"/>
      <c r="B162" s="25"/>
      <c r="C162" s="45"/>
      <c r="D162" s="46">
        <v>291.98</v>
      </c>
      <c r="E162" s="60">
        <v>6.4059999999999997</v>
      </c>
      <c r="F162" s="67" t="s">
        <v>2969</v>
      </c>
      <c r="G162" s="61"/>
      <c r="H162" s="60"/>
      <c r="I162" s="60"/>
      <c r="J162" s="62"/>
      <c r="K162" s="61"/>
      <c r="L162" s="60">
        <v>25</v>
      </c>
      <c r="M162" s="64">
        <f>10^(-2.14)</f>
        <v>7.244359600749894E-3</v>
      </c>
      <c r="N162" s="64">
        <f>$N$1*M162</f>
        <v>5.4337164879006381E-5</v>
      </c>
      <c r="O162" s="60">
        <v>69.099999999999994</v>
      </c>
      <c r="P162" s="60">
        <f>$K160</f>
        <v>90.75</v>
      </c>
      <c r="Q162" s="73">
        <f>N162*EXP(-O162*((P162+273.15)/298.15-1)/$Q$1)</f>
        <v>8.6924179879987858E-6</v>
      </c>
      <c r="R162" s="67" t="s">
        <v>3012</v>
      </c>
      <c r="S162" s="63"/>
      <c r="T162" s="64"/>
      <c r="U162" s="62"/>
      <c r="V162" s="64">
        <f>$D162*0.000363</f>
        <v>0.10598874</v>
      </c>
      <c r="W162" s="60">
        <v>69.099999999999994</v>
      </c>
      <c r="X162" s="60">
        <f>$K160</f>
        <v>90.75</v>
      </c>
      <c r="Y162" s="73">
        <f>V162*EXP(-$W162*(($X162+$W$1)/298.15-1)/$Y$1)</f>
        <v>1.695521715482947E-2</v>
      </c>
      <c r="Z162" s="67" t="s">
        <v>3012</v>
      </c>
      <c r="AA162" s="63"/>
    </row>
    <row r="163" spans="1:27" x14ac:dyDescent="0.3">
      <c r="A163" s="39"/>
      <c r="B163" s="25"/>
      <c r="C163" s="45"/>
      <c r="D163" s="46">
        <v>291.98</v>
      </c>
      <c r="E163" s="60">
        <v>6.41</v>
      </c>
      <c r="F163" s="67" t="s">
        <v>2884</v>
      </c>
      <c r="G163" s="61"/>
      <c r="H163" s="60"/>
      <c r="I163" s="60"/>
      <c r="J163" s="62"/>
      <c r="K163" s="61"/>
      <c r="L163" s="60">
        <v>25</v>
      </c>
      <c r="M163" s="64">
        <f>10^(-4330/298.15+12.38)</f>
        <v>7.196293005354141E-3</v>
      </c>
      <c r="N163" s="64">
        <f>$N$1*M163</f>
        <v>5.3976635769032167E-5</v>
      </c>
      <c r="O163" s="60">
        <v>69.099999999999994</v>
      </c>
      <c r="P163" s="60">
        <f>$K160</f>
        <v>90.75</v>
      </c>
      <c r="Q163" s="74">
        <f>N163*EXP(-O163*((P163+273.15)/298.15-1)/$Q$1)</f>
        <v>8.6347434713449393E-6</v>
      </c>
      <c r="R163" s="67" t="s">
        <v>3016</v>
      </c>
      <c r="S163" s="63"/>
      <c r="T163" s="64"/>
      <c r="U163" s="62"/>
      <c r="V163" s="64">
        <f>$D163*10^(-839/298.15-0.626)</f>
        <v>0.10600670010962035</v>
      </c>
      <c r="W163" s="60">
        <v>69.099999999999994</v>
      </c>
      <c r="X163" s="60">
        <f>$K160</f>
        <v>90.75</v>
      </c>
      <c r="Y163" s="74">
        <f>V163*EXP(-$W163*(($X163+$W$1)/298.15-1)/$Y$1)</f>
        <v>1.6958090267187798E-2</v>
      </c>
      <c r="Z163" s="67" t="s">
        <v>3011</v>
      </c>
      <c r="AA163" s="63"/>
    </row>
    <row r="164" spans="1:27" ht="24" x14ac:dyDescent="0.3">
      <c r="A164" s="39"/>
      <c r="B164" s="25"/>
      <c r="C164" s="45"/>
      <c r="D164" s="46">
        <v>291.98</v>
      </c>
      <c r="E164" s="68">
        <f>AVERAGE(E162:E163)</f>
        <v>6.4079999999999995</v>
      </c>
      <c r="F164" s="70" t="s">
        <v>2883</v>
      </c>
      <c r="G164" s="61"/>
      <c r="H164" s="60"/>
      <c r="I164" s="60"/>
      <c r="J164" s="62"/>
      <c r="K164" s="61"/>
      <c r="L164" s="60"/>
      <c r="M164" s="64"/>
      <c r="N164" s="64"/>
      <c r="O164" s="60"/>
      <c r="P164" s="60"/>
      <c r="Q164" s="64"/>
      <c r="R164" s="67"/>
      <c r="S164" s="63"/>
      <c r="T164" s="64">
        <v>-7.16</v>
      </c>
      <c r="U164" s="62" t="s">
        <v>3030</v>
      </c>
      <c r="V164" s="64"/>
      <c r="W164" s="60"/>
      <c r="X164" s="60"/>
      <c r="Y164" s="64">
        <f>1000*$D164*10^T164</f>
        <v>2.0200080688891054E-2</v>
      </c>
      <c r="Z164" s="62" t="s">
        <v>3008</v>
      </c>
      <c r="AA164" s="63"/>
    </row>
    <row r="165" spans="1:27" x14ac:dyDescent="0.3">
      <c r="A165" s="130" t="s">
        <v>2378</v>
      </c>
      <c r="B165" s="131" t="s">
        <v>124</v>
      </c>
      <c r="C165" s="132" t="s">
        <v>125</v>
      </c>
      <c r="D165" s="133">
        <v>291.98</v>
      </c>
      <c r="E165" s="134"/>
      <c r="F165" s="134"/>
      <c r="G165" s="135"/>
      <c r="H165" s="134"/>
      <c r="I165" s="134"/>
      <c r="J165" s="134"/>
      <c r="K165" s="135"/>
      <c r="L165" s="134"/>
      <c r="M165" s="134"/>
      <c r="N165" s="134"/>
      <c r="O165" s="134"/>
      <c r="P165" s="134"/>
      <c r="Q165" s="134"/>
      <c r="R165" s="134"/>
      <c r="S165" s="136"/>
      <c r="T165" s="134"/>
      <c r="U165" s="134"/>
      <c r="V165" s="137"/>
      <c r="W165" s="134"/>
      <c r="X165" s="134"/>
      <c r="Y165" s="137"/>
      <c r="Z165" s="134"/>
      <c r="AA165" s="136"/>
    </row>
    <row r="166" spans="1:27" x14ac:dyDescent="0.3">
      <c r="A166" s="79" t="s">
        <v>2379</v>
      </c>
      <c r="B166" s="80" t="s">
        <v>126</v>
      </c>
      <c r="C166" s="81" t="s">
        <v>127</v>
      </c>
      <c r="D166" s="82">
        <v>291.98</v>
      </c>
      <c r="E166" s="83"/>
      <c r="F166" s="83"/>
      <c r="G166" s="85"/>
      <c r="H166" s="83"/>
      <c r="I166" s="83"/>
      <c r="J166" s="83"/>
      <c r="K166" s="85"/>
      <c r="L166" s="83"/>
      <c r="M166" s="83"/>
      <c r="N166" s="83"/>
      <c r="O166" s="83"/>
      <c r="P166" s="83"/>
      <c r="Q166" s="83"/>
      <c r="R166" s="83"/>
      <c r="S166" s="86"/>
      <c r="T166" s="83"/>
      <c r="U166" s="83"/>
      <c r="V166" s="83"/>
      <c r="W166" s="83"/>
      <c r="X166" s="83"/>
      <c r="Y166" s="87">
        <v>4.9599999999999998E-2</v>
      </c>
      <c r="Z166" s="84" t="s">
        <v>2310</v>
      </c>
      <c r="AA166" s="86"/>
    </row>
    <row r="167" spans="1:27" x14ac:dyDescent="0.3">
      <c r="A167" s="39"/>
      <c r="B167" s="25"/>
      <c r="C167" s="45"/>
      <c r="D167" s="46">
        <v>291.98</v>
      </c>
      <c r="E167" s="60"/>
      <c r="F167" s="60"/>
      <c r="G167" s="61"/>
      <c r="H167" s="60"/>
      <c r="I167" s="60"/>
      <c r="J167" s="60"/>
      <c r="K167" s="61"/>
      <c r="L167" s="60"/>
      <c r="M167" s="60"/>
      <c r="N167" s="60"/>
      <c r="O167" s="60"/>
      <c r="P167" s="60"/>
      <c r="Q167" s="60"/>
      <c r="R167" s="60"/>
      <c r="S167" s="63"/>
      <c r="T167" s="60"/>
      <c r="U167" s="60"/>
      <c r="V167" s="60"/>
      <c r="W167" s="60"/>
      <c r="X167" s="60"/>
      <c r="Y167" s="64">
        <v>4.9590000000000002E-2</v>
      </c>
      <c r="Z167" s="67" t="s">
        <v>3005</v>
      </c>
      <c r="AA167" s="63"/>
    </row>
    <row r="168" spans="1:27" x14ac:dyDescent="0.3">
      <c r="A168" s="130" t="s">
        <v>2380</v>
      </c>
      <c r="B168" s="131" t="s">
        <v>128</v>
      </c>
      <c r="C168" s="132" t="s">
        <v>129</v>
      </c>
      <c r="D168" s="133">
        <v>291.98</v>
      </c>
      <c r="E168" s="134"/>
      <c r="F168" s="134"/>
      <c r="G168" s="135"/>
      <c r="H168" s="134"/>
      <c r="I168" s="134"/>
      <c r="J168" s="134"/>
      <c r="K168" s="135"/>
      <c r="L168" s="134"/>
      <c r="M168" s="134"/>
      <c r="N168" s="134"/>
      <c r="O168" s="134"/>
      <c r="P168" s="134"/>
      <c r="Q168" s="134"/>
      <c r="R168" s="134"/>
      <c r="S168" s="136"/>
      <c r="T168" s="134"/>
      <c r="U168" s="134"/>
      <c r="V168" s="134"/>
      <c r="W168" s="134"/>
      <c r="X168" s="134"/>
      <c r="Y168" s="137"/>
      <c r="Z168" s="134"/>
      <c r="AA168" s="136"/>
    </row>
    <row r="169" spans="1:27" x14ac:dyDescent="0.3">
      <c r="A169" s="79" t="s">
        <v>2381</v>
      </c>
      <c r="B169" s="80" t="s">
        <v>130</v>
      </c>
      <c r="C169" s="81" t="s">
        <v>131</v>
      </c>
      <c r="D169" s="82">
        <v>291.98</v>
      </c>
      <c r="E169" s="83"/>
      <c r="F169" s="83"/>
      <c r="G169" s="85"/>
      <c r="H169" s="83"/>
      <c r="I169" s="83"/>
      <c r="J169" s="83"/>
      <c r="K169" s="85"/>
      <c r="L169" s="83"/>
      <c r="M169" s="83"/>
      <c r="N169" s="83"/>
      <c r="O169" s="83"/>
      <c r="P169" s="83"/>
      <c r="Q169" s="83"/>
      <c r="R169" s="83"/>
      <c r="S169" s="86"/>
      <c r="T169" s="83"/>
      <c r="U169" s="83"/>
      <c r="V169" s="83"/>
      <c r="W169" s="83"/>
      <c r="X169" s="83"/>
      <c r="Y169" s="87">
        <v>1.6400000000000001E-2</v>
      </c>
      <c r="Z169" s="84" t="s">
        <v>2310</v>
      </c>
      <c r="AA169" s="86"/>
    </row>
    <row r="170" spans="1:27" x14ac:dyDescent="0.3">
      <c r="A170" s="39"/>
      <c r="B170" s="25"/>
      <c r="C170" s="45"/>
      <c r="D170" s="46">
        <v>291.98</v>
      </c>
      <c r="E170" s="60"/>
      <c r="F170" s="60"/>
      <c r="G170" s="61"/>
      <c r="H170" s="60"/>
      <c r="I170" s="60"/>
      <c r="J170" s="60"/>
      <c r="K170" s="61"/>
      <c r="L170" s="60"/>
      <c r="M170" s="60"/>
      <c r="N170" s="60"/>
      <c r="O170" s="60"/>
      <c r="P170" s="60"/>
      <c r="Q170" s="60"/>
      <c r="R170" s="60"/>
      <c r="S170" s="63"/>
      <c r="T170" s="60"/>
      <c r="U170" s="60"/>
      <c r="V170" s="60"/>
      <c r="W170" s="60"/>
      <c r="X170" s="60"/>
      <c r="Y170" s="64">
        <v>1.6420000000000001E-2</v>
      </c>
      <c r="Z170" s="67" t="s">
        <v>3005</v>
      </c>
      <c r="AA170" s="63"/>
    </row>
    <row r="171" spans="1:27" x14ac:dyDescent="0.3">
      <c r="A171" s="79" t="s">
        <v>2382</v>
      </c>
      <c r="B171" s="80" t="s">
        <v>132</v>
      </c>
      <c r="C171" s="81" t="s">
        <v>133</v>
      </c>
      <c r="D171" s="82">
        <v>291.98</v>
      </c>
      <c r="E171" s="83">
        <v>6.31</v>
      </c>
      <c r="F171" s="84" t="s">
        <v>2309</v>
      </c>
      <c r="G171" s="85"/>
      <c r="H171" s="83"/>
      <c r="I171" s="126">
        <v>128</v>
      </c>
      <c r="J171" s="88" t="s">
        <v>2914</v>
      </c>
      <c r="K171" s="85">
        <f>I171</f>
        <v>128</v>
      </c>
      <c r="L171" s="83">
        <v>25</v>
      </c>
      <c r="M171" s="83"/>
      <c r="N171" s="83"/>
      <c r="O171" s="83"/>
      <c r="P171" s="83"/>
      <c r="Q171" s="92">
        <v>4.6199999999999998E-5</v>
      </c>
      <c r="R171" s="84" t="s">
        <v>2310</v>
      </c>
      <c r="S171" s="86"/>
      <c r="T171" s="87"/>
      <c r="U171" s="88"/>
      <c r="V171" s="83"/>
      <c r="W171" s="83"/>
      <c r="X171" s="83"/>
      <c r="Y171" s="87">
        <v>3.6799999999999999E-2</v>
      </c>
      <c r="Z171" s="84" t="s">
        <v>2310</v>
      </c>
      <c r="AA171" s="86"/>
    </row>
    <row r="172" spans="1:27" x14ac:dyDescent="0.3">
      <c r="A172" s="39"/>
      <c r="B172" s="25"/>
      <c r="C172" s="45"/>
      <c r="D172" s="46">
        <v>291.98</v>
      </c>
      <c r="E172" s="60">
        <v>6.31</v>
      </c>
      <c r="F172" s="67" t="s">
        <v>3005</v>
      </c>
      <c r="G172" s="61"/>
      <c r="H172" s="60"/>
      <c r="I172" s="68"/>
      <c r="J172" s="62"/>
      <c r="K172" s="61"/>
      <c r="L172" s="60">
        <v>25</v>
      </c>
      <c r="M172" s="60"/>
      <c r="N172" s="60"/>
      <c r="O172" s="60"/>
      <c r="P172" s="60"/>
      <c r="Q172" s="78">
        <v>4.6239999999999998E-5</v>
      </c>
      <c r="R172" s="67" t="s">
        <v>3005</v>
      </c>
      <c r="S172" s="63"/>
      <c r="T172" s="64"/>
      <c r="U172" s="62"/>
      <c r="V172" s="60"/>
      <c r="W172" s="60"/>
      <c r="X172" s="60"/>
      <c r="Y172" s="64">
        <v>3.6799999999999999E-2</v>
      </c>
      <c r="Z172" s="67" t="s">
        <v>3005</v>
      </c>
      <c r="AA172" s="63"/>
    </row>
    <row r="173" spans="1:27" x14ac:dyDescent="0.3">
      <c r="A173" s="39"/>
      <c r="B173" s="25"/>
      <c r="C173" s="45"/>
      <c r="D173" s="46">
        <v>291.98</v>
      </c>
      <c r="E173" s="60"/>
      <c r="F173" s="67"/>
      <c r="G173" s="61"/>
      <c r="H173" s="60"/>
      <c r="I173" s="68"/>
      <c r="J173" s="62"/>
      <c r="K173" s="61"/>
      <c r="L173" s="60"/>
      <c r="M173" s="60"/>
      <c r="N173" s="60"/>
      <c r="O173" s="60"/>
      <c r="P173" s="60"/>
      <c r="Q173" s="78"/>
      <c r="R173" s="67"/>
      <c r="S173" s="63"/>
      <c r="T173" s="145">
        <v>-7.8</v>
      </c>
      <c r="U173" s="62" t="s">
        <v>3030</v>
      </c>
      <c r="V173" s="60"/>
      <c r="W173" s="60"/>
      <c r="X173" s="60"/>
      <c r="Y173" s="64">
        <f>1000*$D173*10^T173</f>
        <v>4.627571143347959E-3</v>
      </c>
      <c r="Z173" s="62" t="s">
        <v>3008</v>
      </c>
      <c r="AA173" s="63"/>
    </row>
    <row r="174" spans="1:27" x14ac:dyDescent="0.3">
      <c r="A174" s="79" t="s">
        <v>2383</v>
      </c>
      <c r="B174" s="80" t="s">
        <v>134</v>
      </c>
      <c r="C174" s="81" t="s">
        <v>135</v>
      </c>
      <c r="D174" s="82">
        <v>291.98</v>
      </c>
      <c r="E174" s="83"/>
      <c r="F174" s="84"/>
      <c r="G174" s="85"/>
      <c r="H174" s="83"/>
      <c r="I174" s="83"/>
      <c r="J174" s="83"/>
      <c r="K174" s="85"/>
      <c r="L174" s="83"/>
      <c r="M174" s="83"/>
      <c r="N174" s="83"/>
      <c r="O174" s="83"/>
      <c r="P174" s="83"/>
      <c r="Q174" s="83"/>
      <c r="R174" s="83"/>
      <c r="S174" s="86"/>
      <c r="T174" s="83"/>
      <c r="U174" s="83"/>
      <c r="V174" s="83"/>
      <c r="W174" s="83"/>
      <c r="X174" s="83"/>
      <c r="Y174" s="87">
        <v>2.1700000000000001E-2</v>
      </c>
      <c r="Z174" s="84" t="s">
        <v>2310</v>
      </c>
      <c r="AA174" s="86"/>
    </row>
    <row r="175" spans="1:27" x14ac:dyDescent="0.3">
      <c r="A175" s="39"/>
      <c r="B175" s="25"/>
      <c r="C175" s="45"/>
      <c r="D175" s="46">
        <v>291.98</v>
      </c>
      <c r="E175" s="60"/>
      <c r="F175" s="67"/>
      <c r="G175" s="61"/>
      <c r="H175" s="60"/>
      <c r="I175" s="60"/>
      <c r="J175" s="60"/>
      <c r="K175" s="61"/>
      <c r="L175" s="60"/>
      <c r="M175" s="60"/>
      <c r="N175" s="60"/>
      <c r="O175" s="60"/>
      <c r="P175" s="60"/>
      <c r="Q175" s="60"/>
      <c r="R175" s="60"/>
      <c r="S175" s="63"/>
      <c r="T175" s="60"/>
      <c r="U175" s="60"/>
      <c r="V175" s="60"/>
      <c r="W175" s="60"/>
      <c r="X175" s="60"/>
      <c r="Y175" s="64">
        <v>2.1649999999999999E-2</v>
      </c>
      <c r="Z175" s="67" t="s">
        <v>3005</v>
      </c>
      <c r="AA175" s="63"/>
    </row>
    <row r="176" spans="1:27" x14ac:dyDescent="0.3">
      <c r="A176" s="130" t="s">
        <v>2384</v>
      </c>
      <c r="B176" s="131" t="s">
        <v>136</v>
      </c>
      <c r="C176" s="132" t="s">
        <v>137</v>
      </c>
      <c r="D176" s="133">
        <v>291.98</v>
      </c>
      <c r="E176" s="141">
        <v>6.2</v>
      </c>
      <c r="F176" s="139" t="s">
        <v>2309</v>
      </c>
      <c r="G176" s="135"/>
      <c r="H176" s="134"/>
      <c r="I176" s="134"/>
      <c r="J176" s="134"/>
      <c r="K176" s="135"/>
      <c r="L176" s="134">
        <v>25</v>
      </c>
      <c r="M176" s="134"/>
      <c r="N176" s="134"/>
      <c r="O176" s="134"/>
      <c r="P176" s="134"/>
      <c r="Q176" s="137">
        <v>4.9399999999999997E-4</v>
      </c>
      <c r="R176" s="139" t="s">
        <v>2310</v>
      </c>
      <c r="S176" s="136"/>
      <c r="T176" s="134"/>
      <c r="U176" s="134"/>
      <c r="V176" s="134"/>
      <c r="W176" s="134"/>
      <c r="X176" s="134"/>
      <c r="Y176" s="142">
        <v>0.1</v>
      </c>
      <c r="Z176" s="143" t="s">
        <v>3033</v>
      </c>
      <c r="AA176" s="136"/>
    </row>
    <row r="177" spans="1:27" x14ac:dyDescent="0.3">
      <c r="A177" s="79" t="s">
        <v>2385</v>
      </c>
      <c r="B177" s="80" t="s">
        <v>138</v>
      </c>
      <c r="C177" s="81" t="s">
        <v>139</v>
      </c>
      <c r="D177" s="82">
        <v>291.98</v>
      </c>
      <c r="E177" s="83"/>
      <c r="F177" s="83"/>
      <c r="G177" s="85"/>
      <c r="H177" s="83"/>
      <c r="I177" s="83"/>
      <c r="J177" s="83"/>
      <c r="K177" s="85"/>
      <c r="L177" s="83"/>
      <c r="M177" s="83"/>
      <c r="N177" s="83"/>
      <c r="O177" s="83"/>
      <c r="P177" s="83"/>
      <c r="Q177" s="83"/>
      <c r="R177" s="83"/>
      <c r="S177" s="86"/>
      <c r="T177" s="83"/>
      <c r="U177" s="83"/>
      <c r="V177" s="83"/>
      <c r="W177" s="83"/>
      <c r="X177" s="83"/>
      <c r="Y177" s="87">
        <v>2.0500000000000001E-2</v>
      </c>
      <c r="Z177" s="84" t="s">
        <v>2310</v>
      </c>
      <c r="AA177" s="86"/>
    </row>
    <row r="178" spans="1:27" x14ac:dyDescent="0.3">
      <c r="A178" s="39"/>
      <c r="B178" s="25"/>
      <c r="C178" s="45"/>
      <c r="D178" s="46">
        <v>291.98</v>
      </c>
      <c r="E178" s="60"/>
      <c r="F178" s="60"/>
      <c r="G178" s="61"/>
      <c r="H178" s="60"/>
      <c r="I178" s="60"/>
      <c r="J178" s="60"/>
      <c r="K178" s="61"/>
      <c r="L178" s="60"/>
      <c r="M178" s="60"/>
      <c r="N178" s="60"/>
      <c r="O178" s="60"/>
      <c r="P178" s="60"/>
      <c r="Q178" s="60"/>
      <c r="R178" s="60"/>
      <c r="S178" s="63"/>
      <c r="T178" s="60"/>
      <c r="U178" s="60"/>
      <c r="V178" s="60"/>
      <c r="W178" s="60"/>
      <c r="X178" s="60"/>
      <c r="Y178" s="64">
        <v>2.0449999999999999E-2</v>
      </c>
      <c r="Z178" s="67" t="s">
        <v>3005</v>
      </c>
      <c r="AA178" s="63"/>
    </row>
    <row r="179" spans="1:27" x14ac:dyDescent="0.3">
      <c r="A179" s="79" t="s">
        <v>2386</v>
      </c>
      <c r="B179" s="80" t="s">
        <v>140</v>
      </c>
      <c r="C179" s="81" t="s">
        <v>141</v>
      </c>
      <c r="D179" s="82">
        <v>291.98</v>
      </c>
      <c r="E179" s="83">
        <v>6.23</v>
      </c>
      <c r="F179" s="84" t="s">
        <v>2309</v>
      </c>
      <c r="G179" s="85"/>
      <c r="H179" s="83"/>
      <c r="I179" s="93">
        <v>106</v>
      </c>
      <c r="J179" s="84" t="s">
        <v>2309</v>
      </c>
      <c r="K179" s="85">
        <f>I180</f>
        <v>104</v>
      </c>
      <c r="L179" s="83">
        <v>25</v>
      </c>
      <c r="M179" s="83"/>
      <c r="N179" s="83"/>
      <c r="O179" s="83"/>
      <c r="P179" s="83"/>
      <c r="Q179" s="92">
        <v>4.0800000000000002E-5</v>
      </c>
      <c r="R179" s="84" t="s">
        <v>2310</v>
      </c>
      <c r="S179" s="86"/>
      <c r="T179" s="87"/>
      <c r="U179" s="88"/>
      <c r="V179" s="83"/>
      <c r="W179" s="83"/>
      <c r="X179" s="83"/>
      <c r="Y179" s="87">
        <v>3.6200000000000003E-2</v>
      </c>
      <c r="Z179" s="84" t="s">
        <v>2310</v>
      </c>
      <c r="AA179" s="86"/>
    </row>
    <row r="180" spans="1:27" x14ac:dyDescent="0.3">
      <c r="A180" s="39"/>
      <c r="B180" s="25"/>
      <c r="C180" s="45"/>
      <c r="D180" s="46">
        <v>291.98</v>
      </c>
      <c r="E180" s="60">
        <v>6.23</v>
      </c>
      <c r="F180" s="67" t="s">
        <v>3005</v>
      </c>
      <c r="G180" s="61"/>
      <c r="H180" s="60"/>
      <c r="I180" s="68">
        <v>104</v>
      </c>
      <c r="J180" s="62" t="s">
        <v>2914</v>
      </c>
      <c r="K180" s="61"/>
      <c r="L180" s="60">
        <v>25</v>
      </c>
      <c r="M180" s="60"/>
      <c r="N180" s="60"/>
      <c r="O180" s="60"/>
      <c r="P180" s="60"/>
      <c r="Q180" s="65">
        <v>4.0800000000000002E-5</v>
      </c>
      <c r="R180" s="67" t="s">
        <v>3005</v>
      </c>
      <c r="S180" s="63"/>
      <c r="T180" s="64"/>
      <c r="U180" s="62"/>
      <c r="V180" s="60"/>
      <c r="W180" s="60"/>
      <c r="X180" s="60"/>
      <c r="Y180" s="64">
        <v>4.1000000000000002E-2</v>
      </c>
      <c r="Z180" s="67" t="s">
        <v>3005</v>
      </c>
      <c r="AA180" s="63"/>
    </row>
    <row r="181" spans="1:27" x14ac:dyDescent="0.3">
      <c r="A181" s="39"/>
      <c r="B181" s="25"/>
      <c r="C181" s="45"/>
      <c r="D181" s="46">
        <v>291.98</v>
      </c>
      <c r="E181" s="60"/>
      <c r="F181" s="67"/>
      <c r="G181" s="61"/>
      <c r="H181" s="60"/>
      <c r="I181" s="68"/>
      <c r="J181" s="62"/>
      <c r="K181" s="61"/>
      <c r="L181" s="60"/>
      <c r="M181" s="60"/>
      <c r="N181" s="60"/>
      <c r="O181" s="60"/>
      <c r="P181" s="60"/>
      <c r="Q181" s="65"/>
      <c r="R181" s="67"/>
      <c r="S181" s="63"/>
      <c r="T181" s="64">
        <v>-7.25</v>
      </c>
      <c r="U181" s="62" t="s">
        <v>3030</v>
      </c>
      <c r="V181" s="60"/>
      <c r="W181" s="60"/>
      <c r="X181" s="60"/>
      <c r="Y181" s="64">
        <f>1000*$D181*10^T181</f>
        <v>1.6419242012907783E-2</v>
      </c>
      <c r="Z181" s="62" t="s">
        <v>3008</v>
      </c>
      <c r="AA181" s="63"/>
    </row>
    <row r="182" spans="1:27" x14ac:dyDescent="0.3">
      <c r="A182" s="79" t="s">
        <v>2387</v>
      </c>
      <c r="B182" s="80" t="s">
        <v>142</v>
      </c>
      <c r="C182" s="81" t="s">
        <v>143</v>
      </c>
      <c r="D182" s="82">
        <v>291.98</v>
      </c>
      <c r="E182" s="83"/>
      <c r="F182" s="84"/>
      <c r="G182" s="85"/>
      <c r="H182" s="83"/>
      <c r="I182" s="83"/>
      <c r="J182" s="83"/>
      <c r="K182" s="85"/>
      <c r="L182" s="83"/>
      <c r="M182" s="83"/>
      <c r="N182" s="83"/>
      <c r="O182" s="83"/>
      <c r="P182" s="83"/>
      <c r="Q182" s="83"/>
      <c r="R182" s="83"/>
      <c r="S182" s="86"/>
      <c r="T182" s="83"/>
      <c r="U182" s="83"/>
      <c r="V182" s="83"/>
      <c r="W182" s="83"/>
      <c r="X182" s="83"/>
      <c r="Y182" s="87">
        <v>2.7900000000000001E-2</v>
      </c>
      <c r="Z182" s="84" t="s">
        <v>2310</v>
      </c>
      <c r="AA182" s="86"/>
    </row>
    <row r="183" spans="1:27" x14ac:dyDescent="0.3">
      <c r="A183" s="39"/>
      <c r="B183" s="25"/>
      <c r="C183" s="45"/>
      <c r="D183" s="46">
        <v>291.98</v>
      </c>
      <c r="E183" s="60"/>
      <c r="F183" s="67"/>
      <c r="G183" s="61"/>
      <c r="H183" s="60"/>
      <c r="I183" s="60"/>
      <c r="J183" s="60"/>
      <c r="K183" s="61"/>
      <c r="L183" s="60"/>
      <c r="M183" s="60"/>
      <c r="N183" s="60"/>
      <c r="O183" s="60"/>
      <c r="P183" s="60"/>
      <c r="Q183" s="60"/>
      <c r="R183" s="60"/>
      <c r="S183" s="63"/>
      <c r="T183" s="60"/>
      <c r="U183" s="60"/>
      <c r="V183" s="60"/>
      <c r="W183" s="60"/>
      <c r="X183" s="60"/>
      <c r="Y183" s="64">
        <v>2.7890000000000002E-2</v>
      </c>
      <c r="Z183" s="67" t="s">
        <v>3005</v>
      </c>
      <c r="AA183" s="63"/>
    </row>
    <row r="184" spans="1:27" x14ac:dyDescent="0.3">
      <c r="A184" s="130" t="s">
        <v>2388</v>
      </c>
      <c r="B184" s="131" t="s">
        <v>144</v>
      </c>
      <c r="C184" s="132" t="s">
        <v>145</v>
      </c>
      <c r="D184" s="133">
        <v>291.98</v>
      </c>
      <c r="E184" s="134"/>
      <c r="F184" s="134"/>
      <c r="G184" s="135"/>
      <c r="H184" s="134"/>
      <c r="I184" s="134"/>
      <c r="J184" s="134"/>
      <c r="K184" s="135"/>
      <c r="L184" s="134"/>
      <c r="M184" s="134"/>
      <c r="N184" s="134"/>
      <c r="O184" s="134"/>
      <c r="P184" s="134"/>
      <c r="Q184" s="134"/>
      <c r="R184" s="134"/>
      <c r="S184" s="136"/>
      <c r="T184" s="134"/>
      <c r="U184" s="134"/>
      <c r="V184" s="134"/>
      <c r="W184" s="134"/>
      <c r="X184" s="134"/>
      <c r="Y184" s="137"/>
      <c r="Z184" s="134"/>
      <c r="AA184" s="136"/>
    </row>
    <row r="185" spans="1:27" x14ac:dyDescent="0.3">
      <c r="A185" s="130" t="s">
        <v>2389</v>
      </c>
      <c r="B185" s="131" t="s">
        <v>146</v>
      </c>
      <c r="C185" s="132" t="s">
        <v>147</v>
      </c>
      <c r="D185" s="133">
        <v>291.98</v>
      </c>
      <c r="E185" s="134"/>
      <c r="F185" s="134"/>
      <c r="G185" s="135"/>
      <c r="H185" s="134"/>
      <c r="I185" s="134"/>
      <c r="J185" s="134"/>
      <c r="K185" s="135"/>
      <c r="L185" s="134"/>
      <c r="M185" s="134"/>
      <c r="N185" s="134"/>
      <c r="O185" s="134"/>
      <c r="P185" s="134"/>
      <c r="Q185" s="134"/>
      <c r="R185" s="134"/>
      <c r="S185" s="136"/>
      <c r="T185" s="134"/>
      <c r="U185" s="134"/>
      <c r="V185" s="134"/>
      <c r="W185" s="134"/>
      <c r="X185" s="134"/>
      <c r="Y185" s="137"/>
      <c r="Z185" s="134"/>
      <c r="AA185" s="136"/>
    </row>
    <row r="186" spans="1:27" x14ac:dyDescent="0.3">
      <c r="A186" s="79" t="s">
        <v>2390</v>
      </c>
      <c r="B186" s="80" t="s">
        <v>148</v>
      </c>
      <c r="C186" s="81" t="s">
        <v>149</v>
      </c>
      <c r="D186" s="82">
        <v>291.98</v>
      </c>
      <c r="E186" s="83">
        <v>6.67</v>
      </c>
      <c r="F186" s="84" t="s">
        <v>2309</v>
      </c>
      <c r="G186" s="85"/>
      <c r="H186" s="83"/>
      <c r="I186" s="83"/>
      <c r="J186" s="83"/>
      <c r="K186" s="85"/>
      <c r="L186" s="83"/>
      <c r="M186" s="83"/>
      <c r="N186" s="83"/>
      <c r="O186" s="83"/>
      <c r="P186" s="83"/>
      <c r="Q186" s="83"/>
      <c r="R186" s="83"/>
      <c r="S186" s="86"/>
      <c r="T186" s="83"/>
      <c r="U186" s="83"/>
      <c r="V186" s="83"/>
      <c r="W186" s="83"/>
      <c r="X186" s="83"/>
      <c r="Y186" s="87">
        <v>4.96E-3</v>
      </c>
      <c r="Z186" s="84" t="s">
        <v>2310</v>
      </c>
      <c r="AA186" s="86"/>
    </row>
    <row r="187" spans="1:27" x14ac:dyDescent="0.3">
      <c r="A187" s="39"/>
      <c r="B187" s="25"/>
      <c r="C187" s="45"/>
      <c r="D187" s="46">
        <v>291.98</v>
      </c>
      <c r="E187" s="60">
        <v>6.67</v>
      </c>
      <c r="F187" s="67" t="s">
        <v>3005</v>
      </c>
      <c r="G187" s="61"/>
      <c r="H187" s="60"/>
      <c r="I187" s="60"/>
      <c r="J187" s="60"/>
      <c r="K187" s="61"/>
      <c r="L187" s="60"/>
      <c r="M187" s="60"/>
      <c r="N187" s="60"/>
      <c r="O187" s="60"/>
      <c r="P187" s="60"/>
      <c r="Q187" s="60"/>
      <c r="R187" s="60"/>
      <c r="S187" s="63"/>
      <c r="T187" s="60"/>
      <c r="U187" s="60"/>
      <c r="V187" s="60"/>
      <c r="W187" s="60"/>
      <c r="X187" s="60"/>
      <c r="Y187" s="64">
        <v>4.96E-3</v>
      </c>
      <c r="Z187" s="67" t="s">
        <v>3005</v>
      </c>
      <c r="AA187" s="63"/>
    </row>
    <row r="188" spans="1:27" x14ac:dyDescent="0.3">
      <c r="A188" s="79" t="s">
        <v>2391</v>
      </c>
      <c r="B188" s="80" t="s">
        <v>150</v>
      </c>
      <c r="C188" s="81" t="s">
        <v>151</v>
      </c>
      <c r="D188" s="82">
        <v>291.98</v>
      </c>
      <c r="E188" s="83"/>
      <c r="F188" s="84"/>
      <c r="G188" s="85"/>
      <c r="H188" s="83"/>
      <c r="I188" s="83">
        <v>65</v>
      </c>
      <c r="J188" s="84" t="s">
        <v>2309</v>
      </c>
      <c r="K188" s="85"/>
      <c r="L188" s="83"/>
      <c r="M188" s="83"/>
      <c r="N188" s="83"/>
      <c r="O188" s="83"/>
      <c r="P188" s="83"/>
      <c r="Q188" s="83"/>
      <c r="R188" s="83"/>
      <c r="S188" s="86"/>
      <c r="T188" s="83"/>
      <c r="U188" s="83"/>
      <c r="V188" s="83"/>
      <c r="W188" s="83"/>
      <c r="X188" s="83"/>
      <c r="Y188" s="87">
        <v>9.11E-2</v>
      </c>
      <c r="Z188" s="84" t="s">
        <v>2310</v>
      </c>
      <c r="AA188" s="86"/>
    </row>
    <row r="189" spans="1:27" x14ac:dyDescent="0.3">
      <c r="A189" s="39"/>
      <c r="B189" s="25"/>
      <c r="C189" s="45"/>
      <c r="D189" s="46">
        <v>291.98</v>
      </c>
      <c r="E189" s="60"/>
      <c r="F189" s="67"/>
      <c r="G189" s="61"/>
      <c r="H189" s="60"/>
      <c r="I189" s="60">
        <v>65</v>
      </c>
      <c r="J189" s="67" t="s">
        <v>3005</v>
      </c>
      <c r="K189" s="61"/>
      <c r="L189" s="60"/>
      <c r="M189" s="60"/>
      <c r="N189" s="60"/>
      <c r="O189" s="60"/>
      <c r="P189" s="60"/>
      <c r="Q189" s="60"/>
      <c r="R189" s="60"/>
      <c r="S189" s="63"/>
      <c r="T189" s="60"/>
      <c r="U189" s="60"/>
      <c r="V189" s="60"/>
      <c r="W189" s="60"/>
      <c r="X189" s="60"/>
      <c r="Y189" s="64">
        <v>9.11E-2</v>
      </c>
      <c r="Z189" s="67" t="s">
        <v>3005</v>
      </c>
      <c r="AA189" s="63"/>
    </row>
    <row r="190" spans="1:27" x14ac:dyDescent="0.3">
      <c r="A190" s="130" t="s">
        <v>2392</v>
      </c>
      <c r="B190" s="131" t="s">
        <v>152</v>
      </c>
      <c r="C190" s="132" t="s">
        <v>153</v>
      </c>
      <c r="D190" s="133">
        <v>291.98</v>
      </c>
      <c r="E190" s="134"/>
      <c r="F190" s="134"/>
      <c r="G190" s="135"/>
      <c r="H190" s="134"/>
      <c r="I190" s="141">
        <v>106</v>
      </c>
      <c r="J190" s="139" t="s">
        <v>3005</v>
      </c>
      <c r="K190" s="135"/>
      <c r="L190" s="134"/>
      <c r="M190" s="134"/>
      <c r="N190" s="134"/>
      <c r="O190" s="134"/>
      <c r="P190" s="134"/>
      <c r="Q190" s="134"/>
      <c r="R190" s="134"/>
      <c r="S190" s="136"/>
      <c r="T190" s="141"/>
      <c r="U190" s="141"/>
      <c r="V190" s="134"/>
      <c r="W190" s="134"/>
      <c r="X190" s="134"/>
      <c r="Y190" s="138">
        <v>3.6179999999999997E-2</v>
      </c>
      <c r="Z190" s="139" t="s">
        <v>3005</v>
      </c>
      <c r="AA190" s="136"/>
    </row>
    <row r="191" spans="1:27" x14ac:dyDescent="0.3">
      <c r="A191" s="79" t="s">
        <v>2393</v>
      </c>
      <c r="B191" s="80" t="s">
        <v>154</v>
      </c>
      <c r="C191" s="81" t="s">
        <v>155</v>
      </c>
      <c r="D191" s="82">
        <v>291.98</v>
      </c>
      <c r="E191" s="83">
        <v>6.63</v>
      </c>
      <c r="F191" s="84" t="s">
        <v>2309</v>
      </c>
      <c r="G191" s="85">
        <f>E195</f>
        <v>6.76</v>
      </c>
      <c r="H191" s="83"/>
      <c r="I191" s="126">
        <v>179.9</v>
      </c>
      <c r="J191" s="88" t="s">
        <v>2914</v>
      </c>
      <c r="K191" s="85">
        <f>I191</f>
        <v>179.9</v>
      </c>
      <c r="L191" s="83">
        <v>25</v>
      </c>
      <c r="M191" s="83"/>
      <c r="N191" s="83"/>
      <c r="O191" s="83"/>
      <c r="P191" s="83"/>
      <c r="Q191" s="92">
        <v>1.6399999999999999E-5</v>
      </c>
      <c r="R191" s="84" t="s">
        <v>2310</v>
      </c>
      <c r="S191" s="86"/>
      <c r="T191" s="87"/>
      <c r="U191" s="88"/>
      <c r="V191" s="83"/>
      <c r="W191" s="83"/>
      <c r="X191" s="83"/>
      <c r="Y191" s="87">
        <v>5.6899999999999995E-4</v>
      </c>
      <c r="Z191" s="84" t="s">
        <v>2310</v>
      </c>
      <c r="AA191" s="86"/>
    </row>
    <row r="192" spans="1:27" x14ac:dyDescent="0.3">
      <c r="A192" s="39"/>
      <c r="B192" s="25"/>
      <c r="C192" s="45"/>
      <c r="D192" s="46">
        <v>291.98</v>
      </c>
      <c r="E192" s="60">
        <v>6.63</v>
      </c>
      <c r="F192" s="67" t="s">
        <v>3005</v>
      </c>
      <c r="G192" s="61"/>
      <c r="H192" s="60"/>
      <c r="I192" s="60"/>
      <c r="J192" s="62"/>
      <c r="K192" s="61"/>
      <c r="L192" s="60">
        <v>25</v>
      </c>
      <c r="M192" s="60"/>
      <c r="N192" s="60"/>
      <c r="O192" s="60"/>
      <c r="P192" s="60"/>
      <c r="Q192" s="78">
        <v>1.641E-5</v>
      </c>
      <c r="R192" s="67" t="s">
        <v>3005</v>
      </c>
      <c r="S192" s="63"/>
      <c r="T192" s="64"/>
      <c r="U192" s="62"/>
      <c r="V192" s="60"/>
      <c r="W192" s="60"/>
      <c r="X192" s="60"/>
      <c r="Y192" s="64">
        <v>5.6899999999999995E-4</v>
      </c>
      <c r="Z192" s="67" t="s">
        <v>3005</v>
      </c>
      <c r="AA192" s="63"/>
    </row>
    <row r="193" spans="1:27" x14ac:dyDescent="0.3">
      <c r="A193" s="39"/>
      <c r="B193" s="25"/>
      <c r="C193" s="45"/>
      <c r="D193" s="46">
        <v>291.98</v>
      </c>
      <c r="E193" s="60">
        <v>6.63</v>
      </c>
      <c r="F193" s="67" t="s">
        <v>2969</v>
      </c>
      <c r="G193" s="61"/>
      <c r="H193" s="60"/>
      <c r="I193" s="60"/>
      <c r="J193" s="62"/>
      <c r="K193" s="61"/>
      <c r="L193" s="60"/>
      <c r="M193" s="60"/>
      <c r="N193" s="60"/>
      <c r="O193" s="60"/>
      <c r="P193" s="60"/>
      <c r="Q193" s="60"/>
      <c r="R193" s="60"/>
      <c r="S193" s="63"/>
      <c r="T193" s="64">
        <v>-8.7200000000000006</v>
      </c>
      <c r="U193" s="62" t="s">
        <v>3030</v>
      </c>
      <c r="V193" s="60"/>
      <c r="W193" s="60"/>
      <c r="X193" s="60"/>
      <c r="Y193" s="64">
        <f>1000*$D193*10^T193</f>
        <v>5.563564204309079E-4</v>
      </c>
      <c r="Z193" s="62" t="s">
        <v>3008</v>
      </c>
      <c r="AA193" s="63"/>
    </row>
    <row r="194" spans="1:27" x14ac:dyDescent="0.3">
      <c r="A194" s="39"/>
      <c r="B194" s="25"/>
      <c r="C194" s="45"/>
      <c r="D194" s="46">
        <v>291.98</v>
      </c>
      <c r="E194" s="60">
        <v>6.89</v>
      </c>
      <c r="F194" s="67" t="s">
        <v>2884</v>
      </c>
      <c r="G194" s="61"/>
      <c r="H194" s="60"/>
      <c r="I194" s="60"/>
      <c r="J194" s="62"/>
      <c r="K194" s="61"/>
      <c r="L194" s="60"/>
      <c r="M194" s="60"/>
      <c r="N194" s="60"/>
      <c r="O194" s="60"/>
      <c r="P194" s="60"/>
      <c r="Q194" s="60"/>
      <c r="R194" s="60"/>
      <c r="S194" s="63"/>
      <c r="T194" s="64"/>
      <c r="U194" s="62"/>
      <c r="V194" s="60"/>
      <c r="W194" s="60"/>
      <c r="X194" s="60"/>
      <c r="Y194" s="65"/>
      <c r="Z194" s="60"/>
      <c r="AA194" s="63"/>
    </row>
    <row r="195" spans="1:27" ht="24" x14ac:dyDescent="0.3">
      <c r="A195" s="39"/>
      <c r="B195" s="25"/>
      <c r="C195" s="45"/>
      <c r="D195" s="46">
        <v>291.98</v>
      </c>
      <c r="E195" s="68">
        <f>AVERAGE(E193:E194)</f>
        <v>6.76</v>
      </c>
      <c r="F195" s="70" t="s">
        <v>2883</v>
      </c>
      <c r="G195" s="61"/>
      <c r="H195" s="60"/>
      <c r="I195" s="60"/>
      <c r="J195" s="62"/>
      <c r="K195" s="61"/>
      <c r="L195" s="60"/>
      <c r="M195" s="60"/>
      <c r="N195" s="60"/>
      <c r="O195" s="60"/>
      <c r="P195" s="60"/>
      <c r="Q195" s="60"/>
      <c r="R195" s="60"/>
      <c r="S195" s="63"/>
      <c r="T195" s="64"/>
      <c r="U195" s="62"/>
      <c r="V195" s="60"/>
      <c r="W195" s="60"/>
      <c r="X195" s="60"/>
      <c r="Y195" s="65"/>
      <c r="Z195" s="60"/>
      <c r="AA195" s="63"/>
    </row>
    <row r="196" spans="1:27" x14ac:dyDescent="0.3">
      <c r="A196" s="130" t="s">
        <v>2394</v>
      </c>
      <c r="B196" s="131" t="s">
        <v>156</v>
      </c>
      <c r="C196" s="132" t="s">
        <v>157</v>
      </c>
      <c r="D196" s="133">
        <v>291.98</v>
      </c>
      <c r="E196" s="134"/>
      <c r="F196" s="134"/>
      <c r="G196" s="135"/>
      <c r="H196" s="134"/>
      <c r="I196" s="134"/>
      <c r="J196" s="134"/>
      <c r="K196" s="135"/>
      <c r="L196" s="134"/>
      <c r="M196" s="134"/>
      <c r="N196" s="134"/>
      <c r="O196" s="134"/>
      <c r="P196" s="134"/>
      <c r="Q196" s="134"/>
      <c r="R196" s="134"/>
      <c r="S196" s="136"/>
      <c r="T196" s="134"/>
      <c r="U196" s="134"/>
      <c r="V196" s="134"/>
      <c r="W196" s="134"/>
      <c r="X196" s="134"/>
      <c r="Y196" s="137"/>
      <c r="Z196" s="134"/>
      <c r="AA196" s="136"/>
    </row>
    <row r="197" spans="1:27" x14ac:dyDescent="0.3">
      <c r="A197" s="130" t="s">
        <v>2395</v>
      </c>
      <c r="B197" s="131" t="s">
        <v>158</v>
      </c>
      <c r="C197" s="132" t="s">
        <v>159</v>
      </c>
      <c r="D197" s="133">
        <v>291.98</v>
      </c>
      <c r="E197" s="134"/>
      <c r="F197" s="134"/>
      <c r="G197" s="135"/>
      <c r="H197" s="134"/>
      <c r="I197" s="134"/>
      <c r="J197" s="134"/>
      <c r="K197" s="135"/>
      <c r="L197" s="134"/>
      <c r="M197" s="134"/>
      <c r="N197" s="134"/>
      <c r="O197" s="134"/>
      <c r="P197" s="134"/>
      <c r="Q197" s="134"/>
      <c r="R197" s="134"/>
      <c r="S197" s="136"/>
      <c r="T197" s="134"/>
      <c r="U197" s="134"/>
      <c r="V197" s="134"/>
      <c r="W197" s="134"/>
      <c r="X197" s="134"/>
      <c r="Y197" s="137"/>
      <c r="Z197" s="134"/>
      <c r="AA197" s="136"/>
    </row>
    <row r="198" spans="1:27" x14ac:dyDescent="0.3">
      <c r="A198" s="79" t="s">
        <v>2396</v>
      </c>
      <c r="B198" s="80" t="s">
        <v>160</v>
      </c>
      <c r="C198" s="81" t="s">
        <v>161</v>
      </c>
      <c r="D198" s="82">
        <v>291.98</v>
      </c>
      <c r="E198" s="83">
        <v>6.6</v>
      </c>
      <c r="F198" s="84" t="s">
        <v>2309</v>
      </c>
      <c r="G198" s="85"/>
      <c r="H198" s="83"/>
      <c r="I198" s="83"/>
      <c r="J198" s="83"/>
      <c r="K198" s="85"/>
      <c r="L198" s="83"/>
      <c r="M198" s="83"/>
      <c r="N198" s="83"/>
      <c r="O198" s="83"/>
      <c r="P198" s="83"/>
      <c r="Q198" s="83"/>
      <c r="R198" s="83"/>
      <c r="S198" s="86"/>
      <c r="T198" s="83"/>
      <c r="U198" s="83"/>
      <c r="V198" s="83"/>
      <c r="W198" s="83"/>
      <c r="X198" s="83"/>
      <c r="Y198" s="87">
        <v>1.23E-3</v>
      </c>
      <c r="Z198" s="84" t="s">
        <v>2310</v>
      </c>
      <c r="AA198" s="86"/>
    </row>
    <row r="199" spans="1:27" x14ac:dyDescent="0.3">
      <c r="A199" s="39"/>
      <c r="B199" s="25"/>
      <c r="C199" s="45"/>
      <c r="D199" s="46">
        <v>291.98</v>
      </c>
      <c r="E199" s="60">
        <v>6.6</v>
      </c>
      <c r="F199" s="67" t="s">
        <v>3005</v>
      </c>
      <c r="G199" s="61"/>
      <c r="H199" s="60"/>
      <c r="I199" s="60"/>
      <c r="J199" s="60"/>
      <c r="K199" s="61"/>
      <c r="L199" s="60"/>
      <c r="M199" s="60"/>
      <c r="N199" s="60"/>
      <c r="O199" s="60"/>
      <c r="P199" s="60"/>
      <c r="Q199" s="60"/>
      <c r="R199" s="60"/>
      <c r="S199" s="63"/>
      <c r="T199" s="60"/>
      <c r="U199" s="60"/>
      <c r="V199" s="60"/>
      <c r="W199" s="60"/>
      <c r="X199" s="60"/>
      <c r="Y199" s="64">
        <v>1.232E-3</v>
      </c>
      <c r="Z199" s="67" t="s">
        <v>3005</v>
      </c>
      <c r="AA199" s="63"/>
    </row>
    <row r="200" spans="1:27" x14ac:dyDescent="0.3">
      <c r="A200" s="130" t="s">
        <v>2397</v>
      </c>
      <c r="B200" s="131" t="s">
        <v>162</v>
      </c>
      <c r="C200" s="132" t="s">
        <v>163</v>
      </c>
      <c r="D200" s="133">
        <v>291.98</v>
      </c>
      <c r="E200" s="134"/>
      <c r="F200" s="134"/>
      <c r="G200" s="135"/>
      <c r="H200" s="134"/>
      <c r="I200" s="134"/>
      <c r="J200" s="134"/>
      <c r="K200" s="135"/>
      <c r="L200" s="134"/>
      <c r="M200" s="134"/>
      <c r="N200" s="134"/>
      <c r="O200" s="134"/>
      <c r="P200" s="134"/>
      <c r="Q200" s="134"/>
      <c r="R200" s="134"/>
      <c r="S200" s="136"/>
      <c r="T200" s="134"/>
      <c r="U200" s="134"/>
      <c r="V200" s="134"/>
      <c r="W200" s="134"/>
      <c r="X200" s="134"/>
      <c r="Y200" s="137"/>
      <c r="Z200" s="134"/>
      <c r="AA200" s="136"/>
    </row>
    <row r="201" spans="1:27" x14ac:dyDescent="0.3">
      <c r="A201" s="79" t="s">
        <v>2398</v>
      </c>
      <c r="B201" s="80" t="s">
        <v>164</v>
      </c>
      <c r="C201" s="81" t="s">
        <v>165</v>
      </c>
      <c r="D201" s="82">
        <v>326.42</v>
      </c>
      <c r="E201" s="83"/>
      <c r="F201" s="83"/>
      <c r="G201" s="85"/>
      <c r="H201" s="83"/>
      <c r="I201" s="126">
        <v>119</v>
      </c>
      <c r="J201" s="88" t="s">
        <v>2914</v>
      </c>
      <c r="K201" s="85">
        <f>I201</f>
        <v>119</v>
      </c>
      <c r="L201" s="83"/>
      <c r="M201" s="83"/>
      <c r="N201" s="83"/>
      <c r="O201" s="83"/>
      <c r="P201" s="83"/>
      <c r="Q201" s="83"/>
      <c r="R201" s="83"/>
      <c r="S201" s="86"/>
      <c r="T201" s="87"/>
      <c r="U201" s="88"/>
      <c r="V201" s="83"/>
      <c r="W201" s="83"/>
      <c r="X201" s="83"/>
      <c r="Y201" s="87">
        <v>2.9100000000000001E-2</v>
      </c>
      <c r="Z201" s="84" t="s">
        <v>2310</v>
      </c>
      <c r="AA201" s="86"/>
    </row>
    <row r="202" spans="1:27" x14ac:dyDescent="0.3">
      <c r="A202" s="39"/>
      <c r="B202" s="25"/>
      <c r="C202" s="45"/>
      <c r="D202" s="46">
        <v>326.42</v>
      </c>
      <c r="E202" s="60"/>
      <c r="F202" s="60"/>
      <c r="G202" s="61"/>
      <c r="H202" s="60"/>
      <c r="I202" s="68"/>
      <c r="J202" s="62"/>
      <c r="K202" s="61"/>
      <c r="L202" s="60"/>
      <c r="M202" s="60"/>
      <c r="N202" s="60"/>
      <c r="O202" s="60"/>
      <c r="P202" s="60"/>
      <c r="Q202" s="60"/>
      <c r="R202" s="60"/>
      <c r="S202" s="63"/>
      <c r="T202" s="64"/>
      <c r="U202" s="62"/>
      <c r="V202" s="60"/>
      <c r="W202" s="60"/>
      <c r="X202" s="60"/>
      <c r="Y202" s="64">
        <v>2.9080000000000002E-2</v>
      </c>
      <c r="Z202" s="67" t="s">
        <v>3005</v>
      </c>
      <c r="AA202" s="63"/>
    </row>
    <row r="203" spans="1:27" x14ac:dyDescent="0.3">
      <c r="A203" s="39"/>
      <c r="B203" s="25"/>
      <c r="C203" s="45"/>
      <c r="D203" s="46">
        <v>326.42</v>
      </c>
      <c r="E203" s="60"/>
      <c r="F203" s="60"/>
      <c r="G203" s="61"/>
      <c r="H203" s="60"/>
      <c r="I203" s="68"/>
      <c r="J203" s="62"/>
      <c r="K203" s="61"/>
      <c r="L203" s="60"/>
      <c r="M203" s="60"/>
      <c r="N203" s="60"/>
      <c r="O203" s="60"/>
      <c r="P203" s="60"/>
      <c r="Q203" s="60"/>
      <c r="R203" s="60"/>
      <c r="S203" s="63"/>
      <c r="T203" s="64">
        <v>-7.05</v>
      </c>
      <c r="U203" s="62" t="s">
        <v>3030</v>
      </c>
      <c r="V203" s="60"/>
      <c r="W203" s="60"/>
      <c r="X203" s="60"/>
      <c r="Y203" s="64">
        <f>1000*$D203*10^T203</f>
        <v>2.9092213122561716E-2</v>
      </c>
      <c r="Z203" s="62" t="s">
        <v>3008</v>
      </c>
      <c r="AA203" s="63"/>
    </row>
    <row r="204" spans="1:27" x14ac:dyDescent="0.3">
      <c r="A204" s="130" t="s">
        <v>2399</v>
      </c>
      <c r="B204" s="131" t="s">
        <v>166</v>
      </c>
      <c r="C204" s="132" t="s">
        <v>167</v>
      </c>
      <c r="D204" s="133">
        <v>326.42</v>
      </c>
      <c r="E204" s="134"/>
      <c r="F204" s="134"/>
      <c r="G204" s="135"/>
      <c r="H204" s="134"/>
      <c r="I204" s="134"/>
      <c r="J204" s="134"/>
      <c r="K204" s="135"/>
      <c r="L204" s="134"/>
      <c r="M204" s="134"/>
      <c r="N204" s="134"/>
      <c r="O204" s="134"/>
      <c r="P204" s="134"/>
      <c r="Q204" s="134"/>
      <c r="R204" s="134"/>
      <c r="S204" s="136"/>
      <c r="T204" s="134"/>
      <c r="U204" s="134"/>
      <c r="V204" s="134"/>
      <c r="W204" s="134"/>
      <c r="X204" s="134"/>
      <c r="Y204" s="137"/>
      <c r="Z204" s="134"/>
      <c r="AA204" s="136"/>
    </row>
    <row r="205" spans="1:27" x14ac:dyDescent="0.3">
      <c r="A205" s="79" t="s">
        <v>2400</v>
      </c>
      <c r="B205" s="80" t="s">
        <v>168</v>
      </c>
      <c r="C205" s="81" t="s">
        <v>169</v>
      </c>
      <c r="D205" s="82">
        <v>326.42</v>
      </c>
      <c r="E205" s="83">
        <v>6.04</v>
      </c>
      <c r="F205" s="84" t="s">
        <v>2309</v>
      </c>
      <c r="G205" s="85"/>
      <c r="H205" s="83"/>
      <c r="I205" s="83"/>
      <c r="J205" s="83"/>
      <c r="K205" s="85"/>
      <c r="L205" s="83"/>
      <c r="M205" s="83"/>
      <c r="N205" s="83"/>
      <c r="O205" s="83"/>
      <c r="P205" s="83"/>
      <c r="Q205" s="83"/>
      <c r="R205" s="83"/>
      <c r="S205" s="86"/>
      <c r="T205" s="83"/>
      <c r="U205" s="83"/>
      <c r="V205" s="83"/>
      <c r="W205" s="83"/>
      <c r="X205" s="83"/>
      <c r="Y205" s="87">
        <v>5.4199999999999998E-2</v>
      </c>
      <c r="Z205" s="84" t="s">
        <v>2310</v>
      </c>
      <c r="AA205" s="86"/>
    </row>
    <row r="206" spans="1:27" x14ac:dyDescent="0.3">
      <c r="A206" s="39"/>
      <c r="B206" s="25"/>
      <c r="C206" s="45"/>
      <c r="D206" s="46">
        <v>326.42</v>
      </c>
      <c r="E206" s="60">
        <v>6.04</v>
      </c>
      <c r="F206" s="67" t="s">
        <v>3005</v>
      </c>
      <c r="G206" s="61"/>
      <c r="H206" s="60"/>
      <c r="I206" s="60"/>
      <c r="J206" s="60"/>
      <c r="K206" s="61"/>
      <c r="L206" s="60"/>
      <c r="M206" s="60"/>
      <c r="N206" s="60"/>
      <c r="O206" s="60"/>
      <c r="P206" s="60"/>
      <c r="Q206" s="60"/>
      <c r="R206" s="60"/>
      <c r="S206" s="63"/>
      <c r="T206" s="60"/>
      <c r="U206" s="60"/>
      <c r="V206" s="60"/>
      <c r="W206" s="60"/>
      <c r="X206" s="60"/>
      <c r="Y206" s="64">
        <v>5.4199999999999998E-2</v>
      </c>
      <c r="Z206" s="67" t="s">
        <v>3005</v>
      </c>
      <c r="AA206" s="63"/>
    </row>
    <row r="207" spans="1:27" x14ac:dyDescent="0.3">
      <c r="A207" s="79" t="s">
        <v>2401</v>
      </c>
      <c r="B207" s="80" t="s">
        <v>170</v>
      </c>
      <c r="C207" s="81" t="s">
        <v>171</v>
      </c>
      <c r="D207" s="82">
        <v>326.42</v>
      </c>
      <c r="E207" s="83">
        <v>6.61</v>
      </c>
      <c r="F207" s="84" t="s">
        <v>2309</v>
      </c>
      <c r="G207" s="85"/>
      <c r="H207" s="83"/>
      <c r="I207" s="83"/>
      <c r="J207" s="83"/>
      <c r="K207" s="85"/>
      <c r="L207" s="83"/>
      <c r="M207" s="83"/>
      <c r="N207" s="83"/>
      <c r="O207" s="83"/>
      <c r="P207" s="83"/>
      <c r="Q207" s="83"/>
      <c r="R207" s="83"/>
      <c r="S207" s="86"/>
      <c r="T207" s="83"/>
      <c r="U207" s="83"/>
      <c r="V207" s="83"/>
      <c r="W207" s="83"/>
      <c r="X207" s="83"/>
      <c r="Y207" s="87">
        <v>7.8300000000000002E-3</v>
      </c>
      <c r="Z207" s="84" t="s">
        <v>2310</v>
      </c>
      <c r="AA207" s="86"/>
    </row>
    <row r="208" spans="1:27" x14ac:dyDescent="0.3">
      <c r="A208" s="39"/>
      <c r="B208" s="25"/>
      <c r="C208" s="45"/>
      <c r="D208" s="46">
        <v>326.42</v>
      </c>
      <c r="E208" s="60">
        <v>6.61</v>
      </c>
      <c r="F208" s="67" t="s">
        <v>3005</v>
      </c>
      <c r="G208" s="61"/>
      <c r="H208" s="60"/>
      <c r="I208" s="60"/>
      <c r="J208" s="60"/>
      <c r="K208" s="61"/>
      <c r="L208" s="60"/>
      <c r="M208" s="60"/>
      <c r="N208" s="60"/>
      <c r="O208" s="60"/>
      <c r="P208" s="60"/>
      <c r="Q208" s="60"/>
      <c r="R208" s="60"/>
      <c r="S208" s="63"/>
      <c r="T208" s="60"/>
      <c r="U208" s="60"/>
      <c r="V208" s="60"/>
      <c r="W208" s="60"/>
      <c r="X208" s="60"/>
      <c r="Y208" s="64">
        <v>7.8300000000000002E-3</v>
      </c>
      <c r="Z208" s="67" t="s">
        <v>3005</v>
      </c>
      <c r="AA208" s="63"/>
    </row>
    <row r="209" spans="1:27" x14ac:dyDescent="0.3">
      <c r="A209" s="79" t="s">
        <v>2402</v>
      </c>
      <c r="B209" s="80" t="s">
        <v>172</v>
      </c>
      <c r="C209" s="81" t="s">
        <v>173</v>
      </c>
      <c r="D209" s="82">
        <v>326.42</v>
      </c>
      <c r="E209" s="83"/>
      <c r="F209" s="83"/>
      <c r="G209" s="85"/>
      <c r="H209" s="83"/>
      <c r="I209" s="126">
        <v>100</v>
      </c>
      <c r="J209" s="88" t="s">
        <v>2914</v>
      </c>
      <c r="K209" s="85">
        <f>I209</f>
        <v>100</v>
      </c>
      <c r="L209" s="83">
        <v>25</v>
      </c>
      <c r="M209" s="83"/>
      <c r="N209" s="83"/>
      <c r="O209" s="83"/>
      <c r="P209" s="83"/>
      <c r="Q209" s="92">
        <v>6.9800000000000003E-5</v>
      </c>
      <c r="R209" s="84" t="s">
        <v>2310</v>
      </c>
      <c r="S209" s="86"/>
      <c r="T209" s="87"/>
      <c r="U209" s="88"/>
      <c r="V209" s="83"/>
      <c r="W209" s="83"/>
      <c r="X209" s="83"/>
      <c r="Y209" s="87">
        <v>9.7999999999999997E-3</v>
      </c>
      <c r="Z209" s="84" t="s">
        <v>2310</v>
      </c>
      <c r="AA209" s="86"/>
    </row>
    <row r="210" spans="1:27" x14ac:dyDescent="0.3">
      <c r="A210" s="39"/>
      <c r="B210" s="25"/>
      <c r="C210" s="45"/>
      <c r="D210" s="46">
        <v>326.42</v>
      </c>
      <c r="E210" s="60"/>
      <c r="F210" s="60"/>
      <c r="G210" s="61"/>
      <c r="H210" s="60"/>
      <c r="I210" s="77"/>
      <c r="J210" s="62"/>
      <c r="K210" s="61"/>
      <c r="L210" s="60">
        <v>25</v>
      </c>
      <c r="M210" s="60"/>
      <c r="N210" s="60"/>
      <c r="O210" s="60"/>
      <c r="P210" s="60"/>
      <c r="Q210" s="78">
        <v>6.9750000000000001E-5</v>
      </c>
      <c r="R210" s="67" t="s">
        <v>3005</v>
      </c>
      <c r="S210" s="63"/>
      <c r="T210" s="64"/>
      <c r="U210" s="62"/>
      <c r="V210" s="60"/>
      <c r="W210" s="60"/>
      <c r="X210" s="60"/>
      <c r="Y210" s="64">
        <v>9.7999999999999997E-3</v>
      </c>
      <c r="Z210" s="67" t="s">
        <v>3005</v>
      </c>
      <c r="AA210" s="63"/>
    </row>
    <row r="211" spans="1:27" x14ac:dyDescent="0.3">
      <c r="A211" s="39"/>
      <c r="B211" s="25"/>
      <c r="C211" s="45"/>
      <c r="D211" s="46">
        <v>326.42</v>
      </c>
      <c r="E211" s="60"/>
      <c r="F211" s="60"/>
      <c r="G211" s="61"/>
      <c r="H211" s="60"/>
      <c r="I211" s="77"/>
      <c r="J211" s="62"/>
      <c r="K211" s="61"/>
      <c r="L211" s="60"/>
      <c r="M211" s="60"/>
      <c r="N211" s="60"/>
      <c r="O211" s="60"/>
      <c r="P211" s="60"/>
      <c r="Q211" s="78"/>
      <c r="R211" s="67"/>
      <c r="S211" s="63"/>
      <c r="T211" s="64">
        <v>-7.21</v>
      </c>
      <c r="U211" s="62" t="s">
        <v>3030</v>
      </c>
      <c r="V211" s="60"/>
      <c r="W211" s="60"/>
      <c r="X211" s="60"/>
      <c r="Y211" s="64">
        <f>1000*$D211*10^T211</f>
        <v>2.012689405076246E-2</v>
      </c>
      <c r="Z211" s="62" t="s">
        <v>3008</v>
      </c>
      <c r="AA211" s="63"/>
    </row>
    <row r="212" spans="1:27" x14ac:dyDescent="0.3">
      <c r="A212" s="79" t="s">
        <v>2403</v>
      </c>
      <c r="B212" s="80" t="s">
        <v>174</v>
      </c>
      <c r="C212" s="81" t="s">
        <v>175</v>
      </c>
      <c r="D212" s="82">
        <v>326.42</v>
      </c>
      <c r="E212" s="83">
        <v>6.85</v>
      </c>
      <c r="F212" s="84" t="s">
        <v>2309</v>
      </c>
      <c r="G212" s="85"/>
      <c r="H212" s="83"/>
      <c r="I212" s="126">
        <v>112</v>
      </c>
      <c r="J212" s="88" t="s">
        <v>2914</v>
      </c>
      <c r="K212" s="85">
        <f>I212</f>
        <v>112</v>
      </c>
      <c r="L212" s="83">
        <v>25</v>
      </c>
      <c r="M212" s="83"/>
      <c r="N212" s="83"/>
      <c r="O212" s="83"/>
      <c r="P212" s="83"/>
      <c r="Q212" s="92">
        <v>1.7E-5</v>
      </c>
      <c r="R212" s="84" t="s">
        <v>2310</v>
      </c>
      <c r="S212" s="86"/>
      <c r="T212" s="87"/>
      <c r="U212" s="88"/>
      <c r="V212" s="83"/>
      <c r="W212" s="83"/>
      <c r="X212" s="83"/>
      <c r="Y212" s="87">
        <v>2.9399999999999999E-2</v>
      </c>
      <c r="Z212" s="84" t="s">
        <v>2310</v>
      </c>
      <c r="AA212" s="86"/>
    </row>
    <row r="213" spans="1:27" x14ac:dyDescent="0.3">
      <c r="A213" s="39"/>
      <c r="B213" s="25"/>
      <c r="C213" s="45"/>
      <c r="D213" s="46">
        <v>326.42</v>
      </c>
      <c r="E213" s="60">
        <v>6.85</v>
      </c>
      <c r="F213" s="67" t="s">
        <v>3005</v>
      </c>
      <c r="G213" s="61"/>
      <c r="H213" s="60"/>
      <c r="I213" s="60"/>
      <c r="J213" s="62"/>
      <c r="K213" s="61"/>
      <c r="L213" s="60">
        <v>25</v>
      </c>
      <c r="M213" s="60"/>
      <c r="N213" s="60"/>
      <c r="O213" s="60"/>
      <c r="P213" s="60"/>
      <c r="Q213" s="65">
        <v>1.7E-5</v>
      </c>
      <c r="R213" s="67" t="s">
        <v>3005</v>
      </c>
      <c r="S213" s="63"/>
      <c r="T213" s="64"/>
      <c r="U213" s="62"/>
      <c r="V213" s="60"/>
      <c r="W213" s="60"/>
      <c r="X213" s="60"/>
      <c r="Y213" s="64">
        <v>2.9399999999999999E-2</v>
      </c>
      <c r="Z213" s="67" t="s">
        <v>3005</v>
      </c>
      <c r="AA213" s="63"/>
    </row>
    <row r="214" spans="1:27" x14ac:dyDescent="0.3">
      <c r="A214" s="39"/>
      <c r="B214" s="25"/>
      <c r="C214" s="45"/>
      <c r="D214" s="46">
        <v>326.42</v>
      </c>
      <c r="E214" s="60"/>
      <c r="F214" s="67"/>
      <c r="G214" s="61"/>
      <c r="H214" s="60"/>
      <c r="I214" s="60"/>
      <c r="J214" s="62"/>
      <c r="K214" s="61"/>
      <c r="L214" s="60"/>
      <c r="M214" s="60"/>
      <c r="N214" s="60"/>
      <c r="O214" s="60"/>
      <c r="P214" s="60"/>
      <c r="Q214" s="65"/>
      <c r="R214" s="67"/>
      <c r="S214" s="63"/>
      <c r="T214" s="64">
        <v>-7.91</v>
      </c>
      <c r="U214" s="62" t="s">
        <v>3030</v>
      </c>
      <c r="V214" s="60"/>
      <c r="W214" s="60"/>
      <c r="X214" s="60"/>
      <c r="Y214" s="64">
        <f>1000*$D214*10^T214</f>
        <v>4.0158433216857655E-3</v>
      </c>
      <c r="Z214" s="62" t="s">
        <v>3008</v>
      </c>
      <c r="AA214" s="63"/>
    </row>
    <row r="215" spans="1:27" x14ac:dyDescent="0.3">
      <c r="A215" s="79" t="s">
        <v>2404</v>
      </c>
      <c r="B215" s="80" t="s">
        <v>176</v>
      </c>
      <c r="C215" s="81" t="s">
        <v>177</v>
      </c>
      <c r="D215" s="82">
        <v>326.42</v>
      </c>
      <c r="E215" s="83"/>
      <c r="F215" s="83"/>
      <c r="G215" s="85"/>
      <c r="H215" s="83"/>
      <c r="I215" s="126">
        <v>100</v>
      </c>
      <c r="J215" s="88" t="s">
        <v>2914</v>
      </c>
      <c r="K215" s="85">
        <f>I215</f>
        <v>100</v>
      </c>
      <c r="L215" s="83"/>
      <c r="M215" s="83"/>
      <c r="N215" s="83"/>
      <c r="O215" s="83"/>
      <c r="P215" s="83"/>
      <c r="Q215" s="83"/>
      <c r="R215" s="83"/>
      <c r="S215" s="86"/>
      <c r="T215" s="87"/>
      <c r="U215" s="88"/>
      <c r="V215" s="83"/>
      <c r="W215" s="83"/>
      <c r="X215" s="83"/>
      <c r="Y215" s="87">
        <v>1.2E-2</v>
      </c>
      <c r="Z215" s="84" t="s">
        <v>2310</v>
      </c>
      <c r="AA215" s="86"/>
    </row>
    <row r="216" spans="1:27" x14ac:dyDescent="0.3">
      <c r="A216" s="39"/>
      <c r="B216" s="25"/>
      <c r="C216" s="45"/>
      <c r="D216" s="46">
        <v>326.42</v>
      </c>
      <c r="E216" s="60"/>
      <c r="F216" s="60"/>
      <c r="G216" s="61"/>
      <c r="H216" s="60"/>
      <c r="I216" s="68"/>
      <c r="J216" s="62"/>
      <c r="K216" s="61"/>
      <c r="L216" s="60"/>
      <c r="M216" s="60"/>
      <c r="N216" s="60"/>
      <c r="O216" s="60"/>
      <c r="P216" s="60"/>
      <c r="Q216" s="60"/>
      <c r="R216" s="60"/>
      <c r="S216" s="63"/>
      <c r="T216" s="64"/>
      <c r="U216" s="62"/>
      <c r="V216" s="60"/>
      <c r="W216" s="60"/>
      <c r="X216" s="60"/>
      <c r="Y216" s="64">
        <v>1.2E-2</v>
      </c>
      <c r="Z216" s="67" t="s">
        <v>3005</v>
      </c>
      <c r="AA216" s="63"/>
    </row>
    <row r="217" spans="1:27" x14ac:dyDescent="0.3">
      <c r="A217" s="39"/>
      <c r="B217" s="25"/>
      <c r="C217" s="45"/>
      <c r="D217" s="46">
        <v>326.42</v>
      </c>
      <c r="E217" s="60"/>
      <c r="F217" s="60"/>
      <c r="G217" s="61"/>
      <c r="H217" s="60"/>
      <c r="I217" s="68"/>
      <c r="J217" s="62"/>
      <c r="K217" s="61"/>
      <c r="L217" s="60"/>
      <c r="M217" s="60"/>
      <c r="N217" s="60"/>
      <c r="O217" s="60"/>
      <c r="P217" s="60"/>
      <c r="Q217" s="60"/>
      <c r="R217" s="60"/>
      <c r="S217" s="63"/>
      <c r="T217" s="64">
        <v>-7.43</v>
      </c>
      <c r="U217" s="62" t="s">
        <v>3030</v>
      </c>
      <c r="V217" s="60"/>
      <c r="W217" s="60"/>
      <c r="X217" s="60"/>
      <c r="Y217" s="64">
        <f>1000*$D217*10^T217</f>
        <v>1.2127652948189904E-2</v>
      </c>
      <c r="Z217" s="62" t="s">
        <v>3008</v>
      </c>
      <c r="AA217" s="63"/>
    </row>
    <row r="218" spans="1:27" x14ac:dyDescent="0.3">
      <c r="A218" s="79" t="s">
        <v>2405</v>
      </c>
      <c r="B218" s="80" t="s">
        <v>178</v>
      </c>
      <c r="C218" s="81" t="s">
        <v>179</v>
      </c>
      <c r="D218" s="82">
        <v>326.42</v>
      </c>
      <c r="E218" s="83"/>
      <c r="F218" s="83"/>
      <c r="G218" s="85"/>
      <c r="H218" s="83"/>
      <c r="I218" s="83"/>
      <c r="J218" s="83"/>
      <c r="K218" s="85"/>
      <c r="L218" s="83"/>
      <c r="M218" s="83"/>
      <c r="N218" s="83"/>
      <c r="O218" s="83"/>
      <c r="P218" s="83"/>
      <c r="Q218" s="83"/>
      <c r="R218" s="83"/>
      <c r="S218" s="86"/>
      <c r="T218" s="83"/>
      <c r="U218" s="83"/>
      <c r="V218" s="83"/>
      <c r="W218" s="83"/>
      <c r="X218" s="83"/>
      <c r="Y218" s="87">
        <v>5.4199999999999998E-2</v>
      </c>
      <c r="Z218" s="84" t="s">
        <v>2310</v>
      </c>
      <c r="AA218" s="86"/>
    </row>
    <row r="219" spans="1:27" x14ac:dyDescent="0.3">
      <c r="A219" s="39"/>
      <c r="B219" s="25"/>
      <c r="C219" s="45"/>
      <c r="D219" s="46">
        <v>326.42</v>
      </c>
      <c r="E219" s="60"/>
      <c r="F219" s="60"/>
      <c r="G219" s="61"/>
      <c r="H219" s="60"/>
      <c r="I219" s="60"/>
      <c r="J219" s="60"/>
      <c r="K219" s="61"/>
      <c r="L219" s="60"/>
      <c r="M219" s="60"/>
      <c r="N219" s="60"/>
      <c r="O219" s="60"/>
      <c r="P219" s="60"/>
      <c r="Q219" s="60"/>
      <c r="R219" s="60"/>
      <c r="S219" s="63"/>
      <c r="T219" s="60"/>
      <c r="U219" s="60"/>
      <c r="V219" s="60"/>
      <c r="W219" s="60"/>
      <c r="X219" s="60"/>
      <c r="Y219" s="64">
        <v>5.4199999999999998E-2</v>
      </c>
      <c r="Z219" s="67" t="s">
        <v>3005</v>
      </c>
      <c r="AA219" s="63"/>
    </row>
    <row r="220" spans="1:27" x14ac:dyDescent="0.3">
      <c r="A220" s="79" t="s">
        <v>2406</v>
      </c>
      <c r="B220" s="80" t="s">
        <v>180</v>
      </c>
      <c r="C220" s="81" t="s">
        <v>181</v>
      </c>
      <c r="D220" s="82">
        <v>326.42</v>
      </c>
      <c r="E220" s="83"/>
      <c r="F220" s="83"/>
      <c r="G220" s="85"/>
      <c r="H220" s="83"/>
      <c r="I220" s="83"/>
      <c r="J220" s="83"/>
      <c r="K220" s="85"/>
      <c r="L220" s="83"/>
      <c r="M220" s="83"/>
      <c r="N220" s="83"/>
      <c r="O220" s="83"/>
      <c r="P220" s="83"/>
      <c r="Q220" s="83"/>
      <c r="R220" s="83"/>
      <c r="S220" s="86"/>
      <c r="T220" s="83"/>
      <c r="U220" s="83"/>
      <c r="V220" s="83"/>
      <c r="W220" s="83"/>
      <c r="X220" s="83"/>
      <c r="Y220" s="87">
        <v>4.9399999999999999E-3</v>
      </c>
      <c r="Z220" s="84" t="s">
        <v>2310</v>
      </c>
      <c r="AA220" s="86"/>
    </row>
    <row r="221" spans="1:27" x14ac:dyDescent="0.3">
      <c r="A221" s="39"/>
      <c r="B221" s="25"/>
      <c r="C221" s="45"/>
      <c r="D221" s="46">
        <v>326.42</v>
      </c>
      <c r="E221" s="60"/>
      <c r="F221" s="60"/>
      <c r="G221" s="61"/>
      <c r="H221" s="60"/>
      <c r="I221" s="60"/>
      <c r="J221" s="60"/>
      <c r="K221" s="61"/>
      <c r="L221" s="60"/>
      <c r="M221" s="60"/>
      <c r="N221" s="60"/>
      <c r="O221" s="60"/>
      <c r="P221" s="60"/>
      <c r="Q221" s="60"/>
      <c r="R221" s="60"/>
      <c r="S221" s="63"/>
      <c r="T221" s="60"/>
      <c r="U221" s="60"/>
      <c r="V221" s="60"/>
      <c r="W221" s="60"/>
      <c r="X221" s="60"/>
      <c r="Y221" s="64">
        <v>4.9410000000000001E-3</v>
      </c>
      <c r="Z221" s="67" t="s">
        <v>3005</v>
      </c>
      <c r="AA221" s="63"/>
    </row>
    <row r="222" spans="1:27" x14ac:dyDescent="0.3">
      <c r="A222" s="79" t="s">
        <v>2407</v>
      </c>
      <c r="B222" s="80" t="s">
        <v>182</v>
      </c>
      <c r="C222" s="81" t="s">
        <v>183</v>
      </c>
      <c r="D222" s="82">
        <v>326.42</v>
      </c>
      <c r="E222" s="83"/>
      <c r="F222" s="83"/>
      <c r="G222" s="85"/>
      <c r="H222" s="83"/>
      <c r="I222" s="83"/>
      <c r="J222" s="83"/>
      <c r="K222" s="85"/>
      <c r="L222" s="83"/>
      <c r="M222" s="83"/>
      <c r="N222" s="83"/>
      <c r="O222" s="83"/>
      <c r="P222" s="83"/>
      <c r="Q222" s="83"/>
      <c r="R222" s="83"/>
      <c r="S222" s="86"/>
      <c r="T222" s="83"/>
      <c r="U222" s="83"/>
      <c r="V222" s="83"/>
      <c r="W222" s="83"/>
      <c r="X222" s="83"/>
      <c r="Y222" s="87">
        <v>2.2100000000000002E-2</v>
      </c>
      <c r="Z222" s="84" t="s">
        <v>2310</v>
      </c>
      <c r="AA222" s="86"/>
    </row>
    <row r="223" spans="1:27" x14ac:dyDescent="0.3">
      <c r="A223" s="39"/>
      <c r="B223" s="25"/>
      <c r="C223" s="45"/>
      <c r="D223" s="46">
        <v>326.42</v>
      </c>
      <c r="E223" s="60"/>
      <c r="F223" s="60"/>
      <c r="G223" s="61"/>
      <c r="H223" s="60"/>
      <c r="I223" s="60"/>
      <c r="J223" s="60"/>
      <c r="K223" s="61"/>
      <c r="L223" s="60"/>
      <c r="M223" s="60"/>
      <c r="N223" s="60"/>
      <c r="O223" s="60"/>
      <c r="P223" s="60"/>
      <c r="Q223" s="60"/>
      <c r="R223" s="60"/>
      <c r="S223" s="63"/>
      <c r="T223" s="60"/>
      <c r="U223" s="60"/>
      <c r="V223" s="60"/>
      <c r="W223" s="60"/>
      <c r="X223" s="60"/>
      <c r="Y223" s="64">
        <v>2.2100000000000002E-2</v>
      </c>
      <c r="Z223" s="67" t="s">
        <v>3005</v>
      </c>
      <c r="AA223" s="63"/>
    </row>
    <row r="224" spans="1:27" x14ac:dyDescent="0.3">
      <c r="A224" s="79" t="s">
        <v>2408</v>
      </c>
      <c r="B224" s="80" t="s">
        <v>184</v>
      </c>
      <c r="C224" s="81" t="s">
        <v>185</v>
      </c>
      <c r="D224" s="82">
        <v>326.42</v>
      </c>
      <c r="E224" s="83">
        <v>6.79</v>
      </c>
      <c r="F224" s="84" t="s">
        <v>2309</v>
      </c>
      <c r="G224" s="85"/>
      <c r="H224" s="83"/>
      <c r="I224" s="83"/>
      <c r="J224" s="83"/>
      <c r="K224" s="85"/>
      <c r="L224" s="83"/>
      <c r="M224" s="83"/>
      <c r="N224" s="83"/>
      <c r="O224" s="83"/>
      <c r="P224" s="83"/>
      <c r="Q224" s="83"/>
      <c r="R224" s="83"/>
      <c r="S224" s="86"/>
      <c r="T224" s="83"/>
      <c r="U224" s="83"/>
      <c r="V224" s="83"/>
      <c r="W224" s="83"/>
      <c r="X224" s="83"/>
      <c r="Y224" s="87">
        <v>4.9399999999999999E-3</v>
      </c>
      <c r="Z224" s="84" t="s">
        <v>2310</v>
      </c>
      <c r="AA224" s="86"/>
    </row>
    <row r="225" spans="1:27" x14ac:dyDescent="0.3">
      <c r="A225" s="39"/>
      <c r="B225" s="25"/>
      <c r="C225" s="45"/>
      <c r="D225" s="46">
        <v>326.42</v>
      </c>
      <c r="E225" s="60">
        <v>6.79</v>
      </c>
      <c r="F225" s="67" t="s">
        <v>3005</v>
      </c>
      <c r="G225" s="61"/>
      <c r="H225" s="60"/>
      <c r="I225" s="60"/>
      <c r="J225" s="60"/>
      <c r="K225" s="61"/>
      <c r="L225" s="60"/>
      <c r="M225" s="60"/>
      <c r="N225" s="60"/>
      <c r="O225" s="60"/>
      <c r="P225" s="60"/>
      <c r="Q225" s="60"/>
      <c r="R225" s="60"/>
      <c r="S225" s="63"/>
      <c r="T225" s="60"/>
      <c r="U225" s="60"/>
      <c r="V225" s="60"/>
      <c r="W225" s="60"/>
      <c r="X225" s="60"/>
      <c r="Y225" s="64">
        <v>4.9399999999999999E-3</v>
      </c>
      <c r="Z225" s="67" t="s">
        <v>3005</v>
      </c>
      <c r="AA225" s="63"/>
    </row>
    <row r="226" spans="1:27" x14ac:dyDescent="0.3">
      <c r="A226" s="79" t="s">
        <v>2409</v>
      </c>
      <c r="B226" s="80" t="s">
        <v>186</v>
      </c>
      <c r="C226" s="81" t="s">
        <v>187</v>
      </c>
      <c r="D226" s="82">
        <v>326.42</v>
      </c>
      <c r="E226" s="83"/>
      <c r="F226" s="83"/>
      <c r="G226" s="85"/>
      <c r="H226" s="83"/>
      <c r="I226" s="83"/>
      <c r="J226" s="83"/>
      <c r="K226" s="85"/>
      <c r="L226" s="83"/>
      <c r="M226" s="83"/>
      <c r="N226" s="83"/>
      <c r="O226" s="83"/>
      <c r="P226" s="83"/>
      <c r="Q226" s="83"/>
      <c r="R226" s="83"/>
      <c r="S226" s="86"/>
      <c r="T226" s="83"/>
      <c r="U226" s="83"/>
      <c r="V226" s="83"/>
      <c r="W226" s="83"/>
      <c r="X226" s="83"/>
      <c r="Y226" s="87">
        <v>1.2999999999999999E-2</v>
      </c>
      <c r="Z226" s="84" t="s">
        <v>2310</v>
      </c>
      <c r="AA226" s="86"/>
    </row>
    <row r="227" spans="1:27" x14ac:dyDescent="0.3">
      <c r="A227" s="39"/>
      <c r="B227" s="25"/>
      <c r="C227" s="45"/>
      <c r="D227" s="46">
        <v>326.42</v>
      </c>
      <c r="E227" s="60"/>
      <c r="F227" s="60"/>
      <c r="G227" s="61"/>
      <c r="H227" s="60"/>
      <c r="I227" s="60"/>
      <c r="J227" s="60"/>
      <c r="K227" s="61"/>
      <c r="L227" s="60"/>
      <c r="M227" s="60"/>
      <c r="N227" s="60"/>
      <c r="O227" s="60"/>
      <c r="P227" s="60"/>
      <c r="Q227" s="60"/>
      <c r="R227" s="60"/>
      <c r="S227" s="63"/>
      <c r="T227" s="60"/>
      <c r="U227" s="60"/>
      <c r="V227" s="60"/>
      <c r="W227" s="60"/>
      <c r="X227" s="60"/>
      <c r="Y227" s="64">
        <v>1.2999999999999999E-2</v>
      </c>
      <c r="Z227" s="67" t="s">
        <v>3005</v>
      </c>
      <c r="AA227" s="63"/>
    </row>
    <row r="228" spans="1:27" x14ac:dyDescent="0.3">
      <c r="A228" s="130" t="s">
        <v>2410</v>
      </c>
      <c r="B228" s="131" t="s">
        <v>188</v>
      </c>
      <c r="C228" s="132" t="s">
        <v>189</v>
      </c>
      <c r="D228" s="133">
        <v>326.42</v>
      </c>
      <c r="E228" s="134"/>
      <c r="F228" s="134"/>
      <c r="G228" s="135"/>
      <c r="H228" s="134"/>
      <c r="I228" s="134"/>
      <c r="J228" s="134"/>
      <c r="K228" s="135"/>
      <c r="L228" s="134"/>
      <c r="M228" s="134"/>
      <c r="N228" s="134"/>
      <c r="O228" s="134"/>
      <c r="P228" s="134"/>
      <c r="Q228" s="134"/>
      <c r="R228" s="134"/>
      <c r="S228" s="136"/>
      <c r="T228" s="134"/>
      <c r="U228" s="134"/>
      <c r="V228" s="134"/>
      <c r="W228" s="134"/>
      <c r="X228" s="134"/>
      <c r="Y228" s="137"/>
      <c r="Z228" s="134"/>
      <c r="AA228" s="136"/>
    </row>
    <row r="229" spans="1:27" x14ac:dyDescent="0.3">
      <c r="A229" s="79" t="s">
        <v>2411</v>
      </c>
      <c r="B229" s="80" t="s">
        <v>190</v>
      </c>
      <c r="C229" s="81" t="s">
        <v>191</v>
      </c>
      <c r="D229" s="82">
        <v>326.42</v>
      </c>
      <c r="E229" s="83">
        <v>6.55</v>
      </c>
      <c r="F229" s="84" t="s">
        <v>2309</v>
      </c>
      <c r="G229" s="85"/>
      <c r="H229" s="83"/>
      <c r="I229" s="83"/>
      <c r="J229" s="83"/>
      <c r="K229" s="85"/>
      <c r="L229" s="83"/>
      <c r="M229" s="83"/>
      <c r="N229" s="83"/>
      <c r="O229" s="83"/>
      <c r="P229" s="83"/>
      <c r="Q229" s="83"/>
      <c r="R229" s="83"/>
      <c r="S229" s="86"/>
      <c r="T229" s="83"/>
      <c r="U229" s="83"/>
      <c r="V229" s="83"/>
      <c r="W229" s="83"/>
      <c r="X229" s="83"/>
      <c r="Y229" s="87">
        <v>2.1100000000000001E-2</v>
      </c>
      <c r="Z229" s="84" t="s">
        <v>2310</v>
      </c>
      <c r="AA229" s="86"/>
    </row>
    <row r="230" spans="1:27" x14ac:dyDescent="0.3">
      <c r="A230" s="39"/>
      <c r="B230" s="25"/>
      <c r="C230" s="45"/>
      <c r="D230" s="46">
        <v>326.42</v>
      </c>
      <c r="E230" s="60">
        <v>6.55</v>
      </c>
      <c r="F230" s="67" t="s">
        <v>3005</v>
      </c>
      <c r="G230" s="61"/>
      <c r="H230" s="60"/>
      <c r="I230" s="60"/>
      <c r="J230" s="60"/>
      <c r="K230" s="61"/>
      <c r="L230" s="60"/>
      <c r="M230" s="60"/>
      <c r="N230" s="60"/>
      <c r="O230" s="60"/>
      <c r="P230" s="60"/>
      <c r="Q230" s="60"/>
      <c r="R230" s="60"/>
      <c r="S230" s="63"/>
      <c r="T230" s="60"/>
      <c r="U230" s="60"/>
      <c r="V230" s="60"/>
      <c r="W230" s="60"/>
      <c r="X230" s="60"/>
      <c r="Y230" s="64">
        <v>2.1100000000000001E-2</v>
      </c>
      <c r="Z230" s="67" t="s">
        <v>3005</v>
      </c>
      <c r="AA230" s="63"/>
    </row>
    <row r="231" spans="1:27" x14ac:dyDescent="0.3">
      <c r="A231" s="130" t="s">
        <v>2412</v>
      </c>
      <c r="B231" s="131" t="s">
        <v>192</v>
      </c>
      <c r="C231" s="132" t="s">
        <v>193</v>
      </c>
      <c r="D231" s="133">
        <v>326.42</v>
      </c>
      <c r="E231" s="134"/>
      <c r="F231" s="134"/>
      <c r="G231" s="135"/>
      <c r="H231" s="134"/>
      <c r="I231" s="134"/>
      <c r="J231" s="134"/>
      <c r="K231" s="135"/>
      <c r="L231" s="134"/>
      <c r="M231" s="134"/>
      <c r="N231" s="134"/>
      <c r="O231" s="134"/>
      <c r="P231" s="134"/>
      <c r="Q231" s="134"/>
      <c r="R231" s="134"/>
      <c r="S231" s="136"/>
      <c r="T231" s="134"/>
      <c r="U231" s="134"/>
      <c r="V231" s="134"/>
      <c r="W231" s="134"/>
      <c r="X231" s="134"/>
      <c r="Y231" s="137"/>
      <c r="Z231" s="134"/>
      <c r="AA231" s="136"/>
    </row>
    <row r="232" spans="1:27" x14ac:dyDescent="0.3">
      <c r="A232" s="79" t="s">
        <v>2413</v>
      </c>
      <c r="B232" s="80" t="s">
        <v>194</v>
      </c>
      <c r="C232" s="81" t="s">
        <v>195</v>
      </c>
      <c r="D232" s="82">
        <v>326.42</v>
      </c>
      <c r="E232" s="83">
        <v>6.67</v>
      </c>
      <c r="F232" s="84" t="s">
        <v>2309</v>
      </c>
      <c r="G232" s="85"/>
      <c r="H232" s="83"/>
      <c r="I232" s="83"/>
      <c r="J232" s="83"/>
      <c r="K232" s="85"/>
      <c r="L232" s="83"/>
      <c r="M232" s="83"/>
      <c r="N232" s="83"/>
      <c r="O232" s="83"/>
      <c r="P232" s="83"/>
      <c r="Q232" s="83"/>
      <c r="R232" s="83"/>
      <c r="S232" s="86"/>
      <c r="T232" s="93"/>
      <c r="U232" s="93"/>
      <c r="V232" s="83"/>
      <c r="W232" s="83"/>
      <c r="X232" s="83"/>
      <c r="Y232" s="87">
        <v>2.8400000000000002E-2</v>
      </c>
      <c r="Z232" s="84" t="s">
        <v>2310</v>
      </c>
      <c r="AA232" s="86"/>
    </row>
    <row r="233" spans="1:27" x14ac:dyDescent="0.3">
      <c r="A233" s="39"/>
      <c r="B233" s="25"/>
      <c r="C233" s="45"/>
      <c r="D233" s="46">
        <v>326.42</v>
      </c>
      <c r="E233" s="60">
        <v>6.67</v>
      </c>
      <c r="F233" s="67" t="s">
        <v>3005</v>
      </c>
      <c r="G233" s="61"/>
      <c r="H233" s="60"/>
      <c r="I233" s="60"/>
      <c r="J233" s="60"/>
      <c r="K233" s="61"/>
      <c r="L233" s="60"/>
      <c r="M233" s="60"/>
      <c r="N233" s="60"/>
      <c r="O233" s="60"/>
      <c r="P233" s="60"/>
      <c r="Q233" s="60"/>
      <c r="R233" s="60"/>
      <c r="S233" s="63"/>
      <c r="T233" s="71"/>
      <c r="U233" s="71"/>
      <c r="V233" s="60"/>
      <c r="W233" s="60"/>
      <c r="X233" s="60"/>
      <c r="Y233" s="64">
        <v>2.8400000000000002E-2</v>
      </c>
      <c r="Z233" s="67" t="s">
        <v>3005</v>
      </c>
      <c r="AA233" s="63"/>
    </row>
    <row r="234" spans="1:27" x14ac:dyDescent="0.3">
      <c r="A234" s="79" t="s">
        <v>2414</v>
      </c>
      <c r="B234" s="80" t="s">
        <v>196</v>
      </c>
      <c r="C234" s="81" t="s">
        <v>197</v>
      </c>
      <c r="D234" s="82">
        <v>326.42</v>
      </c>
      <c r="E234" s="83"/>
      <c r="F234" s="83"/>
      <c r="G234" s="85"/>
      <c r="H234" s="83"/>
      <c r="I234" s="83"/>
      <c r="J234" s="83"/>
      <c r="K234" s="85"/>
      <c r="L234" s="83"/>
      <c r="M234" s="83"/>
      <c r="N234" s="83"/>
      <c r="O234" s="83"/>
      <c r="P234" s="83"/>
      <c r="Q234" s="83"/>
      <c r="R234" s="83"/>
      <c r="S234" s="86"/>
      <c r="T234" s="83"/>
      <c r="U234" s="83"/>
      <c r="V234" s="83"/>
      <c r="W234" s="83"/>
      <c r="X234" s="83"/>
      <c r="Y234" s="87">
        <v>1.2999999999999999E-2</v>
      </c>
      <c r="Z234" s="84" t="s">
        <v>2310</v>
      </c>
      <c r="AA234" s="86"/>
    </row>
    <row r="235" spans="1:27" x14ac:dyDescent="0.3">
      <c r="A235" s="39"/>
      <c r="B235" s="25"/>
      <c r="C235" s="45"/>
      <c r="D235" s="46">
        <v>326.42</v>
      </c>
      <c r="E235" s="60"/>
      <c r="F235" s="60"/>
      <c r="G235" s="61"/>
      <c r="H235" s="60"/>
      <c r="I235" s="60"/>
      <c r="J235" s="60"/>
      <c r="K235" s="61"/>
      <c r="L235" s="60"/>
      <c r="M235" s="60"/>
      <c r="N235" s="60"/>
      <c r="O235" s="60"/>
      <c r="P235" s="60"/>
      <c r="Q235" s="60"/>
      <c r="R235" s="60"/>
      <c r="S235" s="63"/>
      <c r="T235" s="60"/>
      <c r="U235" s="60"/>
      <c r="V235" s="60"/>
      <c r="W235" s="60"/>
      <c r="X235" s="60"/>
      <c r="Y235" s="64">
        <v>1.2999999999999999E-2</v>
      </c>
      <c r="Z235" s="67" t="s">
        <v>3005</v>
      </c>
      <c r="AA235" s="63"/>
    </row>
    <row r="236" spans="1:27" x14ac:dyDescent="0.3">
      <c r="A236" s="79" t="s">
        <v>2415</v>
      </c>
      <c r="B236" s="80" t="s">
        <v>198</v>
      </c>
      <c r="C236" s="81" t="s">
        <v>199</v>
      </c>
      <c r="D236" s="82">
        <v>326.42</v>
      </c>
      <c r="E236" s="83">
        <v>7.21</v>
      </c>
      <c r="F236" s="84" t="s">
        <v>2309</v>
      </c>
      <c r="G236" s="85"/>
      <c r="H236" s="83"/>
      <c r="I236" s="83"/>
      <c r="J236" s="83"/>
      <c r="K236" s="85"/>
      <c r="L236" s="83">
        <v>25</v>
      </c>
      <c r="M236" s="83"/>
      <c r="N236" s="83"/>
      <c r="O236" s="83"/>
      <c r="P236" s="83"/>
      <c r="Q236" s="92">
        <v>2.1999999999999999E-5</v>
      </c>
      <c r="R236" s="84" t="s">
        <v>2310</v>
      </c>
      <c r="S236" s="86"/>
      <c r="T236" s="83"/>
      <c r="U236" s="83"/>
      <c r="V236" s="83"/>
      <c r="W236" s="83"/>
      <c r="X236" s="83"/>
      <c r="Y236" s="87">
        <v>3.6600000000000001E-3</v>
      </c>
      <c r="Z236" s="84" t="s">
        <v>2310</v>
      </c>
      <c r="AA236" s="86"/>
    </row>
    <row r="237" spans="1:27" x14ac:dyDescent="0.3">
      <c r="A237" s="39"/>
      <c r="B237" s="25"/>
      <c r="C237" s="45"/>
      <c r="D237" s="46">
        <v>326.42</v>
      </c>
      <c r="E237" s="60">
        <v>7.21</v>
      </c>
      <c r="F237" s="67" t="s">
        <v>3005</v>
      </c>
      <c r="G237" s="61"/>
      <c r="H237" s="60"/>
      <c r="I237" s="60"/>
      <c r="J237" s="60"/>
      <c r="K237" s="61"/>
      <c r="L237" s="60">
        <v>25</v>
      </c>
      <c r="M237" s="60"/>
      <c r="N237" s="60"/>
      <c r="O237" s="60"/>
      <c r="P237" s="60"/>
      <c r="Q237" s="65">
        <v>2.1999999999999999E-5</v>
      </c>
      <c r="R237" s="67" t="s">
        <v>3005</v>
      </c>
      <c r="S237" s="63"/>
      <c r="T237" s="60"/>
      <c r="U237" s="60"/>
      <c r="V237" s="60"/>
      <c r="W237" s="60"/>
      <c r="X237" s="60"/>
      <c r="Y237" s="64">
        <v>3.6600000000000001E-3</v>
      </c>
      <c r="Z237" s="67" t="s">
        <v>3005</v>
      </c>
      <c r="AA237" s="63"/>
    </row>
    <row r="238" spans="1:27" x14ac:dyDescent="0.3">
      <c r="A238" s="79" t="s">
        <v>2416</v>
      </c>
      <c r="B238" s="80" t="s">
        <v>200</v>
      </c>
      <c r="C238" s="81" t="s">
        <v>201</v>
      </c>
      <c r="D238" s="82">
        <v>326.42</v>
      </c>
      <c r="E238" s="83"/>
      <c r="F238" s="83"/>
      <c r="G238" s="85"/>
      <c r="H238" s="83"/>
      <c r="I238" s="83"/>
      <c r="J238" s="83"/>
      <c r="K238" s="85"/>
      <c r="L238" s="83"/>
      <c r="M238" s="83"/>
      <c r="N238" s="83"/>
      <c r="O238" s="83"/>
      <c r="P238" s="83"/>
      <c r="Q238" s="83"/>
      <c r="R238" s="83"/>
      <c r="S238" s="86"/>
      <c r="T238" s="83"/>
      <c r="U238" s="83"/>
      <c r="V238" s="83"/>
      <c r="W238" s="83"/>
      <c r="X238" s="83"/>
      <c r="Y238" s="87">
        <v>7.1399999999999996E-3</v>
      </c>
      <c r="Z238" s="84" t="s">
        <v>2310</v>
      </c>
      <c r="AA238" s="86"/>
    </row>
    <row r="239" spans="1:27" x14ac:dyDescent="0.3">
      <c r="A239" s="39"/>
      <c r="B239" s="25"/>
      <c r="C239" s="45"/>
      <c r="D239" s="46">
        <v>326.42</v>
      </c>
      <c r="E239" s="60"/>
      <c r="F239" s="60"/>
      <c r="G239" s="61"/>
      <c r="H239" s="60"/>
      <c r="I239" s="60"/>
      <c r="J239" s="60"/>
      <c r="K239" s="61"/>
      <c r="L239" s="60"/>
      <c r="M239" s="60"/>
      <c r="N239" s="60"/>
      <c r="O239" s="60"/>
      <c r="P239" s="60"/>
      <c r="Q239" s="60"/>
      <c r="R239" s="60"/>
      <c r="S239" s="63"/>
      <c r="T239" s="60"/>
      <c r="U239" s="60"/>
      <c r="V239" s="60"/>
      <c r="W239" s="60"/>
      <c r="X239" s="60"/>
      <c r="Y239" s="64">
        <v>7.1419999999999999E-3</v>
      </c>
      <c r="Z239" s="67" t="s">
        <v>3005</v>
      </c>
      <c r="AA239" s="63"/>
    </row>
    <row r="240" spans="1:27" x14ac:dyDescent="0.3">
      <c r="A240" s="79" t="s">
        <v>2417</v>
      </c>
      <c r="B240" s="80" t="s">
        <v>202</v>
      </c>
      <c r="C240" s="81" t="s">
        <v>203</v>
      </c>
      <c r="D240" s="82">
        <v>326.42</v>
      </c>
      <c r="E240" s="83">
        <v>6.8</v>
      </c>
      <c r="F240" s="84" t="s">
        <v>2309</v>
      </c>
      <c r="G240" s="85"/>
      <c r="H240" s="83">
        <v>350.1</v>
      </c>
      <c r="I240" s="126">
        <f>H240-$H$1</f>
        <v>76.950000000000045</v>
      </c>
      <c r="J240" s="84" t="s">
        <v>2745</v>
      </c>
      <c r="K240" s="85">
        <f>I240</f>
        <v>76.950000000000045</v>
      </c>
      <c r="L240" s="83">
        <v>25</v>
      </c>
      <c r="M240" s="83"/>
      <c r="N240" s="83"/>
      <c r="O240" s="83"/>
      <c r="P240" s="83"/>
      <c r="Q240" s="92">
        <v>2.5199999999999999E-5</v>
      </c>
      <c r="R240" s="84" t="s">
        <v>2310</v>
      </c>
      <c r="S240" s="86">
        <f>Q242</f>
        <v>5.8515377498452637E-6</v>
      </c>
      <c r="T240" s="87"/>
      <c r="U240" s="88"/>
      <c r="V240" s="87"/>
      <c r="W240" s="83"/>
      <c r="X240" s="83"/>
      <c r="Y240" s="83">
        <v>1.54E-2</v>
      </c>
      <c r="Z240" s="84" t="s">
        <v>2310</v>
      </c>
      <c r="AA240" s="86">
        <f>Y242</f>
        <v>1.0159252035237343E-2</v>
      </c>
    </row>
    <row r="241" spans="1:27" x14ac:dyDescent="0.3">
      <c r="A241" s="39"/>
      <c r="B241" s="25"/>
      <c r="C241" s="45"/>
      <c r="D241" s="46">
        <v>326.42</v>
      </c>
      <c r="E241" s="60">
        <v>6.8</v>
      </c>
      <c r="F241" s="67" t="s">
        <v>3005</v>
      </c>
      <c r="G241" s="61"/>
      <c r="H241" s="60"/>
      <c r="I241" s="60"/>
      <c r="J241" s="67"/>
      <c r="K241" s="61"/>
      <c r="L241" s="60">
        <v>25</v>
      </c>
      <c r="M241" s="60"/>
      <c r="N241" s="60"/>
      <c r="O241" s="60"/>
      <c r="P241" s="60"/>
      <c r="Q241" s="65">
        <v>2.5199999999999999E-5</v>
      </c>
      <c r="R241" s="67" t="s">
        <v>3005</v>
      </c>
      <c r="S241" s="63"/>
      <c r="T241" s="64"/>
      <c r="U241" s="62"/>
      <c r="V241" s="64"/>
      <c r="W241" s="60"/>
      <c r="X241" s="60"/>
      <c r="Y241" s="60">
        <v>1.54E-2</v>
      </c>
      <c r="Z241" s="67" t="s">
        <v>3005</v>
      </c>
      <c r="AA241" s="63"/>
    </row>
    <row r="242" spans="1:27" x14ac:dyDescent="0.3">
      <c r="A242" s="39"/>
      <c r="B242" s="25"/>
      <c r="C242" s="45"/>
      <c r="D242" s="46">
        <v>326.42</v>
      </c>
      <c r="E242" s="60"/>
      <c r="F242" s="60"/>
      <c r="G242" s="61"/>
      <c r="H242" s="60"/>
      <c r="I242" s="60"/>
      <c r="J242" s="67"/>
      <c r="K242" s="61"/>
      <c r="L242" s="60">
        <v>25</v>
      </c>
      <c r="M242" s="64">
        <f>10^(-2.62)</f>
        <v>2.3988329190194886E-3</v>
      </c>
      <c r="N242" s="64">
        <f>$N$1*M242</f>
        <v>1.7992726344569848E-5</v>
      </c>
      <c r="O242" s="60">
        <v>53.6</v>
      </c>
      <c r="P242" s="60">
        <f>$K240</f>
        <v>76.950000000000045</v>
      </c>
      <c r="Q242" s="73">
        <f>N242*EXP(-O242*((P242+273.15)/298.15-1)/$Q$1)</f>
        <v>5.8515377498452637E-6</v>
      </c>
      <c r="R242" s="67" t="s">
        <v>3012</v>
      </c>
      <c r="S242" s="63"/>
      <c r="T242" s="64"/>
      <c r="U242" s="62"/>
      <c r="V242" s="64">
        <f>$D242*0.0000957</f>
        <v>3.1238393999999999E-2</v>
      </c>
      <c r="W242" s="60">
        <v>53.6</v>
      </c>
      <c r="X242" s="60">
        <f>$K240</f>
        <v>76.950000000000045</v>
      </c>
      <c r="Y242" s="73">
        <f>V242*EXP(-$W242*(($X242+$W$1)/298.15-1)/$Y$1)</f>
        <v>1.0159252035237343E-2</v>
      </c>
      <c r="Z242" s="67" t="s">
        <v>3012</v>
      </c>
      <c r="AA242" s="63"/>
    </row>
    <row r="243" spans="1:27" x14ac:dyDescent="0.3">
      <c r="A243" s="39"/>
      <c r="B243" s="25"/>
      <c r="C243" s="45"/>
      <c r="D243" s="46">
        <v>326.42</v>
      </c>
      <c r="E243" s="60"/>
      <c r="F243" s="60"/>
      <c r="G243" s="61"/>
      <c r="H243" s="60"/>
      <c r="I243" s="60"/>
      <c r="J243" s="67"/>
      <c r="K243" s="61"/>
      <c r="L243" s="60">
        <v>25</v>
      </c>
      <c r="M243" s="64">
        <f>10^(-4632/298.15+12.92)</f>
        <v>2.4221212203073099E-3</v>
      </c>
      <c r="N243" s="64">
        <f>$N$1*M243</f>
        <v>1.8167402967013786E-5</v>
      </c>
      <c r="O243" s="60">
        <v>53.6</v>
      </c>
      <c r="P243" s="60">
        <f>$K240</f>
        <v>76.950000000000045</v>
      </c>
      <c r="Q243" s="64">
        <f>N243*EXP(-O243*((P243+273.15)/298.15-1)/$Q$1)</f>
        <v>5.9083455304268119E-6</v>
      </c>
      <c r="R243" s="67" t="s">
        <v>3016</v>
      </c>
      <c r="S243" s="63"/>
      <c r="T243" s="64">
        <v>-7.33</v>
      </c>
      <c r="U243" s="62" t="s">
        <v>3030</v>
      </c>
      <c r="V243" s="64"/>
      <c r="W243" s="60"/>
      <c r="X243" s="60"/>
      <c r="Y243" s="64">
        <f>1000*$D243*10^T243</f>
        <v>1.5267810481896706E-2</v>
      </c>
      <c r="Z243" s="62" t="s">
        <v>3008</v>
      </c>
      <c r="AA243" s="63"/>
    </row>
    <row r="244" spans="1:27" x14ac:dyDescent="0.3">
      <c r="A244" s="130" t="s">
        <v>2418</v>
      </c>
      <c r="B244" s="131" t="s">
        <v>204</v>
      </c>
      <c r="C244" s="132" t="s">
        <v>205</v>
      </c>
      <c r="D244" s="133">
        <v>326.42</v>
      </c>
      <c r="E244" s="134"/>
      <c r="F244" s="134"/>
      <c r="G244" s="135"/>
      <c r="H244" s="134"/>
      <c r="I244" s="134"/>
      <c r="J244" s="134"/>
      <c r="K244" s="135"/>
      <c r="L244" s="134"/>
      <c r="M244" s="134"/>
      <c r="N244" s="134"/>
      <c r="O244" s="134"/>
      <c r="P244" s="134"/>
      <c r="Q244" s="134"/>
      <c r="R244" s="134"/>
      <c r="S244" s="136"/>
      <c r="T244" s="134"/>
      <c r="U244" s="134"/>
      <c r="V244" s="134"/>
      <c r="W244" s="134"/>
      <c r="X244" s="134"/>
      <c r="Y244" s="137"/>
      <c r="Z244" s="134"/>
      <c r="AA244" s="136"/>
    </row>
    <row r="245" spans="1:27" x14ac:dyDescent="0.3">
      <c r="A245" s="79" t="s">
        <v>2419</v>
      </c>
      <c r="B245" s="80" t="s">
        <v>206</v>
      </c>
      <c r="C245" s="81" t="s">
        <v>207</v>
      </c>
      <c r="D245" s="82">
        <v>326.42</v>
      </c>
      <c r="E245" s="83"/>
      <c r="F245" s="83"/>
      <c r="G245" s="85"/>
      <c r="H245" s="83"/>
      <c r="I245" s="83"/>
      <c r="J245" s="83"/>
      <c r="K245" s="85"/>
      <c r="L245" s="83"/>
      <c r="M245" s="83"/>
      <c r="N245" s="83"/>
      <c r="O245" s="83"/>
      <c r="P245" s="83"/>
      <c r="Q245" s="83"/>
      <c r="R245" s="83"/>
      <c r="S245" s="86"/>
      <c r="T245" s="83"/>
      <c r="U245" s="83"/>
      <c r="V245" s="83"/>
      <c r="W245" s="83"/>
      <c r="X245" s="83"/>
      <c r="Y245" s="87">
        <v>1.11E-2</v>
      </c>
      <c r="Z245" s="84" t="s">
        <v>2310</v>
      </c>
      <c r="AA245" s="86"/>
    </row>
    <row r="246" spans="1:27" x14ac:dyDescent="0.3">
      <c r="A246" s="39"/>
      <c r="B246" s="25"/>
      <c r="C246" s="45"/>
      <c r="D246" s="46">
        <v>326.42</v>
      </c>
      <c r="E246" s="60"/>
      <c r="F246" s="60"/>
      <c r="G246" s="61"/>
      <c r="H246" s="60"/>
      <c r="I246" s="60"/>
      <c r="J246" s="60"/>
      <c r="K246" s="61"/>
      <c r="L246" s="60"/>
      <c r="M246" s="60"/>
      <c r="N246" s="60"/>
      <c r="O246" s="60"/>
      <c r="P246" s="60"/>
      <c r="Q246" s="60"/>
      <c r="R246" s="60"/>
      <c r="S246" s="63"/>
      <c r="T246" s="60"/>
      <c r="U246" s="60"/>
      <c r="V246" s="60"/>
      <c r="W246" s="60"/>
      <c r="X246" s="60"/>
      <c r="Y246" s="64">
        <v>1.106E-2</v>
      </c>
      <c r="Z246" s="67" t="s">
        <v>3005</v>
      </c>
      <c r="AA246" s="63"/>
    </row>
    <row r="247" spans="1:27" x14ac:dyDescent="0.3">
      <c r="A247" s="79" t="s">
        <v>2420</v>
      </c>
      <c r="B247" s="80" t="s">
        <v>208</v>
      </c>
      <c r="C247" s="81" t="s">
        <v>209</v>
      </c>
      <c r="D247" s="82">
        <v>326.42</v>
      </c>
      <c r="E247" s="83"/>
      <c r="F247" s="83"/>
      <c r="G247" s="85"/>
      <c r="H247" s="83"/>
      <c r="I247" s="83">
        <v>85</v>
      </c>
      <c r="J247" s="84" t="s">
        <v>2309</v>
      </c>
      <c r="K247" s="85">
        <f>I249</f>
        <v>85</v>
      </c>
      <c r="L247" s="83"/>
      <c r="M247" s="83"/>
      <c r="N247" s="83"/>
      <c r="O247" s="83"/>
      <c r="P247" s="83"/>
      <c r="Q247" s="83"/>
      <c r="R247" s="83"/>
      <c r="S247" s="86"/>
      <c r="T247" s="87"/>
      <c r="U247" s="88"/>
      <c r="V247" s="83"/>
      <c r="W247" s="83"/>
      <c r="X247" s="83"/>
      <c r="Y247" s="87">
        <v>1.5800000000000002E-2</v>
      </c>
      <c r="Z247" s="84" t="s">
        <v>2310</v>
      </c>
      <c r="AA247" s="86"/>
    </row>
    <row r="248" spans="1:27" x14ac:dyDescent="0.3">
      <c r="A248" s="39"/>
      <c r="B248" s="25"/>
      <c r="C248" s="45"/>
      <c r="D248" s="46">
        <v>326.42</v>
      </c>
      <c r="E248" s="60"/>
      <c r="F248" s="60"/>
      <c r="G248" s="61"/>
      <c r="H248" s="60"/>
      <c r="I248" s="60">
        <v>85</v>
      </c>
      <c r="J248" s="67" t="s">
        <v>3005</v>
      </c>
      <c r="K248" s="61"/>
      <c r="L248" s="60"/>
      <c r="M248" s="60"/>
      <c r="N248" s="60"/>
      <c r="O248" s="60"/>
      <c r="P248" s="60"/>
      <c r="Q248" s="60"/>
      <c r="R248" s="60"/>
      <c r="S248" s="63"/>
      <c r="T248" s="64"/>
      <c r="U248" s="62"/>
      <c r="V248" s="60"/>
      <c r="W248" s="60"/>
      <c r="X248" s="60"/>
      <c r="Y248" s="64">
        <v>1.5769999999999999E-2</v>
      </c>
      <c r="Z248" s="67" t="s">
        <v>3005</v>
      </c>
      <c r="AA248" s="63"/>
    </row>
    <row r="249" spans="1:27" x14ac:dyDescent="0.3">
      <c r="A249" s="39"/>
      <c r="B249" s="25"/>
      <c r="C249" s="45"/>
      <c r="D249" s="46">
        <v>326.42</v>
      </c>
      <c r="E249" s="60"/>
      <c r="F249" s="60"/>
      <c r="G249" s="61"/>
      <c r="H249" s="60"/>
      <c r="I249" s="68">
        <v>85</v>
      </c>
      <c r="J249" s="62" t="s">
        <v>2914</v>
      </c>
      <c r="K249" s="61"/>
      <c r="L249" s="60"/>
      <c r="M249" s="60"/>
      <c r="N249" s="60"/>
      <c r="O249" s="60"/>
      <c r="P249" s="60"/>
      <c r="Q249" s="60"/>
      <c r="R249" s="60"/>
      <c r="S249" s="63"/>
      <c r="T249" s="64">
        <v>-7.32</v>
      </c>
      <c r="U249" s="62" t="s">
        <v>3030</v>
      </c>
      <c r="V249" s="60"/>
      <c r="W249" s="60"/>
      <c r="X249" s="60"/>
      <c r="Y249" s="64">
        <f>1000*$D249*10^T249</f>
        <v>1.5623443473595544E-2</v>
      </c>
      <c r="Z249" s="62" t="s">
        <v>3008</v>
      </c>
      <c r="AA249" s="63"/>
    </row>
    <row r="250" spans="1:27" x14ac:dyDescent="0.3">
      <c r="A250" s="79" t="s">
        <v>2421</v>
      </c>
      <c r="B250" s="80" t="s">
        <v>210</v>
      </c>
      <c r="C250" s="81" t="s">
        <v>211</v>
      </c>
      <c r="D250" s="82">
        <v>326.42</v>
      </c>
      <c r="E250" s="83">
        <v>6.79</v>
      </c>
      <c r="F250" s="84" t="s">
        <v>2309</v>
      </c>
      <c r="G250" s="85"/>
      <c r="H250" s="83"/>
      <c r="I250" s="83"/>
      <c r="J250" s="83"/>
      <c r="K250" s="85"/>
      <c r="L250" s="83">
        <v>25</v>
      </c>
      <c r="M250" s="83"/>
      <c r="N250" s="83"/>
      <c r="O250" s="83"/>
      <c r="P250" s="83"/>
      <c r="Q250" s="92">
        <v>6.5300000000000002E-6</v>
      </c>
      <c r="R250" s="84" t="s">
        <v>2310</v>
      </c>
      <c r="S250" s="86">
        <f>Q252</f>
        <v>1.7314876295412187E-6</v>
      </c>
      <c r="T250" s="83"/>
      <c r="U250" s="83"/>
      <c r="V250" s="87"/>
      <c r="W250" s="83"/>
      <c r="X250" s="83"/>
      <c r="Y250" s="87">
        <v>3.3999999999999998E-3</v>
      </c>
      <c r="Z250" s="84" t="s">
        <v>2310</v>
      </c>
      <c r="AA250" s="86">
        <f>Y252</f>
        <v>9.6033367401767381E-3</v>
      </c>
    </row>
    <row r="251" spans="1:27" x14ac:dyDescent="0.3">
      <c r="A251" s="39"/>
      <c r="B251" s="25"/>
      <c r="C251" s="45"/>
      <c r="D251" s="46">
        <v>326.42</v>
      </c>
      <c r="E251" s="60">
        <v>6.79</v>
      </c>
      <c r="F251" s="67" t="s">
        <v>3005</v>
      </c>
      <c r="G251" s="61"/>
      <c r="H251" s="60"/>
      <c r="I251" s="60"/>
      <c r="J251" s="60"/>
      <c r="K251" s="61"/>
      <c r="L251" s="60">
        <v>25</v>
      </c>
      <c r="M251" s="60"/>
      <c r="N251" s="60"/>
      <c r="O251" s="60"/>
      <c r="P251" s="60"/>
      <c r="Q251" s="65">
        <v>6.5309999999999998E-6</v>
      </c>
      <c r="R251" s="67" t="s">
        <v>3005</v>
      </c>
      <c r="S251" s="63"/>
      <c r="T251" s="60"/>
      <c r="U251" s="60"/>
      <c r="V251" s="64"/>
      <c r="W251" s="60"/>
      <c r="X251" s="60"/>
      <c r="Y251" s="64">
        <v>3.3999999999999998E-3</v>
      </c>
      <c r="Z251" s="67" t="s">
        <v>3005</v>
      </c>
      <c r="AA251" s="63"/>
    </row>
    <row r="252" spans="1:27" x14ac:dyDescent="0.3">
      <c r="A252" s="39"/>
      <c r="B252" s="25"/>
      <c r="C252" s="45"/>
      <c r="D252" s="46">
        <v>326.42</v>
      </c>
      <c r="E252" s="60"/>
      <c r="F252" s="60"/>
      <c r="G252" s="61"/>
      <c r="H252" s="60"/>
      <c r="I252" s="60"/>
      <c r="J252" s="60"/>
      <c r="K252" s="61"/>
      <c r="L252" s="60">
        <v>25</v>
      </c>
      <c r="M252" s="64">
        <f>10^(-3.06)</f>
        <v>8.7096358995607975E-4</v>
      </c>
      <c r="N252" s="64">
        <f>$N$1*M252</f>
        <v>6.532764081197174E-6</v>
      </c>
      <c r="O252" s="60">
        <v>56</v>
      </c>
      <c r="P252" s="60">
        <v>83.78</v>
      </c>
      <c r="Q252" s="73">
        <f>N252*EXP(-O252*((P252+273.15)/298.15-1)/$Q$1)</f>
        <v>1.7314876295412187E-6</v>
      </c>
      <c r="R252" s="67" t="s">
        <v>3012</v>
      </c>
      <c r="S252" s="63"/>
      <c r="T252" s="60"/>
      <c r="U252" s="60"/>
      <c r="V252" s="64">
        <f>$D252*0.000111</f>
        <v>3.623262E-2</v>
      </c>
      <c r="W252" s="60">
        <v>56</v>
      </c>
      <c r="X252" s="60">
        <v>83.78</v>
      </c>
      <c r="Y252" s="73">
        <f>V252*EXP(-$W252*(($X252+$W$1)/298.15-1)/$Y$1)</f>
        <v>9.6033367401767381E-3</v>
      </c>
      <c r="Z252" s="67" t="s">
        <v>3012</v>
      </c>
      <c r="AA252" s="63"/>
    </row>
    <row r="253" spans="1:27" x14ac:dyDescent="0.3">
      <c r="A253" s="130" t="s">
        <v>2422</v>
      </c>
      <c r="B253" s="131" t="s">
        <v>212</v>
      </c>
      <c r="C253" s="132" t="s">
        <v>213</v>
      </c>
      <c r="D253" s="133">
        <v>326.42</v>
      </c>
      <c r="E253" s="134"/>
      <c r="F253" s="134"/>
      <c r="G253" s="135"/>
      <c r="H253" s="134"/>
      <c r="I253" s="134"/>
      <c r="J253" s="134"/>
      <c r="K253" s="135"/>
      <c r="L253" s="134"/>
      <c r="M253" s="134"/>
      <c r="N253" s="134"/>
      <c r="O253" s="134"/>
      <c r="P253" s="134"/>
      <c r="Q253" s="134"/>
      <c r="R253" s="134"/>
      <c r="S253" s="136"/>
      <c r="T253" s="134"/>
      <c r="U253" s="134"/>
      <c r="V253" s="134"/>
      <c r="W253" s="134"/>
      <c r="X253" s="134"/>
      <c r="Y253" s="137"/>
      <c r="Z253" s="134"/>
      <c r="AA253" s="136"/>
    </row>
    <row r="254" spans="1:27" x14ac:dyDescent="0.3">
      <c r="A254" s="130" t="s">
        <v>2423</v>
      </c>
      <c r="B254" s="131" t="s">
        <v>214</v>
      </c>
      <c r="C254" s="132" t="s">
        <v>215</v>
      </c>
      <c r="D254" s="133">
        <v>326.42</v>
      </c>
      <c r="E254" s="134"/>
      <c r="F254" s="134"/>
      <c r="G254" s="135"/>
      <c r="H254" s="134"/>
      <c r="I254" s="134"/>
      <c r="J254" s="134"/>
      <c r="K254" s="135"/>
      <c r="L254" s="134"/>
      <c r="M254" s="134"/>
      <c r="N254" s="134"/>
      <c r="O254" s="134"/>
      <c r="P254" s="134"/>
      <c r="Q254" s="134"/>
      <c r="R254" s="134"/>
      <c r="S254" s="136"/>
      <c r="T254" s="134"/>
      <c r="U254" s="134"/>
      <c r="V254" s="134"/>
      <c r="W254" s="134"/>
      <c r="X254" s="134"/>
      <c r="Y254" s="137"/>
      <c r="Z254" s="134"/>
      <c r="AA254" s="136"/>
    </row>
    <row r="255" spans="1:27" x14ac:dyDescent="0.3">
      <c r="A255" s="130" t="s">
        <v>2424</v>
      </c>
      <c r="B255" s="131" t="s">
        <v>216</v>
      </c>
      <c r="C255" s="132" t="s">
        <v>217</v>
      </c>
      <c r="D255" s="133">
        <v>326.42</v>
      </c>
      <c r="E255" s="134"/>
      <c r="F255" s="134"/>
      <c r="G255" s="135"/>
      <c r="H255" s="134"/>
      <c r="I255" s="134"/>
      <c r="J255" s="134"/>
      <c r="K255" s="135"/>
      <c r="L255" s="134"/>
      <c r="M255" s="134"/>
      <c r="N255" s="134"/>
      <c r="O255" s="134"/>
      <c r="P255" s="134"/>
      <c r="Q255" s="134"/>
      <c r="R255" s="134"/>
      <c r="S255" s="136"/>
      <c r="T255" s="134"/>
      <c r="U255" s="134"/>
      <c r="V255" s="134"/>
      <c r="W255" s="134"/>
      <c r="X255" s="134"/>
      <c r="Y255" s="137"/>
      <c r="Z255" s="134"/>
      <c r="AA255" s="136"/>
    </row>
    <row r="256" spans="1:27" x14ac:dyDescent="0.3">
      <c r="A256" s="130" t="s">
        <v>2425</v>
      </c>
      <c r="B256" s="131" t="s">
        <v>218</v>
      </c>
      <c r="C256" s="132" t="s">
        <v>219</v>
      </c>
      <c r="D256" s="133">
        <v>326.42</v>
      </c>
      <c r="E256" s="134"/>
      <c r="F256" s="134"/>
      <c r="G256" s="135"/>
      <c r="H256" s="134"/>
      <c r="I256" s="134"/>
      <c r="J256" s="134"/>
      <c r="K256" s="135"/>
      <c r="L256" s="134"/>
      <c r="M256" s="134"/>
      <c r="N256" s="134"/>
      <c r="O256" s="134"/>
      <c r="P256" s="134"/>
      <c r="Q256" s="134"/>
      <c r="R256" s="134"/>
      <c r="S256" s="136"/>
      <c r="T256" s="134"/>
      <c r="U256" s="134"/>
      <c r="V256" s="134"/>
      <c r="W256" s="134"/>
      <c r="X256" s="134"/>
      <c r="Y256" s="137"/>
      <c r="Z256" s="134"/>
      <c r="AA256" s="136"/>
    </row>
    <row r="257" spans="1:27" x14ac:dyDescent="0.3">
      <c r="A257" s="79" t="s">
        <v>2426</v>
      </c>
      <c r="B257" s="80" t="s">
        <v>220</v>
      </c>
      <c r="C257" s="81" t="s">
        <v>221</v>
      </c>
      <c r="D257" s="82">
        <v>326.42</v>
      </c>
      <c r="E257" s="83">
        <v>6.22</v>
      </c>
      <c r="F257" s="84" t="s">
        <v>2309</v>
      </c>
      <c r="G257" s="85"/>
      <c r="H257" s="83"/>
      <c r="I257" s="83"/>
      <c r="J257" s="83"/>
      <c r="K257" s="85"/>
      <c r="L257" s="83"/>
      <c r="M257" s="83"/>
      <c r="N257" s="83"/>
      <c r="O257" s="83"/>
      <c r="P257" s="83"/>
      <c r="Q257" s="83"/>
      <c r="R257" s="83"/>
      <c r="S257" s="86"/>
      <c r="T257" s="83"/>
      <c r="U257" s="83"/>
      <c r="V257" s="83"/>
      <c r="W257" s="83"/>
      <c r="X257" s="83"/>
      <c r="Y257" s="87">
        <v>7.3099999999999997E-3</v>
      </c>
      <c r="Z257" s="84" t="s">
        <v>2310</v>
      </c>
      <c r="AA257" s="86"/>
    </row>
    <row r="258" spans="1:27" x14ac:dyDescent="0.3">
      <c r="A258" s="39"/>
      <c r="B258" s="25"/>
      <c r="C258" s="45"/>
      <c r="D258" s="46">
        <v>326.42</v>
      </c>
      <c r="E258" s="60">
        <v>6.22</v>
      </c>
      <c r="F258" s="67" t="s">
        <v>3005</v>
      </c>
      <c r="G258" s="61"/>
      <c r="H258" s="60"/>
      <c r="I258" s="60"/>
      <c r="J258" s="60"/>
      <c r="K258" s="61"/>
      <c r="L258" s="60"/>
      <c r="M258" s="60"/>
      <c r="N258" s="60"/>
      <c r="O258" s="60"/>
      <c r="P258" s="60"/>
      <c r="Q258" s="60"/>
      <c r="R258" s="60"/>
      <c r="S258" s="63"/>
      <c r="T258" s="60"/>
      <c r="U258" s="60"/>
      <c r="V258" s="60"/>
      <c r="W258" s="60"/>
      <c r="X258" s="60"/>
      <c r="Y258" s="64">
        <v>7.3099999999999997E-3</v>
      </c>
      <c r="Z258" s="67" t="s">
        <v>3005</v>
      </c>
      <c r="AA258" s="63"/>
    </row>
    <row r="259" spans="1:27" x14ac:dyDescent="0.3">
      <c r="A259" s="130" t="s">
        <v>2427</v>
      </c>
      <c r="B259" s="131" t="s">
        <v>222</v>
      </c>
      <c r="C259" s="132" t="s">
        <v>223</v>
      </c>
      <c r="D259" s="133">
        <v>326.42</v>
      </c>
      <c r="E259" s="134"/>
      <c r="F259" s="134"/>
      <c r="G259" s="135"/>
      <c r="H259" s="134"/>
      <c r="I259" s="134"/>
      <c r="J259" s="134"/>
      <c r="K259" s="135"/>
      <c r="L259" s="134"/>
      <c r="M259" s="134"/>
      <c r="N259" s="134"/>
      <c r="O259" s="134"/>
      <c r="P259" s="134"/>
      <c r="Q259" s="134"/>
      <c r="R259" s="134"/>
      <c r="S259" s="136"/>
      <c r="T259" s="146"/>
      <c r="U259" s="146"/>
      <c r="V259" s="134"/>
      <c r="W259" s="134"/>
      <c r="X259" s="134"/>
      <c r="Y259" s="137"/>
      <c r="Z259" s="134"/>
      <c r="AA259" s="136"/>
    </row>
    <row r="260" spans="1:27" x14ac:dyDescent="0.3">
      <c r="A260" s="79" t="s">
        <v>2428</v>
      </c>
      <c r="B260" s="80" t="s">
        <v>224</v>
      </c>
      <c r="C260" s="81" t="s">
        <v>225</v>
      </c>
      <c r="D260" s="82">
        <v>326.42</v>
      </c>
      <c r="E260" s="83"/>
      <c r="F260" s="83"/>
      <c r="G260" s="85"/>
      <c r="H260" s="83"/>
      <c r="I260" s="83"/>
      <c r="J260" s="83"/>
      <c r="K260" s="85"/>
      <c r="L260" s="83"/>
      <c r="M260" s="83"/>
      <c r="N260" s="83"/>
      <c r="O260" s="83"/>
      <c r="P260" s="83"/>
      <c r="Q260" s="83"/>
      <c r="R260" s="83"/>
      <c r="S260" s="86"/>
      <c r="T260" s="144"/>
      <c r="U260" s="144"/>
      <c r="V260" s="83"/>
      <c r="W260" s="83"/>
      <c r="X260" s="83"/>
      <c r="Y260" s="87">
        <v>5.6699999999999997E-3</v>
      </c>
      <c r="Z260" s="84" t="s">
        <v>2310</v>
      </c>
      <c r="AA260" s="86"/>
    </row>
    <row r="261" spans="1:27" x14ac:dyDescent="0.3">
      <c r="A261" s="39"/>
      <c r="B261" s="25"/>
      <c r="C261" s="45"/>
      <c r="D261" s="46">
        <v>326.42</v>
      </c>
      <c r="E261" s="60"/>
      <c r="F261" s="60"/>
      <c r="G261" s="61"/>
      <c r="H261" s="60"/>
      <c r="I261" s="60"/>
      <c r="J261" s="60"/>
      <c r="K261" s="61"/>
      <c r="L261" s="60"/>
      <c r="M261" s="60"/>
      <c r="N261" s="60"/>
      <c r="O261" s="60"/>
      <c r="P261" s="60"/>
      <c r="Q261" s="60"/>
      <c r="R261" s="60"/>
      <c r="S261" s="63"/>
      <c r="T261" s="72"/>
      <c r="U261" s="72"/>
      <c r="V261" s="60"/>
      <c r="W261" s="60"/>
      <c r="X261" s="60"/>
      <c r="Y261" s="64">
        <v>5.6730000000000001E-3</v>
      </c>
      <c r="Z261" s="67" t="s">
        <v>3005</v>
      </c>
      <c r="AA261" s="63"/>
    </row>
    <row r="262" spans="1:27" x14ac:dyDescent="0.3">
      <c r="A262" s="79" t="s">
        <v>2429</v>
      </c>
      <c r="B262" s="80" t="s">
        <v>226</v>
      </c>
      <c r="C262" s="81" t="s">
        <v>227</v>
      </c>
      <c r="D262" s="82">
        <v>326.42</v>
      </c>
      <c r="E262" s="83"/>
      <c r="F262" s="83"/>
      <c r="G262" s="85"/>
      <c r="H262" s="83"/>
      <c r="I262" s="83"/>
      <c r="J262" s="83"/>
      <c r="K262" s="85"/>
      <c r="L262" s="83"/>
      <c r="M262" s="83"/>
      <c r="N262" s="83"/>
      <c r="O262" s="83"/>
      <c r="P262" s="83"/>
      <c r="Q262" s="83"/>
      <c r="R262" s="83"/>
      <c r="S262" s="86"/>
      <c r="T262" s="83"/>
      <c r="U262" s="83"/>
      <c r="V262" s="83"/>
      <c r="W262" s="83"/>
      <c r="X262" s="83"/>
      <c r="Y262" s="87">
        <v>3.6600000000000001E-3</v>
      </c>
      <c r="Z262" s="84" t="s">
        <v>2310</v>
      </c>
      <c r="AA262" s="86"/>
    </row>
    <row r="263" spans="1:27" x14ac:dyDescent="0.3">
      <c r="A263" s="39"/>
      <c r="B263" s="25"/>
      <c r="C263" s="45"/>
      <c r="D263" s="46">
        <v>326.42</v>
      </c>
      <c r="E263" s="60"/>
      <c r="F263" s="60"/>
      <c r="G263" s="61"/>
      <c r="H263" s="60"/>
      <c r="I263" s="60"/>
      <c r="J263" s="60"/>
      <c r="K263" s="61"/>
      <c r="L263" s="60"/>
      <c r="M263" s="60"/>
      <c r="N263" s="60"/>
      <c r="O263" s="60"/>
      <c r="P263" s="60"/>
      <c r="Q263" s="60"/>
      <c r="R263" s="60"/>
      <c r="S263" s="63"/>
      <c r="T263" s="60"/>
      <c r="U263" s="60"/>
      <c r="V263" s="60"/>
      <c r="W263" s="60"/>
      <c r="X263" s="60"/>
      <c r="Y263" s="64">
        <v>3.663E-3</v>
      </c>
      <c r="Z263" s="67" t="s">
        <v>3005</v>
      </c>
      <c r="AA263" s="63"/>
    </row>
    <row r="264" spans="1:27" x14ac:dyDescent="0.3">
      <c r="A264" s="79" t="s">
        <v>2430</v>
      </c>
      <c r="B264" s="80" t="s">
        <v>228</v>
      </c>
      <c r="C264" s="81" t="s">
        <v>229</v>
      </c>
      <c r="D264" s="82">
        <v>326.42</v>
      </c>
      <c r="E264" s="83"/>
      <c r="F264" s="83"/>
      <c r="G264" s="85"/>
      <c r="H264" s="83"/>
      <c r="I264" s="83">
        <v>98</v>
      </c>
      <c r="J264" s="84" t="s">
        <v>2309</v>
      </c>
      <c r="K264" s="85"/>
      <c r="L264" s="83"/>
      <c r="M264" s="83"/>
      <c r="N264" s="83"/>
      <c r="O264" s="83"/>
      <c r="P264" s="83"/>
      <c r="Q264" s="83"/>
      <c r="R264" s="83"/>
      <c r="S264" s="86"/>
      <c r="T264" s="83"/>
      <c r="U264" s="83"/>
      <c r="V264" s="83"/>
      <c r="W264" s="83"/>
      <c r="X264" s="83"/>
      <c r="Y264" s="87">
        <v>1.6E-2</v>
      </c>
      <c r="Z264" s="84" t="s">
        <v>2310</v>
      </c>
      <c r="AA264" s="86"/>
    </row>
    <row r="265" spans="1:27" x14ac:dyDescent="0.3">
      <c r="A265" s="39"/>
      <c r="B265" s="25"/>
      <c r="C265" s="45"/>
      <c r="D265" s="46">
        <v>326.42</v>
      </c>
      <c r="E265" s="60"/>
      <c r="F265" s="60"/>
      <c r="G265" s="61"/>
      <c r="H265" s="60"/>
      <c r="I265" s="60">
        <v>98</v>
      </c>
      <c r="J265" s="67" t="s">
        <v>3005</v>
      </c>
      <c r="K265" s="61"/>
      <c r="L265" s="60"/>
      <c r="M265" s="60"/>
      <c r="N265" s="60"/>
      <c r="O265" s="60"/>
      <c r="P265" s="60"/>
      <c r="Q265" s="60"/>
      <c r="R265" s="60"/>
      <c r="S265" s="63"/>
      <c r="T265" s="60"/>
      <c r="U265" s="60"/>
      <c r="V265" s="60"/>
      <c r="W265" s="60"/>
      <c r="X265" s="60"/>
      <c r="Y265" s="64">
        <v>1.5980000000000001E-2</v>
      </c>
      <c r="Z265" s="67" t="s">
        <v>3005</v>
      </c>
      <c r="AA265" s="63"/>
    </row>
    <row r="266" spans="1:27" x14ac:dyDescent="0.3">
      <c r="A266" s="79" t="s">
        <v>2431</v>
      </c>
      <c r="B266" s="80" t="s">
        <v>230</v>
      </c>
      <c r="C266" s="81" t="s">
        <v>231</v>
      </c>
      <c r="D266" s="82">
        <v>326.42</v>
      </c>
      <c r="E266" s="83"/>
      <c r="F266" s="83"/>
      <c r="G266" s="85"/>
      <c r="H266" s="83"/>
      <c r="I266" s="83"/>
      <c r="J266" s="83"/>
      <c r="K266" s="85"/>
      <c r="L266" s="83"/>
      <c r="M266" s="83"/>
      <c r="N266" s="83"/>
      <c r="O266" s="83"/>
      <c r="P266" s="83"/>
      <c r="Q266" s="83"/>
      <c r="R266" s="83"/>
      <c r="S266" s="86"/>
      <c r="T266" s="83"/>
      <c r="U266" s="83"/>
      <c r="V266" s="83"/>
      <c r="W266" s="83"/>
      <c r="X266" s="83"/>
      <c r="Y266" s="87">
        <v>3.6600000000000001E-3</v>
      </c>
      <c r="Z266" s="84" t="s">
        <v>2310</v>
      </c>
      <c r="AA266" s="86"/>
    </row>
    <row r="267" spans="1:27" x14ac:dyDescent="0.3">
      <c r="A267" s="39"/>
      <c r="B267" s="25"/>
      <c r="C267" s="45"/>
      <c r="D267" s="46">
        <v>326.42</v>
      </c>
      <c r="E267" s="60"/>
      <c r="F267" s="60"/>
      <c r="G267" s="61"/>
      <c r="H267" s="60"/>
      <c r="I267" s="60"/>
      <c r="J267" s="60"/>
      <c r="K267" s="61"/>
      <c r="L267" s="60"/>
      <c r="M267" s="60"/>
      <c r="N267" s="60"/>
      <c r="O267" s="60"/>
      <c r="P267" s="60"/>
      <c r="Q267" s="60"/>
      <c r="R267" s="60"/>
      <c r="S267" s="63"/>
      <c r="T267" s="60"/>
      <c r="U267" s="60"/>
      <c r="V267" s="60"/>
      <c r="W267" s="60"/>
      <c r="X267" s="60"/>
      <c r="Y267" s="64">
        <v>3.663E-3</v>
      </c>
      <c r="Z267" s="67" t="s">
        <v>3005</v>
      </c>
      <c r="AA267" s="63"/>
    </row>
    <row r="268" spans="1:27" x14ac:dyDescent="0.3">
      <c r="A268" s="79" t="s">
        <v>2432</v>
      </c>
      <c r="B268" s="80" t="s">
        <v>232</v>
      </c>
      <c r="C268" s="81" t="s">
        <v>233</v>
      </c>
      <c r="D268" s="82">
        <v>326.42</v>
      </c>
      <c r="E268" s="83">
        <v>6.75</v>
      </c>
      <c r="F268" s="84" t="s">
        <v>2309</v>
      </c>
      <c r="G268" s="85">
        <f>E270</f>
        <v>6.7539999999999996</v>
      </c>
      <c r="H268" s="83">
        <v>397.6</v>
      </c>
      <c r="I268" s="126">
        <f>H268-$H$1</f>
        <v>124.45000000000005</v>
      </c>
      <c r="J268" s="84" t="s">
        <v>2745</v>
      </c>
      <c r="K268" s="85">
        <f>I268</f>
        <v>124.45000000000005</v>
      </c>
      <c r="L268" s="83"/>
      <c r="M268" s="83"/>
      <c r="N268" s="83"/>
      <c r="O268" s="83"/>
      <c r="P268" s="83"/>
      <c r="Q268" s="83"/>
      <c r="R268" s="83"/>
      <c r="S268" s="86"/>
      <c r="T268" s="87"/>
      <c r="U268" s="88"/>
      <c r="V268" s="83"/>
      <c r="W268" s="83"/>
      <c r="X268" s="83"/>
      <c r="Y268" s="87">
        <v>4.0099999999999997E-3</v>
      </c>
      <c r="Z268" s="84" t="s">
        <v>2310</v>
      </c>
      <c r="AA268" s="86"/>
    </row>
    <row r="269" spans="1:27" x14ac:dyDescent="0.3">
      <c r="A269" s="39"/>
      <c r="B269" s="25"/>
      <c r="C269" s="45"/>
      <c r="D269" s="46">
        <v>326.42</v>
      </c>
      <c r="E269" s="60">
        <v>6.75</v>
      </c>
      <c r="F269" s="67" t="s">
        <v>3005</v>
      </c>
      <c r="G269" s="61"/>
      <c r="H269" s="60"/>
      <c r="I269" s="60"/>
      <c r="J269" s="67"/>
      <c r="K269" s="61"/>
      <c r="L269" s="60"/>
      <c r="M269" s="60"/>
      <c r="N269" s="60"/>
      <c r="O269" s="60"/>
      <c r="P269" s="60"/>
      <c r="Q269" s="60"/>
      <c r="R269" s="60"/>
      <c r="S269" s="63"/>
      <c r="T269" s="64"/>
      <c r="U269" s="62"/>
      <c r="V269" s="60"/>
      <c r="W269" s="60"/>
      <c r="X269" s="60"/>
      <c r="Y269" s="64">
        <v>4.0099999999999997E-3</v>
      </c>
      <c r="Z269" s="67" t="s">
        <v>3005</v>
      </c>
      <c r="AA269" s="63"/>
    </row>
    <row r="270" spans="1:27" x14ac:dyDescent="0.3">
      <c r="A270" s="39"/>
      <c r="B270" s="25"/>
      <c r="C270" s="45"/>
      <c r="D270" s="46">
        <v>326.42</v>
      </c>
      <c r="E270" s="68">
        <v>6.7539999999999996</v>
      </c>
      <c r="F270" s="67" t="s">
        <v>2969</v>
      </c>
      <c r="G270" s="61"/>
      <c r="H270" s="60"/>
      <c r="I270" s="60"/>
      <c r="J270" s="67"/>
      <c r="K270" s="61"/>
      <c r="L270" s="60"/>
      <c r="M270" s="60"/>
      <c r="N270" s="60"/>
      <c r="O270" s="60"/>
      <c r="P270" s="60"/>
      <c r="Q270" s="60"/>
      <c r="R270" s="60"/>
      <c r="S270" s="63"/>
      <c r="T270" s="64">
        <v>-7.92</v>
      </c>
      <c r="U270" s="62" t="s">
        <v>3030</v>
      </c>
      <c r="V270" s="60"/>
      <c r="W270" s="60"/>
      <c r="X270" s="60"/>
      <c r="Y270" s="64">
        <f>1000*$D270*10^T270</f>
        <v>3.9244315674781495E-3</v>
      </c>
      <c r="Z270" s="62" t="s">
        <v>3008</v>
      </c>
      <c r="AA270" s="63"/>
    </row>
    <row r="271" spans="1:27" x14ac:dyDescent="0.3">
      <c r="A271" s="79" t="s">
        <v>2433</v>
      </c>
      <c r="B271" s="80" t="s">
        <v>234</v>
      </c>
      <c r="C271" s="81" t="s">
        <v>235</v>
      </c>
      <c r="D271" s="82">
        <v>326.42</v>
      </c>
      <c r="E271" s="83"/>
      <c r="F271" s="83"/>
      <c r="G271" s="85"/>
      <c r="H271" s="83"/>
      <c r="I271" s="83"/>
      <c r="J271" s="83"/>
      <c r="K271" s="85"/>
      <c r="L271" s="83"/>
      <c r="M271" s="83"/>
      <c r="N271" s="83"/>
      <c r="O271" s="83"/>
      <c r="P271" s="83"/>
      <c r="Q271" s="83"/>
      <c r="R271" s="83"/>
      <c r="S271" s="86"/>
      <c r="T271" s="83"/>
      <c r="U271" s="83"/>
      <c r="V271" s="83"/>
      <c r="W271" s="83"/>
      <c r="X271" s="83"/>
      <c r="Y271" s="87">
        <v>4.3E-3</v>
      </c>
      <c r="Z271" s="84" t="s">
        <v>2310</v>
      </c>
      <c r="AA271" s="86"/>
    </row>
    <row r="272" spans="1:27" x14ac:dyDescent="0.3">
      <c r="A272" s="39"/>
      <c r="B272" s="25"/>
      <c r="C272" s="45"/>
      <c r="D272" s="46">
        <v>326.42</v>
      </c>
      <c r="E272" s="60"/>
      <c r="F272" s="60"/>
      <c r="G272" s="61"/>
      <c r="H272" s="60"/>
      <c r="I272" s="60"/>
      <c r="J272" s="60"/>
      <c r="K272" s="61"/>
      <c r="L272" s="60"/>
      <c r="M272" s="60"/>
      <c r="N272" s="60"/>
      <c r="O272" s="60"/>
      <c r="P272" s="60"/>
      <c r="Q272" s="60"/>
      <c r="R272" s="60"/>
      <c r="S272" s="63"/>
      <c r="T272" s="60"/>
      <c r="U272" s="60"/>
      <c r="V272" s="60"/>
      <c r="W272" s="60"/>
      <c r="X272" s="60"/>
      <c r="Y272" s="64">
        <v>4.3030000000000004E-3</v>
      </c>
      <c r="Z272" s="67" t="s">
        <v>3005</v>
      </c>
      <c r="AA272" s="63"/>
    </row>
    <row r="273" spans="1:27" x14ac:dyDescent="0.3">
      <c r="A273" s="79" t="s">
        <v>2434</v>
      </c>
      <c r="B273" s="80" t="s">
        <v>236</v>
      </c>
      <c r="C273" s="81" t="s">
        <v>237</v>
      </c>
      <c r="D273" s="82">
        <v>326.42</v>
      </c>
      <c r="E273" s="83">
        <v>7.12</v>
      </c>
      <c r="F273" s="84" t="s">
        <v>2309</v>
      </c>
      <c r="G273" s="85"/>
      <c r="H273" s="83"/>
      <c r="I273" s="126">
        <v>109</v>
      </c>
      <c r="J273" s="88" t="s">
        <v>2914</v>
      </c>
      <c r="K273" s="85">
        <f>I273</f>
        <v>109</v>
      </c>
      <c r="L273" s="83">
        <v>25</v>
      </c>
      <c r="M273" s="128"/>
      <c r="N273" s="128"/>
      <c r="O273" s="83"/>
      <c r="P273" s="83"/>
      <c r="Q273" s="147">
        <v>8.9740000000000008E-6</v>
      </c>
      <c r="R273" s="84" t="s">
        <v>2310</v>
      </c>
      <c r="S273" s="86">
        <f>Q275</f>
        <v>1.0022857369798613E-6</v>
      </c>
      <c r="T273" s="87"/>
      <c r="U273" s="88"/>
      <c r="V273" s="87"/>
      <c r="W273" s="83"/>
      <c r="X273" s="83"/>
      <c r="Y273" s="87">
        <v>1.34E-2</v>
      </c>
      <c r="Z273" s="84" t="s">
        <v>2310</v>
      </c>
      <c r="AA273" s="86">
        <f>Y275</f>
        <v>4.3459457591642952E-3</v>
      </c>
    </row>
    <row r="274" spans="1:27" x14ac:dyDescent="0.3">
      <c r="A274" s="39"/>
      <c r="B274" s="25"/>
      <c r="C274" s="45"/>
      <c r="D274" s="46">
        <v>326.42</v>
      </c>
      <c r="E274" s="60">
        <v>7.12</v>
      </c>
      <c r="F274" s="67" t="s">
        <v>3005</v>
      </c>
      <c r="G274" s="61"/>
      <c r="H274" s="60"/>
      <c r="I274" s="60"/>
      <c r="J274" s="62"/>
      <c r="K274" s="61"/>
      <c r="L274" s="60">
        <v>25</v>
      </c>
      <c r="M274" s="15"/>
      <c r="N274" s="15"/>
      <c r="O274" s="60"/>
      <c r="P274" s="60"/>
      <c r="Q274" s="22">
        <v>8.9740000000000008E-6</v>
      </c>
      <c r="R274" s="67" t="s">
        <v>3005</v>
      </c>
      <c r="S274" s="63"/>
      <c r="T274" s="64"/>
      <c r="U274" s="62"/>
      <c r="V274" s="64"/>
      <c r="W274" s="60"/>
      <c r="X274" s="60"/>
      <c r="Y274" s="64">
        <v>1.34E-2</v>
      </c>
      <c r="Z274" s="67" t="s">
        <v>3005</v>
      </c>
      <c r="AA274" s="63"/>
    </row>
    <row r="275" spans="1:27" x14ac:dyDescent="0.3">
      <c r="A275" s="39"/>
      <c r="B275" s="25"/>
      <c r="C275" s="45"/>
      <c r="D275" s="46">
        <v>326.42</v>
      </c>
      <c r="E275" s="60"/>
      <c r="F275" s="60"/>
      <c r="G275" s="61"/>
      <c r="H275" s="60"/>
      <c r="I275" s="60"/>
      <c r="J275" s="62"/>
      <c r="K275" s="61"/>
      <c r="L275" s="60">
        <v>25</v>
      </c>
      <c r="M275" s="64">
        <f>10^(-3.05)</f>
        <v>8.9125093813374539E-4</v>
      </c>
      <c r="N275" s="64">
        <f>$N$1*M275</f>
        <v>6.6849317045124939E-6</v>
      </c>
      <c r="O275" s="60">
        <v>56</v>
      </c>
      <c r="P275" s="60">
        <f>$K273</f>
        <v>109</v>
      </c>
      <c r="Q275" s="73">
        <f>N275*EXP(-O275*((P275+273.15)/298.15-1)/$Q$1)</f>
        <v>1.0022857369798613E-6</v>
      </c>
      <c r="R275" s="67" t="s">
        <v>3012</v>
      </c>
      <c r="S275" s="63"/>
      <c r="T275" s="64"/>
      <c r="U275" s="62"/>
      <c r="V275" s="64">
        <f>$D275*0.0000888</f>
        <v>2.8986096000000003E-2</v>
      </c>
      <c r="W275" s="60">
        <v>56</v>
      </c>
      <c r="X275" s="60">
        <f>$K273</f>
        <v>109</v>
      </c>
      <c r="Y275" s="73">
        <f>V275*EXP(-$W275*(($X275+$W$1)/298.15-1)/$Y$1)</f>
        <v>4.3459457591642952E-3</v>
      </c>
      <c r="Z275" s="67" t="s">
        <v>3012</v>
      </c>
      <c r="AA275" s="63"/>
    </row>
    <row r="276" spans="1:27" x14ac:dyDescent="0.3">
      <c r="A276" s="39"/>
      <c r="B276" s="25"/>
      <c r="C276" s="45"/>
      <c r="D276" s="46">
        <v>326.42</v>
      </c>
      <c r="E276" s="60"/>
      <c r="F276" s="60"/>
      <c r="G276" s="61"/>
      <c r="H276" s="60"/>
      <c r="I276" s="60"/>
      <c r="J276" s="62"/>
      <c r="K276" s="61"/>
      <c r="L276" s="60">
        <v>25</v>
      </c>
      <c r="M276" s="64">
        <f>10^(-4853/298.15+13.23)</f>
        <v>8.9734251068398422E-4</v>
      </c>
      <c r="N276" s="64">
        <f>$N$1*M276</f>
        <v>6.7306222555448441E-6</v>
      </c>
      <c r="O276" s="60">
        <v>56</v>
      </c>
      <c r="P276" s="60">
        <f>$K273</f>
        <v>109</v>
      </c>
      <c r="Q276" s="64">
        <f>N276*EXP(-O276*((P276+273.15)/298.15-1)/$Q$1)</f>
        <v>1.0091362164819275E-6</v>
      </c>
      <c r="R276" s="67" t="s">
        <v>3016</v>
      </c>
      <c r="S276" s="63"/>
      <c r="T276" s="64">
        <v>-7.39</v>
      </c>
      <c r="U276" s="62" t="s">
        <v>3030</v>
      </c>
      <c r="V276" s="64"/>
      <c r="W276" s="60"/>
      <c r="X276" s="60"/>
      <c r="Y276" s="64">
        <f>1000*$D276*10^T276</f>
        <v>1.3297707028081841E-2</v>
      </c>
      <c r="Z276" s="62" t="s">
        <v>3008</v>
      </c>
      <c r="AA276" s="63"/>
    </row>
    <row r="277" spans="1:27" x14ac:dyDescent="0.3">
      <c r="A277" s="79" t="s">
        <v>2435</v>
      </c>
      <c r="B277" s="80" t="s">
        <v>238</v>
      </c>
      <c r="C277" s="81" t="s">
        <v>239</v>
      </c>
      <c r="D277" s="82">
        <v>326.42</v>
      </c>
      <c r="E277" s="83"/>
      <c r="F277" s="83"/>
      <c r="G277" s="85"/>
      <c r="H277" s="83"/>
      <c r="I277" s="83"/>
      <c r="J277" s="83"/>
      <c r="K277" s="85"/>
      <c r="L277" s="83"/>
      <c r="M277" s="83"/>
      <c r="N277" s="83"/>
      <c r="O277" s="83"/>
      <c r="P277" s="83"/>
      <c r="Q277" s="83"/>
      <c r="R277" s="83"/>
      <c r="S277" s="86"/>
      <c r="T277" s="83"/>
      <c r="U277" s="83"/>
      <c r="V277" s="83"/>
      <c r="W277" s="83"/>
      <c r="X277" s="83"/>
      <c r="Y277" s="87">
        <v>4.0200000000000001E-3</v>
      </c>
      <c r="Z277" s="84" t="s">
        <v>2310</v>
      </c>
      <c r="AA277" s="86"/>
    </row>
    <row r="278" spans="1:27" x14ac:dyDescent="0.3">
      <c r="A278" s="39"/>
      <c r="B278" s="25"/>
      <c r="C278" s="45"/>
      <c r="D278" s="46">
        <v>326.42</v>
      </c>
      <c r="E278" s="60"/>
      <c r="F278" s="60"/>
      <c r="G278" s="61"/>
      <c r="H278" s="60"/>
      <c r="I278" s="60"/>
      <c r="J278" s="60"/>
      <c r="K278" s="61"/>
      <c r="L278" s="60"/>
      <c r="M278" s="60"/>
      <c r="N278" s="60"/>
      <c r="O278" s="60"/>
      <c r="P278" s="60"/>
      <c r="Q278" s="60"/>
      <c r="R278" s="60"/>
      <c r="S278" s="63"/>
      <c r="T278" s="60"/>
      <c r="U278" s="60"/>
      <c r="V278" s="60"/>
      <c r="W278" s="60"/>
      <c r="X278" s="60"/>
      <c r="Y278" s="64">
        <v>4.0159999999999996E-3</v>
      </c>
      <c r="Z278" s="67" t="s">
        <v>3005</v>
      </c>
      <c r="AA278" s="63"/>
    </row>
    <row r="279" spans="1:27" x14ac:dyDescent="0.3">
      <c r="A279" s="79" t="s">
        <v>2436</v>
      </c>
      <c r="B279" s="80" t="s">
        <v>240</v>
      </c>
      <c r="C279" s="81" t="s">
        <v>241</v>
      </c>
      <c r="D279" s="82">
        <v>326.42</v>
      </c>
      <c r="E279" s="83"/>
      <c r="F279" s="83"/>
      <c r="G279" s="85"/>
      <c r="H279" s="83"/>
      <c r="I279" s="83"/>
      <c r="J279" s="83"/>
      <c r="K279" s="85"/>
      <c r="L279" s="83"/>
      <c r="M279" s="83"/>
      <c r="N279" s="83"/>
      <c r="O279" s="83"/>
      <c r="P279" s="83"/>
      <c r="Q279" s="83"/>
      <c r="R279" s="83"/>
      <c r="S279" s="86"/>
      <c r="T279" s="83"/>
      <c r="U279" s="83"/>
      <c r="V279" s="83"/>
      <c r="W279" s="83"/>
      <c r="X279" s="83"/>
      <c r="Y279" s="87">
        <v>1.11E-2</v>
      </c>
      <c r="Z279" s="84" t="s">
        <v>2310</v>
      </c>
      <c r="AA279" s="86"/>
    </row>
    <row r="280" spans="1:27" x14ac:dyDescent="0.3">
      <c r="A280" s="39"/>
      <c r="B280" s="25"/>
      <c r="C280" s="45"/>
      <c r="D280" s="46">
        <v>326.42</v>
      </c>
      <c r="E280" s="60"/>
      <c r="F280" s="60"/>
      <c r="G280" s="61"/>
      <c r="H280" s="60"/>
      <c r="I280" s="60"/>
      <c r="J280" s="60"/>
      <c r="K280" s="61"/>
      <c r="L280" s="60"/>
      <c r="M280" s="60"/>
      <c r="N280" s="60"/>
      <c r="O280" s="60"/>
      <c r="P280" s="60"/>
      <c r="Q280" s="60"/>
      <c r="R280" s="60"/>
      <c r="S280" s="63"/>
      <c r="T280" s="60"/>
      <c r="U280" s="60"/>
      <c r="V280" s="60"/>
      <c r="W280" s="60"/>
      <c r="X280" s="60"/>
      <c r="Y280" s="64">
        <v>1.106E-2</v>
      </c>
      <c r="Z280" s="67" t="s">
        <v>3005</v>
      </c>
      <c r="AA280" s="63"/>
    </row>
    <row r="281" spans="1:27" x14ac:dyDescent="0.3">
      <c r="A281" s="79" t="s">
        <v>2437</v>
      </c>
      <c r="B281" s="80" t="s">
        <v>242</v>
      </c>
      <c r="C281" s="81" t="s">
        <v>243</v>
      </c>
      <c r="D281" s="82">
        <v>326.42</v>
      </c>
      <c r="E281" s="83"/>
      <c r="F281" s="83"/>
      <c r="G281" s="85"/>
      <c r="H281" s="83"/>
      <c r="I281" s="83"/>
      <c r="J281" s="83"/>
      <c r="K281" s="85"/>
      <c r="L281" s="83"/>
      <c r="M281" s="83"/>
      <c r="N281" s="83"/>
      <c r="O281" s="83"/>
      <c r="P281" s="83"/>
      <c r="Q281" s="83"/>
      <c r="R281" s="83"/>
      <c r="S281" s="86"/>
      <c r="T281" s="83"/>
      <c r="U281" s="83"/>
      <c r="V281" s="83"/>
      <c r="W281" s="83"/>
      <c r="X281" s="83"/>
      <c r="Y281" s="87">
        <v>3.9300000000000003E-3</v>
      </c>
      <c r="Z281" s="84" t="s">
        <v>2310</v>
      </c>
      <c r="AA281" s="86"/>
    </row>
    <row r="282" spans="1:27" x14ac:dyDescent="0.3">
      <c r="A282" s="39"/>
      <c r="B282" s="25"/>
      <c r="C282" s="45"/>
      <c r="D282" s="46">
        <v>326.42</v>
      </c>
      <c r="E282" s="60"/>
      <c r="F282" s="60"/>
      <c r="G282" s="61"/>
      <c r="H282" s="60"/>
      <c r="I282" s="60"/>
      <c r="J282" s="60"/>
      <c r="K282" s="61"/>
      <c r="L282" s="60"/>
      <c r="M282" s="60"/>
      <c r="N282" s="60"/>
      <c r="O282" s="60"/>
      <c r="P282" s="60"/>
      <c r="Q282" s="60"/>
      <c r="R282" s="60"/>
      <c r="S282" s="63"/>
      <c r="T282" s="60"/>
      <c r="U282" s="60"/>
      <c r="V282" s="60"/>
      <c r="W282" s="60"/>
      <c r="X282" s="60"/>
      <c r="Y282" s="64">
        <v>3.9249999999999997E-3</v>
      </c>
      <c r="Z282" s="67" t="s">
        <v>3005</v>
      </c>
      <c r="AA282" s="63"/>
    </row>
    <row r="283" spans="1:27" x14ac:dyDescent="0.3">
      <c r="A283" s="79" t="s">
        <v>2438</v>
      </c>
      <c r="B283" s="80" t="s">
        <v>244</v>
      </c>
      <c r="C283" s="81" t="s">
        <v>245</v>
      </c>
      <c r="D283" s="82">
        <v>326.42</v>
      </c>
      <c r="E283" s="83"/>
      <c r="F283" s="83"/>
      <c r="G283" s="85"/>
      <c r="H283" s="83"/>
      <c r="I283" s="83"/>
      <c r="J283" s="83"/>
      <c r="K283" s="85"/>
      <c r="L283" s="83"/>
      <c r="M283" s="83"/>
      <c r="N283" s="83"/>
      <c r="O283" s="83"/>
      <c r="P283" s="83"/>
      <c r="Q283" s="83"/>
      <c r="R283" s="83"/>
      <c r="S283" s="86"/>
      <c r="T283" s="83"/>
      <c r="U283" s="83"/>
      <c r="V283" s="83"/>
      <c r="W283" s="83"/>
      <c r="X283" s="83"/>
      <c r="Y283" s="87">
        <v>1.2800000000000001E-2</v>
      </c>
      <c r="Z283" s="84" t="s">
        <v>2310</v>
      </c>
      <c r="AA283" s="86"/>
    </row>
    <row r="284" spans="1:27" x14ac:dyDescent="0.3">
      <c r="A284" s="39"/>
      <c r="B284" s="25"/>
      <c r="C284" s="45"/>
      <c r="D284" s="46">
        <v>326.42</v>
      </c>
      <c r="E284" s="60"/>
      <c r="F284" s="60"/>
      <c r="G284" s="61"/>
      <c r="H284" s="60"/>
      <c r="I284" s="60"/>
      <c r="J284" s="60"/>
      <c r="K284" s="61"/>
      <c r="L284" s="60"/>
      <c r="M284" s="60"/>
      <c r="N284" s="60"/>
      <c r="O284" s="60"/>
      <c r="P284" s="60"/>
      <c r="Q284" s="60"/>
      <c r="R284" s="60"/>
      <c r="S284" s="63"/>
      <c r="T284" s="60"/>
      <c r="U284" s="60"/>
      <c r="V284" s="60"/>
      <c r="W284" s="60"/>
      <c r="X284" s="60"/>
      <c r="Y284" s="64">
        <v>1.2840000000000001E-2</v>
      </c>
      <c r="Z284" s="67" t="s">
        <v>3005</v>
      </c>
      <c r="AA284" s="63"/>
    </row>
    <row r="285" spans="1:27" x14ac:dyDescent="0.3">
      <c r="A285" s="130" t="s">
        <v>2439</v>
      </c>
      <c r="B285" s="131" t="s">
        <v>246</v>
      </c>
      <c r="C285" s="132" t="s">
        <v>247</v>
      </c>
      <c r="D285" s="133">
        <v>326.42</v>
      </c>
      <c r="E285" s="134"/>
      <c r="F285" s="134"/>
      <c r="G285" s="135"/>
      <c r="H285" s="134"/>
      <c r="I285" s="134"/>
      <c r="J285" s="134"/>
      <c r="K285" s="135"/>
      <c r="L285" s="134"/>
      <c r="M285" s="134"/>
      <c r="N285" s="134"/>
      <c r="O285" s="134"/>
      <c r="P285" s="134"/>
      <c r="Q285" s="134"/>
      <c r="R285" s="134"/>
      <c r="S285" s="136"/>
      <c r="T285" s="134"/>
      <c r="U285" s="134"/>
      <c r="V285" s="134"/>
      <c r="W285" s="134"/>
      <c r="X285" s="134"/>
      <c r="Y285" s="137"/>
      <c r="Z285" s="134"/>
      <c r="AA285" s="136"/>
    </row>
    <row r="286" spans="1:27" x14ac:dyDescent="0.3">
      <c r="A286" s="79" t="s">
        <v>2440</v>
      </c>
      <c r="B286" s="80" t="s">
        <v>248</v>
      </c>
      <c r="C286" s="81" t="s">
        <v>249</v>
      </c>
      <c r="D286" s="82">
        <v>326.42</v>
      </c>
      <c r="E286" s="83"/>
      <c r="F286" s="83"/>
      <c r="G286" s="85"/>
      <c r="H286" s="83"/>
      <c r="I286" s="83">
        <v>105</v>
      </c>
      <c r="J286" s="84" t="s">
        <v>2309</v>
      </c>
      <c r="K286" s="85"/>
      <c r="L286" s="83"/>
      <c r="M286" s="83"/>
      <c r="N286" s="83"/>
      <c r="O286" s="83"/>
      <c r="P286" s="83"/>
      <c r="Q286" s="83"/>
      <c r="R286" s="83"/>
      <c r="S286" s="86"/>
      <c r="T286" s="83"/>
      <c r="U286" s="83"/>
      <c r="V286" s="83"/>
      <c r="W286" s="83"/>
      <c r="X286" s="83"/>
      <c r="Y286" s="87">
        <v>1.5800000000000002E-2</v>
      </c>
      <c r="Z286" s="84" t="s">
        <v>2310</v>
      </c>
      <c r="AA286" s="86"/>
    </row>
    <row r="287" spans="1:27" x14ac:dyDescent="0.3">
      <c r="A287" s="39"/>
      <c r="B287" s="25"/>
      <c r="C287" s="45"/>
      <c r="D287" s="46">
        <v>326.42</v>
      </c>
      <c r="E287" s="60"/>
      <c r="F287" s="60"/>
      <c r="G287" s="61"/>
      <c r="H287" s="60"/>
      <c r="I287" s="60">
        <v>105</v>
      </c>
      <c r="J287" s="67" t="s">
        <v>3005</v>
      </c>
      <c r="K287" s="61"/>
      <c r="L287" s="60"/>
      <c r="M287" s="60"/>
      <c r="N287" s="60"/>
      <c r="O287" s="60"/>
      <c r="P287" s="60"/>
      <c r="Q287" s="60"/>
      <c r="R287" s="60"/>
      <c r="S287" s="63"/>
      <c r="T287" s="60"/>
      <c r="U287" s="60"/>
      <c r="V287" s="60"/>
      <c r="W287" s="60"/>
      <c r="X287" s="60"/>
      <c r="Y287" s="64">
        <v>1.5810000000000001E-2</v>
      </c>
      <c r="Z287" s="67" t="s">
        <v>3005</v>
      </c>
      <c r="AA287" s="63"/>
    </row>
    <row r="288" spans="1:27" x14ac:dyDescent="0.3">
      <c r="A288" s="130" t="s">
        <v>2441</v>
      </c>
      <c r="B288" s="131" t="s">
        <v>250</v>
      </c>
      <c r="C288" s="132" t="s">
        <v>251</v>
      </c>
      <c r="D288" s="133">
        <v>326.42</v>
      </c>
      <c r="E288" s="134"/>
      <c r="F288" s="134"/>
      <c r="G288" s="135"/>
      <c r="H288" s="134"/>
      <c r="I288" s="134"/>
      <c r="J288" s="134"/>
      <c r="K288" s="135"/>
      <c r="L288" s="134"/>
      <c r="M288" s="134"/>
      <c r="N288" s="134"/>
      <c r="O288" s="134"/>
      <c r="P288" s="134"/>
      <c r="Q288" s="134"/>
      <c r="R288" s="134"/>
      <c r="S288" s="136"/>
      <c r="T288" s="134"/>
      <c r="U288" s="134"/>
      <c r="V288" s="134"/>
      <c r="W288" s="134"/>
      <c r="X288" s="134"/>
      <c r="Y288" s="137"/>
      <c r="Z288" s="134"/>
      <c r="AA288" s="136"/>
    </row>
    <row r="289" spans="1:27" x14ac:dyDescent="0.3">
      <c r="A289" s="130" t="s">
        <v>2442</v>
      </c>
      <c r="B289" s="131" t="s">
        <v>252</v>
      </c>
      <c r="C289" s="132" t="s">
        <v>253</v>
      </c>
      <c r="D289" s="133">
        <v>326.42</v>
      </c>
      <c r="E289" s="150">
        <v>7.13</v>
      </c>
      <c r="F289" s="139" t="s">
        <v>2884</v>
      </c>
      <c r="G289" s="135">
        <f>E289</f>
        <v>7.13</v>
      </c>
      <c r="H289" s="134"/>
      <c r="I289" s="134"/>
      <c r="J289" s="134"/>
      <c r="K289" s="135"/>
      <c r="L289" s="134"/>
      <c r="M289" s="134"/>
      <c r="N289" s="134"/>
      <c r="O289" s="134"/>
      <c r="P289" s="134"/>
      <c r="Q289" s="134"/>
      <c r="R289" s="134"/>
      <c r="S289" s="136"/>
      <c r="T289" s="134"/>
      <c r="U289" s="134"/>
      <c r="V289" s="134"/>
      <c r="W289" s="134"/>
      <c r="X289" s="134"/>
      <c r="Y289" s="137"/>
      <c r="Z289" s="134"/>
      <c r="AA289" s="136"/>
    </row>
    <row r="290" spans="1:27" x14ac:dyDescent="0.3">
      <c r="A290" s="130" t="s">
        <v>2443</v>
      </c>
      <c r="B290" s="131" t="s">
        <v>254</v>
      </c>
      <c r="C290" s="132" t="s">
        <v>255</v>
      </c>
      <c r="D290" s="133">
        <v>326.42</v>
      </c>
      <c r="E290" s="134"/>
      <c r="F290" s="134"/>
      <c r="G290" s="135"/>
      <c r="H290" s="134"/>
      <c r="I290" s="134"/>
      <c r="J290" s="134"/>
      <c r="K290" s="135"/>
      <c r="L290" s="134"/>
      <c r="M290" s="134"/>
      <c r="N290" s="134"/>
      <c r="O290" s="134"/>
      <c r="P290" s="134"/>
      <c r="Q290" s="134"/>
      <c r="R290" s="134"/>
      <c r="S290" s="136"/>
      <c r="T290" s="134"/>
      <c r="U290" s="134"/>
      <c r="V290" s="134"/>
      <c r="W290" s="134"/>
      <c r="X290" s="134"/>
      <c r="Y290" s="137"/>
      <c r="Z290" s="134"/>
      <c r="AA290" s="136"/>
    </row>
    <row r="291" spans="1:27" x14ac:dyDescent="0.3">
      <c r="A291" s="79" t="s">
        <v>2444</v>
      </c>
      <c r="B291" s="80" t="s">
        <v>256</v>
      </c>
      <c r="C291" s="81" t="s">
        <v>257</v>
      </c>
      <c r="D291" s="82">
        <v>360.86</v>
      </c>
      <c r="E291" s="83">
        <v>7.31</v>
      </c>
      <c r="F291" s="84" t="s">
        <v>2309</v>
      </c>
      <c r="G291" s="85">
        <f>E295</f>
        <v>7.2805</v>
      </c>
      <c r="H291" s="83"/>
      <c r="I291" s="83">
        <v>151.69999999999999</v>
      </c>
      <c r="J291" s="88" t="s">
        <v>2914</v>
      </c>
      <c r="K291" s="85">
        <f>I292</f>
        <v>151.75</v>
      </c>
      <c r="L291" s="83">
        <v>25</v>
      </c>
      <c r="M291" s="83"/>
      <c r="N291" s="83"/>
      <c r="O291" s="83"/>
      <c r="P291" s="83"/>
      <c r="Q291" s="92">
        <v>2.5600000000000001E-6</v>
      </c>
      <c r="R291" s="84" t="s">
        <v>2310</v>
      </c>
      <c r="S291" s="86"/>
      <c r="T291" s="87"/>
      <c r="U291" s="88"/>
      <c r="V291" s="83"/>
      <c r="W291" s="83"/>
      <c r="X291" s="83"/>
      <c r="Y291" s="87">
        <v>3.5E-4</v>
      </c>
      <c r="Z291" s="84" t="s">
        <v>2310</v>
      </c>
      <c r="AA291" s="86"/>
    </row>
    <row r="292" spans="1:27" x14ac:dyDescent="0.3">
      <c r="A292" s="39"/>
      <c r="B292" s="25"/>
      <c r="C292" s="45"/>
      <c r="D292" s="46">
        <v>360.86</v>
      </c>
      <c r="E292" s="60">
        <v>7.31</v>
      </c>
      <c r="F292" s="67" t="s">
        <v>3005</v>
      </c>
      <c r="G292" s="61"/>
      <c r="H292" s="60">
        <v>424.9</v>
      </c>
      <c r="I292" s="68">
        <f>H292-$H$1</f>
        <v>151.75</v>
      </c>
      <c r="J292" s="62" t="s">
        <v>2314</v>
      </c>
      <c r="K292" s="61"/>
      <c r="L292" s="60">
        <v>25</v>
      </c>
      <c r="M292" s="60"/>
      <c r="N292" s="60"/>
      <c r="O292" s="60"/>
      <c r="P292" s="60"/>
      <c r="Q292" s="65">
        <v>2.5600000000000001E-6</v>
      </c>
      <c r="R292" s="67" t="s">
        <v>3005</v>
      </c>
      <c r="S292" s="63"/>
      <c r="T292" s="64"/>
      <c r="U292" s="62"/>
      <c r="V292" s="60"/>
      <c r="W292" s="60"/>
      <c r="X292" s="60"/>
      <c r="Y292" s="64">
        <v>3.5E-4</v>
      </c>
      <c r="Z292" s="67" t="s">
        <v>3005</v>
      </c>
      <c r="AA292" s="63"/>
    </row>
    <row r="293" spans="1:27" x14ac:dyDescent="0.3">
      <c r="A293" s="39"/>
      <c r="B293" s="25"/>
      <c r="C293" s="45"/>
      <c r="D293" s="46">
        <v>360.86</v>
      </c>
      <c r="E293" s="60">
        <v>7.3209999999999997</v>
      </c>
      <c r="F293" s="67" t="s">
        <v>2969</v>
      </c>
      <c r="G293" s="61"/>
      <c r="H293" s="60"/>
      <c r="I293" s="60"/>
      <c r="J293" s="62"/>
      <c r="K293" s="61"/>
      <c r="L293" s="60"/>
      <c r="M293" s="60"/>
      <c r="N293" s="60"/>
      <c r="O293" s="60"/>
      <c r="P293" s="60"/>
      <c r="Q293" s="60"/>
      <c r="R293" s="60"/>
      <c r="S293" s="63"/>
      <c r="T293" s="64">
        <v>-9.01</v>
      </c>
      <c r="U293" s="62" t="s">
        <v>3030</v>
      </c>
      <c r="V293" s="60"/>
      <c r="W293" s="60"/>
      <c r="X293" s="60"/>
      <c r="Y293" s="64">
        <f>1000*$D293*10^T293</f>
        <v>3.5264582355411288E-4</v>
      </c>
      <c r="Z293" s="62" t="s">
        <v>3008</v>
      </c>
      <c r="AA293" s="63"/>
    </row>
    <row r="294" spans="1:27" x14ac:dyDescent="0.3">
      <c r="A294" s="39"/>
      <c r="B294" s="25"/>
      <c r="C294" s="45"/>
      <c r="D294" s="46">
        <v>360.86</v>
      </c>
      <c r="E294" s="60">
        <v>7.24</v>
      </c>
      <c r="F294" s="67" t="s">
        <v>2884</v>
      </c>
      <c r="G294" s="61"/>
      <c r="H294" s="60"/>
      <c r="I294" s="60"/>
      <c r="J294" s="62"/>
      <c r="K294" s="61"/>
      <c r="L294" s="60"/>
      <c r="M294" s="60"/>
      <c r="N294" s="60"/>
      <c r="O294" s="60"/>
      <c r="P294" s="60"/>
      <c r="Q294" s="60"/>
      <c r="R294" s="60"/>
      <c r="S294" s="63"/>
      <c r="T294" s="64"/>
      <c r="U294" s="62"/>
      <c r="V294" s="60"/>
      <c r="W294" s="60"/>
      <c r="X294" s="60"/>
      <c r="Y294" s="65"/>
      <c r="Z294" s="60"/>
      <c r="AA294" s="63"/>
    </row>
    <row r="295" spans="1:27" ht="24" x14ac:dyDescent="0.3">
      <c r="A295" s="39"/>
      <c r="B295" s="25"/>
      <c r="C295" s="45"/>
      <c r="D295" s="46">
        <v>360.86</v>
      </c>
      <c r="E295" s="68">
        <f>AVERAGE(E293:E294)</f>
        <v>7.2805</v>
      </c>
      <c r="F295" s="70" t="s">
        <v>2883</v>
      </c>
      <c r="G295" s="61"/>
      <c r="H295" s="60"/>
      <c r="I295" s="60"/>
      <c r="J295" s="62"/>
      <c r="K295" s="61"/>
      <c r="L295" s="60"/>
      <c r="M295" s="60"/>
      <c r="N295" s="60"/>
      <c r="O295" s="60"/>
      <c r="P295" s="60"/>
      <c r="Q295" s="60"/>
      <c r="R295" s="60"/>
      <c r="S295" s="63"/>
      <c r="T295" s="64"/>
      <c r="U295" s="62"/>
      <c r="V295" s="60"/>
      <c r="W295" s="60"/>
      <c r="X295" s="60"/>
      <c r="Y295" s="65"/>
      <c r="Z295" s="60"/>
      <c r="AA295" s="63"/>
    </row>
    <row r="296" spans="1:27" x14ac:dyDescent="0.3">
      <c r="A296" s="79" t="s">
        <v>2445</v>
      </c>
      <c r="B296" s="80" t="s">
        <v>258</v>
      </c>
      <c r="C296" s="81" t="s">
        <v>259</v>
      </c>
      <c r="D296" s="82">
        <v>360.86</v>
      </c>
      <c r="E296" s="83">
        <v>7.32</v>
      </c>
      <c r="F296" s="84" t="s">
        <v>2309</v>
      </c>
      <c r="G296" s="85"/>
      <c r="H296" s="83"/>
      <c r="I296" s="126">
        <v>85</v>
      </c>
      <c r="J296" s="88" t="s">
        <v>2914</v>
      </c>
      <c r="K296" s="85">
        <f>I296</f>
        <v>85</v>
      </c>
      <c r="L296" s="83"/>
      <c r="M296" s="83"/>
      <c r="N296" s="83"/>
      <c r="O296" s="83"/>
      <c r="P296" s="83"/>
      <c r="Q296" s="83"/>
      <c r="R296" s="83"/>
      <c r="S296" s="86"/>
      <c r="T296" s="87"/>
      <c r="U296" s="88"/>
      <c r="V296" s="83"/>
      <c r="W296" s="83"/>
      <c r="X296" s="83"/>
      <c r="Y296" s="87">
        <v>1.3699999999999999E-3</v>
      </c>
      <c r="Z296" s="84" t="s">
        <v>2310</v>
      </c>
      <c r="AA296" s="86"/>
    </row>
    <row r="297" spans="1:27" x14ac:dyDescent="0.3">
      <c r="A297" s="39"/>
      <c r="B297" s="25"/>
      <c r="C297" s="45"/>
      <c r="D297" s="46">
        <v>360.86</v>
      </c>
      <c r="E297" s="60">
        <v>7.32</v>
      </c>
      <c r="F297" s="67" t="s">
        <v>3005</v>
      </c>
      <c r="G297" s="61"/>
      <c r="H297" s="60"/>
      <c r="I297" s="60"/>
      <c r="J297" s="62"/>
      <c r="K297" s="61"/>
      <c r="L297" s="60"/>
      <c r="M297" s="60"/>
      <c r="N297" s="60"/>
      <c r="O297" s="60"/>
      <c r="P297" s="60"/>
      <c r="Q297" s="60"/>
      <c r="R297" s="60"/>
      <c r="S297" s="63"/>
      <c r="T297" s="64"/>
      <c r="U297" s="62"/>
      <c r="V297" s="60"/>
      <c r="W297" s="60"/>
      <c r="X297" s="60"/>
      <c r="Y297" s="64">
        <v>1.3699999999999999E-3</v>
      </c>
      <c r="Z297" s="67" t="s">
        <v>3005</v>
      </c>
      <c r="AA297" s="63"/>
    </row>
    <row r="298" spans="1:27" x14ac:dyDescent="0.3">
      <c r="A298" s="39"/>
      <c r="B298" s="25"/>
      <c r="C298" s="45"/>
      <c r="D298" s="46">
        <v>360.86</v>
      </c>
      <c r="E298" s="60"/>
      <c r="F298" s="67"/>
      <c r="G298" s="61"/>
      <c r="H298" s="60"/>
      <c r="I298" s="60"/>
      <c r="J298" s="62"/>
      <c r="K298" s="61"/>
      <c r="L298" s="60"/>
      <c r="M298" s="60"/>
      <c r="N298" s="60"/>
      <c r="O298" s="60"/>
      <c r="P298" s="60"/>
      <c r="Q298" s="60"/>
      <c r="R298" s="60"/>
      <c r="S298" s="63"/>
      <c r="T298" s="64">
        <v>-8.7799999999999994</v>
      </c>
      <c r="U298" s="62" t="s">
        <v>3030</v>
      </c>
      <c r="V298" s="60"/>
      <c r="W298" s="60"/>
      <c r="X298" s="60"/>
      <c r="Y298" s="64">
        <f>1000*$D298*10^T298</f>
        <v>5.9887853141791733E-4</v>
      </c>
      <c r="Z298" s="62" t="s">
        <v>3008</v>
      </c>
      <c r="AA298" s="63"/>
    </row>
    <row r="299" spans="1:27" x14ac:dyDescent="0.3">
      <c r="A299" s="79" t="s">
        <v>2446</v>
      </c>
      <c r="B299" s="80" t="s">
        <v>260</v>
      </c>
      <c r="C299" s="81" t="s">
        <v>261</v>
      </c>
      <c r="D299" s="82">
        <v>360.86</v>
      </c>
      <c r="E299" s="83">
        <v>7.39</v>
      </c>
      <c r="F299" s="84" t="s">
        <v>2309</v>
      </c>
      <c r="G299" s="85"/>
      <c r="H299" s="83"/>
      <c r="I299" s="83"/>
      <c r="J299" s="83"/>
      <c r="K299" s="85"/>
      <c r="L299" s="83"/>
      <c r="M299" s="83"/>
      <c r="N299" s="83"/>
      <c r="O299" s="83"/>
      <c r="P299" s="83"/>
      <c r="Q299" s="83"/>
      <c r="R299" s="83"/>
      <c r="S299" s="86"/>
      <c r="T299" s="83"/>
      <c r="U299" s="83"/>
      <c r="V299" s="83"/>
      <c r="W299" s="83"/>
      <c r="X299" s="83"/>
      <c r="Y299" s="92"/>
      <c r="Z299" s="83"/>
      <c r="AA299" s="86"/>
    </row>
    <row r="300" spans="1:27" x14ac:dyDescent="0.3">
      <c r="A300" s="39"/>
      <c r="B300" s="25"/>
      <c r="C300" s="45"/>
      <c r="D300" s="46">
        <v>360.86</v>
      </c>
      <c r="E300" s="60">
        <v>7.39</v>
      </c>
      <c r="F300" s="67" t="s">
        <v>3005</v>
      </c>
      <c r="G300" s="61"/>
      <c r="H300" s="60"/>
      <c r="I300" s="60"/>
      <c r="J300" s="60"/>
      <c r="K300" s="61"/>
      <c r="L300" s="60"/>
      <c r="M300" s="60"/>
      <c r="N300" s="60"/>
      <c r="O300" s="60"/>
      <c r="P300" s="60"/>
      <c r="Q300" s="60"/>
      <c r="R300" s="60"/>
      <c r="S300" s="63"/>
      <c r="T300" s="60"/>
      <c r="U300" s="60"/>
      <c r="V300" s="60"/>
      <c r="W300" s="60"/>
      <c r="X300" s="60"/>
      <c r="Y300" s="65"/>
      <c r="Z300" s="60"/>
      <c r="AA300" s="63"/>
    </row>
    <row r="301" spans="1:27" x14ac:dyDescent="0.3">
      <c r="A301" s="79" t="s">
        <v>2447</v>
      </c>
      <c r="B301" s="80" t="s">
        <v>262</v>
      </c>
      <c r="C301" s="81" t="s">
        <v>263</v>
      </c>
      <c r="D301" s="82">
        <v>360.86</v>
      </c>
      <c r="E301" s="83">
        <v>7.25</v>
      </c>
      <c r="F301" s="84" t="s">
        <v>2309</v>
      </c>
      <c r="G301" s="85"/>
      <c r="H301" s="83"/>
      <c r="I301" s="83"/>
      <c r="J301" s="83"/>
      <c r="K301" s="85"/>
      <c r="L301" s="83"/>
      <c r="M301" s="83"/>
      <c r="N301" s="83"/>
      <c r="O301" s="83"/>
      <c r="P301" s="83"/>
      <c r="Q301" s="83"/>
      <c r="R301" s="83"/>
      <c r="S301" s="86"/>
      <c r="T301" s="83"/>
      <c r="U301" s="83"/>
      <c r="V301" s="83"/>
      <c r="W301" s="83"/>
      <c r="X301" s="83"/>
      <c r="Y301" s="87">
        <v>1.1999999999999999E-3</v>
      </c>
      <c r="Z301" s="84" t="s">
        <v>2310</v>
      </c>
      <c r="AA301" s="86"/>
    </row>
    <row r="302" spans="1:27" x14ac:dyDescent="0.3">
      <c r="A302" s="39"/>
      <c r="B302" s="25"/>
      <c r="C302" s="45"/>
      <c r="D302" s="46">
        <v>360.86</v>
      </c>
      <c r="E302" s="60">
        <v>7.25</v>
      </c>
      <c r="F302" s="67" t="s">
        <v>3005</v>
      </c>
      <c r="G302" s="61"/>
      <c r="H302" s="60"/>
      <c r="I302" s="60"/>
      <c r="J302" s="60"/>
      <c r="K302" s="61"/>
      <c r="L302" s="60"/>
      <c r="M302" s="60"/>
      <c r="N302" s="60"/>
      <c r="O302" s="60"/>
      <c r="P302" s="60"/>
      <c r="Q302" s="60"/>
      <c r="R302" s="60"/>
      <c r="S302" s="63"/>
      <c r="T302" s="60"/>
      <c r="U302" s="60"/>
      <c r="V302" s="60"/>
      <c r="W302" s="60"/>
      <c r="X302" s="60"/>
      <c r="Y302" s="64">
        <v>1.1950000000000001E-3</v>
      </c>
      <c r="Z302" s="67" t="s">
        <v>3005</v>
      </c>
      <c r="AA302" s="63"/>
    </row>
    <row r="303" spans="1:27" x14ac:dyDescent="0.3">
      <c r="A303" s="79" t="s">
        <v>2448</v>
      </c>
      <c r="B303" s="80" t="s">
        <v>264</v>
      </c>
      <c r="C303" s="81" t="s">
        <v>265</v>
      </c>
      <c r="D303" s="82">
        <v>360.86</v>
      </c>
      <c r="E303" s="83">
        <v>7.04</v>
      </c>
      <c r="F303" s="84" t="s">
        <v>2309</v>
      </c>
      <c r="G303" s="85"/>
      <c r="H303" s="83"/>
      <c r="I303" s="83"/>
      <c r="J303" s="83"/>
      <c r="K303" s="85"/>
      <c r="L303" s="83"/>
      <c r="M303" s="83"/>
      <c r="N303" s="83"/>
      <c r="O303" s="83"/>
      <c r="P303" s="83"/>
      <c r="Q303" s="83"/>
      <c r="R303" s="83"/>
      <c r="S303" s="86"/>
      <c r="T303" s="83"/>
      <c r="U303" s="83"/>
      <c r="V303" s="83"/>
      <c r="W303" s="83"/>
      <c r="X303" s="83"/>
      <c r="Y303" s="87">
        <v>8.0800000000000004E-3</v>
      </c>
      <c r="Z303" s="84" t="s">
        <v>2310</v>
      </c>
      <c r="AA303" s="86"/>
    </row>
    <row r="304" spans="1:27" x14ac:dyDescent="0.3">
      <c r="A304" s="39"/>
      <c r="B304" s="25"/>
      <c r="C304" s="45"/>
      <c r="D304" s="46">
        <v>360.86</v>
      </c>
      <c r="E304" s="60">
        <v>7.04</v>
      </c>
      <c r="F304" s="67" t="s">
        <v>3005</v>
      </c>
      <c r="G304" s="61"/>
      <c r="H304" s="60"/>
      <c r="I304" s="60"/>
      <c r="J304" s="60"/>
      <c r="K304" s="61"/>
      <c r="L304" s="60"/>
      <c r="M304" s="60"/>
      <c r="N304" s="60"/>
      <c r="O304" s="60"/>
      <c r="P304" s="60"/>
      <c r="Q304" s="60"/>
      <c r="R304" s="60"/>
      <c r="S304" s="63"/>
      <c r="T304" s="60"/>
      <c r="U304" s="60"/>
      <c r="V304" s="60"/>
      <c r="W304" s="60"/>
      <c r="X304" s="60"/>
      <c r="Y304" s="64">
        <v>8.0789999999999994E-3</v>
      </c>
      <c r="Z304" s="67" t="s">
        <v>3005</v>
      </c>
      <c r="AA304" s="63"/>
    </row>
    <row r="305" spans="1:27" x14ac:dyDescent="0.3">
      <c r="A305" s="79" t="s">
        <v>2449</v>
      </c>
      <c r="B305" s="80" t="s">
        <v>266</v>
      </c>
      <c r="C305" s="81" t="s">
        <v>267</v>
      </c>
      <c r="D305" s="82">
        <v>360.86</v>
      </c>
      <c r="E305" s="83">
        <v>7.07</v>
      </c>
      <c r="F305" s="84" t="s">
        <v>2309</v>
      </c>
      <c r="G305" s="85"/>
      <c r="H305" s="83"/>
      <c r="I305" s="83"/>
      <c r="J305" s="83"/>
      <c r="K305" s="85"/>
      <c r="L305" s="83"/>
      <c r="M305" s="83"/>
      <c r="N305" s="83"/>
      <c r="O305" s="83"/>
      <c r="P305" s="83"/>
      <c r="Q305" s="83"/>
      <c r="R305" s="83"/>
      <c r="S305" s="86"/>
      <c r="T305" s="83"/>
      <c r="U305" s="83"/>
      <c r="V305" s="83"/>
      <c r="W305" s="83"/>
      <c r="X305" s="83"/>
      <c r="Y305" s="92"/>
      <c r="Z305" s="83"/>
      <c r="AA305" s="86"/>
    </row>
    <row r="306" spans="1:27" x14ac:dyDescent="0.3">
      <c r="A306" s="39"/>
      <c r="B306" s="25"/>
      <c r="C306" s="45"/>
      <c r="D306" s="46">
        <v>360.86</v>
      </c>
      <c r="E306" s="60">
        <v>7.07</v>
      </c>
      <c r="F306" s="67" t="s">
        <v>3005</v>
      </c>
      <c r="G306" s="61"/>
      <c r="H306" s="60"/>
      <c r="I306" s="60"/>
      <c r="J306" s="60"/>
      <c r="K306" s="61"/>
      <c r="L306" s="60"/>
      <c r="M306" s="60"/>
      <c r="N306" s="60"/>
      <c r="O306" s="60"/>
      <c r="P306" s="60"/>
      <c r="Q306" s="60"/>
      <c r="R306" s="60"/>
      <c r="S306" s="63"/>
      <c r="T306" s="60"/>
      <c r="U306" s="60"/>
      <c r="V306" s="60"/>
      <c r="W306" s="60"/>
      <c r="X306" s="60"/>
      <c r="Y306" s="65"/>
      <c r="Z306" s="60"/>
      <c r="AA306" s="63"/>
    </row>
    <row r="307" spans="1:27" x14ac:dyDescent="0.3">
      <c r="A307" s="79" t="s">
        <v>2450</v>
      </c>
      <c r="B307" s="80" t="s">
        <v>268</v>
      </c>
      <c r="C307" s="81" t="s">
        <v>269</v>
      </c>
      <c r="D307" s="82">
        <v>360.86</v>
      </c>
      <c r="E307" s="83">
        <v>7.25</v>
      </c>
      <c r="F307" s="84" t="s">
        <v>2309</v>
      </c>
      <c r="G307" s="85"/>
      <c r="H307" s="83"/>
      <c r="I307" s="83">
        <v>100</v>
      </c>
      <c r="J307" s="83" t="s">
        <v>2914</v>
      </c>
      <c r="K307" s="85">
        <f>I307</f>
        <v>100</v>
      </c>
      <c r="L307" s="83">
        <v>25</v>
      </c>
      <c r="M307" s="83"/>
      <c r="N307" s="83"/>
      <c r="O307" s="83"/>
      <c r="P307" s="83"/>
      <c r="Q307" s="83">
        <v>1.1000000000000001E-6</v>
      </c>
      <c r="R307" s="83" t="s">
        <v>2310</v>
      </c>
      <c r="S307" s="86"/>
      <c r="T307" s="83"/>
      <c r="U307" s="83"/>
      <c r="V307" s="83"/>
      <c r="W307" s="83"/>
      <c r="X307" s="83"/>
      <c r="Y307" s="92">
        <v>8.9899999999999995E-4</v>
      </c>
      <c r="Z307" s="83" t="s">
        <v>2310</v>
      </c>
      <c r="AA307" s="86"/>
    </row>
    <row r="308" spans="1:27" x14ac:dyDescent="0.3">
      <c r="A308" s="39"/>
      <c r="B308" s="25"/>
      <c r="C308" s="45"/>
      <c r="D308" s="46">
        <v>360.86</v>
      </c>
      <c r="E308" s="60">
        <v>7.25</v>
      </c>
      <c r="F308" s="67" t="s">
        <v>3005</v>
      </c>
      <c r="G308" s="61"/>
      <c r="H308" s="60"/>
      <c r="I308" s="60"/>
      <c r="J308" s="62"/>
      <c r="K308" s="61"/>
      <c r="L308" s="60">
        <v>25</v>
      </c>
      <c r="M308" s="60"/>
      <c r="N308" s="60"/>
      <c r="O308" s="60"/>
      <c r="P308" s="60"/>
      <c r="Q308" s="78">
        <v>1.0950000000000001E-6</v>
      </c>
      <c r="R308" s="67" t="s">
        <v>3005</v>
      </c>
      <c r="S308" s="63"/>
      <c r="T308" s="64"/>
      <c r="U308" s="62"/>
      <c r="V308" s="60"/>
      <c r="W308" s="60"/>
      <c r="X308" s="60"/>
      <c r="Y308" s="64">
        <v>8.9899999999999995E-4</v>
      </c>
      <c r="Z308" s="67" t="s">
        <v>3005</v>
      </c>
      <c r="AA308" s="63"/>
    </row>
    <row r="309" spans="1:27" x14ac:dyDescent="0.3">
      <c r="A309" s="39"/>
      <c r="B309" s="25"/>
      <c r="C309" s="45"/>
      <c r="D309" s="46">
        <v>360.86</v>
      </c>
      <c r="E309" s="60"/>
      <c r="F309" s="67"/>
      <c r="G309" s="61"/>
      <c r="H309" s="60"/>
      <c r="I309" s="60"/>
      <c r="J309" s="62"/>
      <c r="K309" s="61"/>
      <c r="L309" s="60"/>
      <c r="M309" s="60"/>
      <c r="N309" s="60"/>
      <c r="O309" s="60"/>
      <c r="P309" s="60"/>
      <c r="Q309" s="78"/>
      <c r="R309" s="67"/>
      <c r="S309" s="63"/>
      <c r="T309" s="64">
        <v>-8.6</v>
      </c>
      <c r="U309" s="62" t="s">
        <v>3030</v>
      </c>
      <c r="V309" s="60"/>
      <c r="W309" s="60"/>
      <c r="X309" s="60"/>
      <c r="Y309" s="64">
        <f>1000*$D309*10^T309</f>
        <v>9.0643933767454749E-4</v>
      </c>
      <c r="Z309" s="62" t="s">
        <v>3008</v>
      </c>
      <c r="AA309" s="63"/>
    </row>
    <row r="310" spans="1:27" x14ac:dyDescent="0.3">
      <c r="A310" s="79" t="s">
        <v>2451</v>
      </c>
      <c r="B310" s="80" t="s">
        <v>270</v>
      </c>
      <c r="C310" s="81" t="s">
        <v>271</v>
      </c>
      <c r="D310" s="82">
        <v>360.86</v>
      </c>
      <c r="E310" s="83">
        <v>7.15</v>
      </c>
      <c r="F310" s="84" t="s">
        <v>2309</v>
      </c>
      <c r="G310" s="85"/>
      <c r="H310" s="83"/>
      <c r="I310" s="83"/>
      <c r="J310" s="83"/>
      <c r="K310" s="85"/>
      <c r="L310" s="83"/>
      <c r="M310" s="83"/>
      <c r="N310" s="83"/>
      <c r="O310" s="83"/>
      <c r="P310" s="83"/>
      <c r="Q310" s="83"/>
      <c r="R310" s="83"/>
      <c r="S310" s="86"/>
      <c r="T310" s="83"/>
      <c r="U310" s="83"/>
      <c r="V310" s="83"/>
      <c r="W310" s="83"/>
      <c r="X310" s="83"/>
      <c r="Y310" s="92">
        <v>5.4400000000000004E-3</v>
      </c>
      <c r="Z310" s="83" t="s">
        <v>2310</v>
      </c>
      <c r="AA310" s="86"/>
    </row>
    <row r="311" spans="1:27" x14ac:dyDescent="0.3">
      <c r="A311" s="39"/>
      <c r="B311" s="25"/>
      <c r="C311" s="45"/>
      <c r="D311" s="46">
        <v>360.86</v>
      </c>
      <c r="E311" s="60">
        <v>7.15</v>
      </c>
      <c r="F311" s="67" t="s">
        <v>3005</v>
      </c>
      <c r="G311" s="61"/>
      <c r="H311" s="60"/>
      <c r="I311" s="60"/>
      <c r="J311" s="60"/>
      <c r="K311" s="61"/>
      <c r="L311" s="60"/>
      <c r="M311" s="60"/>
      <c r="N311" s="60"/>
      <c r="O311" s="60"/>
      <c r="P311" s="60"/>
      <c r="Q311" s="60"/>
      <c r="R311" s="60"/>
      <c r="S311" s="63"/>
      <c r="T311" s="60"/>
      <c r="U311" s="60"/>
      <c r="V311" s="60"/>
      <c r="W311" s="60"/>
      <c r="X311" s="60"/>
      <c r="Y311" s="64">
        <v>5.4400000000000004E-3</v>
      </c>
      <c r="Z311" s="67" t="s">
        <v>3005</v>
      </c>
      <c r="AA311" s="63"/>
    </row>
    <row r="312" spans="1:27" x14ac:dyDescent="0.3">
      <c r="A312" s="79" t="s">
        <v>2452</v>
      </c>
      <c r="B312" s="80" t="s">
        <v>272</v>
      </c>
      <c r="C312" s="81" t="s">
        <v>273</v>
      </c>
      <c r="D312" s="82">
        <v>360.86</v>
      </c>
      <c r="E312" s="83">
        <v>7.12</v>
      </c>
      <c r="F312" s="84" t="s">
        <v>2309</v>
      </c>
      <c r="G312" s="85">
        <f>E314</f>
        <v>7.1180000000000003</v>
      </c>
      <c r="H312" s="83">
        <v>385.2</v>
      </c>
      <c r="I312" s="83">
        <f>H312-$H$1</f>
        <v>112.05000000000001</v>
      </c>
      <c r="J312" s="83" t="s">
        <v>2745</v>
      </c>
      <c r="K312" s="85">
        <f>I312</f>
        <v>112.05000000000001</v>
      </c>
      <c r="L312" s="83"/>
      <c r="M312" s="83"/>
      <c r="N312" s="83"/>
      <c r="O312" s="83"/>
      <c r="P312" s="83"/>
      <c r="Q312" s="83"/>
      <c r="R312" s="83"/>
      <c r="S312" s="86"/>
      <c r="T312" s="83"/>
      <c r="U312" s="83"/>
      <c r="V312" s="83"/>
      <c r="W312" s="83"/>
      <c r="X312" s="83"/>
      <c r="Y312" s="92">
        <v>4.5100000000000001E-3</v>
      </c>
      <c r="Z312" s="83" t="s">
        <v>2310</v>
      </c>
      <c r="AA312" s="86"/>
    </row>
    <row r="313" spans="1:27" x14ac:dyDescent="0.3">
      <c r="A313" s="39"/>
      <c r="B313" s="25"/>
      <c r="C313" s="45"/>
      <c r="D313" s="46">
        <v>360.86</v>
      </c>
      <c r="E313" s="60">
        <v>7.12</v>
      </c>
      <c r="F313" s="67" t="s">
        <v>3005</v>
      </c>
      <c r="G313" s="61"/>
      <c r="H313" s="60"/>
      <c r="I313" s="60"/>
      <c r="J313" s="67"/>
      <c r="K313" s="61"/>
      <c r="L313" s="60"/>
      <c r="M313" s="60"/>
      <c r="N313" s="60"/>
      <c r="O313" s="60"/>
      <c r="P313" s="60"/>
      <c r="Q313" s="60"/>
      <c r="R313" s="60"/>
      <c r="S313" s="63"/>
      <c r="T313" s="64"/>
      <c r="U313" s="62"/>
      <c r="V313" s="60"/>
      <c r="W313" s="60"/>
      <c r="X313" s="60"/>
      <c r="Y313" s="64">
        <v>4.5100000000000001E-3</v>
      </c>
      <c r="Z313" s="67" t="s">
        <v>3005</v>
      </c>
      <c r="AA313" s="63"/>
    </row>
    <row r="314" spans="1:27" x14ac:dyDescent="0.3">
      <c r="A314" s="39"/>
      <c r="B314" s="25"/>
      <c r="C314" s="45"/>
      <c r="D314" s="46">
        <v>360.86</v>
      </c>
      <c r="E314" s="68">
        <v>7.1180000000000003</v>
      </c>
      <c r="F314" s="67" t="s">
        <v>2969</v>
      </c>
      <c r="G314" s="61"/>
      <c r="H314" s="60"/>
      <c r="I314" s="60"/>
      <c r="J314" s="67"/>
      <c r="K314" s="61"/>
      <c r="L314" s="60"/>
      <c r="M314" s="60"/>
      <c r="N314" s="60"/>
      <c r="O314" s="60"/>
      <c r="P314" s="60"/>
      <c r="Q314" s="60"/>
      <c r="R314" s="60"/>
      <c r="S314" s="63"/>
      <c r="T314" s="64">
        <v>-8.65</v>
      </c>
      <c r="U314" s="62" t="s">
        <v>3030</v>
      </c>
      <c r="V314" s="60"/>
      <c r="W314" s="60"/>
      <c r="X314" s="60"/>
      <c r="Y314" s="64">
        <f>1000*$D314*10^T314</f>
        <v>8.0786491006376885E-4</v>
      </c>
      <c r="Z314" s="62" t="s">
        <v>3008</v>
      </c>
      <c r="AA314" s="63"/>
    </row>
    <row r="315" spans="1:27" x14ac:dyDescent="0.3">
      <c r="A315" s="79" t="s">
        <v>2453</v>
      </c>
      <c r="B315" s="80" t="s">
        <v>274</v>
      </c>
      <c r="C315" s="81" t="s">
        <v>275</v>
      </c>
      <c r="D315" s="82">
        <v>360.86</v>
      </c>
      <c r="E315" s="83">
        <v>7.44</v>
      </c>
      <c r="F315" s="84" t="s">
        <v>2309</v>
      </c>
      <c r="G315" s="85"/>
      <c r="H315" s="83"/>
      <c r="I315" s="83"/>
      <c r="J315" s="83"/>
      <c r="K315" s="85"/>
      <c r="L315" s="83"/>
      <c r="M315" s="83"/>
      <c r="N315" s="83"/>
      <c r="O315" s="83"/>
      <c r="P315" s="83"/>
      <c r="Q315" s="83"/>
      <c r="R315" s="83"/>
      <c r="S315" s="86"/>
      <c r="T315" s="83"/>
      <c r="U315" s="83"/>
      <c r="V315" s="83"/>
      <c r="W315" s="83"/>
      <c r="X315" s="83"/>
      <c r="Y315" s="92">
        <v>1.09E-3</v>
      </c>
      <c r="Z315" s="83" t="s">
        <v>2310</v>
      </c>
      <c r="AA315" s="86"/>
    </row>
    <row r="316" spans="1:27" x14ac:dyDescent="0.3">
      <c r="A316" s="39"/>
      <c r="B316" s="25"/>
      <c r="C316" s="45"/>
      <c r="D316" s="46">
        <v>360.86</v>
      </c>
      <c r="E316" s="60">
        <v>7.44</v>
      </c>
      <c r="F316" s="67" t="s">
        <v>3005</v>
      </c>
      <c r="G316" s="61"/>
      <c r="H316" s="60"/>
      <c r="I316" s="60"/>
      <c r="J316" s="60"/>
      <c r="K316" s="61"/>
      <c r="L316" s="60"/>
      <c r="M316" s="60"/>
      <c r="N316" s="60"/>
      <c r="O316" s="60"/>
      <c r="P316" s="60"/>
      <c r="Q316" s="60"/>
      <c r="R316" s="60"/>
      <c r="S316" s="63"/>
      <c r="T316" s="60"/>
      <c r="U316" s="60"/>
      <c r="V316" s="60"/>
      <c r="W316" s="60"/>
      <c r="X316" s="60"/>
      <c r="Y316" s="64">
        <v>1.09E-3</v>
      </c>
      <c r="Z316" s="67" t="s">
        <v>3005</v>
      </c>
      <c r="AA316" s="63"/>
    </row>
    <row r="317" spans="1:27" x14ac:dyDescent="0.3">
      <c r="A317" s="79" t="s">
        <v>2454</v>
      </c>
      <c r="B317" s="80" t="s">
        <v>276</v>
      </c>
      <c r="C317" s="81" t="s">
        <v>277</v>
      </c>
      <c r="D317" s="82">
        <v>360.86</v>
      </c>
      <c r="E317" s="83">
        <v>7.44</v>
      </c>
      <c r="F317" s="84" t="s">
        <v>2309</v>
      </c>
      <c r="G317" s="85"/>
      <c r="H317" s="83"/>
      <c r="I317" s="126">
        <v>80.5</v>
      </c>
      <c r="J317" s="88" t="s">
        <v>2914</v>
      </c>
      <c r="K317" s="85">
        <f>I317</f>
        <v>80.5</v>
      </c>
      <c r="L317" s="83">
        <v>25</v>
      </c>
      <c r="M317" s="87"/>
      <c r="N317" s="87"/>
      <c r="O317" s="83"/>
      <c r="P317" s="83"/>
      <c r="Q317" s="92">
        <v>3.8E-6</v>
      </c>
      <c r="R317" s="84" t="s">
        <v>2310</v>
      </c>
      <c r="S317" s="86">
        <f>Q319</f>
        <v>1.1497376355172193E-6</v>
      </c>
      <c r="T317" s="87"/>
      <c r="U317" s="88"/>
      <c r="V317" s="87"/>
      <c r="W317" s="83"/>
      <c r="X317" s="83"/>
      <c r="Y317" s="83">
        <v>1.5E-3</v>
      </c>
      <c r="Z317" s="84" t="s">
        <v>2310</v>
      </c>
      <c r="AA317" s="86">
        <f>Y319</f>
        <v>2.1424162453538868E-3</v>
      </c>
    </row>
    <row r="318" spans="1:27" x14ac:dyDescent="0.3">
      <c r="A318" s="39"/>
      <c r="B318" s="25"/>
      <c r="C318" s="45"/>
      <c r="D318" s="46">
        <v>360.86</v>
      </c>
      <c r="E318" s="60">
        <v>7.44</v>
      </c>
      <c r="F318" s="67" t="s">
        <v>3005</v>
      </c>
      <c r="G318" s="61"/>
      <c r="H318" s="60"/>
      <c r="I318" s="60"/>
      <c r="J318" s="62"/>
      <c r="K318" s="61"/>
      <c r="L318" s="60">
        <v>25</v>
      </c>
      <c r="M318" s="64"/>
      <c r="N318" s="64"/>
      <c r="O318" s="60"/>
      <c r="P318" s="60"/>
      <c r="Q318" s="78">
        <v>3.7950000000000001E-6</v>
      </c>
      <c r="R318" s="67" t="s">
        <v>3005</v>
      </c>
      <c r="S318" s="63"/>
      <c r="T318" s="64"/>
      <c r="U318" s="62"/>
      <c r="V318" s="64"/>
      <c r="W318" s="60"/>
      <c r="X318" s="60"/>
      <c r="Y318" s="60">
        <v>1.5E-3</v>
      </c>
      <c r="Z318" s="67" t="s">
        <v>3005</v>
      </c>
      <c r="AA318" s="63"/>
    </row>
    <row r="319" spans="1:27" x14ac:dyDescent="0.3">
      <c r="A319" s="39"/>
      <c r="B319" s="25"/>
      <c r="C319" s="45"/>
      <c r="D319" s="46">
        <v>360.86</v>
      </c>
      <c r="E319" s="60"/>
      <c r="F319" s="60"/>
      <c r="G319" s="61"/>
      <c r="H319" s="60"/>
      <c r="I319" s="60"/>
      <c r="J319" s="62"/>
      <c r="K319" s="61"/>
      <c r="L319" s="60">
        <v>25</v>
      </c>
      <c r="M319" s="64">
        <f>10^(-3.27)</f>
        <v>5.3703179637025239E-4</v>
      </c>
      <c r="N319" s="64">
        <f>$N$1*M319</f>
        <v>4.0280696808063971E-6</v>
      </c>
      <c r="O319" s="60">
        <v>56</v>
      </c>
      <c r="P319" s="60">
        <f>$K317</f>
        <v>80.5</v>
      </c>
      <c r="Q319" s="73">
        <f>N319*EXP(-O319*((P319+273.15)/298.15-1)/$Q$1)</f>
        <v>1.1497376355172193E-6</v>
      </c>
      <c r="R319" s="67" t="s">
        <v>3012</v>
      </c>
      <c r="S319" s="63"/>
      <c r="T319" s="64"/>
      <c r="U319" s="62"/>
      <c r="V319" s="64">
        <f>$D319*0.0000208</f>
        <v>7.5058880000000005E-3</v>
      </c>
      <c r="W319" s="60">
        <v>56</v>
      </c>
      <c r="X319" s="60">
        <f>$K317</f>
        <v>80.5</v>
      </c>
      <c r="Y319" s="73">
        <f>V319*EXP(-$W319*(($X319+$W$1)/298.15-1)/$Y$1)</f>
        <v>2.1424162453538868E-3</v>
      </c>
      <c r="Z319" s="67" t="s">
        <v>3012</v>
      </c>
      <c r="AA319" s="63"/>
    </row>
    <row r="320" spans="1:27" x14ac:dyDescent="0.3">
      <c r="A320" s="39"/>
      <c r="B320" s="25"/>
      <c r="C320" s="45"/>
      <c r="D320" s="46">
        <v>360.86</v>
      </c>
      <c r="E320" s="60"/>
      <c r="F320" s="60"/>
      <c r="G320" s="61"/>
      <c r="H320" s="60"/>
      <c r="I320" s="60"/>
      <c r="J320" s="62"/>
      <c r="K320" s="61"/>
      <c r="L320" s="60">
        <v>25</v>
      </c>
      <c r="M320" s="64">
        <f>10^(-5034/298.15+13.62)</f>
        <v>5.4435381109079655E-4</v>
      </c>
      <c r="N320" s="64">
        <f>$N$1*M320</f>
        <v>4.0829893069767405E-6</v>
      </c>
      <c r="O320" s="60">
        <v>56</v>
      </c>
      <c r="P320" s="60">
        <f>$K317</f>
        <v>80.5</v>
      </c>
      <c r="Q320" s="64">
        <f>N320*EXP(-O320*((P320+273.15)/298.15-1)/$Q$1)</f>
        <v>1.1654134222190866E-6</v>
      </c>
      <c r="R320" s="67" t="s">
        <v>3016</v>
      </c>
      <c r="S320" s="63"/>
      <c r="T320" s="64">
        <v>-8.32</v>
      </c>
      <c r="U320" s="62" t="s">
        <v>3030</v>
      </c>
      <c r="V320" s="64"/>
      <c r="W320" s="60"/>
      <c r="X320" s="60"/>
      <c r="Y320" s="64">
        <f>1000*$D320*10^T320</f>
        <v>1.7271845511554688E-3</v>
      </c>
      <c r="Z320" s="62" t="s">
        <v>3008</v>
      </c>
      <c r="AA320" s="63"/>
    </row>
    <row r="321" spans="1:27" x14ac:dyDescent="0.3">
      <c r="A321" s="79" t="s">
        <v>2455</v>
      </c>
      <c r="B321" s="80" t="s">
        <v>278</v>
      </c>
      <c r="C321" s="81" t="s">
        <v>279</v>
      </c>
      <c r="D321" s="82">
        <v>360.86</v>
      </c>
      <c r="E321" s="83"/>
      <c r="F321" s="83"/>
      <c r="G321" s="85"/>
      <c r="H321" s="83"/>
      <c r="I321" s="83">
        <v>73</v>
      </c>
      <c r="J321" s="84" t="s">
        <v>2309</v>
      </c>
      <c r="K321" s="85"/>
      <c r="L321" s="83"/>
      <c r="M321" s="83"/>
      <c r="N321" s="83"/>
      <c r="O321" s="83"/>
      <c r="P321" s="83"/>
      <c r="Q321" s="83"/>
      <c r="R321" s="83"/>
      <c r="S321" s="86"/>
      <c r="T321" s="83"/>
      <c r="U321" s="83"/>
      <c r="V321" s="83"/>
      <c r="W321" s="83"/>
      <c r="X321" s="83"/>
      <c r="Y321" s="87">
        <v>1.2200000000000001E-2</v>
      </c>
      <c r="Z321" s="84" t="s">
        <v>2310</v>
      </c>
      <c r="AA321" s="86"/>
    </row>
    <row r="322" spans="1:27" x14ac:dyDescent="0.3">
      <c r="A322" s="39"/>
      <c r="B322" s="25"/>
      <c r="C322" s="45"/>
      <c r="D322" s="46">
        <v>360.86</v>
      </c>
      <c r="E322" s="60"/>
      <c r="F322" s="60"/>
      <c r="G322" s="61"/>
      <c r="H322" s="60"/>
      <c r="I322" s="60">
        <v>73</v>
      </c>
      <c r="J322" s="67" t="s">
        <v>3005</v>
      </c>
      <c r="K322" s="61"/>
      <c r="L322" s="60"/>
      <c r="M322" s="60"/>
      <c r="N322" s="60"/>
      <c r="O322" s="60"/>
      <c r="P322" s="60"/>
      <c r="Q322" s="60"/>
      <c r="R322" s="60"/>
      <c r="S322" s="63"/>
      <c r="T322" s="60"/>
      <c r="U322" s="60"/>
      <c r="V322" s="60"/>
      <c r="W322" s="60"/>
      <c r="X322" s="60"/>
      <c r="Y322" s="64">
        <v>1.217E-2</v>
      </c>
      <c r="Z322" s="67" t="s">
        <v>3005</v>
      </c>
      <c r="AA322" s="63"/>
    </row>
    <row r="323" spans="1:27" x14ac:dyDescent="0.3">
      <c r="A323" s="79" t="s">
        <v>2456</v>
      </c>
      <c r="B323" s="80" t="s">
        <v>280</v>
      </c>
      <c r="C323" s="81" t="s">
        <v>281</v>
      </c>
      <c r="D323" s="82">
        <v>360.86</v>
      </c>
      <c r="E323" s="83">
        <v>7.25</v>
      </c>
      <c r="F323" s="84" t="s">
        <v>2309</v>
      </c>
      <c r="G323" s="85"/>
      <c r="H323" s="83"/>
      <c r="I323" s="83"/>
      <c r="J323" s="83"/>
      <c r="K323" s="85"/>
      <c r="L323" s="83"/>
      <c r="M323" s="83"/>
      <c r="N323" s="83"/>
      <c r="O323" s="83"/>
      <c r="P323" s="83"/>
      <c r="Q323" s="83"/>
      <c r="R323" s="83"/>
      <c r="S323" s="86"/>
      <c r="T323" s="83"/>
      <c r="U323" s="83"/>
      <c r="V323" s="83"/>
      <c r="W323" s="83"/>
      <c r="X323" s="83"/>
      <c r="Y323" s="87">
        <v>2.0799999999999998E-3</v>
      </c>
      <c r="Z323" s="84" t="s">
        <v>2310</v>
      </c>
      <c r="AA323" s="86"/>
    </row>
    <row r="324" spans="1:27" x14ac:dyDescent="0.3">
      <c r="A324" s="39"/>
      <c r="B324" s="25"/>
      <c r="C324" s="45"/>
      <c r="D324" s="46">
        <v>360.86</v>
      </c>
      <c r="E324" s="60">
        <v>7.25</v>
      </c>
      <c r="F324" s="67" t="s">
        <v>3005</v>
      </c>
      <c r="G324" s="61"/>
      <c r="H324" s="60"/>
      <c r="I324" s="60"/>
      <c r="J324" s="60"/>
      <c r="K324" s="61"/>
      <c r="L324" s="60"/>
      <c r="M324" s="60"/>
      <c r="N324" s="60"/>
      <c r="O324" s="60"/>
      <c r="P324" s="60"/>
      <c r="Q324" s="60"/>
      <c r="R324" s="60"/>
      <c r="S324" s="63"/>
      <c r="T324" s="60"/>
      <c r="U324" s="60"/>
      <c r="V324" s="60"/>
      <c r="W324" s="60"/>
      <c r="X324" s="60"/>
      <c r="Y324" s="64">
        <v>2.0769999999999999E-3</v>
      </c>
      <c r="Z324" s="67" t="s">
        <v>3005</v>
      </c>
      <c r="AA324" s="63"/>
    </row>
    <row r="325" spans="1:27" x14ac:dyDescent="0.3">
      <c r="A325" s="79" t="s">
        <v>2457</v>
      </c>
      <c r="B325" s="80" t="s">
        <v>282</v>
      </c>
      <c r="C325" s="81" t="s">
        <v>283</v>
      </c>
      <c r="D325" s="82">
        <v>360.86</v>
      </c>
      <c r="E325" s="83">
        <v>7.19</v>
      </c>
      <c r="F325" s="84" t="s">
        <v>2309</v>
      </c>
      <c r="G325" s="85"/>
      <c r="H325" s="83"/>
      <c r="I325" s="126">
        <v>85</v>
      </c>
      <c r="J325" s="88" t="s">
        <v>2914</v>
      </c>
      <c r="K325" s="85">
        <f>I325</f>
        <v>85</v>
      </c>
      <c r="L325" s="83"/>
      <c r="M325" s="83"/>
      <c r="N325" s="83"/>
      <c r="O325" s="83"/>
      <c r="P325" s="83"/>
      <c r="Q325" s="83"/>
      <c r="R325" s="83"/>
      <c r="S325" s="86"/>
      <c r="T325" s="87"/>
      <c r="U325" s="88"/>
      <c r="V325" s="83"/>
      <c r="W325" s="83"/>
      <c r="X325" s="83"/>
      <c r="Y325" s="87">
        <v>7.5500000000000003E-3</v>
      </c>
      <c r="Z325" s="84" t="s">
        <v>2310</v>
      </c>
      <c r="AA325" s="86"/>
    </row>
    <row r="326" spans="1:27" x14ac:dyDescent="0.3">
      <c r="A326" s="39"/>
      <c r="B326" s="25"/>
      <c r="C326" s="45"/>
      <c r="D326" s="46">
        <v>360.86</v>
      </c>
      <c r="E326" s="60">
        <v>7.19</v>
      </c>
      <c r="F326" s="67" t="s">
        <v>3005</v>
      </c>
      <c r="G326" s="61"/>
      <c r="H326" s="60"/>
      <c r="I326" s="60"/>
      <c r="J326" s="62"/>
      <c r="K326" s="61"/>
      <c r="L326" s="60"/>
      <c r="M326" s="60"/>
      <c r="N326" s="60"/>
      <c r="O326" s="60"/>
      <c r="P326" s="60"/>
      <c r="Q326" s="60"/>
      <c r="R326" s="60"/>
      <c r="S326" s="63"/>
      <c r="T326" s="64"/>
      <c r="U326" s="62"/>
      <c r="V326" s="60"/>
      <c r="W326" s="60"/>
      <c r="X326" s="60"/>
      <c r="Y326" s="64">
        <v>7.5500000000000003E-3</v>
      </c>
      <c r="Z326" s="67" t="s">
        <v>3005</v>
      </c>
      <c r="AA326" s="63"/>
    </row>
    <row r="327" spans="1:27" x14ac:dyDescent="0.3">
      <c r="A327" s="39"/>
      <c r="B327" s="25"/>
      <c r="C327" s="45"/>
      <c r="D327" s="46">
        <v>360.86</v>
      </c>
      <c r="E327" s="60"/>
      <c r="F327" s="67"/>
      <c r="G327" s="61"/>
      <c r="H327" s="60"/>
      <c r="I327" s="60"/>
      <c r="J327" s="62"/>
      <c r="K327" s="61"/>
      <c r="L327" s="60"/>
      <c r="M327" s="60"/>
      <c r="N327" s="60"/>
      <c r="O327" s="60"/>
      <c r="P327" s="60"/>
      <c r="Q327" s="60"/>
      <c r="R327" s="60"/>
      <c r="S327" s="63"/>
      <c r="T327" s="64">
        <v>-7.68</v>
      </c>
      <c r="U327" s="62" t="s">
        <v>3030</v>
      </c>
      <c r="V327" s="60"/>
      <c r="W327" s="60"/>
      <c r="X327" s="60"/>
      <c r="Y327" s="64">
        <f>1000*$D327*10^T327</f>
        <v>7.5394340177998773E-3</v>
      </c>
      <c r="Z327" s="62" t="s">
        <v>3008</v>
      </c>
      <c r="AA327" s="63"/>
    </row>
    <row r="328" spans="1:27" x14ac:dyDescent="0.3">
      <c r="A328" s="130" t="s">
        <v>2458</v>
      </c>
      <c r="B328" s="131" t="s">
        <v>284</v>
      </c>
      <c r="C328" s="132" t="s">
        <v>285</v>
      </c>
      <c r="D328" s="133">
        <v>360.86</v>
      </c>
      <c r="E328" s="134"/>
      <c r="F328" s="134"/>
      <c r="G328" s="135"/>
      <c r="H328" s="134"/>
      <c r="I328" s="134"/>
      <c r="J328" s="134"/>
      <c r="K328" s="135"/>
      <c r="L328" s="134"/>
      <c r="M328" s="134"/>
      <c r="N328" s="134"/>
      <c r="O328" s="134"/>
      <c r="P328" s="134"/>
      <c r="Q328" s="134"/>
      <c r="R328" s="134"/>
      <c r="S328" s="136"/>
      <c r="T328" s="134"/>
      <c r="U328" s="134"/>
      <c r="V328" s="134"/>
      <c r="W328" s="134"/>
      <c r="X328" s="134"/>
      <c r="Y328" s="137"/>
      <c r="Z328" s="134"/>
      <c r="AA328" s="136"/>
    </row>
    <row r="329" spans="1:27" x14ac:dyDescent="0.3">
      <c r="A329" s="79" t="s">
        <v>2459</v>
      </c>
      <c r="B329" s="80" t="s">
        <v>286</v>
      </c>
      <c r="C329" s="81" t="s">
        <v>287</v>
      </c>
      <c r="D329" s="82">
        <v>360.86</v>
      </c>
      <c r="E329" s="83"/>
      <c r="F329" s="83"/>
      <c r="G329" s="85"/>
      <c r="H329" s="83"/>
      <c r="I329" s="83"/>
      <c r="J329" s="83"/>
      <c r="K329" s="85"/>
      <c r="L329" s="83"/>
      <c r="M329" s="83"/>
      <c r="N329" s="83"/>
      <c r="O329" s="83"/>
      <c r="P329" s="83"/>
      <c r="Q329" s="83"/>
      <c r="R329" s="83"/>
      <c r="S329" s="86"/>
      <c r="T329" s="83"/>
      <c r="U329" s="83"/>
      <c r="V329" s="83"/>
      <c r="W329" s="83"/>
      <c r="X329" s="83"/>
      <c r="Y329" s="87">
        <v>2.6800000000000001E-3</v>
      </c>
      <c r="Z329" s="84" t="s">
        <v>2310</v>
      </c>
      <c r="AA329" s="86"/>
    </row>
    <row r="330" spans="1:27" x14ac:dyDescent="0.3">
      <c r="A330" s="39"/>
      <c r="B330" s="25"/>
      <c r="C330" s="45"/>
      <c r="D330" s="46">
        <v>360.86</v>
      </c>
      <c r="E330" s="60"/>
      <c r="F330" s="60"/>
      <c r="G330" s="61"/>
      <c r="H330" s="60"/>
      <c r="I330" s="60"/>
      <c r="J330" s="60"/>
      <c r="K330" s="61"/>
      <c r="L330" s="60"/>
      <c r="M330" s="60"/>
      <c r="N330" s="60"/>
      <c r="O330" s="60"/>
      <c r="P330" s="60"/>
      <c r="Q330" s="60"/>
      <c r="R330" s="60"/>
      <c r="S330" s="63"/>
      <c r="T330" s="60"/>
      <c r="U330" s="60"/>
      <c r="V330" s="60"/>
      <c r="W330" s="60"/>
      <c r="X330" s="60"/>
      <c r="Y330" s="64">
        <v>2.6749999999999999E-3</v>
      </c>
      <c r="Z330" s="67" t="s">
        <v>3005</v>
      </c>
      <c r="AA330" s="63"/>
    </row>
    <row r="331" spans="1:27" x14ac:dyDescent="0.3">
      <c r="A331" s="79" t="s">
        <v>2460</v>
      </c>
      <c r="B331" s="80" t="s">
        <v>288</v>
      </c>
      <c r="C331" s="81" t="s">
        <v>289</v>
      </c>
      <c r="D331" s="82">
        <v>360.86</v>
      </c>
      <c r="E331" s="83"/>
      <c r="F331" s="83"/>
      <c r="G331" s="85"/>
      <c r="H331" s="83"/>
      <c r="I331" s="83"/>
      <c r="J331" s="83"/>
      <c r="K331" s="85"/>
      <c r="L331" s="83"/>
      <c r="M331" s="83"/>
      <c r="N331" s="83"/>
      <c r="O331" s="83"/>
      <c r="P331" s="83"/>
      <c r="Q331" s="83"/>
      <c r="R331" s="83"/>
      <c r="S331" s="86"/>
      <c r="T331" s="83"/>
      <c r="U331" s="83"/>
      <c r="V331" s="83"/>
      <c r="W331" s="83"/>
      <c r="X331" s="83"/>
      <c r="Y331" s="87">
        <v>3.5300000000000002E-3</v>
      </c>
      <c r="Z331" s="84" t="s">
        <v>2310</v>
      </c>
      <c r="AA331" s="86"/>
    </row>
    <row r="332" spans="1:27" x14ac:dyDescent="0.3">
      <c r="A332" s="39"/>
      <c r="B332" s="25"/>
      <c r="C332" s="45"/>
      <c r="D332" s="46">
        <v>360.86</v>
      </c>
      <c r="E332" s="60"/>
      <c r="F332" s="60"/>
      <c r="G332" s="61"/>
      <c r="H332" s="60"/>
      <c r="I332" s="60"/>
      <c r="J332" s="60"/>
      <c r="K332" s="61"/>
      <c r="L332" s="60"/>
      <c r="M332" s="60"/>
      <c r="N332" s="60"/>
      <c r="O332" s="60"/>
      <c r="P332" s="60"/>
      <c r="Q332" s="60"/>
      <c r="R332" s="60"/>
      <c r="S332" s="63"/>
      <c r="T332" s="60"/>
      <c r="U332" s="60"/>
      <c r="V332" s="60"/>
      <c r="W332" s="60"/>
      <c r="X332" s="60"/>
      <c r="Y332" s="64">
        <v>3.5270000000000002E-3</v>
      </c>
      <c r="Z332" s="67" t="s">
        <v>3005</v>
      </c>
      <c r="AA332" s="63"/>
    </row>
    <row r="333" spans="1:27" x14ac:dyDescent="0.3">
      <c r="A333" s="130" t="s">
        <v>2461</v>
      </c>
      <c r="B333" s="131" t="s">
        <v>290</v>
      </c>
      <c r="C333" s="132" t="s">
        <v>291</v>
      </c>
      <c r="D333" s="133">
        <v>360.86</v>
      </c>
      <c r="E333" s="134"/>
      <c r="F333" s="134"/>
      <c r="G333" s="135"/>
      <c r="H333" s="134"/>
      <c r="I333" s="134"/>
      <c r="J333" s="134"/>
      <c r="K333" s="135"/>
      <c r="L333" s="134"/>
      <c r="M333" s="134"/>
      <c r="N333" s="134"/>
      <c r="O333" s="134"/>
      <c r="P333" s="134"/>
      <c r="Q333" s="134"/>
      <c r="R333" s="134"/>
      <c r="S333" s="136"/>
      <c r="T333" s="134"/>
      <c r="U333" s="134"/>
      <c r="V333" s="134"/>
      <c r="W333" s="134"/>
      <c r="X333" s="134"/>
      <c r="Y333" s="137"/>
      <c r="Z333" s="134"/>
      <c r="AA333" s="136"/>
    </row>
    <row r="334" spans="1:27" x14ac:dyDescent="0.3">
      <c r="A334" s="79" t="s">
        <v>2462</v>
      </c>
      <c r="B334" s="80" t="s">
        <v>292</v>
      </c>
      <c r="C334" s="81" t="s">
        <v>293</v>
      </c>
      <c r="D334" s="82">
        <v>360.86</v>
      </c>
      <c r="E334" s="83">
        <v>7.12</v>
      </c>
      <c r="F334" s="84" t="s">
        <v>2309</v>
      </c>
      <c r="G334" s="85"/>
      <c r="H334" s="83"/>
      <c r="I334" s="83"/>
      <c r="J334" s="83"/>
      <c r="K334" s="85"/>
      <c r="L334" s="83"/>
      <c r="M334" s="83"/>
      <c r="N334" s="83"/>
      <c r="O334" s="83"/>
      <c r="P334" s="83"/>
      <c r="Q334" s="83"/>
      <c r="R334" s="83"/>
      <c r="S334" s="86"/>
      <c r="T334" s="83"/>
      <c r="U334" s="83"/>
      <c r="V334" s="83"/>
      <c r="W334" s="83"/>
      <c r="X334" s="83"/>
      <c r="Y334" s="87">
        <v>9.4899999999999997E-4</v>
      </c>
      <c r="Z334" s="84" t="s">
        <v>2310</v>
      </c>
      <c r="AA334" s="86"/>
    </row>
    <row r="335" spans="1:27" x14ac:dyDescent="0.3">
      <c r="A335" s="39"/>
      <c r="B335" s="25"/>
      <c r="C335" s="45"/>
      <c r="D335" s="46">
        <v>360.86</v>
      </c>
      <c r="E335" s="60">
        <v>7.12</v>
      </c>
      <c r="F335" s="67" t="s">
        <v>3005</v>
      </c>
      <c r="G335" s="61"/>
      <c r="H335" s="60"/>
      <c r="I335" s="60"/>
      <c r="J335" s="60"/>
      <c r="K335" s="61"/>
      <c r="L335" s="60"/>
      <c r="M335" s="60"/>
      <c r="N335" s="60"/>
      <c r="O335" s="60"/>
      <c r="P335" s="60"/>
      <c r="Q335" s="60"/>
      <c r="R335" s="60"/>
      <c r="S335" s="63"/>
      <c r="T335" s="60"/>
      <c r="U335" s="60"/>
      <c r="V335" s="60"/>
      <c r="W335" s="60"/>
      <c r="X335" s="60"/>
      <c r="Y335" s="64">
        <v>9.4899999999999997E-4</v>
      </c>
      <c r="Z335" s="67" t="s">
        <v>3005</v>
      </c>
      <c r="AA335" s="63"/>
    </row>
    <row r="336" spans="1:27" x14ac:dyDescent="0.3">
      <c r="A336" s="130" t="s">
        <v>2463</v>
      </c>
      <c r="B336" s="131" t="s">
        <v>294</v>
      </c>
      <c r="C336" s="132" t="s">
        <v>295</v>
      </c>
      <c r="D336" s="133">
        <v>360.86</v>
      </c>
      <c r="E336" s="134"/>
      <c r="F336" s="134"/>
      <c r="G336" s="135"/>
      <c r="H336" s="134"/>
      <c r="I336" s="134"/>
      <c r="J336" s="134"/>
      <c r="K336" s="135"/>
      <c r="L336" s="134"/>
      <c r="M336" s="134"/>
      <c r="N336" s="134"/>
      <c r="O336" s="134"/>
      <c r="P336" s="134"/>
      <c r="Q336" s="134"/>
      <c r="R336" s="134"/>
      <c r="S336" s="136"/>
      <c r="T336" s="134"/>
      <c r="U336" s="134"/>
      <c r="V336" s="134"/>
      <c r="W336" s="134"/>
      <c r="X336" s="134"/>
      <c r="Y336" s="137"/>
      <c r="Z336" s="134"/>
      <c r="AA336" s="136"/>
    </row>
    <row r="337" spans="1:27" x14ac:dyDescent="0.3">
      <c r="A337" s="130" t="s">
        <v>2464</v>
      </c>
      <c r="B337" s="131" t="s">
        <v>296</v>
      </c>
      <c r="C337" s="132" t="s">
        <v>297</v>
      </c>
      <c r="D337" s="133">
        <v>360.86</v>
      </c>
      <c r="E337" s="141">
        <v>6.87</v>
      </c>
      <c r="F337" s="139" t="s">
        <v>2309</v>
      </c>
      <c r="G337" s="135"/>
      <c r="H337" s="134"/>
      <c r="I337" s="134"/>
      <c r="J337" s="134"/>
      <c r="K337" s="135"/>
      <c r="L337" s="134"/>
      <c r="M337" s="134"/>
      <c r="N337" s="134"/>
      <c r="O337" s="134"/>
      <c r="P337" s="134"/>
      <c r="Q337" s="134"/>
      <c r="R337" s="134"/>
      <c r="S337" s="136"/>
      <c r="T337" s="134"/>
      <c r="U337" s="134"/>
      <c r="V337" s="134"/>
      <c r="W337" s="134"/>
      <c r="X337" s="134"/>
      <c r="Y337" s="137"/>
      <c r="Z337" s="134"/>
      <c r="AA337" s="136"/>
    </row>
    <row r="338" spans="1:27" x14ac:dyDescent="0.3">
      <c r="A338" s="79" t="s">
        <v>2465</v>
      </c>
      <c r="B338" s="80" t="s">
        <v>298</v>
      </c>
      <c r="C338" s="81" t="s">
        <v>299</v>
      </c>
      <c r="D338" s="82">
        <v>360.86</v>
      </c>
      <c r="E338" s="83">
        <v>7.28</v>
      </c>
      <c r="F338" s="84" t="s">
        <v>2309</v>
      </c>
      <c r="G338" s="85"/>
      <c r="H338" s="83"/>
      <c r="I338" s="83"/>
      <c r="J338" s="83"/>
      <c r="K338" s="85"/>
      <c r="L338" s="83">
        <v>25</v>
      </c>
      <c r="M338" s="83"/>
      <c r="N338" s="83"/>
      <c r="O338" s="83"/>
      <c r="P338" s="83"/>
      <c r="Q338" s="92">
        <v>8.4300000000000006E-6</v>
      </c>
      <c r="R338" s="84" t="s">
        <v>2310</v>
      </c>
      <c r="S338" s="86"/>
      <c r="T338" s="83"/>
      <c r="U338" s="83"/>
      <c r="V338" s="83"/>
      <c r="W338" s="83"/>
      <c r="X338" s="83"/>
      <c r="Y338" s="87">
        <v>4.2399999999999998E-3</v>
      </c>
      <c r="Z338" s="84" t="s">
        <v>2310</v>
      </c>
      <c r="AA338" s="86"/>
    </row>
    <row r="339" spans="1:27" x14ac:dyDescent="0.3">
      <c r="A339" s="39"/>
      <c r="B339" s="25"/>
      <c r="C339" s="45"/>
      <c r="D339" s="46">
        <v>360.86</v>
      </c>
      <c r="E339" s="60">
        <v>7.28</v>
      </c>
      <c r="F339" s="67" t="s">
        <v>3005</v>
      </c>
      <c r="G339" s="61"/>
      <c r="H339" s="60"/>
      <c r="I339" s="60"/>
      <c r="J339" s="60"/>
      <c r="K339" s="61"/>
      <c r="L339" s="60">
        <v>25</v>
      </c>
      <c r="M339" s="60"/>
      <c r="N339" s="60"/>
      <c r="O339" s="60"/>
      <c r="P339" s="60"/>
      <c r="Q339" s="65">
        <v>8.4300000000000006E-6</v>
      </c>
      <c r="R339" s="67" t="s">
        <v>3005</v>
      </c>
      <c r="S339" s="63"/>
      <c r="T339" s="60"/>
      <c r="U339" s="60"/>
      <c r="V339" s="60"/>
      <c r="W339" s="60"/>
      <c r="X339" s="60"/>
      <c r="Y339" s="64">
        <v>4.2399999999999998E-3</v>
      </c>
      <c r="Z339" s="67" t="s">
        <v>3005</v>
      </c>
      <c r="AA339" s="63"/>
    </row>
    <row r="340" spans="1:27" x14ac:dyDescent="0.3">
      <c r="A340" s="130" t="s">
        <v>2466</v>
      </c>
      <c r="B340" s="131" t="s">
        <v>300</v>
      </c>
      <c r="C340" s="132" t="s">
        <v>301</v>
      </c>
      <c r="D340" s="133">
        <v>360.86</v>
      </c>
      <c r="E340" s="141">
        <v>6.75</v>
      </c>
      <c r="F340" s="139" t="s">
        <v>2309</v>
      </c>
      <c r="G340" s="135"/>
      <c r="H340" s="134"/>
      <c r="I340" s="134"/>
      <c r="J340" s="134"/>
      <c r="K340" s="135"/>
      <c r="L340" s="134"/>
      <c r="M340" s="134"/>
      <c r="N340" s="134"/>
      <c r="O340" s="134"/>
      <c r="P340" s="134"/>
      <c r="Q340" s="134"/>
      <c r="R340" s="134"/>
      <c r="S340" s="136"/>
      <c r="T340" s="134"/>
      <c r="U340" s="134"/>
      <c r="V340" s="134"/>
      <c r="W340" s="134"/>
      <c r="X340" s="134"/>
      <c r="Y340" s="137"/>
      <c r="Z340" s="134"/>
      <c r="AA340" s="136"/>
    </row>
    <row r="341" spans="1:27" x14ac:dyDescent="0.3">
      <c r="A341" s="79" t="s">
        <v>2467</v>
      </c>
      <c r="B341" s="80" t="s">
        <v>302</v>
      </c>
      <c r="C341" s="81" t="s">
        <v>303</v>
      </c>
      <c r="D341" s="82">
        <v>360.86</v>
      </c>
      <c r="E341" s="83"/>
      <c r="F341" s="83"/>
      <c r="G341" s="85"/>
      <c r="H341" s="83"/>
      <c r="I341" s="126">
        <v>100</v>
      </c>
      <c r="J341" s="88" t="s">
        <v>2914</v>
      </c>
      <c r="K341" s="85">
        <f>I341</f>
        <v>100</v>
      </c>
      <c r="L341" s="83">
        <v>25</v>
      </c>
      <c r="M341" s="83"/>
      <c r="N341" s="83"/>
      <c r="O341" s="83"/>
      <c r="P341" s="83"/>
      <c r="Q341" s="92">
        <v>2.2900000000000001E-6</v>
      </c>
      <c r="R341" s="84" t="s">
        <v>2310</v>
      </c>
      <c r="S341" s="86"/>
      <c r="T341" s="87"/>
      <c r="U341" s="88"/>
      <c r="V341" s="83"/>
      <c r="W341" s="83"/>
      <c r="X341" s="83"/>
      <c r="Y341" s="87">
        <v>1.3599999999999999E-2</v>
      </c>
      <c r="Z341" s="84" t="s">
        <v>2310</v>
      </c>
      <c r="AA341" s="86"/>
    </row>
    <row r="342" spans="1:27" x14ac:dyDescent="0.3">
      <c r="A342" s="39"/>
      <c r="B342" s="25"/>
      <c r="C342" s="45"/>
      <c r="D342" s="46">
        <v>360.86</v>
      </c>
      <c r="E342" s="60"/>
      <c r="F342" s="60"/>
      <c r="G342" s="61"/>
      <c r="H342" s="60"/>
      <c r="I342" s="77"/>
      <c r="J342" s="62"/>
      <c r="K342" s="61"/>
      <c r="L342" s="60">
        <v>25</v>
      </c>
      <c r="M342" s="60"/>
      <c r="N342" s="60"/>
      <c r="O342" s="60"/>
      <c r="P342" s="60"/>
      <c r="Q342" s="65">
        <v>2.2900000000000001E-6</v>
      </c>
      <c r="R342" s="67" t="s">
        <v>3005</v>
      </c>
      <c r="S342" s="63"/>
      <c r="T342" s="64"/>
      <c r="U342" s="62"/>
      <c r="V342" s="60"/>
      <c r="W342" s="60"/>
      <c r="X342" s="60"/>
      <c r="Y342" s="64">
        <v>1.355E-2</v>
      </c>
      <c r="Z342" s="67" t="s">
        <v>3005</v>
      </c>
      <c r="AA342" s="63"/>
    </row>
    <row r="343" spans="1:27" x14ac:dyDescent="0.3">
      <c r="A343" s="39"/>
      <c r="B343" s="25"/>
      <c r="C343" s="45"/>
      <c r="D343" s="46">
        <v>360.86</v>
      </c>
      <c r="E343" s="60"/>
      <c r="F343" s="60"/>
      <c r="G343" s="61"/>
      <c r="H343" s="60"/>
      <c r="I343" s="77"/>
      <c r="J343" s="62"/>
      <c r="K343" s="61"/>
      <c r="L343" s="60"/>
      <c r="M343" s="60"/>
      <c r="N343" s="60"/>
      <c r="O343" s="60"/>
      <c r="P343" s="60"/>
      <c r="Q343" s="65"/>
      <c r="R343" s="67"/>
      <c r="S343" s="63"/>
      <c r="T343" s="64">
        <v>-7.42</v>
      </c>
      <c r="U343" s="62" t="s">
        <v>3030</v>
      </c>
      <c r="V343" s="60"/>
      <c r="W343" s="60"/>
      <c r="X343" s="60"/>
      <c r="Y343" s="64">
        <f>1000*$D343*10^T343</f>
        <v>1.371951455562377E-2</v>
      </c>
      <c r="Z343" s="62" t="s">
        <v>3008</v>
      </c>
      <c r="AA343" s="63"/>
    </row>
    <row r="344" spans="1:27" x14ac:dyDescent="0.3">
      <c r="A344" s="130" t="s">
        <v>2468</v>
      </c>
      <c r="B344" s="131" t="s">
        <v>304</v>
      </c>
      <c r="C344" s="132" t="s">
        <v>305</v>
      </c>
      <c r="D344" s="133">
        <v>360.86</v>
      </c>
      <c r="E344" s="134"/>
      <c r="F344" s="134"/>
      <c r="G344" s="135"/>
      <c r="H344" s="134"/>
      <c r="I344" s="134"/>
      <c r="J344" s="134"/>
      <c r="K344" s="135"/>
      <c r="L344" s="134"/>
      <c r="M344" s="134"/>
      <c r="N344" s="134"/>
      <c r="O344" s="134"/>
      <c r="P344" s="134"/>
      <c r="Q344" s="134"/>
      <c r="R344" s="134"/>
      <c r="S344" s="136"/>
      <c r="T344" s="134"/>
      <c r="U344" s="134"/>
      <c r="V344" s="134"/>
      <c r="W344" s="134"/>
      <c r="X344" s="134"/>
      <c r="Y344" s="137"/>
      <c r="Z344" s="134"/>
      <c r="AA344" s="136"/>
    </row>
    <row r="345" spans="1:27" x14ac:dyDescent="0.3">
      <c r="A345" s="79" t="s">
        <v>2469</v>
      </c>
      <c r="B345" s="80" t="s">
        <v>306</v>
      </c>
      <c r="C345" s="81" t="s">
        <v>307</v>
      </c>
      <c r="D345" s="82">
        <v>360.86</v>
      </c>
      <c r="E345" s="83">
        <v>7.75</v>
      </c>
      <c r="F345" s="84" t="s">
        <v>2309</v>
      </c>
      <c r="G345" s="85"/>
      <c r="H345" s="83"/>
      <c r="I345" s="126">
        <v>112.9</v>
      </c>
      <c r="J345" s="88" t="s">
        <v>2914</v>
      </c>
      <c r="K345" s="85">
        <f>I345</f>
        <v>112.9</v>
      </c>
      <c r="L345" s="83">
        <v>25</v>
      </c>
      <c r="M345" s="87"/>
      <c r="N345" s="87"/>
      <c r="O345" s="83"/>
      <c r="P345" s="83"/>
      <c r="Q345" s="83">
        <v>3.4300000000000002E-6</v>
      </c>
      <c r="R345" s="84" t="s">
        <v>2310</v>
      </c>
      <c r="S345" s="86">
        <f>Q347</f>
        <v>5.4041763507028199E-7</v>
      </c>
      <c r="T345" s="87"/>
      <c r="U345" s="88"/>
      <c r="V345" s="87"/>
      <c r="W345" s="83"/>
      <c r="X345" s="83"/>
      <c r="Y345" s="87">
        <v>9.5E-4</v>
      </c>
      <c r="Z345" s="84" t="s">
        <v>2310</v>
      </c>
      <c r="AA345" s="86">
        <f>Y347</f>
        <v>1.8677237137138375E-3</v>
      </c>
    </row>
    <row r="346" spans="1:27" x14ac:dyDescent="0.3">
      <c r="A346" s="39"/>
      <c r="B346" s="25"/>
      <c r="C346" s="45"/>
      <c r="D346" s="46">
        <v>360.86</v>
      </c>
      <c r="E346" s="60">
        <v>7.75</v>
      </c>
      <c r="F346" s="67" t="s">
        <v>3005</v>
      </c>
      <c r="G346" s="61"/>
      <c r="H346" s="60"/>
      <c r="I346" s="60"/>
      <c r="J346" s="62"/>
      <c r="K346" s="61"/>
      <c r="L346" s="60">
        <v>25</v>
      </c>
      <c r="M346" s="64"/>
      <c r="N346" s="64"/>
      <c r="O346" s="60"/>
      <c r="P346" s="60"/>
      <c r="Q346" s="60">
        <v>3.4300000000000002E-6</v>
      </c>
      <c r="R346" s="67" t="s">
        <v>3005</v>
      </c>
      <c r="S346" s="63"/>
      <c r="T346" s="64"/>
      <c r="U346" s="62"/>
      <c r="V346" s="64"/>
      <c r="W346" s="60"/>
      <c r="X346" s="60"/>
      <c r="Y346" s="64">
        <v>9.5E-4</v>
      </c>
      <c r="Z346" s="67" t="s">
        <v>3005</v>
      </c>
      <c r="AA346" s="63"/>
    </row>
    <row r="347" spans="1:27" x14ac:dyDescent="0.3">
      <c r="A347" s="39"/>
      <c r="B347" s="25"/>
      <c r="C347" s="45"/>
      <c r="D347" s="46">
        <v>360.86</v>
      </c>
      <c r="E347" s="60"/>
      <c r="F347" s="60"/>
      <c r="G347" s="61"/>
      <c r="H347" s="60"/>
      <c r="I347" s="60"/>
      <c r="J347" s="62"/>
      <c r="K347" s="61"/>
      <c r="L347" s="60">
        <v>25</v>
      </c>
      <c r="M347" s="64">
        <f>10^(-3.28)</f>
        <v>5.2480746024977229E-4</v>
      </c>
      <c r="N347" s="64">
        <f>$N$1*M347</f>
        <v>3.936379620687603E-6</v>
      </c>
      <c r="O347" s="60">
        <v>56</v>
      </c>
      <c r="P347" s="60">
        <f>$K345</f>
        <v>112.9</v>
      </c>
      <c r="Q347" s="73">
        <f>N347*EXP(-O347*((P347+273.15)/298.15-1)/$Q$1)</f>
        <v>5.4041763507028199E-7</v>
      </c>
      <c r="R347" s="67" t="s">
        <v>3012</v>
      </c>
      <c r="S347" s="63"/>
      <c r="T347" s="64"/>
      <c r="U347" s="62"/>
      <c r="V347" s="64">
        <f>$D347*0.0000377</f>
        <v>1.3604422000000001E-2</v>
      </c>
      <c r="W347" s="60">
        <v>56</v>
      </c>
      <c r="X347" s="60">
        <f>$K345</f>
        <v>112.9</v>
      </c>
      <c r="Y347" s="73">
        <f>V347*EXP(-$W347*(($X347+$W$1)/298.15-1)/$Y$1)</f>
        <v>1.8677237137138375E-3</v>
      </c>
      <c r="Z347" s="67" t="s">
        <v>3012</v>
      </c>
      <c r="AA347" s="63"/>
    </row>
    <row r="348" spans="1:27" x14ac:dyDescent="0.3">
      <c r="A348" s="39"/>
      <c r="B348" s="25"/>
      <c r="C348" s="45"/>
      <c r="D348" s="46">
        <v>360.86</v>
      </c>
      <c r="E348" s="60"/>
      <c r="F348" s="60"/>
      <c r="G348" s="61"/>
      <c r="H348" s="60"/>
      <c r="I348" s="60"/>
      <c r="J348" s="62"/>
      <c r="K348" s="61"/>
      <c r="L348" s="60">
        <v>25</v>
      </c>
      <c r="M348" s="64">
        <f>10^(-4923/298.15+13.24)</f>
        <v>5.3478238291673329E-4</v>
      </c>
      <c r="N348" s="64">
        <f>$N$1*M348</f>
        <v>4.0111976926057737E-6</v>
      </c>
      <c r="O348" s="60">
        <v>56</v>
      </c>
      <c r="P348" s="60">
        <f>$K345</f>
        <v>112.9</v>
      </c>
      <c r="Q348" s="64">
        <f>N348*EXP(-O348*((P348+273.15)/298.15-1)/$Q$1)</f>
        <v>5.5068925757184186E-7</v>
      </c>
      <c r="R348" s="67" t="s">
        <v>3016</v>
      </c>
      <c r="S348" s="63"/>
      <c r="T348" s="64">
        <v>-8.56</v>
      </c>
      <c r="U348" s="62" t="s">
        <v>3030</v>
      </c>
      <c r="V348" s="64"/>
      <c r="W348" s="60"/>
      <c r="X348" s="60"/>
      <c r="Y348" s="64">
        <f>1000*$D348*10^T348</f>
        <v>9.9389096988660732E-4</v>
      </c>
      <c r="Z348" s="62" t="s">
        <v>3008</v>
      </c>
      <c r="AA348" s="63"/>
    </row>
    <row r="349" spans="1:27" x14ac:dyDescent="0.3">
      <c r="A349" s="79" t="s">
        <v>2470</v>
      </c>
      <c r="B349" s="80" t="s">
        <v>308</v>
      </c>
      <c r="C349" s="81" t="s">
        <v>309</v>
      </c>
      <c r="D349" s="82">
        <v>360.86</v>
      </c>
      <c r="E349" s="83"/>
      <c r="F349" s="83"/>
      <c r="G349" s="85"/>
      <c r="H349" s="83"/>
      <c r="I349" s="83"/>
      <c r="J349" s="83"/>
      <c r="K349" s="85"/>
      <c r="L349" s="83"/>
      <c r="M349" s="83"/>
      <c r="N349" s="83"/>
      <c r="O349" s="83"/>
      <c r="P349" s="83"/>
      <c r="Q349" s="83"/>
      <c r="R349" s="83"/>
      <c r="S349" s="86"/>
      <c r="T349" s="83"/>
      <c r="U349" s="83"/>
      <c r="V349" s="83"/>
      <c r="W349" s="83"/>
      <c r="X349" s="83"/>
      <c r="Y349" s="87">
        <v>2.7399999999999998E-3</v>
      </c>
      <c r="Z349" s="84" t="s">
        <v>2310</v>
      </c>
      <c r="AA349" s="86"/>
    </row>
    <row r="350" spans="1:27" x14ac:dyDescent="0.3">
      <c r="A350" s="151"/>
      <c r="B350" s="152"/>
      <c r="C350" s="153"/>
      <c r="D350" s="46">
        <v>360.86</v>
      </c>
      <c r="E350" s="154"/>
      <c r="F350" s="154"/>
      <c r="G350" s="155"/>
      <c r="H350" s="154"/>
      <c r="I350" s="154"/>
      <c r="J350" s="154"/>
      <c r="K350" s="155"/>
      <c r="L350" s="154"/>
      <c r="M350" s="154"/>
      <c r="N350" s="154"/>
      <c r="O350" s="154"/>
      <c r="P350" s="154"/>
      <c r="Q350" s="154"/>
      <c r="R350" s="154"/>
      <c r="S350" s="156"/>
      <c r="T350" s="154"/>
      <c r="U350" s="154"/>
      <c r="V350" s="154"/>
      <c r="W350" s="154"/>
      <c r="X350" s="154"/>
      <c r="Y350" s="145">
        <v>2.738E-3</v>
      </c>
      <c r="Z350" s="67" t="s">
        <v>3005</v>
      </c>
      <c r="AA350" s="156"/>
    </row>
    <row r="351" spans="1:27" x14ac:dyDescent="0.3">
      <c r="A351" s="79" t="s">
        <v>2471</v>
      </c>
      <c r="B351" s="80" t="s">
        <v>310</v>
      </c>
      <c r="C351" s="81" t="s">
        <v>311</v>
      </c>
      <c r="D351" s="82">
        <v>360.86</v>
      </c>
      <c r="E351" s="83">
        <v>7.55</v>
      </c>
      <c r="F351" s="84" t="s">
        <v>2309</v>
      </c>
      <c r="G351" s="85">
        <f>E355</f>
        <v>7.0735000000000001</v>
      </c>
      <c r="H351" s="83"/>
      <c r="I351" s="83">
        <v>112.5</v>
      </c>
      <c r="J351" s="88" t="s">
        <v>2914</v>
      </c>
      <c r="K351" s="85">
        <f>I352</f>
        <v>113.55000000000001</v>
      </c>
      <c r="L351" s="83">
        <v>25</v>
      </c>
      <c r="M351" s="87"/>
      <c r="N351" s="87"/>
      <c r="O351" s="83"/>
      <c r="P351" s="147"/>
      <c r="Q351" s="147">
        <v>1.2E-5</v>
      </c>
      <c r="R351" s="84" t="s">
        <v>2310</v>
      </c>
      <c r="S351" s="86">
        <f>Q353</f>
        <v>4.9243028309333489E-6</v>
      </c>
      <c r="T351" s="87"/>
      <c r="U351" s="88"/>
      <c r="V351" s="87"/>
      <c r="W351" s="83"/>
      <c r="X351" s="83"/>
      <c r="Y351" s="83">
        <v>4.08E-4</v>
      </c>
      <c r="Z351" s="84" t="s">
        <v>2310</v>
      </c>
      <c r="AA351" s="86">
        <f>Y353</f>
        <v>2.8117653415808226E-3</v>
      </c>
    </row>
    <row r="352" spans="1:27" x14ac:dyDescent="0.3">
      <c r="A352" s="39"/>
      <c r="B352" s="25"/>
      <c r="C352" s="45"/>
      <c r="D352" s="46">
        <v>360.86</v>
      </c>
      <c r="E352" s="60">
        <v>7.55</v>
      </c>
      <c r="F352" s="67" t="s">
        <v>3005</v>
      </c>
      <c r="G352" s="61"/>
      <c r="H352" s="60">
        <v>386.7</v>
      </c>
      <c r="I352" s="68">
        <f>H352-$H$1</f>
        <v>113.55000000000001</v>
      </c>
      <c r="J352" s="62" t="s">
        <v>2314</v>
      </c>
      <c r="K352" s="61"/>
      <c r="L352" s="60">
        <v>25</v>
      </c>
      <c r="M352" s="64"/>
      <c r="N352" s="64"/>
      <c r="O352" s="60"/>
      <c r="P352" s="22"/>
      <c r="Q352" s="22">
        <v>1.2E-5</v>
      </c>
      <c r="R352" s="67" t="s">
        <v>3005</v>
      </c>
      <c r="S352" s="63"/>
      <c r="T352" s="64"/>
      <c r="U352" s="62"/>
      <c r="V352" s="64"/>
      <c r="W352" s="60"/>
      <c r="X352" s="60"/>
      <c r="Y352" s="60">
        <v>4.08E-4</v>
      </c>
      <c r="Z352" s="67" t="s">
        <v>3005</v>
      </c>
      <c r="AA352" s="63"/>
    </row>
    <row r="353" spans="1:27" x14ac:dyDescent="0.3">
      <c r="A353" s="39"/>
      <c r="B353" s="25"/>
      <c r="C353" s="45"/>
      <c r="D353" s="46">
        <v>360.86</v>
      </c>
      <c r="E353" s="60">
        <v>7.2869999999999999</v>
      </c>
      <c r="F353" s="67" t="s">
        <v>2969</v>
      </c>
      <c r="G353" s="61"/>
      <c r="H353" s="60"/>
      <c r="I353" s="60"/>
      <c r="J353" s="62"/>
      <c r="K353" s="61"/>
      <c r="L353" s="60">
        <v>25</v>
      </c>
      <c r="M353" s="64">
        <f>10^(-2.48)</f>
        <v>3.3113112148259105E-3</v>
      </c>
      <c r="N353" s="64">
        <f>$N$1*M353</f>
        <v>2.4836876323350017E-5</v>
      </c>
      <c r="O353" s="60">
        <v>45.3</v>
      </c>
      <c r="P353" s="60">
        <f>$K351</f>
        <v>113.55000000000001</v>
      </c>
      <c r="Q353" s="73">
        <f>N353*EXP(-O353*((P353+273.15)/298.15-1)/$Q$1)</f>
        <v>4.9243028309333489E-6</v>
      </c>
      <c r="R353" s="67" t="s">
        <v>3012</v>
      </c>
      <c r="S353" s="63"/>
      <c r="T353" s="64"/>
      <c r="U353" s="62"/>
      <c r="V353" s="64">
        <f>$D353*0.0000393</f>
        <v>1.4181798000000001E-2</v>
      </c>
      <c r="W353" s="60">
        <v>45.3</v>
      </c>
      <c r="X353" s="60">
        <f>$K351</f>
        <v>113.55000000000001</v>
      </c>
      <c r="Y353" s="73">
        <f>V353*EXP(-$W353*(($X353+$W$1)/298.15-1)/$Y$1)</f>
        <v>2.8117653415808226E-3</v>
      </c>
      <c r="Z353" s="67" t="s">
        <v>3012</v>
      </c>
      <c r="AA353" s="63"/>
    </row>
    <row r="354" spans="1:27" x14ac:dyDescent="0.3">
      <c r="A354" s="39"/>
      <c r="B354" s="25"/>
      <c r="C354" s="45"/>
      <c r="D354" s="46">
        <v>360.86</v>
      </c>
      <c r="E354" s="60">
        <v>6.86</v>
      </c>
      <c r="F354" s="67" t="s">
        <v>2884</v>
      </c>
      <c r="G354" s="61"/>
      <c r="H354" s="60"/>
      <c r="I354" s="60"/>
      <c r="J354" s="62"/>
      <c r="K354" s="61"/>
      <c r="L354" s="60">
        <v>25</v>
      </c>
      <c r="M354" s="64">
        <f>10^(-4697/298.15+13.27)</f>
        <v>3.28234937949108E-3</v>
      </c>
      <c r="N354" s="64">
        <f>$N$1*M354</f>
        <v>2.4619644696468268E-5</v>
      </c>
      <c r="O354" s="60">
        <v>45.3</v>
      </c>
      <c r="P354" s="60">
        <f>$K351</f>
        <v>113.55000000000001</v>
      </c>
      <c r="Q354" s="64"/>
      <c r="R354" s="67" t="s">
        <v>3016</v>
      </c>
      <c r="S354" s="63"/>
      <c r="T354" s="64"/>
      <c r="U354" s="62"/>
      <c r="V354" s="64">
        <f>$D354*10^(-861/298.15-1.52)</f>
        <v>1.4110116337872331E-2</v>
      </c>
      <c r="W354" s="60">
        <v>45.3</v>
      </c>
      <c r="X354" s="60">
        <f>$K351</f>
        <v>113.55000000000001</v>
      </c>
      <c r="Y354" s="74">
        <f>V354*EXP(-$W354*(($X354+$W$1)/298.15-1)/$Y$1)</f>
        <v>2.7975533204254313E-3</v>
      </c>
      <c r="Z354" s="67" t="s">
        <v>3011</v>
      </c>
      <c r="AA354" s="63"/>
    </row>
    <row r="355" spans="1:27" ht="24" x14ac:dyDescent="0.3">
      <c r="A355" s="39"/>
      <c r="B355" s="25"/>
      <c r="C355" s="45"/>
      <c r="D355" s="46">
        <v>360.86</v>
      </c>
      <c r="E355" s="68">
        <f>AVERAGE(E353:E354)</f>
        <v>7.0735000000000001</v>
      </c>
      <c r="F355" s="70" t="s">
        <v>2883</v>
      </c>
      <c r="G355" s="61"/>
      <c r="H355" s="60"/>
      <c r="I355" s="60"/>
      <c r="J355" s="62"/>
      <c r="K355" s="61"/>
      <c r="L355" s="60"/>
      <c r="M355" s="64"/>
      <c r="N355" s="64"/>
      <c r="O355" s="60"/>
      <c r="P355" s="60"/>
      <c r="Q355" s="64"/>
      <c r="R355" s="67"/>
      <c r="S355" s="63"/>
      <c r="T355" s="64">
        <v>-8.7100000000000009</v>
      </c>
      <c r="U355" s="62" t="s">
        <v>3030</v>
      </c>
      <c r="V355" s="64"/>
      <c r="W355" s="60"/>
      <c r="X355" s="60"/>
      <c r="Y355" s="64">
        <f>1000*$D355*10^T355</f>
        <v>7.0362092226868424E-4</v>
      </c>
      <c r="Z355" s="62" t="s">
        <v>3008</v>
      </c>
      <c r="AA355" s="63"/>
    </row>
    <row r="356" spans="1:27" x14ac:dyDescent="0.3">
      <c r="A356" s="79" t="s">
        <v>2472</v>
      </c>
      <c r="B356" s="80" t="s">
        <v>312</v>
      </c>
      <c r="C356" s="81" t="s">
        <v>313</v>
      </c>
      <c r="D356" s="82">
        <v>360.86</v>
      </c>
      <c r="E356" s="83">
        <v>7.6</v>
      </c>
      <c r="F356" s="84" t="s">
        <v>2309</v>
      </c>
      <c r="G356" s="85"/>
      <c r="H356" s="83"/>
      <c r="I356" s="126">
        <v>127</v>
      </c>
      <c r="J356" s="88" t="s">
        <v>2914</v>
      </c>
      <c r="K356" s="85">
        <f>I356</f>
        <v>127</v>
      </c>
      <c r="L356" s="83">
        <v>25</v>
      </c>
      <c r="M356" s="83"/>
      <c r="N356" s="83"/>
      <c r="O356" s="83"/>
      <c r="P356" s="83"/>
      <c r="Q356" s="92">
        <v>1.61E-6</v>
      </c>
      <c r="R356" s="84" t="s">
        <v>2310</v>
      </c>
      <c r="S356" s="86"/>
      <c r="T356" s="87"/>
      <c r="U356" s="88"/>
      <c r="V356" s="83"/>
      <c r="W356" s="83"/>
      <c r="X356" s="83"/>
      <c r="Y356" s="87">
        <v>5.3299999999999997E-3</v>
      </c>
      <c r="Z356" s="84" t="s">
        <v>2310</v>
      </c>
      <c r="AA356" s="86"/>
    </row>
    <row r="357" spans="1:27" x14ac:dyDescent="0.3">
      <c r="A357" s="39"/>
      <c r="B357" s="25"/>
      <c r="C357" s="45"/>
      <c r="D357" s="46">
        <v>360.86</v>
      </c>
      <c r="E357" s="60">
        <v>7.6</v>
      </c>
      <c r="F357" s="67" t="s">
        <v>3005</v>
      </c>
      <c r="G357" s="61"/>
      <c r="H357" s="60"/>
      <c r="I357" s="60"/>
      <c r="J357" s="62"/>
      <c r="K357" s="61"/>
      <c r="L357" s="60">
        <v>25</v>
      </c>
      <c r="M357" s="60"/>
      <c r="N357" s="60"/>
      <c r="O357" s="60"/>
      <c r="P357" s="60"/>
      <c r="Q357" s="65">
        <v>1.61E-6</v>
      </c>
      <c r="R357" s="67" t="s">
        <v>3005</v>
      </c>
      <c r="S357" s="63"/>
      <c r="T357" s="64"/>
      <c r="U357" s="62"/>
      <c r="V357" s="60"/>
      <c r="W357" s="60"/>
      <c r="X357" s="60"/>
      <c r="Y357" s="64">
        <v>5.3299999999999997E-3</v>
      </c>
      <c r="Z357" s="67" t="s">
        <v>3005</v>
      </c>
      <c r="AA357" s="63"/>
    </row>
    <row r="358" spans="1:27" x14ac:dyDescent="0.3">
      <c r="A358" s="39"/>
      <c r="B358" s="25"/>
      <c r="C358" s="45"/>
      <c r="D358" s="46">
        <v>360.86</v>
      </c>
      <c r="E358" s="60"/>
      <c r="F358" s="67"/>
      <c r="G358" s="61"/>
      <c r="H358" s="60"/>
      <c r="I358" s="60"/>
      <c r="J358" s="62"/>
      <c r="K358" s="61"/>
      <c r="L358" s="60"/>
      <c r="M358" s="60"/>
      <c r="N358" s="60"/>
      <c r="O358" s="60"/>
      <c r="P358" s="60"/>
      <c r="Q358" s="65"/>
      <c r="R358" s="67"/>
      <c r="S358" s="63"/>
      <c r="T358" s="64">
        <v>-7.82</v>
      </c>
      <c r="U358" s="62" t="s">
        <v>3030</v>
      </c>
      <c r="V358" s="60"/>
      <c r="W358" s="60"/>
      <c r="X358" s="60"/>
      <c r="Y358" s="64">
        <f>1000*$D358*10^T358</f>
        <v>5.4618371211068821E-3</v>
      </c>
      <c r="Z358" s="62" t="s">
        <v>3008</v>
      </c>
      <c r="AA358" s="63"/>
    </row>
    <row r="359" spans="1:27" x14ac:dyDescent="0.3">
      <c r="A359" s="130" t="s">
        <v>2473</v>
      </c>
      <c r="B359" s="131" t="s">
        <v>314</v>
      </c>
      <c r="C359" s="132" t="s">
        <v>315</v>
      </c>
      <c r="D359" s="133">
        <v>360.86</v>
      </c>
      <c r="E359" s="141">
        <v>7.6</v>
      </c>
      <c r="F359" s="139" t="s">
        <v>2309</v>
      </c>
      <c r="G359" s="135"/>
      <c r="H359" s="134"/>
      <c r="I359" s="134"/>
      <c r="J359" s="134"/>
      <c r="K359" s="135"/>
      <c r="L359" s="134"/>
      <c r="M359" s="134"/>
      <c r="N359" s="134"/>
      <c r="O359" s="134"/>
      <c r="P359" s="134"/>
      <c r="Q359" s="134"/>
      <c r="R359" s="134"/>
      <c r="S359" s="136"/>
      <c r="T359" s="134"/>
      <c r="U359" s="134"/>
      <c r="V359" s="134"/>
      <c r="W359" s="134"/>
      <c r="X359" s="134"/>
      <c r="Y359" s="137"/>
      <c r="Z359" s="134"/>
      <c r="AA359" s="136"/>
    </row>
    <row r="360" spans="1:27" x14ac:dyDescent="0.3">
      <c r="A360" s="79" t="s">
        <v>2474</v>
      </c>
      <c r="B360" s="80" t="s">
        <v>316</v>
      </c>
      <c r="C360" s="81" t="s">
        <v>317</v>
      </c>
      <c r="D360" s="82">
        <v>360.86</v>
      </c>
      <c r="E360" s="83"/>
      <c r="F360" s="83"/>
      <c r="G360" s="85"/>
      <c r="H360" s="83"/>
      <c r="I360" s="83">
        <v>107</v>
      </c>
      <c r="J360" s="84" t="s">
        <v>2309</v>
      </c>
      <c r="K360" s="85">
        <f>I362</f>
        <v>107</v>
      </c>
      <c r="L360" s="83"/>
      <c r="M360" s="83"/>
      <c r="N360" s="83"/>
      <c r="O360" s="83"/>
      <c r="P360" s="83"/>
      <c r="Q360" s="83"/>
      <c r="R360" s="83"/>
      <c r="S360" s="86"/>
      <c r="T360" s="87"/>
      <c r="U360" s="88"/>
      <c r="V360" s="83"/>
      <c r="W360" s="83"/>
      <c r="X360" s="83"/>
      <c r="Y360" s="87">
        <v>8.0700000000000008E-3</v>
      </c>
      <c r="Z360" s="84" t="s">
        <v>2310</v>
      </c>
      <c r="AA360" s="86"/>
    </row>
    <row r="361" spans="1:27" x14ac:dyDescent="0.3">
      <c r="A361" s="39"/>
      <c r="B361" s="25"/>
      <c r="C361" s="45"/>
      <c r="D361" s="46">
        <v>360.86</v>
      </c>
      <c r="E361" s="60"/>
      <c r="F361" s="60"/>
      <c r="G361" s="61"/>
      <c r="H361" s="60"/>
      <c r="I361" s="60">
        <v>107</v>
      </c>
      <c r="J361" s="67" t="s">
        <v>3005</v>
      </c>
      <c r="K361" s="61"/>
      <c r="L361" s="60"/>
      <c r="M361" s="60"/>
      <c r="N361" s="60"/>
      <c r="O361" s="60"/>
      <c r="P361" s="60"/>
      <c r="Q361" s="60"/>
      <c r="R361" s="60"/>
      <c r="S361" s="63"/>
      <c r="T361" s="64"/>
      <c r="U361" s="62"/>
      <c r="V361" s="60"/>
      <c r="W361" s="60"/>
      <c r="X361" s="60"/>
      <c r="Y361" s="64">
        <v>8.0700000000000008E-3</v>
      </c>
      <c r="Z361" s="67" t="s">
        <v>3005</v>
      </c>
      <c r="AA361" s="63"/>
    </row>
    <row r="362" spans="1:27" x14ac:dyDescent="0.3">
      <c r="A362" s="39"/>
      <c r="B362" s="25"/>
      <c r="C362" s="45"/>
      <c r="D362" s="46">
        <v>360.86</v>
      </c>
      <c r="E362" s="60"/>
      <c r="F362" s="60"/>
      <c r="G362" s="61"/>
      <c r="H362" s="60"/>
      <c r="I362" s="68">
        <v>107</v>
      </c>
      <c r="J362" s="62" t="s">
        <v>2914</v>
      </c>
      <c r="K362" s="61"/>
      <c r="L362" s="60"/>
      <c r="M362" s="60"/>
      <c r="N362" s="60"/>
      <c r="O362" s="60"/>
      <c r="P362" s="60"/>
      <c r="Q362" s="60"/>
      <c r="R362" s="60"/>
      <c r="S362" s="63"/>
      <c r="T362" s="64">
        <v>-7.66</v>
      </c>
      <c r="U362" s="62" t="s">
        <v>3030</v>
      </c>
      <c r="V362" s="60"/>
      <c r="W362" s="60"/>
      <c r="X362" s="60"/>
      <c r="Y362" s="64">
        <f>1000*$D362*10^T362</f>
        <v>7.8947565961843442E-3</v>
      </c>
      <c r="Z362" s="62" t="s">
        <v>3008</v>
      </c>
      <c r="AA362" s="63"/>
    </row>
    <row r="363" spans="1:27" x14ac:dyDescent="0.3">
      <c r="A363" s="79" t="s">
        <v>2475</v>
      </c>
      <c r="B363" s="80" t="s">
        <v>318</v>
      </c>
      <c r="C363" s="81" t="s">
        <v>319</v>
      </c>
      <c r="D363" s="82">
        <v>360.86</v>
      </c>
      <c r="E363" s="83">
        <v>7.43</v>
      </c>
      <c r="F363" s="84" t="s">
        <v>2309</v>
      </c>
      <c r="G363" s="85"/>
      <c r="H363" s="83"/>
      <c r="I363" s="83"/>
      <c r="J363" s="83"/>
      <c r="K363" s="85"/>
      <c r="L363" s="83"/>
      <c r="M363" s="83"/>
      <c r="N363" s="83"/>
      <c r="O363" s="83"/>
      <c r="P363" s="83"/>
      <c r="Q363" s="83"/>
      <c r="R363" s="83"/>
      <c r="S363" s="86"/>
      <c r="T363" s="83"/>
      <c r="U363" s="83"/>
      <c r="V363" s="83"/>
      <c r="W363" s="83"/>
      <c r="X363" s="83"/>
      <c r="Y363" s="92"/>
      <c r="Z363" s="83"/>
      <c r="AA363" s="86"/>
    </row>
    <row r="364" spans="1:27" x14ac:dyDescent="0.3">
      <c r="A364" s="39"/>
      <c r="B364" s="25"/>
      <c r="C364" s="45"/>
      <c r="D364" s="46">
        <v>360.86</v>
      </c>
      <c r="E364" s="60">
        <v>7.43</v>
      </c>
      <c r="F364" s="67" t="s">
        <v>3005</v>
      </c>
      <c r="G364" s="61"/>
      <c r="H364" s="60"/>
      <c r="I364" s="60"/>
      <c r="J364" s="60"/>
      <c r="K364" s="61"/>
      <c r="L364" s="60"/>
      <c r="M364" s="60"/>
      <c r="N364" s="60"/>
      <c r="O364" s="60"/>
      <c r="P364" s="60"/>
      <c r="Q364" s="60"/>
      <c r="R364" s="60"/>
      <c r="S364" s="63"/>
      <c r="T364" s="60"/>
      <c r="U364" s="60"/>
      <c r="V364" s="60"/>
      <c r="W364" s="60"/>
      <c r="X364" s="60"/>
      <c r="Y364" s="65"/>
      <c r="Z364" s="60"/>
      <c r="AA364" s="63"/>
    </row>
    <row r="365" spans="1:27" x14ac:dyDescent="0.3">
      <c r="A365" s="79" t="s">
        <v>2476</v>
      </c>
      <c r="B365" s="80" t="s">
        <v>320</v>
      </c>
      <c r="C365" s="81" t="s">
        <v>321</v>
      </c>
      <c r="D365" s="82">
        <v>360.86</v>
      </c>
      <c r="E365" s="83">
        <v>7.3</v>
      </c>
      <c r="F365" s="84" t="s">
        <v>2309</v>
      </c>
      <c r="G365" s="85"/>
      <c r="H365" s="83"/>
      <c r="I365" s="83"/>
      <c r="J365" s="83"/>
      <c r="K365" s="85"/>
      <c r="L365" s="83"/>
      <c r="M365" s="83"/>
      <c r="N365" s="83"/>
      <c r="O365" s="83"/>
      <c r="P365" s="83"/>
      <c r="Q365" s="83"/>
      <c r="R365" s="83"/>
      <c r="S365" s="86"/>
      <c r="T365" s="83"/>
      <c r="U365" s="83"/>
      <c r="V365" s="83"/>
      <c r="W365" s="83"/>
      <c r="X365" s="83"/>
      <c r="Y365" s="92"/>
      <c r="Z365" s="83"/>
      <c r="AA365" s="86"/>
    </row>
    <row r="366" spans="1:27" x14ac:dyDescent="0.3">
      <c r="A366" s="39"/>
      <c r="B366" s="25"/>
      <c r="C366" s="45"/>
      <c r="D366" s="46">
        <v>360.86</v>
      </c>
      <c r="E366" s="60">
        <v>7.3</v>
      </c>
      <c r="F366" s="67" t="s">
        <v>3005</v>
      </c>
      <c r="G366" s="61"/>
      <c r="H366" s="60"/>
      <c r="I366" s="60"/>
      <c r="J366" s="60"/>
      <c r="K366" s="61"/>
      <c r="L366" s="60"/>
      <c r="M366" s="60"/>
      <c r="N366" s="60"/>
      <c r="O366" s="60"/>
      <c r="P366" s="60"/>
      <c r="Q366" s="60"/>
      <c r="R366" s="60"/>
      <c r="S366" s="63"/>
      <c r="T366" s="60"/>
      <c r="U366" s="60"/>
      <c r="V366" s="60"/>
      <c r="W366" s="60"/>
      <c r="X366" s="60"/>
      <c r="Y366" s="65"/>
      <c r="Z366" s="60"/>
      <c r="AA366" s="63"/>
    </row>
    <row r="367" spans="1:27" x14ac:dyDescent="0.3">
      <c r="A367" s="79" t="s">
        <v>2477</v>
      </c>
      <c r="B367" s="80" t="s">
        <v>322</v>
      </c>
      <c r="C367" s="81" t="s">
        <v>323</v>
      </c>
      <c r="D367" s="82">
        <v>360.86</v>
      </c>
      <c r="E367" s="83">
        <v>7.1</v>
      </c>
      <c r="F367" s="84" t="s">
        <v>2309</v>
      </c>
      <c r="G367" s="85"/>
      <c r="H367" s="83"/>
      <c r="I367" s="83"/>
      <c r="J367" s="83"/>
      <c r="K367" s="85"/>
      <c r="L367" s="83"/>
      <c r="M367" s="83"/>
      <c r="N367" s="83"/>
      <c r="O367" s="83"/>
      <c r="P367" s="83"/>
      <c r="Q367" s="83"/>
      <c r="R367" s="83"/>
      <c r="S367" s="86"/>
      <c r="T367" s="83"/>
      <c r="U367" s="83"/>
      <c r="V367" s="83"/>
      <c r="W367" s="83"/>
      <c r="X367" s="83"/>
      <c r="Y367" s="92"/>
      <c r="Z367" s="83"/>
      <c r="AA367" s="86"/>
    </row>
    <row r="368" spans="1:27" x14ac:dyDescent="0.3">
      <c r="A368" s="39"/>
      <c r="B368" s="25"/>
      <c r="C368" s="45"/>
      <c r="D368" s="46">
        <v>360.86</v>
      </c>
      <c r="E368" s="60">
        <v>7.1</v>
      </c>
      <c r="F368" s="67" t="s">
        <v>3005</v>
      </c>
      <c r="G368" s="61"/>
      <c r="H368" s="60"/>
      <c r="I368" s="60"/>
      <c r="J368" s="60"/>
      <c r="K368" s="61"/>
      <c r="L368" s="60"/>
      <c r="M368" s="60"/>
      <c r="N368" s="60"/>
      <c r="O368" s="60"/>
      <c r="P368" s="60"/>
      <c r="Q368" s="60"/>
      <c r="R368" s="60"/>
      <c r="S368" s="63"/>
      <c r="T368" s="60"/>
      <c r="U368" s="60"/>
      <c r="V368" s="60"/>
      <c r="W368" s="60"/>
      <c r="X368" s="60"/>
      <c r="Y368" s="65"/>
      <c r="Z368" s="60"/>
      <c r="AA368" s="63"/>
    </row>
    <row r="369" spans="1:27" x14ac:dyDescent="0.3">
      <c r="A369" s="79" t="s">
        <v>2478</v>
      </c>
      <c r="B369" s="80" t="s">
        <v>324</v>
      </c>
      <c r="C369" s="81" t="s">
        <v>325</v>
      </c>
      <c r="D369" s="82">
        <v>360.86</v>
      </c>
      <c r="E369" s="83">
        <v>7.47</v>
      </c>
      <c r="F369" s="84" t="s">
        <v>2309</v>
      </c>
      <c r="G369" s="85"/>
      <c r="H369" s="83"/>
      <c r="I369" s="83"/>
      <c r="J369" s="83"/>
      <c r="K369" s="85"/>
      <c r="L369" s="83"/>
      <c r="M369" s="83"/>
      <c r="N369" s="83"/>
      <c r="O369" s="83"/>
      <c r="P369" s="83"/>
      <c r="Q369" s="83"/>
      <c r="R369" s="83"/>
      <c r="S369" s="86"/>
      <c r="T369" s="83"/>
      <c r="U369" s="83"/>
      <c r="V369" s="83"/>
      <c r="W369" s="83"/>
      <c r="X369" s="83"/>
      <c r="Y369" s="92"/>
      <c r="Z369" s="83"/>
      <c r="AA369" s="86"/>
    </row>
    <row r="370" spans="1:27" x14ac:dyDescent="0.3">
      <c r="A370" s="39"/>
      <c r="B370" s="25"/>
      <c r="C370" s="45"/>
      <c r="D370" s="46">
        <v>360.86</v>
      </c>
      <c r="E370" s="60">
        <v>7.47</v>
      </c>
      <c r="F370" s="67" t="s">
        <v>3005</v>
      </c>
      <c r="G370" s="61"/>
      <c r="H370" s="60"/>
      <c r="I370" s="60"/>
      <c r="J370" s="60"/>
      <c r="K370" s="61"/>
      <c r="L370" s="60"/>
      <c r="M370" s="60"/>
      <c r="N370" s="60"/>
      <c r="O370" s="60"/>
      <c r="P370" s="60"/>
      <c r="Q370" s="60"/>
      <c r="R370" s="60"/>
      <c r="S370" s="63"/>
      <c r="T370" s="60"/>
      <c r="U370" s="60"/>
      <c r="V370" s="60"/>
      <c r="W370" s="60"/>
      <c r="X370" s="60"/>
      <c r="Y370" s="65"/>
      <c r="Z370" s="60"/>
      <c r="AA370" s="63"/>
    </row>
    <row r="371" spans="1:27" x14ac:dyDescent="0.3">
      <c r="A371" s="79" t="s">
        <v>2479</v>
      </c>
      <c r="B371" s="80" t="s">
        <v>326</v>
      </c>
      <c r="C371" s="81" t="s">
        <v>327</v>
      </c>
      <c r="D371" s="82">
        <v>360.86</v>
      </c>
      <c r="E371" s="83">
        <v>7.2</v>
      </c>
      <c r="F371" s="84" t="s">
        <v>2309</v>
      </c>
      <c r="G371" s="85"/>
      <c r="H371" s="83"/>
      <c r="I371" s="83"/>
      <c r="J371" s="83"/>
      <c r="K371" s="85"/>
      <c r="L371" s="83"/>
      <c r="M371" s="83"/>
      <c r="N371" s="83"/>
      <c r="O371" s="83"/>
      <c r="P371" s="83"/>
      <c r="Q371" s="83"/>
      <c r="R371" s="83"/>
      <c r="S371" s="86"/>
      <c r="T371" s="83"/>
      <c r="U371" s="83"/>
      <c r="V371" s="83"/>
      <c r="W371" s="83"/>
      <c r="X371" s="83"/>
      <c r="Y371" s="87">
        <v>1.1999999999999999E-3</v>
      </c>
      <c r="Z371" s="84" t="s">
        <v>2310</v>
      </c>
      <c r="AA371" s="86"/>
    </row>
    <row r="372" spans="1:27" x14ac:dyDescent="0.3">
      <c r="A372" s="39"/>
      <c r="B372" s="25"/>
      <c r="C372" s="45"/>
      <c r="D372" s="46">
        <v>360.86</v>
      </c>
      <c r="E372" s="60">
        <v>7.2</v>
      </c>
      <c r="F372" s="67" t="s">
        <v>3005</v>
      </c>
      <c r="G372" s="61"/>
      <c r="H372" s="60"/>
      <c r="I372" s="60"/>
      <c r="J372" s="60"/>
      <c r="K372" s="61"/>
      <c r="L372" s="60"/>
      <c r="M372" s="60"/>
      <c r="N372" s="60"/>
      <c r="O372" s="60"/>
      <c r="P372" s="60"/>
      <c r="Q372" s="60"/>
      <c r="R372" s="60"/>
      <c r="S372" s="63"/>
      <c r="T372" s="60"/>
      <c r="U372" s="60"/>
      <c r="V372" s="60"/>
      <c r="W372" s="60"/>
      <c r="X372" s="60"/>
      <c r="Y372" s="64">
        <v>1.1950000000000001E-3</v>
      </c>
      <c r="Z372" s="67" t="s">
        <v>3005</v>
      </c>
      <c r="AA372" s="63"/>
    </row>
    <row r="373" spans="1:27" x14ac:dyDescent="0.3">
      <c r="A373" s="79" t="s">
        <v>2480</v>
      </c>
      <c r="B373" s="80" t="s">
        <v>328</v>
      </c>
      <c r="C373" s="81" t="s">
        <v>329</v>
      </c>
      <c r="D373" s="82">
        <v>360.86</v>
      </c>
      <c r="E373" s="83"/>
      <c r="F373" s="83"/>
      <c r="G373" s="85"/>
      <c r="H373" s="83"/>
      <c r="I373" s="83"/>
      <c r="J373" s="83"/>
      <c r="K373" s="85"/>
      <c r="L373" s="83"/>
      <c r="M373" s="83"/>
      <c r="N373" s="83"/>
      <c r="O373" s="83"/>
      <c r="P373" s="83"/>
      <c r="Q373" s="83"/>
      <c r="R373" s="83"/>
      <c r="S373" s="86"/>
      <c r="T373" s="83"/>
      <c r="U373" s="83"/>
      <c r="V373" s="83"/>
      <c r="W373" s="83"/>
      <c r="X373" s="83"/>
      <c r="Y373" s="87">
        <v>1.9400000000000001E-3</v>
      </c>
      <c r="Z373" s="84" t="s">
        <v>2310</v>
      </c>
      <c r="AA373" s="86"/>
    </row>
    <row r="374" spans="1:27" x14ac:dyDescent="0.3">
      <c r="A374" s="39"/>
      <c r="B374" s="25"/>
      <c r="C374" s="45"/>
      <c r="D374" s="46">
        <v>360.86</v>
      </c>
      <c r="E374" s="60"/>
      <c r="F374" s="60"/>
      <c r="G374" s="61"/>
      <c r="H374" s="60"/>
      <c r="I374" s="60"/>
      <c r="J374" s="60"/>
      <c r="K374" s="61"/>
      <c r="L374" s="60"/>
      <c r="M374" s="60"/>
      <c r="N374" s="60"/>
      <c r="O374" s="60"/>
      <c r="P374" s="60"/>
      <c r="Q374" s="60"/>
      <c r="R374" s="60"/>
      <c r="S374" s="63"/>
      <c r="T374" s="60"/>
      <c r="U374" s="60"/>
      <c r="V374" s="60"/>
      <c r="W374" s="60"/>
      <c r="X374" s="60"/>
      <c r="Y374" s="64">
        <v>1.9380000000000001E-3</v>
      </c>
      <c r="Z374" s="67" t="s">
        <v>3005</v>
      </c>
      <c r="AA374" s="63"/>
    </row>
    <row r="375" spans="1:27" x14ac:dyDescent="0.3">
      <c r="A375" s="79" t="s">
        <v>2481</v>
      </c>
      <c r="B375" s="80" t="s">
        <v>330</v>
      </c>
      <c r="C375" s="81" t="s">
        <v>331</v>
      </c>
      <c r="D375" s="82">
        <v>360.86</v>
      </c>
      <c r="E375" s="83">
        <v>7.37</v>
      </c>
      <c r="F375" s="84" t="s">
        <v>2309</v>
      </c>
      <c r="G375" s="85"/>
      <c r="H375" s="83"/>
      <c r="I375" s="83"/>
      <c r="J375" s="83"/>
      <c r="K375" s="85"/>
      <c r="L375" s="83"/>
      <c r="M375" s="83"/>
      <c r="N375" s="83"/>
      <c r="O375" s="83"/>
      <c r="P375" s="83"/>
      <c r="Q375" s="83"/>
      <c r="R375" s="83"/>
      <c r="S375" s="86"/>
      <c r="T375" s="83"/>
      <c r="U375" s="83"/>
      <c r="V375" s="83"/>
      <c r="W375" s="83"/>
      <c r="X375" s="83"/>
      <c r="Y375" s="87">
        <v>1.9400000000000001E-3</v>
      </c>
      <c r="Z375" s="84" t="s">
        <v>2310</v>
      </c>
      <c r="AA375" s="86"/>
    </row>
    <row r="376" spans="1:27" x14ac:dyDescent="0.3">
      <c r="A376" s="39"/>
      <c r="B376" s="25"/>
      <c r="C376" s="45"/>
      <c r="D376" s="46">
        <v>360.86</v>
      </c>
      <c r="E376" s="60">
        <v>7.37</v>
      </c>
      <c r="F376" s="67" t="s">
        <v>3005</v>
      </c>
      <c r="G376" s="61"/>
      <c r="H376" s="60"/>
      <c r="I376" s="60"/>
      <c r="J376" s="60"/>
      <c r="K376" s="61"/>
      <c r="L376" s="60"/>
      <c r="M376" s="60"/>
      <c r="N376" s="60"/>
      <c r="O376" s="60"/>
      <c r="P376" s="60"/>
      <c r="Q376" s="60"/>
      <c r="R376" s="60"/>
      <c r="S376" s="63"/>
      <c r="T376" s="60"/>
      <c r="U376" s="60"/>
      <c r="V376" s="60"/>
      <c r="W376" s="60"/>
      <c r="X376" s="60"/>
      <c r="Y376" s="64">
        <v>1.9400000000000001E-3</v>
      </c>
      <c r="Z376" s="67" t="s">
        <v>3005</v>
      </c>
      <c r="AA376" s="63"/>
    </row>
    <row r="377" spans="1:27" x14ac:dyDescent="0.3">
      <c r="A377" s="79" t="s">
        <v>2482</v>
      </c>
      <c r="B377" s="80" t="s">
        <v>332</v>
      </c>
      <c r="C377" s="81" t="s">
        <v>333</v>
      </c>
      <c r="D377" s="82">
        <v>360.86</v>
      </c>
      <c r="E377" s="83">
        <v>7.31</v>
      </c>
      <c r="F377" s="84" t="s">
        <v>2309</v>
      </c>
      <c r="G377" s="85"/>
      <c r="H377" s="83"/>
      <c r="I377" s="83"/>
      <c r="J377" s="83"/>
      <c r="K377" s="85"/>
      <c r="L377" s="83"/>
      <c r="M377" s="83"/>
      <c r="N377" s="83"/>
      <c r="O377" s="83"/>
      <c r="P377" s="83"/>
      <c r="Q377" s="83"/>
      <c r="R377" s="83"/>
      <c r="S377" s="86"/>
      <c r="T377" s="83"/>
      <c r="U377" s="83"/>
      <c r="V377" s="83"/>
      <c r="W377" s="83"/>
      <c r="X377" s="83"/>
      <c r="Y377" s="92"/>
      <c r="Z377" s="83"/>
      <c r="AA377" s="86"/>
    </row>
    <row r="378" spans="1:27" x14ac:dyDescent="0.3">
      <c r="A378" s="39"/>
      <c r="B378" s="25"/>
      <c r="C378" s="45"/>
      <c r="D378" s="46">
        <v>360.86</v>
      </c>
      <c r="E378" s="60">
        <v>7.31</v>
      </c>
      <c r="F378" s="67" t="s">
        <v>3005</v>
      </c>
      <c r="G378" s="61"/>
      <c r="H378" s="60"/>
      <c r="I378" s="60"/>
      <c r="J378" s="60"/>
      <c r="K378" s="61"/>
      <c r="L378" s="60"/>
      <c r="M378" s="60"/>
      <c r="N378" s="60"/>
      <c r="O378" s="60"/>
      <c r="P378" s="60"/>
      <c r="Q378" s="60"/>
      <c r="R378" s="60"/>
      <c r="S378" s="63"/>
      <c r="T378" s="60"/>
      <c r="U378" s="60"/>
      <c r="V378" s="60"/>
      <c r="W378" s="60"/>
      <c r="X378" s="60"/>
      <c r="Y378" s="65"/>
      <c r="Z378" s="60"/>
      <c r="AA378" s="63"/>
    </row>
    <row r="379" spans="1:27" x14ac:dyDescent="0.3">
      <c r="A379" s="79" t="s">
        <v>2483</v>
      </c>
      <c r="B379" s="80" t="s">
        <v>334</v>
      </c>
      <c r="C379" s="81" t="s">
        <v>335</v>
      </c>
      <c r="D379" s="82">
        <v>360.86</v>
      </c>
      <c r="E379" s="83">
        <v>7.5</v>
      </c>
      <c r="F379" s="84" t="s">
        <v>2309</v>
      </c>
      <c r="G379" s="85"/>
      <c r="H379" s="83"/>
      <c r="I379" s="83"/>
      <c r="J379" s="83"/>
      <c r="K379" s="85"/>
      <c r="L379" s="83"/>
      <c r="M379" s="83"/>
      <c r="N379" s="83"/>
      <c r="O379" s="83"/>
      <c r="P379" s="83"/>
      <c r="Q379" s="83"/>
      <c r="R379" s="83"/>
      <c r="S379" s="86"/>
      <c r="T379" s="83"/>
      <c r="U379" s="83"/>
      <c r="V379" s="83"/>
      <c r="W379" s="83"/>
      <c r="X379" s="83"/>
      <c r="Y379" s="87">
        <v>2.2300000000000002E-3</v>
      </c>
      <c r="Z379" s="84" t="s">
        <v>2310</v>
      </c>
      <c r="AA379" s="86"/>
    </row>
    <row r="380" spans="1:27" x14ac:dyDescent="0.3">
      <c r="A380" s="39"/>
      <c r="B380" s="25"/>
      <c r="C380" s="45"/>
      <c r="D380" s="46">
        <v>360.86</v>
      </c>
      <c r="E380" s="60">
        <v>7.5</v>
      </c>
      <c r="F380" s="67" t="s">
        <v>3005</v>
      </c>
      <c r="G380" s="61"/>
      <c r="H380" s="60"/>
      <c r="I380" s="60"/>
      <c r="J380" s="60"/>
      <c r="K380" s="61"/>
      <c r="L380" s="60"/>
      <c r="M380" s="60"/>
      <c r="N380" s="60"/>
      <c r="O380" s="60"/>
      <c r="P380" s="60"/>
      <c r="Q380" s="60"/>
      <c r="R380" s="60"/>
      <c r="S380" s="63"/>
      <c r="T380" s="60"/>
      <c r="U380" s="60"/>
      <c r="V380" s="60"/>
      <c r="W380" s="60"/>
      <c r="X380" s="60"/>
      <c r="Y380" s="64">
        <v>2.225E-3</v>
      </c>
      <c r="Z380" s="67" t="s">
        <v>3005</v>
      </c>
      <c r="AA380" s="63"/>
    </row>
    <row r="381" spans="1:27" x14ac:dyDescent="0.3">
      <c r="A381" s="79" t="s">
        <v>2484</v>
      </c>
      <c r="B381" s="80" t="s">
        <v>336</v>
      </c>
      <c r="C381" s="81" t="s">
        <v>337</v>
      </c>
      <c r="D381" s="82">
        <v>360.86</v>
      </c>
      <c r="E381" s="83">
        <v>7.25</v>
      </c>
      <c r="F381" s="84" t="s">
        <v>2309</v>
      </c>
      <c r="G381" s="85"/>
      <c r="H381" s="83"/>
      <c r="I381" s="83"/>
      <c r="J381" s="83"/>
      <c r="K381" s="85"/>
      <c r="L381" s="83"/>
      <c r="M381" s="83"/>
      <c r="N381" s="83"/>
      <c r="O381" s="83"/>
      <c r="P381" s="83"/>
      <c r="Q381" s="83"/>
      <c r="R381" s="83"/>
      <c r="S381" s="86"/>
      <c r="T381" s="83"/>
      <c r="U381" s="83"/>
      <c r="V381" s="83"/>
      <c r="W381" s="83"/>
      <c r="X381" s="83"/>
      <c r="Y381" s="92"/>
      <c r="Z381" s="83"/>
      <c r="AA381" s="86"/>
    </row>
    <row r="382" spans="1:27" x14ac:dyDescent="0.3">
      <c r="A382" s="39"/>
      <c r="B382" s="25"/>
      <c r="C382" s="45"/>
      <c r="D382" s="46">
        <v>360.86</v>
      </c>
      <c r="E382" s="60">
        <v>7.25</v>
      </c>
      <c r="F382" s="67" t="s">
        <v>3005</v>
      </c>
      <c r="G382" s="61"/>
      <c r="H382" s="60"/>
      <c r="I382" s="60"/>
      <c r="J382" s="60"/>
      <c r="K382" s="61"/>
      <c r="L382" s="60"/>
      <c r="M382" s="60"/>
      <c r="N382" s="60"/>
      <c r="O382" s="60"/>
      <c r="P382" s="60"/>
      <c r="Q382" s="60"/>
      <c r="R382" s="60"/>
      <c r="S382" s="63"/>
      <c r="T382" s="60"/>
      <c r="U382" s="60"/>
      <c r="V382" s="60"/>
      <c r="W382" s="60"/>
      <c r="X382" s="60"/>
      <c r="Y382" s="65"/>
      <c r="Z382" s="60"/>
      <c r="AA382" s="63"/>
    </row>
    <row r="383" spans="1:27" x14ac:dyDescent="0.3">
      <c r="A383" s="79" t="s">
        <v>2485</v>
      </c>
      <c r="B383" s="80" t="s">
        <v>338</v>
      </c>
      <c r="C383" s="81" t="s">
        <v>339</v>
      </c>
      <c r="D383" s="82">
        <v>360.86</v>
      </c>
      <c r="E383" s="83">
        <v>7.41</v>
      </c>
      <c r="F383" s="84" t="s">
        <v>2309</v>
      </c>
      <c r="G383" s="85">
        <f>E387</f>
        <v>7.3440000000000003</v>
      </c>
      <c r="H383" s="83"/>
      <c r="I383" s="83"/>
      <c r="J383" s="83"/>
      <c r="K383" s="85"/>
      <c r="L383" s="83"/>
      <c r="M383" s="83"/>
      <c r="N383" s="83"/>
      <c r="O383" s="83"/>
      <c r="P383" s="83"/>
      <c r="Q383" s="83"/>
      <c r="R383" s="83"/>
      <c r="S383" s="86"/>
      <c r="T383" s="83"/>
      <c r="U383" s="83"/>
      <c r="V383" s="83"/>
      <c r="W383" s="83"/>
      <c r="X383" s="83"/>
      <c r="Y383" s="87">
        <v>5.1000000000000004E-4</v>
      </c>
      <c r="Z383" s="84" t="s">
        <v>2310</v>
      </c>
      <c r="AA383" s="86"/>
    </row>
    <row r="384" spans="1:27" x14ac:dyDescent="0.3">
      <c r="A384" s="39"/>
      <c r="B384" s="25"/>
      <c r="C384" s="45"/>
      <c r="D384" s="46">
        <v>360.86</v>
      </c>
      <c r="E384" s="60">
        <v>7.41</v>
      </c>
      <c r="F384" s="67" t="s">
        <v>3005</v>
      </c>
      <c r="G384" s="61"/>
      <c r="H384" s="60"/>
      <c r="I384" s="60"/>
      <c r="J384" s="60"/>
      <c r="K384" s="61"/>
      <c r="L384" s="60"/>
      <c r="M384" s="60"/>
      <c r="N384" s="60"/>
      <c r="O384" s="60"/>
      <c r="P384" s="60"/>
      <c r="Q384" s="60"/>
      <c r="R384" s="60"/>
      <c r="S384" s="63"/>
      <c r="T384" s="60"/>
      <c r="U384" s="60"/>
      <c r="V384" s="60"/>
      <c r="W384" s="60"/>
      <c r="X384" s="60"/>
      <c r="Y384" s="64">
        <v>5.1000000000000004E-4</v>
      </c>
      <c r="Z384" s="67" t="s">
        <v>3005</v>
      </c>
      <c r="AA384" s="63"/>
    </row>
    <row r="385" spans="1:27" x14ac:dyDescent="0.3">
      <c r="A385" s="39"/>
      <c r="B385" s="25"/>
      <c r="C385" s="45"/>
      <c r="D385" s="46">
        <v>360.86</v>
      </c>
      <c r="E385" s="60">
        <v>7.4080000000000004</v>
      </c>
      <c r="F385" s="67" t="s">
        <v>2969</v>
      </c>
      <c r="G385" s="61"/>
      <c r="H385" s="60"/>
      <c r="I385" s="60"/>
      <c r="J385" s="60"/>
      <c r="K385" s="61"/>
      <c r="L385" s="60"/>
      <c r="M385" s="60"/>
      <c r="N385" s="60"/>
      <c r="O385" s="60"/>
      <c r="P385" s="60"/>
      <c r="Q385" s="60"/>
      <c r="R385" s="60"/>
      <c r="S385" s="63"/>
      <c r="T385" s="60"/>
      <c r="U385" s="60"/>
      <c r="V385" s="60"/>
      <c r="W385" s="60"/>
      <c r="X385" s="60"/>
      <c r="Y385" s="65"/>
      <c r="Z385" s="60"/>
      <c r="AA385" s="63"/>
    </row>
    <row r="386" spans="1:27" x14ac:dyDescent="0.3">
      <c r="A386" s="39"/>
      <c r="B386" s="25"/>
      <c r="C386" s="45"/>
      <c r="D386" s="46">
        <v>360.86</v>
      </c>
      <c r="E386" s="60">
        <v>7.28</v>
      </c>
      <c r="F386" s="67" t="s">
        <v>2884</v>
      </c>
      <c r="G386" s="61"/>
      <c r="H386" s="60"/>
      <c r="I386" s="60"/>
      <c r="J386" s="60"/>
      <c r="K386" s="61"/>
      <c r="L386" s="60"/>
      <c r="M386" s="60"/>
      <c r="N386" s="60"/>
      <c r="O386" s="60"/>
      <c r="P386" s="60"/>
      <c r="Q386" s="60"/>
      <c r="R386" s="60"/>
      <c r="S386" s="63"/>
      <c r="T386" s="60"/>
      <c r="U386" s="60"/>
      <c r="V386" s="60"/>
      <c r="W386" s="60"/>
      <c r="X386" s="60"/>
      <c r="Y386" s="65"/>
      <c r="Z386" s="60"/>
      <c r="AA386" s="63"/>
    </row>
    <row r="387" spans="1:27" ht="24" x14ac:dyDescent="0.3">
      <c r="A387" s="39"/>
      <c r="B387" s="25"/>
      <c r="C387" s="45"/>
      <c r="D387" s="46">
        <v>360.86</v>
      </c>
      <c r="E387" s="68">
        <f>AVERAGE(E385:E386)</f>
        <v>7.3440000000000003</v>
      </c>
      <c r="F387" s="70" t="s">
        <v>2883</v>
      </c>
      <c r="G387" s="61"/>
      <c r="H387" s="60"/>
      <c r="I387" s="60"/>
      <c r="J387" s="60"/>
      <c r="K387" s="61"/>
      <c r="L387" s="60"/>
      <c r="M387" s="60"/>
      <c r="N387" s="60"/>
      <c r="O387" s="60"/>
      <c r="P387" s="60"/>
      <c r="Q387" s="60"/>
      <c r="R387" s="60"/>
      <c r="S387" s="63"/>
      <c r="T387" s="60"/>
      <c r="U387" s="60"/>
      <c r="V387" s="60"/>
      <c r="W387" s="60"/>
      <c r="X387" s="60"/>
      <c r="Y387" s="65"/>
      <c r="Z387" s="60"/>
      <c r="AA387" s="63"/>
    </row>
    <row r="388" spans="1:27" x14ac:dyDescent="0.3">
      <c r="A388" s="79" t="s">
        <v>2486</v>
      </c>
      <c r="B388" s="80" t="s">
        <v>340</v>
      </c>
      <c r="C388" s="81" t="s">
        <v>341</v>
      </c>
      <c r="D388" s="82">
        <v>395.31</v>
      </c>
      <c r="E388" s="83"/>
      <c r="F388" s="83"/>
      <c r="G388" s="85"/>
      <c r="H388" s="83"/>
      <c r="I388" s="83"/>
      <c r="J388" s="83"/>
      <c r="K388" s="85"/>
      <c r="L388" s="83">
        <v>25</v>
      </c>
      <c r="M388" s="83"/>
      <c r="N388" s="83"/>
      <c r="O388" s="83"/>
      <c r="P388" s="83"/>
      <c r="Q388" s="92">
        <v>6.2799999999999996E-7</v>
      </c>
      <c r="R388" s="84" t="s">
        <v>2310</v>
      </c>
      <c r="S388" s="86"/>
      <c r="T388" s="93"/>
      <c r="U388" s="93"/>
      <c r="V388" s="83"/>
      <c r="W388" s="83"/>
      <c r="X388" s="83"/>
      <c r="Y388" s="87">
        <v>3.47E-3</v>
      </c>
      <c r="Z388" s="84" t="s">
        <v>2310</v>
      </c>
      <c r="AA388" s="86"/>
    </row>
    <row r="389" spans="1:27" x14ac:dyDescent="0.3">
      <c r="A389" s="39"/>
      <c r="B389" s="25"/>
      <c r="C389" s="45"/>
      <c r="D389" s="46">
        <v>395.31</v>
      </c>
      <c r="E389" s="60"/>
      <c r="F389" s="60"/>
      <c r="G389" s="61"/>
      <c r="H389" s="60"/>
      <c r="I389" s="60"/>
      <c r="J389" s="60"/>
      <c r="K389" s="61"/>
      <c r="L389" s="60">
        <v>25</v>
      </c>
      <c r="M389" s="60"/>
      <c r="N389" s="60"/>
      <c r="O389" s="60"/>
      <c r="P389" s="60"/>
      <c r="Q389" s="65">
        <v>6.2799999999999996E-7</v>
      </c>
      <c r="R389" s="67" t="s">
        <v>3005</v>
      </c>
      <c r="S389" s="63"/>
      <c r="T389" s="71"/>
      <c r="U389" s="71"/>
      <c r="V389" s="60"/>
      <c r="W389" s="60"/>
      <c r="X389" s="60"/>
      <c r="Y389" s="64">
        <v>3.47E-3</v>
      </c>
      <c r="Z389" s="67" t="s">
        <v>3005</v>
      </c>
      <c r="AA389" s="63"/>
    </row>
    <row r="390" spans="1:27" x14ac:dyDescent="0.3">
      <c r="A390" s="79" t="s">
        <v>2487</v>
      </c>
      <c r="B390" s="80" t="s">
        <v>342</v>
      </c>
      <c r="C390" s="81" t="s">
        <v>343</v>
      </c>
      <c r="D390" s="82">
        <v>395.31</v>
      </c>
      <c r="E390" s="83"/>
      <c r="F390" s="83"/>
      <c r="G390" s="85"/>
      <c r="H390" s="83">
        <v>395.4</v>
      </c>
      <c r="I390" s="126">
        <f>H390-$H$1</f>
        <v>122.25</v>
      </c>
      <c r="J390" s="84" t="s">
        <v>2745</v>
      </c>
      <c r="K390" s="85">
        <f>I390</f>
        <v>122.25</v>
      </c>
      <c r="L390" s="83">
        <v>25</v>
      </c>
      <c r="M390" s="83"/>
      <c r="N390" s="83"/>
      <c r="O390" s="83"/>
      <c r="P390" s="83"/>
      <c r="Q390" s="92">
        <v>1.3999999999999999E-6</v>
      </c>
      <c r="R390" s="84" t="s">
        <v>2310</v>
      </c>
      <c r="S390" s="86"/>
      <c r="T390" s="87"/>
      <c r="U390" s="88"/>
      <c r="V390" s="83"/>
      <c r="W390" s="83"/>
      <c r="X390" s="83"/>
      <c r="Y390" s="87">
        <v>2.1700000000000001E-3</v>
      </c>
      <c r="Z390" s="84" t="s">
        <v>2310</v>
      </c>
      <c r="AA390" s="86"/>
    </row>
    <row r="391" spans="1:27" x14ac:dyDescent="0.3">
      <c r="A391" s="39"/>
      <c r="B391" s="25"/>
      <c r="C391" s="45"/>
      <c r="D391" s="46">
        <v>395.31</v>
      </c>
      <c r="E391" s="60"/>
      <c r="F391" s="60"/>
      <c r="G391" s="61"/>
      <c r="H391" s="60"/>
      <c r="I391" s="68"/>
      <c r="J391" s="67"/>
      <c r="K391" s="61"/>
      <c r="L391" s="60">
        <v>25</v>
      </c>
      <c r="M391" s="60"/>
      <c r="N391" s="60"/>
      <c r="O391" s="60"/>
      <c r="P391" s="60"/>
      <c r="Q391" s="65">
        <v>1.3999999999999999E-6</v>
      </c>
      <c r="R391" s="67" t="s">
        <v>3005</v>
      </c>
      <c r="S391" s="63"/>
      <c r="T391" s="64"/>
      <c r="U391" s="62"/>
      <c r="V391" s="60"/>
      <c r="W391" s="60"/>
      <c r="X391" s="60"/>
      <c r="Y391" s="64">
        <v>2.1700000000000001E-3</v>
      </c>
      <c r="Z391" s="67" t="s">
        <v>3005</v>
      </c>
      <c r="AA391" s="63"/>
    </row>
    <row r="392" spans="1:27" x14ac:dyDescent="0.3">
      <c r="A392" s="39"/>
      <c r="B392" s="25"/>
      <c r="C392" s="45"/>
      <c r="D392" s="46">
        <v>395.31</v>
      </c>
      <c r="E392" s="60"/>
      <c r="F392" s="60"/>
      <c r="G392" s="61"/>
      <c r="H392" s="60"/>
      <c r="I392" s="68"/>
      <c r="J392" s="67"/>
      <c r="K392" s="61"/>
      <c r="L392" s="60"/>
      <c r="M392" s="60"/>
      <c r="N392" s="60"/>
      <c r="O392" s="60"/>
      <c r="P392" s="60"/>
      <c r="Q392" s="65"/>
      <c r="R392" s="67"/>
      <c r="S392" s="63"/>
      <c r="T392" s="64">
        <v>-8.3000000000000007</v>
      </c>
      <c r="U392" s="62" t="s">
        <v>3030</v>
      </c>
      <c r="V392" s="60"/>
      <c r="W392" s="60"/>
      <c r="X392" s="60"/>
      <c r="Y392" s="64">
        <f>1000*$D392*10^T392</f>
        <v>1.9812432532519656E-3</v>
      </c>
      <c r="Z392" s="62" t="s">
        <v>3008</v>
      </c>
      <c r="AA392" s="63"/>
    </row>
    <row r="393" spans="1:27" x14ac:dyDescent="0.3">
      <c r="A393" s="79" t="s">
        <v>2488</v>
      </c>
      <c r="B393" s="80" t="s">
        <v>344</v>
      </c>
      <c r="C393" s="81" t="s">
        <v>345</v>
      </c>
      <c r="D393" s="82">
        <v>395.31</v>
      </c>
      <c r="E393" s="83"/>
      <c r="F393" s="83"/>
      <c r="G393" s="85"/>
      <c r="H393" s="83"/>
      <c r="I393" s="83"/>
      <c r="J393" s="83"/>
      <c r="K393" s="85"/>
      <c r="L393" s="83"/>
      <c r="M393" s="83"/>
      <c r="N393" s="83"/>
      <c r="O393" s="83"/>
      <c r="P393" s="83"/>
      <c r="Q393" s="83"/>
      <c r="R393" s="83"/>
      <c r="S393" s="86"/>
      <c r="T393" s="83"/>
      <c r="U393" s="83"/>
      <c r="V393" s="83"/>
      <c r="W393" s="83"/>
      <c r="X393" s="83"/>
      <c r="Y393" s="87">
        <v>3.1399999999999999E-4</v>
      </c>
      <c r="Z393" s="84" t="s">
        <v>2310</v>
      </c>
      <c r="AA393" s="86"/>
    </row>
    <row r="394" spans="1:27" x14ac:dyDescent="0.3">
      <c r="A394" s="39"/>
      <c r="B394" s="25"/>
      <c r="C394" s="45"/>
      <c r="D394" s="46">
        <v>395.31</v>
      </c>
      <c r="E394" s="60"/>
      <c r="F394" s="60"/>
      <c r="G394" s="61"/>
      <c r="H394" s="60"/>
      <c r="I394" s="60"/>
      <c r="J394" s="60"/>
      <c r="K394" s="61"/>
      <c r="L394" s="60"/>
      <c r="M394" s="60"/>
      <c r="N394" s="60"/>
      <c r="O394" s="60"/>
      <c r="P394" s="60"/>
      <c r="Q394" s="60"/>
      <c r="R394" s="60"/>
      <c r="S394" s="63"/>
      <c r="T394" s="60"/>
      <c r="U394" s="60"/>
      <c r="V394" s="60"/>
      <c r="W394" s="60"/>
      <c r="X394" s="60"/>
      <c r="Y394" s="64">
        <v>3.1399999999999999E-4</v>
      </c>
      <c r="Z394" s="67" t="s">
        <v>3005</v>
      </c>
      <c r="AA394" s="63"/>
    </row>
    <row r="395" spans="1:27" x14ac:dyDescent="0.3">
      <c r="A395" s="130" t="s">
        <v>2489</v>
      </c>
      <c r="B395" s="131" t="s">
        <v>346</v>
      </c>
      <c r="C395" s="132" t="s">
        <v>347</v>
      </c>
      <c r="D395" s="133">
        <v>395.31</v>
      </c>
      <c r="E395" s="134"/>
      <c r="F395" s="134"/>
      <c r="G395" s="135"/>
      <c r="H395" s="134"/>
      <c r="I395" s="134"/>
      <c r="J395" s="134"/>
      <c r="K395" s="135"/>
      <c r="L395" s="134"/>
      <c r="M395" s="134"/>
      <c r="N395" s="134"/>
      <c r="O395" s="134"/>
      <c r="P395" s="134"/>
      <c r="Q395" s="134"/>
      <c r="R395" s="134"/>
      <c r="S395" s="136"/>
      <c r="T395" s="134"/>
      <c r="U395" s="134"/>
      <c r="V395" s="134"/>
      <c r="W395" s="134"/>
      <c r="X395" s="134"/>
      <c r="Y395" s="137"/>
      <c r="Z395" s="134"/>
      <c r="AA395" s="136"/>
    </row>
    <row r="396" spans="1:27" x14ac:dyDescent="0.3">
      <c r="A396" s="79" t="s">
        <v>2490</v>
      </c>
      <c r="B396" s="80" t="s">
        <v>348</v>
      </c>
      <c r="C396" s="81" t="s">
        <v>349</v>
      </c>
      <c r="D396" s="82">
        <v>395.31</v>
      </c>
      <c r="E396" s="83"/>
      <c r="F396" s="83"/>
      <c r="G396" s="85"/>
      <c r="H396" s="83"/>
      <c r="I396" s="83"/>
      <c r="J396" s="83"/>
      <c r="K396" s="85"/>
      <c r="L396" s="83"/>
      <c r="M396" s="83"/>
      <c r="N396" s="83"/>
      <c r="O396" s="83"/>
      <c r="P396" s="83"/>
      <c r="Q396" s="83"/>
      <c r="R396" s="83"/>
      <c r="S396" s="86"/>
      <c r="T396" s="83"/>
      <c r="U396" s="83"/>
      <c r="V396" s="83"/>
      <c r="W396" s="83"/>
      <c r="X396" s="83"/>
      <c r="Y396" s="87">
        <v>1.0200000000000001E-3</v>
      </c>
      <c r="Z396" s="84" t="s">
        <v>2310</v>
      </c>
      <c r="AA396" s="86"/>
    </row>
    <row r="397" spans="1:27" x14ac:dyDescent="0.3">
      <c r="A397" s="39"/>
      <c r="B397" s="25"/>
      <c r="C397" s="45"/>
      <c r="D397" s="46">
        <v>395.31</v>
      </c>
      <c r="E397" s="60"/>
      <c r="F397" s="60"/>
      <c r="G397" s="61"/>
      <c r="H397" s="60"/>
      <c r="I397" s="60"/>
      <c r="J397" s="60"/>
      <c r="K397" s="61"/>
      <c r="L397" s="60"/>
      <c r="M397" s="60"/>
      <c r="N397" s="60"/>
      <c r="O397" s="60"/>
      <c r="P397" s="60"/>
      <c r="Q397" s="60"/>
      <c r="R397" s="60"/>
      <c r="S397" s="63"/>
      <c r="T397" s="60"/>
      <c r="U397" s="60"/>
      <c r="V397" s="60"/>
      <c r="W397" s="60"/>
      <c r="X397" s="60"/>
      <c r="Y397" s="64">
        <v>1.016E-3</v>
      </c>
      <c r="Z397" s="67" t="s">
        <v>3005</v>
      </c>
      <c r="AA397" s="63"/>
    </row>
    <row r="398" spans="1:27" x14ac:dyDescent="0.3">
      <c r="A398" s="79" t="s">
        <v>2491</v>
      </c>
      <c r="B398" s="80" t="s">
        <v>350</v>
      </c>
      <c r="C398" s="81" t="s">
        <v>351</v>
      </c>
      <c r="D398" s="82">
        <v>395.31</v>
      </c>
      <c r="E398" s="83"/>
      <c r="F398" s="83"/>
      <c r="G398" s="85"/>
      <c r="H398" s="83"/>
      <c r="I398" s="83"/>
      <c r="J398" s="83"/>
      <c r="K398" s="85"/>
      <c r="L398" s="83"/>
      <c r="M398" s="83"/>
      <c r="N398" s="83"/>
      <c r="O398" s="83"/>
      <c r="P398" s="83"/>
      <c r="Q398" s="83"/>
      <c r="R398" s="83"/>
      <c r="S398" s="86"/>
      <c r="T398" s="83"/>
      <c r="U398" s="83"/>
      <c r="V398" s="83"/>
      <c r="W398" s="83"/>
      <c r="X398" s="83"/>
      <c r="Y398" s="87">
        <v>8.2600000000000002E-4</v>
      </c>
      <c r="Z398" s="84" t="s">
        <v>2310</v>
      </c>
      <c r="AA398" s="86"/>
    </row>
    <row r="399" spans="1:27" x14ac:dyDescent="0.3">
      <c r="A399" s="39"/>
      <c r="B399" s="25"/>
      <c r="C399" s="45"/>
      <c r="D399" s="46">
        <v>395.31</v>
      </c>
      <c r="E399" s="60"/>
      <c r="F399" s="60"/>
      <c r="G399" s="61"/>
      <c r="H399" s="60"/>
      <c r="I399" s="60"/>
      <c r="J399" s="60"/>
      <c r="K399" s="61"/>
      <c r="L399" s="60"/>
      <c r="M399" s="60"/>
      <c r="N399" s="60"/>
      <c r="O399" s="60"/>
      <c r="P399" s="60"/>
      <c r="Q399" s="60"/>
      <c r="R399" s="60"/>
      <c r="S399" s="63"/>
      <c r="T399" s="60"/>
      <c r="U399" s="60"/>
      <c r="V399" s="60"/>
      <c r="W399" s="60"/>
      <c r="X399" s="60"/>
      <c r="Y399" s="64">
        <v>8.2600000000000002E-4</v>
      </c>
      <c r="Z399" s="67" t="s">
        <v>3005</v>
      </c>
      <c r="AA399" s="63"/>
    </row>
    <row r="400" spans="1:27" x14ac:dyDescent="0.3">
      <c r="A400" s="79" t="s">
        <v>2492</v>
      </c>
      <c r="B400" s="80" t="s">
        <v>352</v>
      </c>
      <c r="C400" s="81" t="s">
        <v>353</v>
      </c>
      <c r="D400" s="82">
        <v>395.31</v>
      </c>
      <c r="E400" s="83"/>
      <c r="F400" s="83"/>
      <c r="G400" s="85"/>
      <c r="H400" s="83"/>
      <c r="I400" s="83"/>
      <c r="J400" s="83"/>
      <c r="K400" s="85"/>
      <c r="L400" s="83"/>
      <c r="M400" s="83"/>
      <c r="N400" s="83"/>
      <c r="O400" s="83"/>
      <c r="P400" s="83"/>
      <c r="Q400" s="83"/>
      <c r="R400" s="83"/>
      <c r="S400" s="86"/>
      <c r="T400" s="83"/>
      <c r="U400" s="83"/>
      <c r="V400" s="83"/>
      <c r="W400" s="83"/>
      <c r="X400" s="83"/>
      <c r="Y400" s="87">
        <v>2.8E-3</v>
      </c>
      <c r="Z400" s="84" t="s">
        <v>2310</v>
      </c>
      <c r="AA400" s="86"/>
    </row>
    <row r="401" spans="1:27" x14ac:dyDescent="0.3">
      <c r="A401" s="39"/>
      <c r="B401" s="25"/>
      <c r="C401" s="45"/>
      <c r="D401" s="46">
        <v>395.31</v>
      </c>
      <c r="E401" s="60"/>
      <c r="F401" s="60"/>
      <c r="G401" s="61"/>
      <c r="H401" s="60"/>
      <c r="I401" s="60"/>
      <c r="J401" s="60"/>
      <c r="K401" s="61"/>
      <c r="L401" s="60"/>
      <c r="M401" s="60"/>
      <c r="N401" s="60"/>
      <c r="O401" s="60"/>
      <c r="P401" s="60"/>
      <c r="Q401" s="60"/>
      <c r="R401" s="60"/>
      <c r="S401" s="63"/>
      <c r="T401" s="60"/>
      <c r="U401" s="60"/>
      <c r="V401" s="60"/>
      <c r="W401" s="60"/>
      <c r="X401" s="60"/>
      <c r="Y401" s="64">
        <v>2.7980000000000001E-3</v>
      </c>
      <c r="Z401" s="67" t="s">
        <v>3005</v>
      </c>
      <c r="AA401" s="63"/>
    </row>
    <row r="402" spans="1:27" x14ac:dyDescent="0.3">
      <c r="A402" s="79" t="s">
        <v>2491</v>
      </c>
      <c r="B402" s="80" t="s">
        <v>350</v>
      </c>
      <c r="C402" s="81" t="s">
        <v>351</v>
      </c>
      <c r="D402" s="82">
        <v>395.31</v>
      </c>
      <c r="E402" s="83"/>
      <c r="F402" s="83"/>
      <c r="G402" s="85"/>
      <c r="H402" s="83"/>
      <c r="I402" s="83"/>
      <c r="J402" s="83"/>
      <c r="K402" s="85"/>
      <c r="L402" s="83"/>
      <c r="M402" s="83"/>
      <c r="N402" s="83"/>
      <c r="O402" s="83"/>
      <c r="P402" s="83"/>
      <c r="Q402" s="83"/>
      <c r="R402" s="83"/>
      <c r="S402" s="86"/>
      <c r="T402" s="83"/>
      <c r="U402" s="83"/>
      <c r="V402" s="83"/>
      <c r="W402" s="83"/>
      <c r="X402" s="83"/>
      <c r="Y402" s="87">
        <v>8.2600000000000002E-4</v>
      </c>
      <c r="Z402" s="84" t="s">
        <v>2310</v>
      </c>
      <c r="AA402" s="86"/>
    </row>
    <row r="403" spans="1:27" x14ac:dyDescent="0.3">
      <c r="A403" s="39"/>
      <c r="B403" s="25"/>
      <c r="C403" s="45"/>
      <c r="D403" s="46">
        <v>395.31</v>
      </c>
      <c r="E403" s="60"/>
      <c r="F403" s="60"/>
      <c r="G403" s="61"/>
      <c r="H403" s="60"/>
      <c r="I403" s="60"/>
      <c r="J403" s="60"/>
      <c r="K403" s="61"/>
      <c r="L403" s="60"/>
      <c r="M403" s="60"/>
      <c r="N403" s="60"/>
      <c r="O403" s="60"/>
      <c r="P403" s="60"/>
      <c r="Q403" s="60"/>
      <c r="R403" s="60"/>
      <c r="S403" s="63"/>
      <c r="T403" s="60"/>
      <c r="U403" s="60"/>
      <c r="V403" s="60"/>
      <c r="W403" s="60"/>
      <c r="X403" s="60"/>
      <c r="Y403" s="64">
        <v>8.2600000000000002E-4</v>
      </c>
      <c r="Z403" s="67" t="s">
        <v>3005</v>
      </c>
      <c r="AA403" s="63"/>
    </row>
    <row r="404" spans="1:27" x14ac:dyDescent="0.3">
      <c r="A404" s="79" t="s">
        <v>2493</v>
      </c>
      <c r="B404" s="80" t="s">
        <v>356</v>
      </c>
      <c r="C404" s="81" t="s">
        <v>357</v>
      </c>
      <c r="D404" s="82">
        <v>395.31</v>
      </c>
      <c r="E404" s="83"/>
      <c r="F404" s="83"/>
      <c r="G404" s="85"/>
      <c r="H404" s="83"/>
      <c r="I404" s="83"/>
      <c r="J404" s="83"/>
      <c r="K404" s="85"/>
      <c r="L404" s="83"/>
      <c r="M404" s="83"/>
      <c r="N404" s="83"/>
      <c r="O404" s="83"/>
      <c r="P404" s="83"/>
      <c r="Q404" s="83"/>
      <c r="R404" s="83"/>
      <c r="S404" s="86"/>
      <c r="T404" s="83"/>
      <c r="U404" s="83"/>
      <c r="V404" s="83"/>
      <c r="W404" s="83"/>
      <c r="X404" s="83"/>
      <c r="Y404" s="87">
        <v>1.0200000000000001E-3</v>
      </c>
      <c r="Z404" s="84" t="s">
        <v>2310</v>
      </c>
      <c r="AA404" s="86"/>
    </row>
    <row r="405" spans="1:27" x14ac:dyDescent="0.3">
      <c r="A405" s="39"/>
      <c r="B405" s="25"/>
      <c r="C405" s="45"/>
      <c r="D405" s="46">
        <v>395.31</v>
      </c>
      <c r="E405" s="60"/>
      <c r="F405" s="60"/>
      <c r="G405" s="61"/>
      <c r="H405" s="60"/>
      <c r="I405" s="60"/>
      <c r="J405" s="60"/>
      <c r="K405" s="61"/>
      <c r="L405" s="60"/>
      <c r="M405" s="60"/>
      <c r="N405" s="60"/>
      <c r="O405" s="60"/>
      <c r="P405" s="60"/>
      <c r="Q405" s="60"/>
      <c r="R405" s="60"/>
      <c r="S405" s="63"/>
      <c r="T405" s="60"/>
      <c r="U405" s="60"/>
      <c r="V405" s="60"/>
      <c r="W405" s="60"/>
      <c r="X405" s="60"/>
      <c r="Y405" s="64">
        <v>1.016E-3</v>
      </c>
      <c r="Z405" s="67" t="s">
        <v>3005</v>
      </c>
      <c r="AA405" s="63"/>
    </row>
    <row r="406" spans="1:27" x14ac:dyDescent="0.3">
      <c r="A406" s="79" t="s">
        <v>2494</v>
      </c>
      <c r="B406" s="80" t="s">
        <v>358</v>
      </c>
      <c r="C406" s="81" t="s">
        <v>359</v>
      </c>
      <c r="D406" s="82">
        <v>395.31</v>
      </c>
      <c r="E406" s="83"/>
      <c r="F406" s="83"/>
      <c r="G406" s="85"/>
      <c r="H406" s="83"/>
      <c r="I406" s="83"/>
      <c r="J406" s="83"/>
      <c r="K406" s="85"/>
      <c r="L406" s="83"/>
      <c r="M406" s="83"/>
      <c r="N406" s="83"/>
      <c r="O406" s="83"/>
      <c r="P406" s="83"/>
      <c r="Q406" s="83"/>
      <c r="R406" s="83"/>
      <c r="S406" s="86"/>
      <c r="T406" s="83"/>
      <c r="U406" s="83"/>
      <c r="V406" s="83"/>
      <c r="W406" s="83"/>
      <c r="X406" s="83"/>
      <c r="Y406" s="87">
        <v>4.5399999999999998E-3</v>
      </c>
      <c r="Z406" s="84" t="s">
        <v>2310</v>
      </c>
      <c r="AA406" s="86"/>
    </row>
    <row r="407" spans="1:27" x14ac:dyDescent="0.3">
      <c r="A407" s="39"/>
      <c r="B407" s="25"/>
      <c r="C407" s="45"/>
      <c r="D407" s="46">
        <v>395.31</v>
      </c>
      <c r="E407" s="60"/>
      <c r="F407" s="60"/>
      <c r="G407" s="61"/>
      <c r="H407" s="60"/>
      <c r="I407" s="60"/>
      <c r="J407" s="60"/>
      <c r="K407" s="61"/>
      <c r="L407" s="60"/>
      <c r="M407" s="60"/>
      <c r="N407" s="60"/>
      <c r="O407" s="60"/>
      <c r="P407" s="60"/>
      <c r="Q407" s="60"/>
      <c r="R407" s="60"/>
      <c r="S407" s="63"/>
      <c r="T407" s="60"/>
      <c r="U407" s="60"/>
      <c r="V407" s="60"/>
      <c r="W407" s="60"/>
      <c r="X407" s="60"/>
      <c r="Y407" s="64">
        <v>4.5389999999999996E-3</v>
      </c>
      <c r="Z407" s="67" t="s">
        <v>3005</v>
      </c>
      <c r="AA407" s="63"/>
    </row>
    <row r="408" spans="1:27" x14ac:dyDescent="0.3">
      <c r="A408" s="79" t="s">
        <v>2495</v>
      </c>
      <c r="B408" s="80" t="s">
        <v>360</v>
      </c>
      <c r="C408" s="81" t="s">
        <v>361</v>
      </c>
      <c r="D408" s="82">
        <v>395.31</v>
      </c>
      <c r="E408" s="83"/>
      <c r="F408" s="83"/>
      <c r="G408" s="85"/>
      <c r="H408" s="83"/>
      <c r="I408" s="83"/>
      <c r="J408" s="83"/>
      <c r="K408" s="85"/>
      <c r="L408" s="83">
        <v>25</v>
      </c>
      <c r="M408" s="83"/>
      <c r="N408" s="83"/>
      <c r="O408" s="83"/>
      <c r="P408" s="83"/>
      <c r="Q408" s="92">
        <v>9.7699999999999992E-7</v>
      </c>
      <c r="R408" s="84" t="s">
        <v>2310</v>
      </c>
      <c r="S408" s="86">
        <f>Q410</f>
        <v>1.7971295532850673E-7</v>
      </c>
      <c r="T408" s="83"/>
      <c r="U408" s="83"/>
      <c r="V408" s="87"/>
      <c r="W408" s="83"/>
      <c r="X408" s="83"/>
      <c r="Y408" s="83">
        <v>3.8500000000000001E-3</v>
      </c>
      <c r="Z408" s="84" t="s">
        <v>2310</v>
      </c>
      <c r="AA408" s="86">
        <f>Y410</f>
        <v>5.7550980629762067E-4</v>
      </c>
    </row>
    <row r="409" spans="1:27" x14ac:dyDescent="0.3">
      <c r="A409" s="39"/>
      <c r="B409" s="25"/>
      <c r="C409" s="45"/>
      <c r="D409" s="46">
        <v>395.31</v>
      </c>
      <c r="E409" s="60"/>
      <c r="F409" s="60"/>
      <c r="G409" s="61"/>
      <c r="H409" s="60"/>
      <c r="I409" s="60"/>
      <c r="J409" s="60"/>
      <c r="K409" s="61"/>
      <c r="L409" s="60">
        <v>25</v>
      </c>
      <c r="M409" s="60"/>
      <c r="N409" s="60"/>
      <c r="O409" s="60"/>
      <c r="P409" s="60"/>
      <c r="Q409" s="65">
        <v>9.7699999999999992E-7</v>
      </c>
      <c r="R409" s="67" t="s">
        <v>3005</v>
      </c>
      <c r="S409" s="63"/>
      <c r="T409" s="60"/>
      <c r="U409" s="60"/>
      <c r="V409" s="64"/>
      <c r="W409" s="60"/>
      <c r="X409" s="60"/>
      <c r="Y409" s="60">
        <v>3.8500000000000001E-3</v>
      </c>
      <c r="Z409" s="67" t="s">
        <v>3005</v>
      </c>
      <c r="AA409" s="63"/>
    </row>
    <row r="410" spans="1:27" x14ac:dyDescent="0.3">
      <c r="A410" s="39"/>
      <c r="B410" s="25"/>
      <c r="C410" s="45"/>
      <c r="D410" s="46">
        <v>395.31</v>
      </c>
      <c r="E410" s="60"/>
      <c r="F410" s="60"/>
      <c r="G410" s="61"/>
      <c r="H410" s="60"/>
      <c r="I410" s="60"/>
      <c r="J410" s="60"/>
      <c r="K410" s="61"/>
      <c r="L410" s="60"/>
      <c r="M410" s="64">
        <f>10^(-3.88)</f>
        <v>1.3182567385564069E-4</v>
      </c>
      <c r="N410" s="64">
        <f>$N$1*M410</f>
        <v>9.8877385584760225E-7</v>
      </c>
      <c r="O410" s="60">
        <v>56</v>
      </c>
      <c r="P410" s="60">
        <v>100.48</v>
      </c>
      <c r="Q410" s="73">
        <f>N410*EXP(-O410*((P410+273.15)/298.15-1)/$Q$1)</f>
        <v>1.7971295532850673E-7</v>
      </c>
      <c r="R410" s="67" t="s">
        <v>3012</v>
      </c>
      <c r="S410" s="63"/>
      <c r="T410" s="60"/>
      <c r="U410" s="60"/>
      <c r="V410" s="64">
        <f>$D410*0.00000801</f>
        <v>3.1664330999999998E-3</v>
      </c>
      <c r="W410" s="60">
        <v>56</v>
      </c>
      <c r="X410" s="60">
        <v>100.48</v>
      </c>
      <c r="Y410" s="73">
        <f>V410*EXP(-$W410*(($X410+$W$1)/298.15-1)/$Y$1)</f>
        <v>5.7550980629762067E-4</v>
      </c>
      <c r="Z410" s="67" t="s">
        <v>3012</v>
      </c>
      <c r="AA410" s="63"/>
    </row>
    <row r="411" spans="1:27" x14ac:dyDescent="0.3">
      <c r="A411" s="79" t="s">
        <v>2496</v>
      </c>
      <c r="B411" s="80" t="s">
        <v>362</v>
      </c>
      <c r="C411" s="81" t="s">
        <v>363</v>
      </c>
      <c r="D411" s="82">
        <v>395.31</v>
      </c>
      <c r="E411" s="83"/>
      <c r="F411" s="83"/>
      <c r="G411" s="85"/>
      <c r="H411" s="83"/>
      <c r="I411" s="83"/>
      <c r="J411" s="83"/>
      <c r="K411" s="85"/>
      <c r="L411" s="83"/>
      <c r="M411" s="83"/>
      <c r="N411" s="83"/>
      <c r="O411" s="83"/>
      <c r="P411" s="83"/>
      <c r="Q411" s="83"/>
      <c r="R411" s="83"/>
      <c r="S411" s="86"/>
      <c r="T411" s="83"/>
      <c r="U411" s="83"/>
      <c r="V411" s="83"/>
      <c r="W411" s="83"/>
      <c r="X411" s="83"/>
      <c r="Y411" s="87">
        <v>4.2299999999999998E-4</v>
      </c>
      <c r="Z411" s="84" t="s">
        <v>2310</v>
      </c>
      <c r="AA411" s="86"/>
    </row>
    <row r="412" spans="1:27" x14ac:dyDescent="0.3">
      <c r="A412" s="39"/>
      <c r="B412" s="25"/>
      <c r="C412" s="45"/>
      <c r="D412" s="46">
        <v>395.31</v>
      </c>
      <c r="E412" s="60"/>
      <c r="F412" s="60"/>
      <c r="G412" s="61"/>
      <c r="H412" s="60"/>
      <c r="I412" s="60"/>
      <c r="J412" s="60"/>
      <c r="K412" s="61"/>
      <c r="L412" s="60"/>
      <c r="M412" s="60"/>
      <c r="N412" s="60"/>
      <c r="O412" s="60"/>
      <c r="P412" s="60"/>
      <c r="Q412" s="60"/>
      <c r="R412" s="60"/>
      <c r="S412" s="63"/>
      <c r="T412" s="60"/>
      <c r="U412" s="60"/>
      <c r="V412" s="60"/>
      <c r="W412" s="60"/>
      <c r="X412" s="60"/>
      <c r="Y412" s="64">
        <v>4.2299999999999998E-4</v>
      </c>
      <c r="Z412" s="67" t="s">
        <v>3005</v>
      </c>
      <c r="AA412" s="63"/>
    </row>
    <row r="413" spans="1:27" x14ac:dyDescent="0.3">
      <c r="A413" s="79" t="s">
        <v>2497</v>
      </c>
      <c r="B413" s="80" t="s">
        <v>364</v>
      </c>
      <c r="C413" s="81" t="s">
        <v>365</v>
      </c>
      <c r="D413" s="82">
        <v>395.31</v>
      </c>
      <c r="E413" s="83"/>
      <c r="F413" s="83"/>
      <c r="G413" s="85"/>
      <c r="H413" s="83"/>
      <c r="I413" s="83"/>
      <c r="J413" s="83"/>
      <c r="K413" s="85"/>
      <c r="L413" s="83"/>
      <c r="M413" s="83"/>
      <c r="N413" s="83"/>
      <c r="O413" s="83"/>
      <c r="P413" s="83"/>
      <c r="Q413" s="83"/>
      <c r="R413" s="83"/>
      <c r="S413" s="86"/>
      <c r="T413" s="83"/>
      <c r="U413" s="83"/>
      <c r="V413" s="83"/>
      <c r="W413" s="83"/>
      <c r="X413" s="83"/>
      <c r="Y413" s="87">
        <v>8.2600000000000002E-4</v>
      </c>
      <c r="Z413" s="84" t="s">
        <v>2310</v>
      </c>
      <c r="AA413" s="86"/>
    </row>
    <row r="414" spans="1:27" x14ac:dyDescent="0.3">
      <c r="A414" s="39"/>
      <c r="B414" s="25"/>
      <c r="C414" s="45"/>
      <c r="D414" s="46">
        <v>395.31</v>
      </c>
      <c r="E414" s="60"/>
      <c r="F414" s="60"/>
      <c r="G414" s="61"/>
      <c r="H414" s="60"/>
      <c r="I414" s="60"/>
      <c r="J414" s="60"/>
      <c r="K414" s="61"/>
      <c r="L414" s="60"/>
      <c r="M414" s="60"/>
      <c r="N414" s="60"/>
      <c r="O414" s="60"/>
      <c r="P414" s="60"/>
      <c r="Q414" s="60"/>
      <c r="R414" s="60"/>
      <c r="S414" s="63"/>
      <c r="T414" s="60"/>
      <c r="U414" s="60"/>
      <c r="V414" s="60"/>
      <c r="W414" s="60"/>
      <c r="X414" s="60"/>
      <c r="Y414" s="64">
        <v>8.2600000000000002E-4</v>
      </c>
      <c r="Z414" s="67" t="s">
        <v>3005</v>
      </c>
      <c r="AA414" s="63"/>
    </row>
    <row r="415" spans="1:27" x14ac:dyDescent="0.3">
      <c r="A415" s="79" t="s">
        <v>2498</v>
      </c>
      <c r="B415" s="80" t="s">
        <v>366</v>
      </c>
      <c r="C415" s="81" t="s">
        <v>367</v>
      </c>
      <c r="D415" s="82">
        <v>395.31</v>
      </c>
      <c r="E415" s="83"/>
      <c r="F415" s="83"/>
      <c r="G415" s="85"/>
      <c r="H415" s="83"/>
      <c r="I415" s="83">
        <v>83</v>
      </c>
      <c r="J415" s="83" t="s">
        <v>2309</v>
      </c>
      <c r="K415" s="85">
        <f>I417</f>
        <v>83</v>
      </c>
      <c r="L415" s="83"/>
      <c r="M415" s="83"/>
      <c r="N415" s="83"/>
      <c r="O415" s="83"/>
      <c r="P415" s="83"/>
      <c r="Q415" s="83"/>
      <c r="R415" s="83"/>
      <c r="S415" s="86"/>
      <c r="T415" s="83"/>
      <c r="U415" s="83"/>
      <c r="V415" s="83"/>
      <c r="W415" s="83"/>
      <c r="X415" s="83"/>
      <c r="Y415" s="87">
        <v>4.8999999999999998E-3</v>
      </c>
      <c r="Z415" s="84" t="s">
        <v>2310</v>
      </c>
      <c r="AA415" s="86"/>
    </row>
    <row r="416" spans="1:27" x14ac:dyDescent="0.3">
      <c r="A416" s="39"/>
      <c r="B416" s="25"/>
      <c r="C416" s="45"/>
      <c r="D416" s="46">
        <v>395.31</v>
      </c>
      <c r="E416" s="60"/>
      <c r="F416" s="60"/>
      <c r="G416" s="61"/>
      <c r="H416" s="60"/>
      <c r="I416" s="60">
        <v>83</v>
      </c>
      <c r="J416" s="60" t="s">
        <v>3005</v>
      </c>
      <c r="K416" s="61"/>
      <c r="L416" s="60"/>
      <c r="M416" s="60"/>
      <c r="N416" s="60"/>
      <c r="O416" s="60"/>
      <c r="P416" s="60"/>
      <c r="Q416" s="60"/>
      <c r="R416" s="60"/>
      <c r="S416" s="63"/>
      <c r="T416" s="60"/>
      <c r="U416" s="60"/>
      <c r="V416" s="60"/>
      <c r="W416" s="60"/>
      <c r="X416" s="60"/>
      <c r="Y416" s="64">
        <v>4.8999999999999998E-3</v>
      </c>
      <c r="Z416" s="67" t="s">
        <v>3005</v>
      </c>
      <c r="AA416" s="63"/>
    </row>
    <row r="417" spans="1:27" x14ac:dyDescent="0.3">
      <c r="A417" s="39"/>
      <c r="B417" s="25"/>
      <c r="C417" s="45"/>
      <c r="D417" s="46">
        <v>395.31</v>
      </c>
      <c r="E417" s="60"/>
      <c r="F417" s="60"/>
      <c r="G417" s="61"/>
      <c r="H417" s="60"/>
      <c r="I417" s="68">
        <v>83</v>
      </c>
      <c r="J417" s="62" t="s">
        <v>2914</v>
      </c>
      <c r="K417" s="61"/>
      <c r="L417" s="60"/>
      <c r="M417" s="60"/>
      <c r="N417" s="60"/>
      <c r="O417" s="60"/>
      <c r="P417" s="60"/>
      <c r="Q417" s="60"/>
      <c r="R417" s="60"/>
      <c r="S417" s="63"/>
      <c r="T417" s="64">
        <v>-7.92</v>
      </c>
      <c r="U417" s="62" t="s">
        <v>3030</v>
      </c>
      <c r="V417" s="60"/>
      <c r="W417" s="60"/>
      <c r="X417" s="60"/>
      <c r="Y417" s="64">
        <f>1000*$D417*10^T417</f>
        <v>4.752671536486083E-3</v>
      </c>
      <c r="Z417" s="62" t="s">
        <v>3008</v>
      </c>
      <c r="AA417" s="63"/>
    </row>
    <row r="418" spans="1:27" x14ac:dyDescent="0.3">
      <c r="A418" s="130" t="s">
        <v>2499</v>
      </c>
      <c r="B418" s="131" t="s">
        <v>368</v>
      </c>
      <c r="C418" s="132" t="s">
        <v>369</v>
      </c>
      <c r="D418" s="133">
        <v>395.31</v>
      </c>
      <c r="E418" s="141">
        <v>7.55</v>
      </c>
      <c r="F418" s="139" t="s">
        <v>2309</v>
      </c>
      <c r="G418" s="135"/>
      <c r="H418" s="134"/>
      <c r="I418" s="134"/>
      <c r="J418" s="134"/>
      <c r="K418" s="135"/>
      <c r="L418" s="134"/>
      <c r="M418" s="134"/>
      <c r="N418" s="134"/>
      <c r="O418" s="134"/>
      <c r="P418" s="134"/>
      <c r="Q418" s="134"/>
      <c r="R418" s="134"/>
      <c r="S418" s="136"/>
      <c r="T418" s="141"/>
      <c r="U418" s="141"/>
      <c r="V418" s="134"/>
      <c r="W418" s="134"/>
      <c r="X418" s="134"/>
      <c r="Y418" s="138">
        <v>1.44E-2</v>
      </c>
      <c r="Z418" s="139" t="s">
        <v>2310</v>
      </c>
      <c r="AA418" s="136"/>
    </row>
    <row r="419" spans="1:27" x14ac:dyDescent="0.3">
      <c r="A419" s="79" t="s">
        <v>2500</v>
      </c>
      <c r="B419" s="80" t="s">
        <v>370</v>
      </c>
      <c r="C419" s="81" t="s">
        <v>371</v>
      </c>
      <c r="D419" s="82">
        <v>395.31</v>
      </c>
      <c r="E419" s="83">
        <v>7.93</v>
      </c>
      <c r="F419" s="84" t="s">
        <v>2309</v>
      </c>
      <c r="G419" s="85"/>
      <c r="H419" s="83"/>
      <c r="I419" s="126">
        <v>147</v>
      </c>
      <c r="J419" s="88" t="s">
        <v>2914</v>
      </c>
      <c r="K419" s="85">
        <f>I419</f>
        <v>147</v>
      </c>
      <c r="L419" s="83"/>
      <c r="M419" s="83"/>
      <c r="N419" s="83"/>
      <c r="O419" s="83"/>
      <c r="P419" s="83"/>
      <c r="Q419" s="83"/>
      <c r="R419" s="83"/>
      <c r="S419" s="86"/>
      <c r="T419" s="87"/>
      <c r="U419" s="88"/>
      <c r="V419" s="83"/>
      <c r="W419" s="83"/>
      <c r="X419" s="83"/>
      <c r="Y419" s="87">
        <v>5.4599999999999996E-3</v>
      </c>
      <c r="Z419" s="84" t="s">
        <v>2310</v>
      </c>
      <c r="AA419" s="86"/>
    </row>
    <row r="420" spans="1:27" x14ac:dyDescent="0.3">
      <c r="A420" s="39"/>
      <c r="B420" s="25"/>
      <c r="C420" s="45"/>
      <c r="D420" s="46">
        <v>395.31</v>
      </c>
      <c r="E420" s="60">
        <v>7.93</v>
      </c>
      <c r="F420" s="67" t="s">
        <v>3005</v>
      </c>
      <c r="G420" s="61"/>
      <c r="H420" s="60"/>
      <c r="I420" s="60"/>
      <c r="J420" s="62"/>
      <c r="K420" s="61"/>
      <c r="L420" s="60"/>
      <c r="M420" s="60"/>
      <c r="N420" s="60"/>
      <c r="O420" s="60"/>
      <c r="P420" s="60"/>
      <c r="Q420" s="60"/>
      <c r="R420" s="60"/>
      <c r="S420" s="63"/>
      <c r="T420" s="64"/>
      <c r="U420" s="62"/>
      <c r="V420" s="60"/>
      <c r="W420" s="60"/>
      <c r="X420" s="60"/>
      <c r="Y420" s="64">
        <v>5.4599999999999996E-3</v>
      </c>
      <c r="Z420" s="67" t="s">
        <v>3005</v>
      </c>
      <c r="AA420" s="63"/>
    </row>
    <row r="421" spans="1:27" x14ac:dyDescent="0.3">
      <c r="A421" s="39"/>
      <c r="B421" s="25"/>
      <c r="C421" s="45"/>
      <c r="D421" s="46">
        <v>395.31</v>
      </c>
      <c r="E421" s="60"/>
      <c r="F421" s="67"/>
      <c r="G421" s="61"/>
      <c r="H421" s="60"/>
      <c r="I421" s="60"/>
      <c r="J421" s="62"/>
      <c r="K421" s="61"/>
      <c r="L421" s="60"/>
      <c r="M421" s="60"/>
      <c r="N421" s="60"/>
      <c r="O421" s="60"/>
      <c r="P421" s="60"/>
      <c r="Q421" s="60"/>
      <c r="R421" s="60"/>
      <c r="S421" s="63"/>
      <c r="T421" s="64">
        <v>-8.94</v>
      </c>
      <c r="U421" s="62" t="s">
        <v>3030</v>
      </c>
      <c r="V421" s="60"/>
      <c r="W421" s="60"/>
      <c r="X421" s="60"/>
      <c r="Y421" s="64">
        <f>1000*$D421*10^T421</f>
        <v>4.5387660811393272E-4</v>
      </c>
      <c r="Z421" s="62" t="s">
        <v>3008</v>
      </c>
      <c r="AA421" s="63"/>
    </row>
    <row r="422" spans="1:27" x14ac:dyDescent="0.3">
      <c r="A422" s="130" t="s">
        <v>2501</v>
      </c>
      <c r="B422" s="131" t="s">
        <v>372</v>
      </c>
      <c r="C422" s="132" t="s">
        <v>373</v>
      </c>
      <c r="D422" s="133">
        <v>395.31</v>
      </c>
      <c r="E422" s="134"/>
      <c r="F422" s="134"/>
      <c r="G422" s="135"/>
      <c r="H422" s="134"/>
      <c r="I422" s="134"/>
      <c r="J422" s="134"/>
      <c r="K422" s="135"/>
      <c r="L422" s="134"/>
      <c r="M422" s="134"/>
      <c r="N422" s="134"/>
      <c r="O422" s="134"/>
      <c r="P422" s="134"/>
      <c r="Q422" s="134"/>
      <c r="R422" s="134"/>
      <c r="S422" s="136"/>
      <c r="T422" s="134"/>
      <c r="U422" s="134"/>
      <c r="V422" s="134"/>
      <c r="W422" s="134"/>
      <c r="X422" s="134"/>
      <c r="Y422" s="137"/>
      <c r="Z422" s="134"/>
      <c r="AA422" s="136"/>
    </row>
    <row r="423" spans="1:27" x14ac:dyDescent="0.3">
      <c r="A423" s="79" t="s">
        <v>2502</v>
      </c>
      <c r="B423" s="80" t="s">
        <v>374</v>
      </c>
      <c r="C423" s="81" t="s">
        <v>375</v>
      </c>
      <c r="D423" s="82">
        <v>395.31</v>
      </c>
      <c r="E423" s="83"/>
      <c r="F423" s="83"/>
      <c r="G423" s="85"/>
      <c r="H423" s="83"/>
      <c r="I423" s="83"/>
      <c r="J423" s="83"/>
      <c r="K423" s="85"/>
      <c r="L423" s="83"/>
      <c r="M423" s="83"/>
      <c r="N423" s="83"/>
      <c r="O423" s="83"/>
      <c r="P423" s="83"/>
      <c r="Q423" s="83"/>
      <c r="R423" s="83"/>
      <c r="S423" s="86"/>
      <c r="T423" s="93"/>
      <c r="U423" s="93"/>
      <c r="V423" s="83"/>
      <c r="W423" s="83"/>
      <c r="X423" s="83"/>
      <c r="Y423" s="87">
        <v>4.5100000000000001E-3</v>
      </c>
      <c r="Z423" s="84" t="s">
        <v>2310</v>
      </c>
      <c r="AA423" s="86"/>
    </row>
    <row r="424" spans="1:27" x14ac:dyDescent="0.3">
      <c r="A424" s="39"/>
      <c r="B424" s="25"/>
      <c r="C424" s="45"/>
      <c r="D424" s="46">
        <v>395.31</v>
      </c>
      <c r="E424" s="60"/>
      <c r="F424" s="60"/>
      <c r="G424" s="61"/>
      <c r="H424" s="60"/>
      <c r="I424" s="60"/>
      <c r="J424" s="60"/>
      <c r="K424" s="61"/>
      <c r="L424" s="60"/>
      <c r="M424" s="60"/>
      <c r="N424" s="60"/>
      <c r="O424" s="60"/>
      <c r="P424" s="60"/>
      <c r="Q424" s="60"/>
      <c r="R424" s="60"/>
      <c r="S424" s="63"/>
      <c r="T424" s="71"/>
      <c r="U424" s="71"/>
      <c r="V424" s="60"/>
      <c r="W424" s="60"/>
      <c r="X424" s="60"/>
      <c r="Y424" s="64">
        <v>4.5100000000000001E-3</v>
      </c>
      <c r="Z424" s="67" t="s">
        <v>3005</v>
      </c>
      <c r="AA424" s="63"/>
    </row>
    <row r="425" spans="1:27" x14ac:dyDescent="0.3">
      <c r="A425" s="79" t="s">
        <v>2503</v>
      </c>
      <c r="B425" s="80" t="s">
        <v>376</v>
      </c>
      <c r="C425" s="81" t="s">
        <v>377</v>
      </c>
      <c r="D425" s="82">
        <v>395.31</v>
      </c>
      <c r="E425" s="83"/>
      <c r="F425" s="83"/>
      <c r="G425" s="85"/>
      <c r="H425" s="83"/>
      <c r="I425" s="83"/>
      <c r="J425" s="83"/>
      <c r="K425" s="85"/>
      <c r="L425" s="83"/>
      <c r="M425" s="83"/>
      <c r="N425" s="83"/>
      <c r="O425" s="83"/>
      <c r="P425" s="83"/>
      <c r="Q425" s="83"/>
      <c r="R425" s="83"/>
      <c r="S425" s="86"/>
      <c r="T425" s="93"/>
      <c r="U425" s="93"/>
      <c r="V425" s="83"/>
      <c r="W425" s="83"/>
      <c r="X425" s="83"/>
      <c r="Y425" s="87">
        <v>1.2800000000000001E-3</v>
      </c>
      <c r="Z425" s="84" t="s">
        <v>2310</v>
      </c>
      <c r="AA425" s="86"/>
    </row>
    <row r="426" spans="1:27" x14ac:dyDescent="0.3">
      <c r="A426" s="39"/>
      <c r="B426" s="25"/>
      <c r="C426" s="45"/>
      <c r="D426" s="46">
        <v>395.31</v>
      </c>
      <c r="E426" s="60"/>
      <c r="F426" s="60"/>
      <c r="G426" s="61"/>
      <c r="H426" s="60"/>
      <c r="I426" s="60"/>
      <c r="J426" s="60"/>
      <c r="K426" s="61"/>
      <c r="L426" s="60"/>
      <c r="M426" s="60"/>
      <c r="N426" s="60"/>
      <c r="O426" s="60"/>
      <c r="P426" s="60"/>
      <c r="Q426" s="60"/>
      <c r="R426" s="60"/>
      <c r="S426" s="63"/>
      <c r="T426" s="71"/>
      <c r="U426" s="71"/>
      <c r="V426" s="60"/>
      <c r="W426" s="60"/>
      <c r="X426" s="60"/>
      <c r="Y426" s="64">
        <v>1.279E-3</v>
      </c>
      <c r="Z426" s="67" t="s">
        <v>3005</v>
      </c>
      <c r="AA426" s="63"/>
    </row>
    <row r="427" spans="1:27" x14ac:dyDescent="0.3">
      <c r="A427" s="79" t="s">
        <v>2504</v>
      </c>
      <c r="B427" s="80" t="s">
        <v>378</v>
      </c>
      <c r="C427" s="81" t="s">
        <v>379</v>
      </c>
      <c r="D427" s="82">
        <v>395.31</v>
      </c>
      <c r="E427" s="83"/>
      <c r="F427" s="83"/>
      <c r="G427" s="85"/>
      <c r="H427" s="83"/>
      <c r="I427" s="83"/>
      <c r="J427" s="83"/>
      <c r="K427" s="85"/>
      <c r="L427" s="83"/>
      <c r="M427" s="83"/>
      <c r="N427" s="83"/>
      <c r="O427" s="83"/>
      <c r="P427" s="83"/>
      <c r="Q427" s="83"/>
      <c r="R427" s="83"/>
      <c r="S427" s="86"/>
      <c r="T427" s="93"/>
      <c r="U427" s="93"/>
      <c r="V427" s="83"/>
      <c r="W427" s="83"/>
      <c r="X427" s="83"/>
      <c r="Y427" s="87">
        <v>7.5299999999999998E-4</v>
      </c>
      <c r="Z427" s="84" t="s">
        <v>2310</v>
      </c>
      <c r="AA427" s="86"/>
    </row>
    <row r="428" spans="1:27" x14ac:dyDescent="0.3">
      <c r="A428" s="39"/>
      <c r="B428" s="25"/>
      <c r="C428" s="45"/>
      <c r="D428" s="46">
        <v>395.31</v>
      </c>
      <c r="E428" s="60"/>
      <c r="F428" s="60"/>
      <c r="G428" s="61"/>
      <c r="H428" s="60"/>
      <c r="I428" s="60"/>
      <c r="J428" s="60"/>
      <c r="K428" s="61"/>
      <c r="L428" s="60"/>
      <c r="M428" s="60"/>
      <c r="N428" s="60"/>
      <c r="O428" s="60"/>
      <c r="P428" s="60"/>
      <c r="Q428" s="60"/>
      <c r="R428" s="60"/>
      <c r="S428" s="63"/>
      <c r="T428" s="71"/>
      <c r="U428" s="71"/>
      <c r="V428" s="60"/>
      <c r="W428" s="60"/>
      <c r="X428" s="60"/>
      <c r="Y428" s="64">
        <v>7.5299999999999998E-4</v>
      </c>
      <c r="Z428" s="67" t="s">
        <v>3005</v>
      </c>
      <c r="AA428" s="63"/>
    </row>
    <row r="429" spans="1:27" x14ac:dyDescent="0.3">
      <c r="A429" s="130" t="s">
        <v>2505</v>
      </c>
      <c r="B429" s="131" t="s">
        <v>380</v>
      </c>
      <c r="C429" s="132" t="s">
        <v>381</v>
      </c>
      <c r="D429" s="133">
        <v>395.31</v>
      </c>
      <c r="E429" s="134"/>
      <c r="F429" s="134"/>
      <c r="G429" s="135"/>
      <c r="H429" s="134"/>
      <c r="I429" s="134"/>
      <c r="J429" s="134"/>
      <c r="K429" s="135"/>
      <c r="L429" s="134"/>
      <c r="M429" s="134"/>
      <c r="N429" s="134"/>
      <c r="O429" s="134"/>
      <c r="P429" s="134"/>
      <c r="Q429" s="134"/>
      <c r="R429" s="134"/>
      <c r="S429" s="136"/>
      <c r="T429" s="134"/>
      <c r="U429" s="134"/>
      <c r="V429" s="134"/>
      <c r="W429" s="134"/>
      <c r="X429" s="134"/>
      <c r="Y429" s="137"/>
      <c r="Z429" s="134"/>
      <c r="AA429" s="136"/>
    </row>
    <row r="430" spans="1:27" x14ac:dyDescent="0.3">
      <c r="A430" s="79" t="s">
        <v>2506</v>
      </c>
      <c r="B430" s="80" t="s">
        <v>382</v>
      </c>
      <c r="C430" s="81" t="s">
        <v>383</v>
      </c>
      <c r="D430" s="82">
        <v>395.31</v>
      </c>
      <c r="E430" s="83"/>
      <c r="F430" s="83"/>
      <c r="G430" s="85"/>
      <c r="H430" s="83"/>
      <c r="I430" s="83"/>
      <c r="J430" s="83"/>
      <c r="K430" s="85"/>
      <c r="L430" s="83"/>
      <c r="M430" s="83"/>
      <c r="N430" s="83"/>
      <c r="O430" s="83"/>
      <c r="P430" s="83"/>
      <c r="Q430" s="83"/>
      <c r="R430" s="83"/>
      <c r="S430" s="86"/>
      <c r="T430" s="93"/>
      <c r="U430" s="93"/>
      <c r="V430" s="83"/>
      <c r="W430" s="83"/>
      <c r="X430" s="83"/>
      <c r="Y430" s="87">
        <v>3.1399999999999999E-4</v>
      </c>
      <c r="Z430" s="84" t="s">
        <v>2310</v>
      </c>
      <c r="AA430" s="86"/>
    </row>
    <row r="431" spans="1:27" x14ac:dyDescent="0.3">
      <c r="A431" s="39"/>
      <c r="B431" s="25"/>
      <c r="C431" s="45"/>
      <c r="D431" s="46"/>
      <c r="E431" s="60"/>
      <c r="F431" s="60"/>
      <c r="G431" s="61"/>
      <c r="H431" s="60"/>
      <c r="I431" s="60"/>
      <c r="J431" s="60"/>
      <c r="K431" s="61"/>
      <c r="L431" s="60"/>
      <c r="M431" s="60"/>
      <c r="N431" s="60"/>
      <c r="O431" s="60"/>
      <c r="P431" s="60"/>
      <c r="Q431" s="60"/>
      <c r="R431" s="60"/>
      <c r="S431" s="63"/>
      <c r="T431" s="71"/>
      <c r="U431" s="71"/>
      <c r="V431" s="60"/>
      <c r="W431" s="60"/>
      <c r="X431" s="60"/>
      <c r="Y431" s="64">
        <v>3.1399999999999999E-4</v>
      </c>
      <c r="Z431" s="67" t="s">
        <v>3005</v>
      </c>
      <c r="AA431" s="63"/>
    </row>
    <row r="432" spans="1:27" x14ac:dyDescent="0.3">
      <c r="A432" s="79" t="s">
        <v>2507</v>
      </c>
      <c r="B432" s="80" t="s">
        <v>384</v>
      </c>
      <c r="C432" s="81" t="s">
        <v>385</v>
      </c>
      <c r="D432" s="82">
        <v>395.31</v>
      </c>
      <c r="E432" s="83"/>
      <c r="F432" s="83"/>
      <c r="G432" s="85"/>
      <c r="H432" s="83"/>
      <c r="I432" s="83"/>
      <c r="J432" s="83"/>
      <c r="K432" s="85"/>
      <c r="L432" s="83"/>
      <c r="M432" s="83"/>
      <c r="N432" s="83"/>
      <c r="O432" s="83"/>
      <c r="P432" s="83"/>
      <c r="Q432" s="83"/>
      <c r="R432" s="83"/>
      <c r="S432" s="86"/>
      <c r="T432" s="93"/>
      <c r="U432" s="93"/>
      <c r="V432" s="83"/>
      <c r="W432" s="83"/>
      <c r="X432" s="83"/>
      <c r="Y432" s="87">
        <v>3.1399999999999999E-4</v>
      </c>
      <c r="Z432" s="84" t="s">
        <v>2310</v>
      </c>
      <c r="AA432" s="86"/>
    </row>
    <row r="433" spans="1:27" x14ac:dyDescent="0.3">
      <c r="A433" s="39"/>
      <c r="B433" s="25"/>
      <c r="C433" s="45"/>
      <c r="D433" s="46"/>
      <c r="E433" s="60"/>
      <c r="F433" s="60"/>
      <c r="G433" s="61"/>
      <c r="H433" s="60"/>
      <c r="I433" s="60"/>
      <c r="J433" s="60"/>
      <c r="K433" s="61"/>
      <c r="L433" s="60"/>
      <c r="M433" s="60"/>
      <c r="N433" s="60"/>
      <c r="O433" s="60"/>
      <c r="P433" s="60"/>
      <c r="Q433" s="60"/>
      <c r="R433" s="60"/>
      <c r="S433" s="63"/>
      <c r="T433" s="71"/>
      <c r="U433" s="71"/>
      <c r="V433" s="60"/>
      <c r="W433" s="60"/>
      <c r="X433" s="60"/>
      <c r="Y433" s="64">
        <v>3.1399999999999999E-4</v>
      </c>
      <c r="Z433" s="67" t="s">
        <v>3005</v>
      </c>
      <c r="AA433" s="63"/>
    </row>
    <row r="434" spans="1:27" x14ac:dyDescent="0.3">
      <c r="A434" s="79" t="s">
        <v>2508</v>
      </c>
      <c r="B434" s="80" t="s">
        <v>386</v>
      </c>
      <c r="C434" s="81" t="s">
        <v>387</v>
      </c>
      <c r="D434" s="82">
        <v>395.31</v>
      </c>
      <c r="E434" s="83"/>
      <c r="F434" s="83"/>
      <c r="G434" s="85"/>
      <c r="H434" s="83"/>
      <c r="I434" s="83"/>
      <c r="J434" s="83"/>
      <c r="K434" s="85"/>
      <c r="L434" s="83"/>
      <c r="M434" s="83"/>
      <c r="N434" s="83"/>
      <c r="O434" s="83"/>
      <c r="P434" s="83"/>
      <c r="Q434" s="83"/>
      <c r="R434" s="83"/>
      <c r="S434" s="86"/>
      <c r="T434" s="93"/>
      <c r="U434" s="93"/>
      <c r="V434" s="83"/>
      <c r="W434" s="83"/>
      <c r="X434" s="83"/>
      <c r="Y434" s="87">
        <v>3.1399999999999999E-4</v>
      </c>
      <c r="Z434" s="84" t="s">
        <v>2310</v>
      </c>
      <c r="AA434" s="86"/>
    </row>
    <row r="435" spans="1:27" x14ac:dyDescent="0.3">
      <c r="A435" s="39"/>
      <c r="B435" s="25"/>
      <c r="C435" s="45"/>
      <c r="D435" s="46"/>
      <c r="E435" s="60"/>
      <c r="F435" s="60"/>
      <c r="G435" s="61"/>
      <c r="H435" s="60"/>
      <c r="I435" s="60"/>
      <c r="J435" s="60"/>
      <c r="K435" s="61"/>
      <c r="L435" s="60"/>
      <c r="M435" s="60"/>
      <c r="N435" s="60"/>
      <c r="O435" s="60"/>
      <c r="P435" s="60"/>
      <c r="Q435" s="60"/>
      <c r="R435" s="60"/>
      <c r="S435" s="63"/>
      <c r="T435" s="71"/>
      <c r="U435" s="71"/>
      <c r="V435" s="60"/>
      <c r="W435" s="60"/>
      <c r="X435" s="60"/>
      <c r="Y435" s="64">
        <v>3.1399999999999999E-4</v>
      </c>
      <c r="Z435" s="67" t="s">
        <v>3005</v>
      </c>
      <c r="AA435" s="63"/>
    </row>
    <row r="436" spans="1:27" x14ac:dyDescent="0.3">
      <c r="A436" s="79" t="s">
        <v>2509</v>
      </c>
      <c r="B436" s="80" t="s">
        <v>388</v>
      </c>
      <c r="C436" s="81" t="s">
        <v>389</v>
      </c>
      <c r="D436" s="82">
        <v>429.75</v>
      </c>
      <c r="E436" s="83">
        <v>8.68</v>
      </c>
      <c r="F436" s="83" t="s">
        <v>2309</v>
      </c>
      <c r="G436" s="85">
        <f>E438</f>
        <v>7.82</v>
      </c>
      <c r="H436" s="83"/>
      <c r="I436" s="83">
        <v>156</v>
      </c>
      <c r="J436" s="83" t="s">
        <v>2914</v>
      </c>
      <c r="K436" s="85">
        <f>I436</f>
        <v>156</v>
      </c>
      <c r="L436" s="83"/>
      <c r="M436" s="83">
        <f>10^(-4.69)</f>
        <v>2.0417379446695267E-5</v>
      </c>
      <c r="N436" s="83">
        <f>$N$1*M436</f>
        <v>1.5314293802829389E-7</v>
      </c>
      <c r="O436" s="83">
        <v>56</v>
      </c>
      <c r="P436" s="83">
        <f>$K436</f>
        <v>156</v>
      </c>
      <c r="Q436" s="83">
        <f>N436*EXP(-O436*((P436+273.15)/298.15-1)/$Q$1)</f>
        <v>7.9411782345462804E-9</v>
      </c>
      <c r="R436" s="83" t="s">
        <v>3012</v>
      </c>
      <c r="S436" s="86">
        <f>Q436</f>
        <v>7.9411782345462804E-9</v>
      </c>
      <c r="T436" s="144"/>
      <c r="U436" s="93"/>
      <c r="V436" s="83"/>
      <c r="W436" s="83"/>
      <c r="X436" s="83"/>
      <c r="Y436" s="87">
        <v>2.72E-4</v>
      </c>
      <c r="Z436" s="84" t="s">
        <v>2310</v>
      </c>
      <c r="AA436" s="86">
        <f>Y438</f>
        <v>1.965497244722567E-4</v>
      </c>
    </row>
    <row r="437" spans="1:27" x14ac:dyDescent="0.3">
      <c r="A437" s="39"/>
      <c r="B437" s="25"/>
      <c r="C437" s="45"/>
      <c r="D437" s="46">
        <v>429.75</v>
      </c>
      <c r="E437" s="60">
        <v>8.68</v>
      </c>
      <c r="F437" s="60" t="s">
        <v>3005</v>
      </c>
      <c r="G437" s="61"/>
      <c r="H437" s="60"/>
      <c r="I437" s="60"/>
      <c r="J437" s="60"/>
      <c r="K437" s="61"/>
      <c r="L437" s="60"/>
      <c r="M437" s="60"/>
      <c r="N437" s="60"/>
      <c r="O437" s="60"/>
      <c r="P437" s="60"/>
      <c r="Q437" s="60"/>
      <c r="R437" s="60"/>
      <c r="S437" s="63"/>
      <c r="T437" s="71"/>
      <c r="U437" s="71"/>
      <c r="V437" s="60"/>
      <c r="W437" s="60"/>
      <c r="X437" s="60"/>
      <c r="Y437" s="64">
        <v>2.72E-4</v>
      </c>
      <c r="Z437" s="67" t="s">
        <v>3005</v>
      </c>
      <c r="AA437" s="63"/>
    </row>
    <row r="438" spans="1:27" x14ac:dyDescent="0.3">
      <c r="A438" s="39"/>
      <c r="B438" s="25"/>
      <c r="C438" s="45"/>
      <c r="D438" s="46">
        <v>429.75</v>
      </c>
      <c r="E438" s="68">
        <v>7.82</v>
      </c>
      <c r="F438" s="67" t="s">
        <v>2884</v>
      </c>
      <c r="G438" s="61"/>
      <c r="H438" s="60"/>
      <c r="I438" s="60"/>
      <c r="J438" s="62"/>
      <c r="K438" s="61"/>
      <c r="L438" s="60"/>
      <c r="M438" s="64"/>
      <c r="N438" s="64"/>
      <c r="O438" s="60"/>
      <c r="P438" s="60"/>
      <c r="Q438" s="73"/>
      <c r="R438" s="67"/>
      <c r="S438" s="63"/>
      <c r="T438" s="64"/>
      <c r="U438" s="62"/>
      <c r="V438" s="64">
        <f>$D438*0.00000882</f>
        <v>3.7903950000000002E-3</v>
      </c>
      <c r="W438" s="60">
        <v>56</v>
      </c>
      <c r="X438" s="60">
        <f>$K436</f>
        <v>156</v>
      </c>
      <c r="Y438" s="73">
        <f>V438*EXP(-$W438*(($X438+$W$1)/298.15-1)/$Y$1)</f>
        <v>1.965497244722567E-4</v>
      </c>
      <c r="Z438" s="67" t="s">
        <v>3012</v>
      </c>
      <c r="AA438" s="63"/>
    </row>
    <row r="439" spans="1:27" x14ac:dyDescent="0.3">
      <c r="A439" s="39"/>
      <c r="B439" s="25"/>
      <c r="C439" s="45"/>
      <c r="D439" s="46">
        <v>429.75</v>
      </c>
      <c r="E439" s="60"/>
      <c r="F439" s="67"/>
      <c r="G439" s="61"/>
      <c r="H439" s="60"/>
      <c r="I439" s="60"/>
      <c r="J439" s="62"/>
      <c r="K439" s="61"/>
      <c r="L439" s="60"/>
      <c r="M439" s="64"/>
      <c r="N439" s="64"/>
      <c r="O439" s="60"/>
      <c r="P439" s="60"/>
      <c r="Q439" s="64"/>
      <c r="R439" s="67"/>
      <c r="S439" s="63"/>
      <c r="T439" s="64">
        <v>-9.16</v>
      </c>
      <c r="U439" s="62" t="s">
        <v>3030</v>
      </c>
      <c r="V439" s="64"/>
      <c r="W439" s="60"/>
      <c r="X439" s="60"/>
      <c r="Y439" s="64">
        <f>1000*$D439*10^T439</f>
        <v>2.9731435975241256E-4</v>
      </c>
      <c r="Z439" s="62" t="s">
        <v>3008</v>
      </c>
      <c r="AA439" s="63"/>
    </row>
    <row r="440" spans="1:27" x14ac:dyDescent="0.3">
      <c r="A440" s="79" t="s">
        <v>2510</v>
      </c>
      <c r="B440" s="80" t="s">
        <v>390</v>
      </c>
      <c r="C440" s="81" t="s">
        <v>391</v>
      </c>
      <c r="D440" s="82">
        <v>429.75</v>
      </c>
      <c r="E440" s="83"/>
      <c r="F440" s="83"/>
      <c r="G440" s="85"/>
      <c r="H440" s="83"/>
      <c r="I440" s="83"/>
      <c r="J440" s="83"/>
      <c r="K440" s="85"/>
      <c r="L440" s="83"/>
      <c r="M440" s="83"/>
      <c r="N440" s="83"/>
      <c r="O440" s="83"/>
      <c r="P440" s="83"/>
      <c r="Q440" s="83"/>
      <c r="R440" s="83"/>
      <c r="S440" s="86"/>
      <c r="T440" s="93"/>
      <c r="U440" s="93"/>
      <c r="V440" s="83"/>
      <c r="W440" s="83"/>
      <c r="X440" s="83"/>
      <c r="Y440" s="87">
        <v>2.2000000000000001E-4</v>
      </c>
      <c r="Z440" s="84" t="s">
        <v>2310</v>
      </c>
      <c r="AA440" s="86"/>
    </row>
    <row r="441" spans="1:27" x14ac:dyDescent="0.3">
      <c r="A441" s="39"/>
      <c r="B441" s="25"/>
      <c r="C441" s="45"/>
      <c r="D441" s="46"/>
      <c r="E441" s="60"/>
      <c r="F441" s="60"/>
      <c r="G441" s="61"/>
      <c r="H441" s="60"/>
      <c r="I441" s="60"/>
      <c r="J441" s="60"/>
      <c r="K441" s="61"/>
      <c r="L441" s="60"/>
      <c r="M441" s="60"/>
      <c r="N441" s="60"/>
      <c r="O441" s="60"/>
      <c r="P441" s="60"/>
      <c r="Q441" s="60"/>
      <c r="R441" s="60"/>
      <c r="S441" s="63"/>
      <c r="T441" s="71"/>
      <c r="U441" s="71"/>
      <c r="V441" s="60"/>
      <c r="W441" s="60"/>
      <c r="X441" s="60"/>
      <c r="Y441" s="64">
        <v>2.2039999999999999E-4</v>
      </c>
      <c r="Z441" s="67" t="s">
        <v>3005</v>
      </c>
      <c r="AA441" s="63"/>
    </row>
    <row r="442" spans="1:27" x14ac:dyDescent="0.3">
      <c r="A442" s="79" t="s">
        <v>2511</v>
      </c>
      <c r="B442" s="80" t="s">
        <v>392</v>
      </c>
      <c r="C442" s="81" t="s">
        <v>393</v>
      </c>
      <c r="D442" s="82">
        <v>429.75</v>
      </c>
      <c r="E442" s="83"/>
      <c r="F442" s="83"/>
      <c r="G442" s="85"/>
      <c r="H442" s="83"/>
      <c r="I442" s="83"/>
      <c r="J442" s="83"/>
      <c r="K442" s="85"/>
      <c r="L442" s="83"/>
      <c r="M442" s="83"/>
      <c r="N442" s="83"/>
      <c r="O442" s="83"/>
      <c r="P442" s="83"/>
      <c r="Q442" s="83"/>
      <c r="R442" s="83"/>
      <c r="S442" s="86"/>
      <c r="T442" s="93"/>
      <c r="U442" s="93"/>
      <c r="V442" s="83"/>
      <c r="W442" s="83"/>
      <c r="X442" s="83"/>
      <c r="Y442" s="87">
        <v>1.63E-4</v>
      </c>
      <c r="Z442" s="84" t="s">
        <v>2310</v>
      </c>
      <c r="AA442" s="86"/>
    </row>
    <row r="443" spans="1:27" x14ac:dyDescent="0.3">
      <c r="A443" s="39"/>
      <c r="B443" s="25"/>
      <c r="C443" s="45"/>
      <c r="D443" s="46"/>
      <c r="E443" s="60"/>
      <c r="F443" s="60"/>
      <c r="G443" s="61"/>
      <c r="H443" s="60"/>
      <c r="I443" s="60"/>
      <c r="J443" s="60"/>
      <c r="K443" s="61"/>
      <c r="L443" s="60"/>
      <c r="M443" s="60"/>
      <c r="N443" s="60"/>
      <c r="O443" s="60"/>
      <c r="P443" s="60"/>
      <c r="Q443" s="60"/>
      <c r="R443" s="60"/>
      <c r="S443" s="63"/>
      <c r="T443" s="71"/>
      <c r="U443" s="71"/>
      <c r="V443" s="60"/>
      <c r="W443" s="60"/>
      <c r="X443" s="60"/>
      <c r="Y443" s="64">
        <v>1.6339999999999999E-4</v>
      </c>
      <c r="Z443" s="67" t="s">
        <v>3005</v>
      </c>
      <c r="AA443" s="63"/>
    </row>
    <row r="444" spans="1:27" x14ac:dyDescent="0.3">
      <c r="A444" s="79" t="s">
        <v>2512</v>
      </c>
      <c r="B444" s="80" t="s">
        <v>394</v>
      </c>
      <c r="C444" s="81" t="s">
        <v>395</v>
      </c>
      <c r="D444" s="82">
        <v>429.75</v>
      </c>
      <c r="E444" s="83"/>
      <c r="F444" s="83"/>
      <c r="G444" s="85"/>
      <c r="H444" s="83"/>
      <c r="I444" s="83"/>
      <c r="J444" s="83"/>
      <c r="K444" s="85"/>
      <c r="L444" s="83"/>
      <c r="M444" s="83"/>
      <c r="N444" s="83"/>
      <c r="O444" s="83"/>
      <c r="P444" s="83"/>
      <c r="Q444" s="83"/>
      <c r="R444" s="83"/>
      <c r="S444" s="86"/>
      <c r="T444" s="93"/>
      <c r="U444" s="93"/>
      <c r="V444" s="83"/>
      <c r="W444" s="83"/>
      <c r="X444" s="83"/>
      <c r="Y444" s="87">
        <v>3.4099999999999999E-4</v>
      </c>
      <c r="Z444" s="84" t="s">
        <v>2310</v>
      </c>
      <c r="AA444" s="86"/>
    </row>
    <row r="445" spans="1:27" x14ac:dyDescent="0.3">
      <c r="A445" s="39"/>
      <c r="B445" s="25"/>
      <c r="C445" s="45"/>
      <c r="D445" s="46"/>
      <c r="E445" s="60"/>
      <c r="F445" s="60"/>
      <c r="G445" s="61"/>
      <c r="H445" s="60"/>
      <c r="I445" s="60"/>
      <c r="J445" s="60"/>
      <c r="K445" s="61"/>
      <c r="L445" s="60"/>
      <c r="M445" s="60"/>
      <c r="N445" s="60"/>
      <c r="O445" s="60"/>
      <c r="P445" s="60"/>
      <c r="Q445" s="60"/>
      <c r="R445" s="60"/>
      <c r="S445" s="63"/>
      <c r="T445" s="71"/>
      <c r="U445" s="71"/>
      <c r="V445" s="60"/>
      <c r="W445" s="60"/>
      <c r="X445" s="60"/>
      <c r="Y445" s="64">
        <v>3.414E-4</v>
      </c>
      <c r="Z445" s="67" t="s">
        <v>3005</v>
      </c>
      <c r="AA445" s="63"/>
    </row>
    <row r="446" spans="1:27" x14ac:dyDescent="0.3">
      <c r="A446" s="79" t="s">
        <v>2513</v>
      </c>
      <c r="B446" s="80" t="s">
        <v>396</v>
      </c>
      <c r="C446" s="81" t="s">
        <v>397</v>
      </c>
      <c r="D446" s="82">
        <v>429.75</v>
      </c>
      <c r="E446" s="83"/>
      <c r="F446" s="83"/>
      <c r="G446" s="85"/>
      <c r="H446" s="83"/>
      <c r="I446" s="83"/>
      <c r="J446" s="83"/>
      <c r="K446" s="85"/>
      <c r="L446" s="83"/>
      <c r="M446" s="83"/>
      <c r="N446" s="83"/>
      <c r="O446" s="83"/>
      <c r="P446" s="83"/>
      <c r="Q446" s="83"/>
      <c r="R446" s="83"/>
      <c r="S446" s="86"/>
      <c r="T446" s="93"/>
      <c r="U446" s="93"/>
      <c r="V446" s="83"/>
      <c r="W446" s="83"/>
      <c r="X446" s="83"/>
      <c r="Y446" s="87">
        <v>1.63E-4</v>
      </c>
      <c r="Z446" s="84" t="s">
        <v>2310</v>
      </c>
      <c r="AA446" s="86"/>
    </row>
    <row r="447" spans="1:27" x14ac:dyDescent="0.3">
      <c r="A447" s="39"/>
      <c r="B447" s="25"/>
      <c r="C447" s="45"/>
      <c r="D447" s="46"/>
      <c r="E447" s="60"/>
      <c r="F447" s="60"/>
      <c r="G447" s="61"/>
      <c r="H447" s="60"/>
      <c r="I447" s="60"/>
      <c r="J447" s="60"/>
      <c r="K447" s="61"/>
      <c r="L447" s="60"/>
      <c r="M447" s="60"/>
      <c r="N447" s="60"/>
      <c r="O447" s="60"/>
      <c r="P447" s="60"/>
      <c r="Q447" s="60"/>
      <c r="R447" s="60"/>
      <c r="S447" s="63"/>
      <c r="T447" s="71"/>
      <c r="U447" s="71"/>
      <c r="V447" s="60"/>
      <c r="W447" s="60"/>
      <c r="X447" s="60"/>
      <c r="Y447" s="64">
        <v>1.6339999999999999E-4</v>
      </c>
      <c r="Z447" s="67" t="s">
        <v>3005</v>
      </c>
      <c r="AA447" s="63"/>
    </row>
    <row r="448" spans="1:27" x14ac:dyDescent="0.3">
      <c r="A448" s="79" t="s">
        <v>2514</v>
      </c>
      <c r="B448" s="80" t="s">
        <v>398</v>
      </c>
      <c r="C448" s="81" t="s">
        <v>399</v>
      </c>
      <c r="D448" s="82">
        <v>429.75</v>
      </c>
      <c r="E448" s="83"/>
      <c r="F448" s="83"/>
      <c r="G448" s="85"/>
      <c r="H448" s="83"/>
      <c r="I448" s="83"/>
      <c r="J448" s="83"/>
      <c r="K448" s="85"/>
      <c r="L448" s="83"/>
      <c r="M448" s="83"/>
      <c r="N448" s="83"/>
      <c r="O448" s="83"/>
      <c r="P448" s="83"/>
      <c r="Q448" s="83"/>
      <c r="R448" s="83"/>
      <c r="S448" s="86"/>
      <c r="T448" s="93"/>
      <c r="U448" s="93"/>
      <c r="V448" s="83"/>
      <c r="W448" s="83"/>
      <c r="X448" s="83"/>
      <c r="Y448" s="87">
        <v>2.2000000000000001E-4</v>
      </c>
      <c r="Z448" s="84" t="s">
        <v>2310</v>
      </c>
      <c r="AA448" s="86"/>
    </row>
    <row r="449" spans="1:27" x14ac:dyDescent="0.3">
      <c r="A449" s="39"/>
      <c r="B449" s="25"/>
      <c r="C449" s="45"/>
      <c r="D449" s="46"/>
      <c r="E449" s="60"/>
      <c r="F449" s="60"/>
      <c r="G449" s="61"/>
      <c r="H449" s="60"/>
      <c r="I449" s="60"/>
      <c r="J449" s="60"/>
      <c r="K449" s="61"/>
      <c r="L449" s="60"/>
      <c r="M449" s="60"/>
      <c r="N449" s="60"/>
      <c r="O449" s="60"/>
      <c r="P449" s="60"/>
      <c r="Q449" s="60"/>
      <c r="R449" s="60"/>
      <c r="S449" s="63"/>
      <c r="T449" s="71"/>
      <c r="U449" s="71"/>
      <c r="V449" s="60"/>
      <c r="W449" s="60"/>
      <c r="X449" s="60"/>
      <c r="Y449" s="64">
        <v>2.2039999999999999E-4</v>
      </c>
      <c r="Z449" s="67" t="s">
        <v>3005</v>
      </c>
      <c r="AA449" s="63"/>
    </row>
    <row r="450" spans="1:27" x14ac:dyDescent="0.3">
      <c r="A450" s="79" t="s">
        <v>2515</v>
      </c>
      <c r="B450" s="80" t="s">
        <v>400</v>
      </c>
      <c r="C450" s="81" t="s">
        <v>401</v>
      </c>
      <c r="D450" s="82">
        <v>429.75</v>
      </c>
      <c r="E450" s="83"/>
      <c r="F450" s="83"/>
      <c r="G450" s="85"/>
      <c r="H450" s="83"/>
      <c r="I450" s="83"/>
      <c r="J450" s="83"/>
      <c r="K450" s="85"/>
      <c r="L450" s="83"/>
      <c r="M450" s="83"/>
      <c r="N450" s="83"/>
      <c r="O450" s="83"/>
      <c r="P450" s="83"/>
      <c r="Q450" s="83"/>
      <c r="R450" s="83"/>
      <c r="S450" s="86"/>
      <c r="T450" s="93"/>
      <c r="U450" s="93"/>
      <c r="V450" s="83"/>
      <c r="W450" s="83"/>
      <c r="X450" s="83"/>
      <c r="Y450" s="87">
        <v>3.4099999999999999E-4</v>
      </c>
      <c r="Z450" s="84" t="s">
        <v>2310</v>
      </c>
      <c r="AA450" s="86"/>
    </row>
    <row r="451" spans="1:27" x14ac:dyDescent="0.3">
      <c r="A451" s="39"/>
      <c r="B451" s="25"/>
      <c r="C451" s="45"/>
      <c r="D451" s="46"/>
      <c r="E451" s="60"/>
      <c r="F451" s="60"/>
      <c r="G451" s="61"/>
      <c r="H451" s="60"/>
      <c r="I451" s="60"/>
      <c r="J451" s="60"/>
      <c r="K451" s="61"/>
      <c r="L451" s="60"/>
      <c r="M451" s="60"/>
      <c r="N451" s="60"/>
      <c r="O451" s="60"/>
      <c r="P451" s="60"/>
      <c r="Q451" s="60"/>
      <c r="R451" s="60"/>
      <c r="S451" s="63"/>
      <c r="T451" s="71"/>
      <c r="U451" s="71"/>
      <c r="V451" s="60"/>
      <c r="W451" s="60"/>
      <c r="X451" s="60"/>
      <c r="Y451" s="64">
        <v>3.414E-4</v>
      </c>
      <c r="Z451" s="67" t="s">
        <v>3005</v>
      </c>
      <c r="AA451" s="63"/>
    </row>
    <row r="452" spans="1:27" x14ac:dyDescent="0.3">
      <c r="A452" s="79" t="s">
        <v>2516</v>
      </c>
      <c r="B452" s="80" t="s">
        <v>402</v>
      </c>
      <c r="C452" s="81" t="s">
        <v>403</v>
      </c>
      <c r="D452" s="82">
        <v>429.75</v>
      </c>
      <c r="E452" s="83"/>
      <c r="F452" s="83"/>
      <c r="G452" s="85"/>
      <c r="H452" s="83"/>
      <c r="I452" s="83"/>
      <c r="J452" s="83"/>
      <c r="K452" s="85"/>
      <c r="L452" s="83"/>
      <c r="M452" s="83"/>
      <c r="N452" s="83"/>
      <c r="O452" s="83"/>
      <c r="P452" s="83"/>
      <c r="Q452" s="83"/>
      <c r="R452" s="83"/>
      <c r="S452" s="86"/>
      <c r="T452" s="93"/>
      <c r="U452" s="93"/>
      <c r="V452" s="83"/>
      <c r="W452" s="83"/>
      <c r="X452" s="83"/>
      <c r="Y452" s="87">
        <v>2.7099999999999997E-4</v>
      </c>
      <c r="Z452" s="84" t="s">
        <v>2310</v>
      </c>
      <c r="AA452" s="86"/>
    </row>
    <row r="453" spans="1:27" x14ac:dyDescent="0.3">
      <c r="A453" s="39"/>
      <c r="B453" s="25"/>
      <c r="C453" s="45"/>
      <c r="D453" s="46"/>
      <c r="E453" s="60"/>
      <c r="F453" s="60"/>
      <c r="G453" s="61"/>
      <c r="H453" s="60"/>
      <c r="I453" s="60"/>
      <c r="J453" s="60"/>
      <c r="K453" s="61"/>
      <c r="L453" s="60"/>
      <c r="M453" s="60"/>
      <c r="N453" s="60"/>
      <c r="O453" s="60"/>
      <c r="P453" s="60"/>
      <c r="Q453" s="60"/>
      <c r="R453" s="60"/>
      <c r="S453" s="63"/>
      <c r="T453" s="71"/>
      <c r="U453" s="71"/>
      <c r="V453" s="60"/>
      <c r="W453" s="60"/>
      <c r="X453" s="60"/>
      <c r="Y453" s="64">
        <v>2.7119999999999998E-4</v>
      </c>
      <c r="Z453" s="67" t="s">
        <v>3005</v>
      </c>
      <c r="AA453" s="63"/>
    </row>
    <row r="454" spans="1:27" x14ac:dyDescent="0.3">
      <c r="A454" s="79" t="s">
        <v>2517</v>
      </c>
      <c r="B454" s="80" t="s">
        <v>404</v>
      </c>
      <c r="C454" s="81" t="s">
        <v>405</v>
      </c>
      <c r="D454" s="82">
        <v>429.75</v>
      </c>
      <c r="E454" s="83">
        <v>7.73</v>
      </c>
      <c r="F454" s="83" t="s">
        <v>2309</v>
      </c>
      <c r="G454" s="85">
        <f>E456</f>
        <v>7.7290000000000001</v>
      </c>
      <c r="H454" s="83">
        <v>433.8</v>
      </c>
      <c r="I454" s="83">
        <f>H454-$H$1</f>
        <v>160.65000000000003</v>
      </c>
      <c r="J454" s="83" t="s">
        <v>2745</v>
      </c>
      <c r="K454" s="85">
        <f>I454</f>
        <v>160.65000000000003</v>
      </c>
      <c r="L454" s="83">
        <v>25</v>
      </c>
      <c r="M454" s="83"/>
      <c r="N454" s="83"/>
      <c r="O454" s="83"/>
      <c r="P454" s="83"/>
      <c r="Q454" s="83">
        <v>3.9299999999999996E-6</v>
      </c>
      <c r="R454" s="83" t="s">
        <v>2310</v>
      </c>
      <c r="S454" s="86"/>
      <c r="T454" s="93"/>
      <c r="U454" s="93"/>
      <c r="V454" s="83"/>
      <c r="W454" s="83"/>
      <c r="X454" s="83"/>
      <c r="Y454" s="87">
        <v>1.47E-4</v>
      </c>
      <c r="Z454" s="84" t="s">
        <v>2310</v>
      </c>
      <c r="AA454" s="86"/>
    </row>
    <row r="455" spans="1:27" x14ac:dyDescent="0.3">
      <c r="A455" s="39"/>
      <c r="B455" s="25"/>
      <c r="C455" s="45"/>
      <c r="D455" s="46">
        <v>429.75</v>
      </c>
      <c r="E455" s="60">
        <v>7.73</v>
      </c>
      <c r="F455" s="60" t="s">
        <v>3005</v>
      </c>
      <c r="G455" s="61"/>
      <c r="H455" s="60"/>
      <c r="I455" s="60"/>
      <c r="J455" s="60"/>
      <c r="K455" s="61"/>
      <c r="L455" s="60">
        <v>25</v>
      </c>
      <c r="M455" s="60"/>
      <c r="N455" s="60"/>
      <c r="O455" s="60"/>
      <c r="P455" s="60"/>
      <c r="Q455" s="60">
        <v>3.9299999999999996E-6</v>
      </c>
      <c r="R455" s="60" t="s">
        <v>3005</v>
      </c>
      <c r="S455" s="63"/>
      <c r="T455" s="71"/>
      <c r="U455" s="71"/>
      <c r="V455" s="60"/>
      <c r="W455" s="60"/>
      <c r="X455" s="60"/>
      <c r="Y455" s="64">
        <v>1.47E-4</v>
      </c>
      <c r="Z455" s="67" t="s">
        <v>3005</v>
      </c>
      <c r="AA455" s="63"/>
    </row>
    <row r="456" spans="1:27" x14ac:dyDescent="0.3">
      <c r="A456" s="39"/>
      <c r="B456" s="25"/>
      <c r="C456" s="45"/>
      <c r="D456" s="46">
        <v>429.75</v>
      </c>
      <c r="E456" s="68">
        <v>7.7290000000000001</v>
      </c>
      <c r="F456" s="67" t="s">
        <v>2969</v>
      </c>
      <c r="G456" s="61"/>
      <c r="H456" s="60"/>
      <c r="I456" s="60"/>
      <c r="J456" s="67"/>
      <c r="K456" s="61"/>
      <c r="L456" s="60"/>
      <c r="M456" s="60"/>
      <c r="N456" s="60"/>
      <c r="O456" s="60"/>
      <c r="P456" s="60"/>
      <c r="Q456" s="60"/>
      <c r="R456" s="60"/>
      <c r="S456" s="63"/>
      <c r="T456" s="64">
        <v>-9.15</v>
      </c>
      <c r="U456" s="62" t="s">
        <v>3030</v>
      </c>
      <c r="V456" s="60"/>
      <c r="W456" s="60"/>
      <c r="X456" s="60"/>
      <c r="Y456" s="64">
        <f>1000*$D456*10^T456</f>
        <v>3.0423970083908282E-4</v>
      </c>
      <c r="Z456" s="62" t="s">
        <v>3008</v>
      </c>
      <c r="AA456" s="63"/>
    </row>
    <row r="457" spans="1:27" x14ac:dyDescent="0.3">
      <c r="A457" s="79" t="s">
        <v>2518</v>
      </c>
      <c r="B457" s="80" t="s">
        <v>406</v>
      </c>
      <c r="C457" s="81" t="s">
        <v>407</v>
      </c>
      <c r="D457" s="82">
        <v>429.75</v>
      </c>
      <c r="E457" s="83"/>
      <c r="F457" s="83"/>
      <c r="G457" s="85"/>
      <c r="H457" s="83"/>
      <c r="I457" s="83"/>
      <c r="J457" s="83"/>
      <c r="K457" s="85"/>
      <c r="L457" s="83"/>
      <c r="M457" s="83"/>
      <c r="N457" s="83"/>
      <c r="O457" s="83"/>
      <c r="P457" s="83"/>
      <c r="Q457" s="83"/>
      <c r="R457" s="83"/>
      <c r="S457" s="86"/>
      <c r="T457" s="93"/>
      <c r="U457" s="93"/>
      <c r="V457" s="83"/>
      <c r="W457" s="83"/>
      <c r="X457" s="83"/>
      <c r="Y457" s="87">
        <v>1.36E-4</v>
      </c>
      <c r="Z457" s="84" t="s">
        <v>2310</v>
      </c>
      <c r="AA457" s="86"/>
    </row>
    <row r="458" spans="1:27" x14ac:dyDescent="0.3">
      <c r="A458" s="39"/>
      <c r="B458" s="25"/>
      <c r="C458" s="45"/>
      <c r="D458" s="46"/>
      <c r="E458" s="60"/>
      <c r="F458" s="60"/>
      <c r="G458" s="61"/>
      <c r="H458" s="60"/>
      <c r="I458" s="60"/>
      <c r="J458" s="60"/>
      <c r="K458" s="61"/>
      <c r="L458" s="60"/>
      <c r="M458" s="60"/>
      <c r="N458" s="60"/>
      <c r="O458" s="60"/>
      <c r="P458" s="60"/>
      <c r="Q458" s="60"/>
      <c r="R458" s="60"/>
      <c r="S458" s="63"/>
      <c r="T458" s="71"/>
      <c r="U458" s="71"/>
      <c r="V458" s="60"/>
      <c r="W458" s="60"/>
      <c r="X458" s="60"/>
      <c r="Y458" s="64">
        <v>1.359E-4</v>
      </c>
      <c r="Z458" s="67" t="s">
        <v>3005</v>
      </c>
      <c r="AA458" s="63"/>
    </row>
    <row r="459" spans="1:27" x14ac:dyDescent="0.3">
      <c r="A459" s="79" t="s">
        <v>2519</v>
      </c>
      <c r="B459" s="80" t="s">
        <v>408</v>
      </c>
      <c r="C459" s="81" t="s">
        <v>409</v>
      </c>
      <c r="D459" s="82">
        <v>429.75</v>
      </c>
      <c r="E459" s="83"/>
      <c r="F459" s="83"/>
      <c r="G459" s="85"/>
      <c r="H459" s="83"/>
      <c r="I459" s="83"/>
      <c r="J459" s="83"/>
      <c r="K459" s="85"/>
      <c r="L459" s="83"/>
      <c r="M459" s="83"/>
      <c r="N459" s="83"/>
      <c r="O459" s="83"/>
      <c r="P459" s="83"/>
      <c r="Q459" s="83"/>
      <c r="R459" s="83"/>
      <c r="S459" s="86"/>
      <c r="T459" s="93"/>
      <c r="U459" s="93"/>
      <c r="V459" s="83"/>
      <c r="W459" s="83"/>
      <c r="X459" s="83"/>
      <c r="Y459" s="87">
        <v>1.4200000000000001E-4</v>
      </c>
      <c r="Z459" s="84" t="s">
        <v>2310</v>
      </c>
      <c r="AA459" s="86"/>
    </row>
    <row r="460" spans="1:27" x14ac:dyDescent="0.3">
      <c r="A460" s="39"/>
      <c r="B460" s="25"/>
      <c r="C460" s="45"/>
      <c r="D460" s="46"/>
      <c r="E460" s="60"/>
      <c r="F460" s="60"/>
      <c r="G460" s="61"/>
      <c r="H460" s="60"/>
      <c r="I460" s="60"/>
      <c r="J460" s="60"/>
      <c r="K460" s="61"/>
      <c r="L460" s="60"/>
      <c r="M460" s="60"/>
      <c r="N460" s="60"/>
      <c r="O460" s="60"/>
      <c r="P460" s="60"/>
      <c r="Q460" s="60"/>
      <c r="R460" s="60"/>
      <c r="S460" s="63"/>
      <c r="T460" s="71"/>
      <c r="U460" s="71"/>
      <c r="V460" s="60"/>
      <c r="W460" s="60"/>
      <c r="X460" s="60"/>
      <c r="Y460" s="64">
        <v>1.4229999999999999E-4</v>
      </c>
      <c r="Z460" s="67" t="s">
        <v>3005</v>
      </c>
      <c r="AA460" s="63"/>
    </row>
    <row r="461" spans="1:27" x14ac:dyDescent="0.3">
      <c r="A461" s="79" t="s">
        <v>2520</v>
      </c>
      <c r="B461" s="80" t="s">
        <v>410</v>
      </c>
      <c r="C461" s="81" t="s">
        <v>411</v>
      </c>
      <c r="D461" s="82">
        <v>429.75</v>
      </c>
      <c r="E461" s="83"/>
      <c r="F461" s="83"/>
      <c r="G461" s="85"/>
      <c r="H461" s="83"/>
      <c r="I461" s="83"/>
      <c r="J461" s="83"/>
      <c r="K461" s="85"/>
      <c r="L461" s="83"/>
      <c r="M461" s="83"/>
      <c r="N461" s="83"/>
      <c r="O461" s="83"/>
      <c r="P461" s="83"/>
      <c r="Q461" s="83"/>
      <c r="R461" s="83"/>
      <c r="S461" s="86"/>
      <c r="T461" s="93"/>
      <c r="U461" s="93"/>
      <c r="V461" s="83"/>
      <c r="W461" s="83"/>
      <c r="X461" s="83"/>
      <c r="Y461" s="87">
        <v>8.5799999999999998E-5</v>
      </c>
      <c r="Z461" s="84" t="s">
        <v>2310</v>
      </c>
      <c r="AA461" s="86"/>
    </row>
    <row r="462" spans="1:27" x14ac:dyDescent="0.3">
      <c r="A462" s="39"/>
      <c r="B462" s="25"/>
      <c r="C462" s="45"/>
      <c r="D462" s="46"/>
      <c r="E462" s="60"/>
      <c r="F462" s="60"/>
      <c r="G462" s="61"/>
      <c r="H462" s="60"/>
      <c r="I462" s="60"/>
      <c r="J462" s="60"/>
      <c r="K462" s="61"/>
      <c r="L462" s="60"/>
      <c r="M462" s="60"/>
      <c r="N462" s="60"/>
      <c r="O462" s="60"/>
      <c r="P462" s="60"/>
      <c r="Q462" s="60"/>
      <c r="R462" s="60"/>
      <c r="S462" s="63"/>
      <c r="T462" s="71"/>
      <c r="U462" s="71"/>
      <c r="V462" s="60"/>
      <c r="W462" s="60"/>
      <c r="X462" s="60"/>
      <c r="Y462" s="64">
        <v>8.5799999999999998E-5</v>
      </c>
      <c r="Z462" s="67" t="s">
        <v>3005</v>
      </c>
      <c r="AA462" s="63"/>
    </row>
    <row r="463" spans="1:27" x14ac:dyDescent="0.3">
      <c r="A463" s="79" t="s">
        <v>2521</v>
      </c>
      <c r="B463" s="80" t="s">
        <v>412</v>
      </c>
      <c r="C463" s="81" t="s">
        <v>413</v>
      </c>
      <c r="D463" s="82">
        <v>464.19</v>
      </c>
      <c r="E463" s="83">
        <v>9.14</v>
      </c>
      <c r="F463" s="84" t="s">
        <v>2309</v>
      </c>
      <c r="G463" s="85"/>
      <c r="H463" s="83"/>
      <c r="I463" s="126">
        <v>204.5</v>
      </c>
      <c r="J463" s="88" t="s">
        <v>2914</v>
      </c>
      <c r="K463" s="85">
        <f>I463</f>
        <v>204.5</v>
      </c>
      <c r="L463" s="83"/>
      <c r="M463" s="83"/>
      <c r="N463" s="83"/>
      <c r="O463" s="92"/>
      <c r="P463" s="92"/>
      <c r="Q463" s="83"/>
      <c r="R463" s="83"/>
      <c r="S463" s="86"/>
      <c r="T463" s="87"/>
      <c r="U463" s="88"/>
      <c r="V463" s="92"/>
      <c r="W463" s="92"/>
      <c r="X463" s="92"/>
      <c r="Y463" s="92">
        <v>2.5000000000000001E-5</v>
      </c>
      <c r="Z463" s="84" t="s">
        <v>2310</v>
      </c>
      <c r="AA463" s="86"/>
    </row>
    <row r="464" spans="1:27" x14ac:dyDescent="0.3">
      <c r="A464" s="39"/>
      <c r="B464" s="25"/>
      <c r="C464" s="45"/>
      <c r="D464" s="46">
        <v>464.19</v>
      </c>
      <c r="E464" s="60">
        <v>9.14</v>
      </c>
      <c r="F464" s="67" t="s">
        <v>3005</v>
      </c>
      <c r="G464" s="61"/>
      <c r="H464" s="60"/>
      <c r="I464" s="60"/>
      <c r="J464" s="62"/>
      <c r="K464" s="61"/>
      <c r="L464" s="60"/>
      <c r="M464" s="60"/>
      <c r="N464" s="60"/>
      <c r="O464" s="65"/>
      <c r="P464" s="65"/>
      <c r="Q464" s="60"/>
      <c r="R464" s="60"/>
      <c r="S464" s="63"/>
      <c r="T464" s="64"/>
      <c r="U464" s="62"/>
      <c r="V464" s="65"/>
      <c r="W464" s="65"/>
      <c r="X464" s="65"/>
      <c r="Y464" s="65">
        <v>2.5000000000000001E-5</v>
      </c>
      <c r="Z464" s="67" t="s">
        <v>3005</v>
      </c>
      <c r="AA464" s="63"/>
    </row>
    <row r="465" spans="1:27" x14ac:dyDescent="0.3">
      <c r="A465" s="39"/>
      <c r="B465" s="25"/>
      <c r="C465" s="45"/>
      <c r="D465" s="46">
        <v>464.19</v>
      </c>
      <c r="E465" s="60"/>
      <c r="F465" s="67"/>
      <c r="G465" s="61"/>
      <c r="H465" s="60"/>
      <c r="I465" s="60"/>
      <c r="J465" s="62"/>
      <c r="K465" s="61"/>
      <c r="L465" s="60"/>
      <c r="M465" s="60"/>
      <c r="N465" s="60"/>
      <c r="O465" s="65"/>
      <c r="P465" s="65"/>
      <c r="Q465" s="60"/>
      <c r="R465" s="60"/>
      <c r="S465" s="63"/>
      <c r="T465" s="64">
        <v>-10.26</v>
      </c>
      <c r="U465" s="62" t="s">
        <v>3030</v>
      </c>
      <c r="V465" s="65"/>
      <c r="W465" s="65"/>
      <c r="X465" s="65"/>
      <c r="Y465" s="64">
        <f>1000*$D465*10^T465</f>
        <v>2.5509137823597037E-5</v>
      </c>
      <c r="Z465" s="62" t="s">
        <v>3008</v>
      </c>
      <c r="AA465" s="63"/>
    </row>
    <row r="466" spans="1:27" x14ac:dyDescent="0.3">
      <c r="A466" s="79" t="s">
        <v>2522</v>
      </c>
      <c r="B466" s="80" t="s">
        <v>414</v>
      </c>
      <c r="C466" s="81" t="s">
        <v>415</v>
      </c>
      <c r="D466" s="82">
        <v>464.19</v>
      </c>
      <c r="E466" s="83"/>
      <c r="F466" s="83"/>
      <c r="G466" s="85"/>
      <c r="H466" s="83"/>
      <c r="I466" s="83"/>
      <c r="J466" s="83"/>
      <c r="K466" s="85"/>
      <c r="L466" s="83"/>
      <c r="M466" s="83"/>
      <c r="N466" s="83"/>
      <c r="O466" s="92"/>
      <c r="P466" s="92"/>
      <c r="Q466" s="83"/>
      <c r="R466" s="83"/>
      <c r="S466" s="86"/>
      <c r="T466" s="149"/>
      <c r="U466" s="149"/>
      <c r="V466" s="92"/>
      <c r="W466" s="92"/>
      <c r="X466" s="92"/>
      <c r="Y466" s="92">
        <v>3.6600000000000002E-5</v>
      </c>
      <c r="Z466" s="84" t="s">
        <v>2310</v>
      </c>
      <c r="AA466" s="86"/>
    </row>
    <row r="467" spans="1:27" x14ac:dyDescent="0.3">
      <c r="A467" s="39"/>
      <c r="B467" s="25"/>
      <c r="C467" s="45"/>
      <c r="D467" s="46">
        <v>464.19</v>
      </c>
      <c r="E467" s="60"/>
      <c r="F467" s="60"/>
      <c r="G467" s="61"/>
      <c r="H467" s="60"/>
      <c r="I467" s="60"/>
      <c r="J467" s="60"/>
      <c r="K467" s="61"/>
      <c r="L467" s="60"/>
      <c r="M467" s="60"/>
      <c r="N467" s="60"/>
      <c r="O467" s="65"/>
      <c r="P467" s="65"/>
      <c r="Q467" s="60"/>
      <c r="R467" s="60"/>
      <c r="S467" s="63"/>
      <c r="T467" s="75"/>
      <c r="U467" s="75"/>
      <c r="V467" s="65"/>
      <c r="W467" s="65"/>
      <c r="X467" s="65"/>
      <c r="Y467" s="65">
        <v>3.6579999999999999E-5</v>
      </c>
      <c r="Z467" s="67" t="s">
        <v>3005</v>
      </c>
      <c r="AA467" s="63"/>
    </row>
    <row r="468" spans="1:27" x14ac:dyDescent="0.3">
      <c r="A468" s="79" t="s">
        <v>2523</v>
      </c>
      <c r="B468" s="80" t="s">
        <v>416</v>
      </c>
      <c r="C468" s="81" t="s">
        <v>417</v>
      </c>
      <c r="D468" s="82">
        <v>464.19</v>
      </c>
      <c r="E468" s="83">
        <v>8.16</v>
      </c>
      <c r="F468" s="84" t="s">
        <v>2309</v>
      </c>
      <c r="G468" s="85"/>
      <c r="H468" s="83">
        <v>455.8</v>
      </c>
      <c r="I468" s="126">
        <f>H468-$H$1</f>
        <v>182.65000000000003</v>
      </c>
      <c r="J468" s="84" t="s">
        <v>2745</v>
      </c>
      <c r="K468" s="85">
        <f>I468</f>
        <v>182.65000000000003</v>
      </c>
      <c r="L468" s="83"/>
      <c r="M468" s="83"/>
      <c r="N468" s="83"/>
      <c r="O468" s="92"/>
      <c r="P468" s="92"/>
      <c r="Q468" s="83"/>
      <c r="R468" s="83"/>
      <c r="S468" s="86"/>
      <c r="T468" s="87"/>
      <c r="U468" s="88"/>
      <c r="V468" s="92"/>
      <c r="W468" s="92"/>
      <c r="X468" s="92"/>
      <c r="Y468" s="92">
        <v>1.8E-5</v>
      </c>
      <c r="Z468" s="84" t="s">
        <v>2310</v>
      </c>
      <c r="AA468" s="86"/>
    </row>
    <row r="469" spans="1:27" x14ac:dyDescent="0.3">
      <c r="A469" s="39"/>
      <c r="B469" s="25"/>
      <c r="C469" s="45"/>
      <c r="D469" s="46">
        <v>464.19</v>
      </c>
      <c r="E469" s="60">
        <v>8.16</v>
      </c>
      <c r="F469" s="67" t="s">
        <v>3005</v>
      </c>
      <c r="G469" s="61"/>
      <c r="H469" s="60"/>
      <c r="I469" s="60"/>
      <c r="J469" s="67"/>
      <c r="K469" s="61"/>
      <c r="L469" s="60"/>
      <c r="M469" s="60"/>
      <c r="N469" s="60"/>
      <c r="O469" s="65"/>
      <c r="P469" s="65"/>
      <c r="Q469" s="60"/>
      <c r="R469" s="60"/>
      <c r="S469" s="63"/>
      <c r="T469" s="64"/>
      <c r="U469" s="62"/>
      <c r="V469" s="65"/>
      <c r="W469" s="65"/>
      <c r="X469" s="65"/>
      <c r="Y469" s="65">
        <v>1.8E-5</v>
      </c>
      <c r="Z469" s="67" t="s">
        <v>3005</v>
      </c>
      <c r="AA469" s="63"/>
    </row>
    <row r="470" spans="1:27" x14ac:dyDescent="0.3">
      <c r="A470" s="39"/>
      <c r="B470" s="25"/>
      <c r="C470" s="45"/>
      <c r="D470" s="46">
        <v>464.19</v>
      </c>
      <c r="E470" s="60"/>
      <c r="F470" s="67"/>
      <c r="G470" s="61"/>
      <c r="H470" s="60"/>
      <c r="I470" s="60"/>
      <c r="J470" s="67"/>
      <c r="K470" s="61"/>
      <c r="L470" s="60"/>
      <c r="M470" s="60"/>
      <c r="N470" s="60"/>
      <c r="O470" s="65"/>
      <c r="P470" s="65"/>
      <c r="Q470" s="60"/>
      <c r="R470" s="60"/>
      <c r="S470" s="63"/>
      <c r="T470" s="64">
        <v>-10.41</v>
      </c>
      <c r="U470" s="62" t="s">
        <v>3030</v>
      </c>
      <c r="V470" s="65"/>
      <c r="W470" s="65"/>
      <c r="X470" s="65"/>
      <c r="Y470" s="64">
        <f>1000*$D470*10^T470</f>
        <v>1.8059086585489447E-5</v>
      </c>
      <c r="Z470" s="62" t="s">
        <v>3008</v>
      </c>
      <c r="AA470" s="63"/>
    </row>
    <row r="471" spans="1:27" x14ac:dyDescent="0.3">
      <c r="A471" s="79" t="s">
        <v>2524</v>
      </c>
      <c r="B471" s="80" t="s">
        <v>418</v>
      </c>
      <c r="C471" s="81" t="s">
        <v>419</v>
      </c>
      <c r="D471" s="82">
        <v>498.63</v>
      </c>
      <c r="E471" s="83">
        <v>8.27</v>
      </c>
      <c r="F471" s="84" t="s">
        <v>2309</v>
      </c>
      <c r="G471" s="85">
        <f>E475</f>
        <v>8.1869999999999994</v>
      </c>
      <c r="H471" s="148"/>
      <c r="I471" s="83">
        <v>305.8</v>
      </c>
      <c r="J471" s="84" t="s">
        <v>2309</v>
      </c>
      <c r="K471" s="85">
        <f>I473</f>
        <v>306.63</v>
      </c>
      <c r="L471" s="83">
        <v>25</v>
      </c>
      <c r="M471" s="83"/>
      <c r="N471" s="83"/>
      <c r="O471" s="83"/>
      <c r="P471" s="83"/>
      <c r="Q471" s="92">
        <v>1.06E-7</v>
      </c>
      <c r="R471" s="84" t="s">
        <v>2310</v>
      </c>
      <c r="S471" s="86"/>
      <c r="T471" s="87"/>
      <c r="U471" s="88"/>
      <c r="V471" s="92"/>
      <c r="W471" s="92"/>
      <c r="X471" s="92"/>
      <c r="Y471" s="147">
        <v>7.43E-6</v>
      </c>
      <c r="Z471" s="84" t="s">
        <v>2310</v>
      </c>
      <c r="AA471" s="86"/>
    </row>
    <row r="472" spans="1:27" x14ac:dyDescent="0.3">
      <c r="A472" s="39"/>
      <c r="B472" s="25"/>
      <c r="C472" s="45" t="s">
        <v>419</v>
      </c>
      <c r="D472" s="46">
        <v>498.63</v>
      </c>
      <c r="E472" s="60">
        <v>8.27</v>
      </c>
      <c r="F472" s="67" t="s">
        <v>3005</v>
      </c>
      <c r="G472" s="61"/>
      <c r="H472" s="76"/>
      <c r="I472" s="60">
        <v>305.8</v>
      </c>
      <c r="J472" s="67" t="s">
        <v>3005</v>
      </c>
      <c r="K472" s="61"/>
      <c r="L472" s="60">
        <v>25</v>
      </c>
      <c r="M472" s="60"/>
      <c r="N472" s="60"/>
      <c r="O472" s="60"/>
      <c r="P472" s="60"/>
      <c r="Q472" s="65">
        <v>1.064E-7</v>
      </c>
      <c r="R472" s="67" t="s">
        <v>3005</v>
      </c>
      <c r="S472" s="63"/>
      <c r="T472" s="64"/>
      <c r="U472" s="62"/>
      <c r="V472" s="65"/>
      <c r="W472" s="65"/>
      <c r="X472" s="65"/>
      <c r="Y472" s="22">
        <v>7.43E-6</v>
      </c>
      <c r="Z472" s="67" t="s">
        <v>3005</v>
      </c>
      <c r="AA472" s="63"/>
    </row>
    <row r="473" spans="1:27" x14ac:dyDescent="0.3">
      <c r="A473" s="39"/>
      <c r="B473" s="25"/>
      <c r="C473" s="45" t="s">
        <v>419</v>
      </c>
      <c r="D473" s="46">
        <v>498.63</v>
      </c>
      <c r="E473" s="60">
        <v>8.2739999999999991</v>
      </c>
      <c r="F473" s="67" t="s">
        <v>2969</v>
      </c>
      <c r="G473" s="61"/>
      <c r="H473" s="76">
        <f>AVERAGE(580.66,578.9)</f>
        <v>579.78</v>
      </c>
      <c r="I473" s="68">
        <f>H473-$H$1</f>
        <v>306.63</v>
      </c>
      <c r="J473" s="62" t="s">
        <v>2314</v>
      </c>
      <c r="K473" s="61"/>
      <c r="L473" s="60"/>
      <c r="M473" s="60"/>
      <c r="N473" s="60"/>
      <c r="O473" s="65"/>
      <c r="P473" s="65"/>
      <c r="Q473" s="60"/>
      <c r="R473" s="60"/>
      <c r="S473" s="63"/>
      <c r="T473" s="64">
        <v>-11.62</v>
      </c>
      <c r="U473" s="62" t="s">
        <v>3030</v>
      </c>
      <c r="V473" s="65"/>
      <c r="W473" s="65"/>
      <c r="X473" s="65"/>
      <c r="Y473" s="64">
        <f>1000*$D473*10^T473</f>
        <v>1.1961300584106895E-6</v>
      </c>
      <c r="Z473" s="62" t="s">
        <v>3008</v>
      </c>
      <c r="AA473" s="63"/>
    </row>
    <row r="474" spans="1:27" ht="14.4" customHeight="1" x14ac:dyDescent="0.3">
      <c r="A474" s="39"/>
      <c r="B474" s="25"/>
      <c r="C474" s="45" t="s">
        <v>419</v>
      </c>
      <c r="D474" s="46">
        <v>498.63</v>
      </c>
      <c r="E474" s="60">
        <v>8.1</v>
      </c>
      <c r="F474" s="67" t="s">
        <v>2884</v>
      </c>
      <c r="G474" s="61"/>
      <c r="H474" s="76"/>
      <c r="I474" s="15">
        <f>AVERAGE(305.8,306)</f>
        <v>305.89999999999998</v>
      </c>
      <c r="J474" s="67" t="s">
        <v>2743</v>
      </c>
      <c r="K474" s="61"/>
      <c r="L474" s="60"/>
      <c r="M474" s="60"/>
      <c r="N474" s="60"/>
      <c r="O474" s="65"/>
      <c r="P474" s="65"/>
      <c r="Q474" s="60"/>
      <c r="R474" s="60"/>
      <c r="S474" s="63"/>
      <c r="T474" s="64"/>
      <c r="U474" s="62"/>
      <c r="V474" s="65"/>
      <c r="W474" s="65"/>
      <c r="X474" s="65"/>
      <c r="Y474" s="65"/>
      <c r="Z474" s="60"/>
      <c r="AA474" s="63"/>
    </row>
    <row r="475" spans="1:27" ht="24" x14ac:dyDescent="0.3">
      <c r="A475" s="39"/>
      <c r="B475" s="25"/>
      <c r="C475" s="45" t="s">
        <v>419</v>
      </c>
      <c r="D475" s="46">
        <v>498.63</v>
      </c>
      <c r="E475" s="68">
        <f>AVERAGE(E473:E474)</f>
        <v>8.1869999999999994</v>
      </c>
      <c r="F475" s="70" t="s">
        <v>2883</v>
      </c>
      <c r="G475" s="61"/>
      <c r="H475" s="76"/>
      <c r="I475" s="60"/>
      <c r="J475" s="67"/>
      <c r="K475" s="61"/>
      <c r="L475" s="60"/>
      <c r="M475" s="60"/>
      <c r="N475" s="60"/>
      <c r="O475" s="65"/>
      <c r="P475" s="65"/>
      <c r="Q475" s="60"/>
      <c r="R475" s="60"/>
      <c r="S475" s="63"/>
      <c r="T475" s="64"/>
      <c r="U475" s="62"/>
      <c r="V475" s="65"/>
      <c r="W475" s="65"/>
      <c r="X475" s="65"/>
      <c r="Y475" s="65"/>
      <c r="Z475" s="60"/>
      <c r="AA475" s="63"/>
    </row>
    <row r="476" spans="1:27" x14ac:dyDescent="0.3">
      <c r="D476"/>
      <c r="E476" s="17"/>
      <c r="F476" s="17"/>
    </row>
    <row r="477" spans="1:27" x14ac:dyDescent="0.3">
      <c r="D477"/>
    </row>
    <row r="478" spans="1:27" x14ac:dyDescent="0.3">
      <c r="D478"/>
    </row>
    <row r="479" spans="1:27" x14ac:dyDescent="0.3">
      <c r="D479"/>
    </row>
  </sheetData>
  <mergeCells count="4">
    <mergeCell ref="L2:S2"/>
    <mergeCell ref="T2:AA2"/>
    <mergeCell ref="E2:G2"/>
    <mergeCell ref="H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3"/>
  <sheetViews>
    <sheetView zoomScaleNormal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O261" sqref="O261"/>
    </sheetView>
  </sheetViews>
  <sheetFormatPr defaultRowHeight="14.4" x14ac:dyDescent="0.3"/>
  <cols>
    <col min="1" max="1" width="8" style="14" bestFit="1" customWidth="1"/>
    <col min="2" max="2" width="48.33203125" style="1" bestFit="1" customWidth="1"/>
    <col min="3" max="3" width="11.33203125" style="1" bestFit="1" customWidth="1"/>
    <col min="4" max="4" width="10" style="1" bestFit="1" customWidth="1"/>
    <col min="6" max="6" width="21" customWidth="1"/>
    <col min="7" max="7" width="10.6640625" customWidth="1"/>
    <col min="10" max="10" width="36.5546875" customWidth="1"/>
    <col min="11" max="11" width="9.88671875" customWidth="1"/>
    <col min="12" max="12" width="7" bestFit="1" customWidth="1"/>
    <col min="13" max="13" width="9.5546875" customWidth="1"/>
    <col min="14" max="14" width="12" bestFit="1" customWidth="1"/>
    <col min="15" max="15" width="8.88671875" customWidth="1"/>
    <col min="16" max="16" width="7" customWidth="1"/>
    <col min="17" max="17" width="8.88671875" customWidth="1"/>
    <col min="18" max="18" width="28.6640625" customWidth="1"/>
    <col min="19" max="19" width="9.88671875" customWidth="1"/>
    <col min="20" max="20" width="11.33203125" customWidth="1"/>
    <col min="21" max="21" width="13.33203125" bestFit="1" customWidth="1"/>
    <col min="22" max="22" width="10.6640625" bestFit="1" customWidth="1"/>
    <col min="23" max="23" width="9.109375" customWidth="1"/>
    <col min="24" max="24" width="7" bestFit="1" customWidth="1"/>
    <col min="25" max="25" width="12" bestFit="1" customWidth="1"/>
    <col min="26" max="26" width="20.6640625" customWidth="1"/>
    <col min="27" max="27" width="9.88671875" bestFit="1" customWidth="1"/>
  </cols>
  <sheetData>
    <row r="1" spans="1:27" x14ac:dyDescent="0.3">
      <c r="A1" s="9" t="s">
        <v>3034</v>
      </c>
      <c r="H1">
        <v>273.14999999999998</v>
      </c>
      <c r="M1" s="16" t="s">
        <v>3020</v>
      </c>
      <c r="N1">
        <f>1/133.32237</f>
        <v>7.5006167382112993E-3</v>
      </c>
      <c r="P1" s="16" t="s">
        <v>2893</v>
      </c>
      <c r="Q1">
        <v>8.3144597999999998</v>
      </c>
      <c r="R1" s="6" t="s">
        <v>2894</v>
      </c>
      <c r="S1" s="6"/>
      <c r="V1" s="16" t="s">
        <v>3003</v>
      </c>
      <c r="W1">
        <v>273.14999999999998</v>
      </c>
      <c r="X1" s="16" t="s">
        <v>2893</v>
      </c>
      <c r="Y1">
        <v>8.3144597999999998</v>
      </c>
      <c r="Z1" s="6" t="s">
        <v>2894</v>
      </c>
    </row>
    <row r="2" spans="1:27" ht="14.4" customHeight="1" x14ac:dyDescent="0.3">
      <c r="A2" s="39"/>
      <c r="B2" s="40"/>
      <c r="C2" s="40"/>
      <c r="D2" s="41"/>
      <c r="E2" s="425" t="s">
        <v>2311</v>
      </c>
      <c r="F2" s="425"/>
      <c r="G2" s="426"/>
      <c r="H2" s="427" t="s">
        <v>3002</v>
      </c>
      <c r="I2" s="428"/>
      <c r="J2" s="428"/>
      <c r="K2" s="429"/>
      <c r="L2" s="415" t="s">
        <v>2888</v>
      </c>
      <c r="M2" s="415"/>
      <c r="N2" s="415"/>
      <c r="O2" s="415"/>
      <c r="P2" s="415"/>
      <c r="Q2" s="415"/>
      <c r="R2" s="415"/>
      <c r="S2" s="415"/>
      <c r="T2" s="423" t="s">
        <v>2890</v>
      </c>
      <c r="U2" s="417"/>
      <c r="V2" s="417"/>
      <c r="W2" s="417"/>
      <c r="X2" s="417"/>
      <c r="Y2" s="417"/>
      <c r="Z2" s="417"/>
      <c r="AA2" s="424"/>
    </row>
    <row r="3" spans="1:27" ht="29.4" thickBot="1" x14ac:dyDescent="0.35">
      <c r="A3" s="173"/>
      <c r="B3" s="174" t="s">
        <v>420</v>
      </c>
      <c r="C3" s="174" t="s">
        <v>421</v>
      </c>
      <c r="D3" s="175" t="s">
        <v>2313</v>
      </c>
      <c r="E3" s="30" t="s">
        <v>3013</v>
      </c>
      <c r="F3" s="30" t="s">
        <v>2882</v>
      </c>
      <c r="G3" s="363" t="s">
        <v>2744</v>
      </c>
      <c r="H3" s="36" t="s">
        <v>3021</v>
      </c>
      <c r="I3" s="29" t="s">
        <v>3022</v>
      </c>
      <c r="J3" s="30" t="s">
        <v>2882</v>
      </c>
      <c r="K3" s="364" t="s">
        <v>2744</v>
      </c>
      <c r="L3" s="208" t="s">
        <v>2874</v>
      </c>
      <c r="M3" s="32" t="s">
        <v>3017</v>
      </c>
      <c r="N3" s="32" t="s">
        <v>3019</v>
      </c>
      <c r="O3" s="33" t="s">
        <v>2891</v>
      </c>
      <c r="P3" s="95" t="s">
        <v>3007</v>
      </c>
      <c r="Q3" s="94" t="s">
        <v>3023</v>
      </c>
      <c r="R3" s="30" t="s">
        <v>2882</v>
      </c>
      <c r="S3" s="349" t="s">
        <v>2744</v>
      </c>
      <c r="T3" s="312" t="s">
        <v>3032</v>
      </c>
      <c r="U3" s="32" t="s">
        <v>3031</v>
      </c>
      <c r="V3" s="32" t="s">
        <v>2892</v>
      </c>
      <c r="W3" s="33" t="s">
        <v>2891</v>
      </c>
      <c r="X3" s="95" t="s">
        <v>3007</v>
      </c>
      <c r="Y3" s="94" t="s">
        <v>3029</v>
      </c>
      <c r="Z3" s="30" t="s">
        <v>2882</v>
      </c>
      <c r="AA3" s="355" t="s">
        <v>2744</v>
      </c>
    </row>
    <row r="4" spans="1:27" x14ac:dyDescent="0.3">
      <c r="A4" s="59" t="s">
        <v>2316</v>
      </c>
      <c r="B4" s="25" t="s">
        <v>423</v>
      </c>
      <c r="C4" s="60" t="s">
        <v>424</v>
      </c>
      <c r="D4" s="46">
        <v>170.21</v>
      </c>
      <c r="E4" s="60">
        <v>4.21</v>
      </c>
      <c r="F4" s="67" t="s">
        <v>2309</v>
      </c>
      <c r="G4" s="61"/>
      <c r="H4" s="209"/>
      <c r="I4" s="60">
        <v>26.8</v>
      </c>
      <c r="J4" s="67" t="s">
        <v>2309</v>
      </c>
      <c r="K4" s="61">
        <f>I6</f>
        <v>26.950000000000045</v>
      </c>
      <c r="L4" s="160">
        <v>25</v>
      </c>
      <c r="M4" s="60"/>
      <c r="N4" s="60"/>
      <c r="O4" s="60"/>
      <c r="P4" s="60"/>
      <c r="Q4" s="60">
        <v>2.2499999999999999E-2</v>
      </c>
      <c r="R4" s="67" t="s">
        <v>2309</v>
      </c>
      <c r="S4" s="350"/>
      <c r="T4" s="209"/>
      <c r="U4" s="77"/>
      <c r="V4" s="60"/>
      <c r="W4" s="60"/>
      <c r="X4" s="60"/>
      <c r="Y4" s="60">
        <v>18</v>
      </c>
      <c r="Z4" s="67" t="s">
        <v>2309</v>
      </c>
      <c r="AA4" s="61"/>
    </row>
    <row r="5" spans="1:27" x14ac:dyDescent="0.3">
      <c r="A5" s="59"/>
      <c r="B5" s="25"/>
      <c r="C5" s="60"/>
      <c r="D5" s="46">
        <v>170.21</v>
      </c>
      <c r="E5" s="60">
        <v>4.21</v>
      </c>
      <c r="F5" s="67" t="s">
        <v>3005</v>
      </c>
      <c r="G5" s="61"/>
      <c r="H5" s="209"/>
      <c r="I5" s="60">
        <v>26.8</v>
      </c>
      <c r="J5" s="67" t="s">
        <v>3005</v>
      </c>
      <c r="K5" s="61"/>
      <c r="L5" s="160">
        <v>25</v>
      </c>
      <c r="M5" s="60"/>
      <c r="N5" s="60"/>
      <c r="O5" s="60"/>
      <c r="P5" s="60"/>
      <c r="Q5" s="60">
        <v>2.2499999999999999E-2</v>
      </c>
      <c r="R5" s="67" t="s">
        <v>3005</v>
      </c>
      <c r="S5" s="350"/>
      <c r="T5" s="209"/>
      <c r="U5" s="77"/>
      <c r="V5" s="60"/>
      <c r="W5" s="60"/>
      <c r="X5" s="60"/>
      <c r="Y5" s="60">
        <v>18</v>
      </c>
      <c r="Z5" s="67" t="s">
        <v>3005</v>
      </c>
      <c r="AA5" s="61"/>
    </row>
    <row r="6" spans="1:27" x14ac:dyDescent="0.3">
      <c r="A6" s="59"/>
      <c r="B6" s="25"/>
      <c r="C6" s="60"/>
      <c r="D6" s="46">
        <v>170.21</v>
      </c>
      <c r="E6" s="60"/>
      <c r="F6" s="67"/>
      <c r="G6" s="61"/>
      <c r="H6" s="209">
        <v>300.10000000000002</v>
      </c>
      <c r="I6" s="68">
        <f>H6-$H$1</f>
        <v>26.950000000000045</v>
      </c>
      <c r="J6" s="67" t="s">
        <v>2314</v>
      </c>
      <c r="K6" s="61"/>
      <c r="L6" s="160"/>
      <c r="M6" s="60"/>
      <c r="N6" s="60"/>
      <c r="O6" s="60"/>
      <c r="P6" s="60"/>
      <c r="Q6" s="60"/>
      <c r="R6" s="67"/>
      <c r="S6" s="350"/>
      <c r="T6" s="356"/>
      <c r="U6" s="72"/>
      <c r="V6" s="60"/>
      <c r="W6" s="60"/>
      <c r="X6" s="60"/>
      <c r="Y6" s="60"/>
      <c r="Z6" s="60"/>
      <c r="AA6" s="61"/>
    </row>
    <row r="7" spans="1:27" x14ac:dyDescent="0.3">
      <c r="A7" s="176" t="s">
        <v>2525</v>
      </c>
      <c r="B7" s="177" t="s">
        <v>425</v>
      </c>
      <c r="C7" s="158" t="s">
        <v>426</v>
      </c>
      <c r="D7" s="178">
        <v>249.11</v>
      </c>
      <c r="E7" s="134"/>
      <c r="F7" s="134"/>
      <c r="G7" s="135"/>
      <c r="H7" s="210"/>
      <c r="I7" s="134"/>
      <c r="J7" s="139"/>
      <c r="K7" s="135"/>
      <c r="L7" s="181"/>
      <c r="M7" s="179">
        <v>0.16300000000000001</v>
      </c>
      <c r="N7" s="134">
        <f>$N$1*M7</f>
        <v>1.2226005283284419E-3</v>
      </c>
      <c r="O7" s="134">
        <v>56</v>
      </c>
      <c r="P7" s="134">
        <v>27.8</v>
      </c>
      <c r="Q7" s="180">
        <f>N7*EXP(-O7*((P7+$H$1)/298.15-1)/$Q$1)</f>
        <v>1.1476630471674361E-3</v>
      </c>
      <c r="R7" s="139" t="s">
        <v>2912</v>
      </c>
      <c r="S7" s="351">
        <f>Q7</f>
        <v>1.1476630471674361E-3</v>
      </c>
      <c r="T7" s="357"/>
      <c r="U7" s="198"/>
      <c r="V7" s="134"/>
      <c r="W7" s="134"/>
      <c r="X7" s="134"/>
      <c r="Y7" s="134"/>
      <c r="Z7" s="134"/>
      <c r="AA7" s="135"/>
    </row>
    <row r="8" spans="1:27" x14ac:dyDescent="0.3">
      <c r="A8" s="176" t="s">
        <v>2526</v>
      </c>
      <c r="B8" s="177" t="s">
        <v>427</v>
      </c>
      <c r="C8" s="134" t="s">
        <v>429</v>
      </c>
      <c r="D8" s="178">
        <v>249.11</v>
      </c>
      <c r="E8" s="134"/>
      <c r="F8" s="134"/>
      <c r="G8" s="135"/>
      <c r="H8" s="210"/>
      <c r="I8" s="134"/>
      <c r="J8" s="139"/>
      <c r="K8" s="135"/>
      <c r="L8" s="181"/>
      <c r="M8" s="179">
        <v>0.128</v>
      </c>
      <c r="N8" s="134">
        <f>$N$1*M8</f>
        <v>9.6007894249104631E-4</v>
      </c>
      <c r="O8" s="134">
        <v>56</v>
      </c>
      <c r="P8" s="134">
        <v>28.3</v>
      </c>
      <c r="Q8" s="180">
        <f>N8*EXP(-O8*((P8+$H$1)/298.15-1)/$Q$1)</f>
        <v>8.9111011652765284E-4</v>
      </c>
      <c r="R8" s="139" t="s">
        <v>2912</v>
      </c>
      <c r="S8" s="351">
        <f>Q8</f>
        <v>8.9111011652765284E-4</v>
      </c>
      <c r="T8" s="357"/>
      <c r="U8" s="198"/>
      <c r="V8" s="134"/>
      <c r="W8" s="134"/>
      <c r="X8" s="134"/>
      <c r="Y8" s="134"/>
      <c r="Z8" s="134"/>
      <c r="AA8" s="135"/>
    </row>
    <row r="9" spans="1:27" x14ac:dyDescent="0.3">
      <c r="A9" s="91" t="s">
        <v>2527</v>
      </c>
      <c r="B9" s="129" t="s">
        <v>428</v>
      </c>
      <c r="C9" s="83" t="s">
        <v>430</v>
      </c>
      <c r="D9" s="182">
        <v>249.11</v>
      </c>
      <c r="E9" s="83"/>
      <c r="F9" s="83"/>
      <c r="G9" s="85"/>
      <c r="H9" s="206"/>
      <c r="I9" s="83">
        <v>18.72</v>
      </c>
      <c r="J9" s="84" t="s">
        <v>2309</v>
      </c>
      <c r="K9" s="85">
        <f>I11</f>
        <v>18.75</v>
      </c>
      <c r="L9" s="183">
        <v>20</v>
      </c>
      <c r="M9" s="83"/>
      <c r="N9" s="83"/>
      <c r="O9" s="83"/>
      <c r="P9" s="83"/>
      <c r="Q9" s="87">
        <v>1.5E-3</v>
      </c>
      <c r="R9" s="67" t="s">
        <v>2309</v>
      </c>
      <c r="S9" s="352">
        <f>Q11</f>
        <v>2.2372478876401323E-3</v>
      </c>
      <c r="T9" s="358"/>
      <c r="U9" s="144"/>
      <c r="V9" s="83"/>
      <c r="W9" s="83"/>
      <c r="X9" s="83"/>
      <c r="Y9" s="83"/>
      <c r="Z9" s="83"/>
      <c r="AA9" s="85"/>
    </row>
    <row r="10" spans="1:27" x14ac:dyDescent="0.3">
      <c r="A10" s="59"/>
      <c r="B10" s="77"/>
      <c r="C10" s="60"/>
      <c r="D10" s="159">
        <v>249.11</v>
      </c>
      <c r="E10" s="60"/>
      <c r="F10" s="60"/>
      <c r="G10" s="61"/>
      <c r="H10" s="209"/>
      <c r="I10" s="60">
        <v>18.72</v>
      </c>
      <c r="J10" s="67" t="s">
        <v>3005</v>
      </c>
      <c r="K10" s="61"/>
      <c r="L10" s="160">
        <v>20</v>
      </c>
      <c r="M10" s="60"/>
      <c r="N10" s="60"/>
      <c r="O10" s="60"/>
      <c r="P10" s="60"/>
      <c r="Q10" s="64">
        <v>1.5E-3</v>
      </c>
      <c r="R10" s="67" t="s">
        <v>3005</v>
      </c>
      <c r="S10" s="350"/>
      <c r="T10" s="356"/>
      <c r="U10" s="72"/>
      <c r="V10" s="60"/>
      <c r="W10" s="60"/>
      <c r="X10" s="60"/>
      <c r="Y10" s="60"/>
      <c r="Z10" s="60"/>
      <c r="AA10" s="61"/>
    </row>
    <row r="11" spans="1:27" x14ac:dyDescent="0.3">
      <c r="A11" s="59"/>
      <c r="B11" s="77"/>
      <c r="C11" s="60"/>
      <c r="D11" s="159">
        <v>249.11</v>
      </c>
      <c r="E11" s="60"/>
      <c r="F11" s="60"/>
      <c r="G11" s="61"/>
      <c r="H11" s="209">
        <v>291.89999999999998</v>
      </c>
      <c r="I11" s="68">
        <f>H11-$H$1</f>
        <v>18.75</v>
      </c>
      <c r="J11" s="67" t="s">
        <v>2314</v>
      </c>
      <c r="K11" s="61"/>
      <c r="L11" s="160"/>
      <c r="M11" s="60">
        <v>0.25900000000000001</v>
      </c>
      <c r="N11" s="60">
        <f>$N$1*M11</f>
        <v>1.9426597351967266E-3</v>
      </c>
      <c r="O11" s="60">
        <v>56</v>
      </c>
      <c r="P11" s="60">
        <f>K9</f>
        <v>18.75</v>
      </c>
      <c r="Q11" s="73">
        <f>N11*EXP(-O11*((P11+$H$1)/298.15-1)/$Q$1)</f>
        <v>2.2372478876401323E-3</v>
      </c>
      <c r="R11" s="67" t="s">
        <v>2737</v>
      </c>
      <c r="S11" s="350"/>
      <c r="T11" s="356"/>
      <c r="U11" s="72"/>
      <c r="V11" s="60"/>
      <c r="W11" s="60"/>
      <c r="X11" s="60"/>
      <c r="Y11" s="60"/>
      <c r="Z11" s="60"/>
      <c r="AA11" s="61"/>
    </row>
    <row r="12" spans="1:27" x14ac:dyDescent="0.3">
      <c r="A12" s="59"/>
      <c r="B12" s="77"/>
      <c r="C12" s="60"/>
      <c r="D12" s="159">
        <v>249.11</v>
      </c>
      <c r="E12" s="60"/>
      <c r="F12" s="60"/>
      <c r="G12" s="61"/>
      <c r="H12" s="209"/>
      <c r="I12" s="77">
        <v>18.36</v>
      </c>
      <c r="J12" s="67" t="s">
        <v>2743</v>
      </c>
      <c r="K12" s="61"/>
      <c r="L12" s="160"/>
      <c r="M12" s="60"/>
      <c r="N12" s="60"/>
      <c r="O12" s="60"/>
      <c r="P12" s="60"/>
      <c r="Q12" s="73"/>
      <c r="R12" s="67"/>
      <c r="S12" s="350"/>
      <c r="T12" s="356"/>
      <c r="U12" s="72"/>
      <c r="V12" s="60"/>
      <c r="W12" s="60"/>
      <c r="X12" s="60"/>
      <c r="Y12" s="60"/>
      <c r="Z12" s="60"/>
      <c r="AA12" s="61"/>
    </row>
    <row r="13" spans="1:27" x14ac:dyDescent="0.3">
      <c r="A13" s="176" t="s">
        <v>2528</v>
      </c>
      <c r="B13" s="177" t="s">
        <v>434</v>
      </c>
      <c r="C13" s="134" t="s">
        <v>2774</v>
      </c>
      <c r="D13" s="178">
        <v>328</v>
      </c>
      <c r="E13" s="134"/>
      <c r="F13" s="134"/>
      <c r="G13" s="135"/>
      <c r="H13" s="210"/>
      <c r="I13" s="134"/>
      <c r="J13" s="139"/>
      <c r="K13" s="135"/>
      <c r="L13" s="181"/>
      <c r="M13" s="179"/>
      <c r="N13" s="134"/>
      <c r="O13" s="134"/>
      <c r="P13" s="134"/>
      <c r="Q13" s="134"/>
      <c r="R13" s="134"/>
      <c r="S13" s="351"/>
      <c r="T13" s="357"/>
      <c r="U13" s="198"/>
      <c r="V13" s="134"/>
      <c r="W13" s="134"/>
      <c r="X13" s="134"/>
      <c r="Y13" s="134"/>
      <c r="Z13" s="134"/>
      <c r="AA13" s="135"/>
    </row>
    <row r="14" spans="1:27" x14ac:dyDescent="0.3">
      <c r="A14" s="176" t="s">
        <v>2529</v>
      </c>
      <c r="B14" s="177" t="s">
        <v>435</v>
      </c>
      <c r="C14" s="134" t="s">
        <v>2775</v>
      </c>
      <c r="D14" s="178">
        <v>328</v>
      </c>
      <c r="E14" s="134"/>
      <c r="F14" s="134"/>
      <c r="G14" s="135"/>
      <c r="H14" s="210"/>
      <c r="I14" s="134"/>
      <c r="J14" s="139"/>
      <c r="K14" s="135"/>
      <c r="L14" s="181"/>
      <c r="M14" s="179"/>
      <c r="N14" s="134"/>
      <c r="O14" s="134"/>
      <c r="P14" s="134"/>
      <c r="Q14" s="134"/>
      <c r="R14" s="134"/>
      <c r="S14" s="351"/>
      <c r="T14" s="357"/>
      <c r="U14" s="198"/>
      <c r="V14" s="134"/>
      <c r="W14" s="134"/>
      <c r="X14" s="134"/>
      <c r="Y14" s="134"/>
      <c r="Z14" s="134"/>
      <c r="AA14" s="135"/>
    </row>
    <row r="15" spans="1:27" x14ac:dyDescent="0.3">
      <c r="A15" s="176" t="s">
        <v>2530</v>
      </c>
      <c r="B15" s="177" t="s">
        <v>436</v>
      </c>
      <c r="C15" s="134" t="s">
        <v>2776</v>
      </c>
      <c r="D15" s="178">
        <v>328</v>
      </c>
      <c r="E15" s="134"/>
      <c r="F15" s="134"/>
      <c r="G15" s="135"/>
      <c r="H15" s="210"/>
      <c r="I15" s="134"/>
      <c r="J15" s="139"/>
      <c r="K15" s="135"/>
      <c r="L15" s="181"/>
      <c r="M15" s="179"/>
      <c r="N15" s="134"/>
      <c r="O15" s="134"/>
      <c r="P15" s="134"/>
      <c r="Q15" s="134"/>
      <c r="R15" s="134"/>
      <c r="S15" s="351"/>
      <c r="T15" s="357"/>
      <c r="U15" s="198"/>
      <c r="V15" s="134"/>
      <c r="W15" s="134"/>
      <c r="X15" s="134"/>
      <c r="Y15" s="134"/>
      <c r="Z15" s="134"/>
      <c r="AA15" s="135"/>
    </row>
    <row r="16" spans="1:27" x14ac:dyDescent="0.3">
      <c r="A16" s="176" t="s">
        <v>2531</v>
      </c>
      <c r="B16" s="177" t="s">
        <v>437</v>
      </c>
      <c r="C16" s="134" t="s">
        <v>2777</v>
      </c>
      <c r="D16" s="178">
        <v>328</v>
      </c>
      <c r="E16" s="134"/>
      <c r="F16" s="134"/>
      <c r="G16" s="135"/>
      <c r="H16" s="210"/>
      <c r="I16" s="134"/>
      <c r="J16" s="139"/>
      <c r="K16" s="135"/>
      <c r="L16" s="181"/>
      <c r="M16" s="179">
        <v>1.6799999999999999E-2</v>
      </c>
      <c r="N16" s="134">
        <f>$N$1*M16</f>
        <v>1.2601036120194983E-4</v>
      </c>
      <c r="O16" s="134">
        <v>56</v>
      </c>
      <c r="P16" s="134">
        <v>35.700000000000003</v>
      </c>
      <c r="Q16" s="180">
        <f>N16*EXP(-O16*((P16+$H$1)/298.15-1)/$Q$1)</f>
        <v>9.8953445939240666E-5</v>
      </c>
      <c r="R16" s="139" t="s">
        <v>2912</v>
      </c>
      <c r="S16" s="351">
        <f t="shared" ref="S16:S17" si="0">Q16</f>
        <v>9.8953445939240666E-5</v>
      </c>
      <c r="T16" s="357"/>
      <c r="U16" s="198"/>
      <c r="V16" s="134"/>
      <c r="W16" s="134"/>
      <c r="X16" s="134"/>
      <c r="Y16" s="134"/>
      <c r="Z16" s="134"/>
      <c r="AA16" s="135"/>
    </row>
    <row r="17" spans="1:27" x14ac:dyDescent="0.3">
      <c r="A17" s="176" t="s">
        <v>2532</v>
      </c>
      <c r="B17" s="177" t="s">
        <v>438</v>
      </c>
      <c r="C17" s="134" t="s">
        <v>1048</v>
      </c>
      <c r="D17" s="178">
        <v>328</v>
      </c>
      <c r="E17" s="134"/>
      <c r="F17" s="134"/>
      <c r="G17" s="135"/>
      <c r="H17" s="210"/>
      <c r="I17" s="134"/>
      <c r="J17" s="139"/>
      <c r="K17" s="135"/>
      <c r="L17" s="181"/>
      <c r="M17" s="179">
        <v>1.37E-2</v>
      </c>
      <c r="N17" s="134">
        <f>$N$1*M17</f>
        <v>1.027584493134948E-4</v>
      </c>
      <c r="O17" s="134">
        <v>56</v>
      </c>
      <c r="P17" s="134">
        <v>35.200000000000003</v>
      </c>
      <c r="Q17" s="180">
        <f>N17*EXP(-O17*((P17+$H$1)/298.15-1)/$Q$1)</f>
        <v>8.1610792928444163E-5</v>
      </c>
      <c r="R17" s="139" t="s">
        <v>2912</v>
      </c>
      <c r="S17" s="351">
        <f t="shared" si="0"/>
        <v>8.1610792928444163E-5</v>
      </c>
      <c r="T17" s="357"/>
      <c r="U17" s="198"/>
      <c r="V17" s="134"/>
      <c r="W17" s="134"/>
      <c r="X17" s="134"/>
      <c r="Y17" s="134"/>
      <c r="Z17" s="134"/>
      <c r="AA17" s="135"/>
    </row>
    <row r="18" spans="1:27" x14ac:dyDescent="0.3">
      <c r="A18" s="176" t="s">
        <v>2533</v>
      </c>
      <c r="B18" s="177" t="s">
        <v>439</v>
      </c>
      <c r="C18" s="134" t="s">
        <v>2778</v>
      </c>
      <c r="D18" s="178">
        <v>328</v>
      </c>
      <c r="E18" s="134"/>
      <c r="F18" s="134"/>
      <c r="G18" s="135"/>
      <c r="H18" s="210"/>
      <c r="I18" s="134"/>
      <c r="J18" s="139"/>
      <c r="K18" s="135"/>
      <c r="L18" s="181"/>
      <c r="M18" s="179"/>
      <c r="N18" s="134"/>
      <c r="O18" s="134"/>
      <c r="P18" s="134"/>
      <c r="Q18" s="134"/>
      <c r="R18" s="134"/>
      <c r="S18" s="351"/>
      <c r="T18" s="357"/>
      <c r="U18" s="198"/>
      <c r="V18" s="134"/>
      <c r="W18" s="134"/>
      <c r="X18" s="134"/>
      <c r="Y18" s="134"/>
      <c r="Z18" s="134"/>
      <c r="AA18" s="135"/>
    </row>
    <row r="19" spans="1:27" x14ac:dyDescent="0.3">
      <c r="A19" s="176" t="s">
        <v>2534</v>
      </c>
      <c r="B19" s="177" t="s">
        <v>440</v>
      </c>
      <c r="C19" s="134" t="s">
        <v>2779</v>
      </c>
      <c r="D19" s="178">
        <v>328</v>
      </c>
      <c r="E19" s="134"/>
      <c r="F19" s="134"/>
      <c r="G19" s="135"/>
      <c r="H19" s="210"/>
      <c r="I19" s="134"/>
      <c r="J19" s="139"/>
      <c r="K19" s="135"/>
      <c r="L19" s="181"/>
      <c r="M19" s="179">
        <v>2.7699999999999999E-2</v>
      </c>
      <c r="N19" s="134">
        <f>$N$1*M19</f>
        <v>2.0776708364845297E-4</v>
      </c>
      <c r="O19" s="134">
        <v>56</v>
      </c>
      <c r="P19" s="134">
        <v>32.9</v>
      </c>
      <c r="Q19" s="180">
        <f>N19*EXP(-O19*((P19+$H$1)/298.15-1)/$Q$1)</f>
        <v>1.738087318104341E-4</v>
      </c>
      <c r="R19" s="139" t="s">
        <v>2912</v>
      </c>
      <c r="S19" s="351">
        <f>Q19</f>
        <v>1.738087318104341E-4</v>
      </c>
      <c r="T19" s="357"/>
      <c r="U19" s="198"/>
      <c r="V19" s="134"/>
      <c r="W19" s="134"/>
      <c r="X19" s="134"/>
      <c r="Y19" s="134"/>
      <c r="Z19" s="134"/>
      <c r="AA19" s="135"/>
    </row>
    <row r="20" spans="1:27" x14ac:dyDescent="0.3">
      <c r="A20" s="176" t="s">
        <v>2535</v>
      </c>
      <c r="B20" s="177" t="s">
        <v>441</v>
      </c>
      <c r="C20" s="134" t="s">
        <v>2780</v>
      </c>
      <c r="D20" s="178">
        <v>328</v>
      </c>
      <c r="E20" s="134"/>
      <c r="F20" s="134"/>
      <c r="G20" s="135"/>
      <c r="H20" s="210"/>
      <c r="I20" s="134"/>
      <c r="J20" s="139"/>
      <c r="K20" s="135"/>
      <c r="L20" s="181"/>
      <c r="M20" s="179"/>
      <c r="N20" s="134"/>
      <c r="O20" s="134"/>
      <c r="P20" s="134"/>
      <c r="Q20" s="134"/>
      <c r="R20" s="134"/>
      <c r="S20" s="351"/>
      <c r="T20" s="357"/>
      <c r="U20" s="198"/>
      <c r="V20" s="134"/>
      <c r="W20" s="134"/>
      <c r="X20" s="134"/>
      <c r="Y20" s="134"/>
      <c r="Z20" s="134"/>
      <c r="AA20" s="135"/>
    </row>
    <row r="21" spans="1:27" x14ac:dyDescent="0.3">
      <c r="A21" s="176" t="s">
        <v>2536</v>
      </c>
      <c r="B21" s="177" t="s">
        <v>442</v>
      </c>
      <c r="C21" s="134" t="s">
        <v>2781</v>
      </c>
      <c r="D21" s="178">
        <v>328</v>
      </c>
      <c r="E21" s="134"/>
      <c r="F21" s="134"/>
      <c r="G21" s="135"/>
      <c r="H21" s="210"/>
      <c r="I21" s="134"/>
      <c r="J21" s="139"/>
      <c r="K21" s="135"/>
      <c r="L21" s="181"/>
      <c r="M21" s="179">
        <v>1.1900000000000001E-2</v>
      </c>
      <c r="N21" s="134">
        <f>$N$1*M21</f>
        <v>8.925733918471447E-5</v>
      </c>
      <c r="O21" s="134">
        <v>56</v>
      </c>
      <c r="P21" s="134">
        <v>37.4</v>
      </c>
      <c r="Q21" s="180">
        <f>N21*EXP(-O21*((P21+$H$1)/298.15-1)/$Q$1)</f>
        <v>6.7451292838453399E-5</v>
      </c>
      <c r="R21" s="139" t="s">
        <v>2912</v>
      </c>
      <c r="S21" s="351">
        <f t="shared" ref="S21:S22" si="1">Q21</f>
        <v>6.7451292838453399E-5</v>
      </c>
      <c r="T21" s="357"/>
      <c r="U21" s="198"/>
      <c r="V21" s="134"/>
      <c r="W21" s="134"/>
      <c r="X21" s="134"/>
      <c r="Y21" s="134"/>
      <c r="Z21" s="134"/>
      <c r="AA21" s="135"/>
    </row>
    <row r="22" spans="1:27" x14ac:dyDescent="0.3">
      <c r="A22" s="176" t="s">
        <v>2537</v>
      </c>
      <c r="B22" s="177" t="s">
        <v>443</v>
      </c>
      <c r="C22" s="134" t="s">
        <v>2782</v>
      </c>
      <c r="D22" s="178">
        <v>328</v>
      </c>
      <c r="E22" s="134"/>
      <c r="F22" s="134"/>
      <c r="G22" s="135"/>
      <c r="H22" s="210"/>
      <c r="I22" s="134"/>
      <c r="J22" s="139"/>
      <c r="K22" s="135"/>
      <c r="L22" s="181"/>
      <c r="M22" s="179">
        <v>1.1299999999999999E-2</v>
      </c>
      <c r="N22" s="134">
        <f>$N$1*M22</f>
        <v>8.4756969141787681E-5</v>
      </c>
      <c r="O22" s="134">
        <v>56</v>
      </c>
      <c r="P22" s="134">
        <v>38.6</v>
      </c>
      <c r="Q22" s="180">
        <f>N22*EXP(-O22*((P22+$H$1)/298.15-1)/$Q$1)</f>
        <v>6.2337420255704365E-5</v>
      </c>
      <c r="R22" s="139" t="s">
        <v>2912</v>
      </c>
      <c r="S22" s="351">
        <f t="shared" si="1"/>
        <v>6.2337420255704365E-5</v>
      </c>
      <c r="T22" s="357"/>
      <c r="U22" s="198"/>
      <c r="V22" s="134"/>
      <c r="W22" s="134"/>
      <c r="X22" s="134"/>
      <c r="Y22" s="134"/>
      <c r="Z22" s="134"/>
      <c r="AA22" s="135"/>
    </row>
    <row r="23" spans="1:27" x14ac:dyDescent="0.3">
      <c r="A23" s="176" t="s">
        <v>2538</v>
      </c>
      <c r="B23" s="177" t="s">
        <v>444</v>
      </c>
      <c r="C23" s="134" t="s">
        <v>2783</v>
      </c>
      <c r="D23" s="178">
        <v>328</v>
      </c>
      <c r="E23" s="134"/>
      <c r="F23" s="134"/>
      <c r="G23" s="135"/>
      <c r="H23" s="210"/>
      <c r="I23" s="134"/>
      <c r="J23" s="139"/>
      <c r="K23" s="135"/>
      <c r="L23" s="181"/>
      <c r="M23" s="179"/>
      <c r="N23" s="134"/>
      <c r="O23" s="134"/>
      <c r="P23" s="134"/>
      <c r="Q23" s="134"/>
      <c r="R23" s="134"/>
      <c r="S23" s="351"/>
      <c r="T23" s="357"/>
      <c r="U23" s="198"/>
      <c r="V23" s="134"/>
      <c r="W23" s="134"/>
      <c r="X23" s="134"/>
      <c r="Y23" s="134"/>
      <c r="Z23" s="134"/>
      <c r="AA23" s="135"/>
    </row>
    <row r="24" spans="1:27" x14ac:dyDescent="0.3">
      <c r="A24" s="91" t="s">
        <v>2539</v>
      </c>
      <c r="B24" s="129" t="s">
        <v>445</v>
      </c>
      <c r="C24" s="83" t="s">
        <v>446</v>
      </c>
      <c r="D24" s="182">
        <v>328</v>
      </c>
      <c r="E24" s="83"/>
      <c r="F24" s="83"/>
      <c r="G24" s="85"/>
      <c r="H24" s="206"/>
      <c r="I24" s="83">
        <v>60.5</v>
      </c>
      <c r="J24" s="84" t="s">
        <v>2309</v>
      </c>
      <c r="K24" s="85">
        <f>I28</f>
        <v>54</v>
      </c>
      <c r="L24" s="183"/>
      <c r="M24" s="87">
        <v>3.1199999999999999E-3</v>
      </c>
      <c r="N24" s="83"/>
      <c r="O24" s="83">
        <f>1000*18.4/(P24+273.15)</f>
        <v>56.243313464771518</v>
      </c>
      <c r="P24" s="83">
        <f>K24</f>
        <v>54</v>
      </c>
      <c r="Q24" s="87">
        <f>$N$1*M24</f>
        <v>2.3401924223219253E-5</v>
      </c>
      <c r="R24" s="84" t="s">
        <v>2911</v>
      </c>
      <c r="S24" s="352">
        <f>Q27</f>
        <v>4.2943477123533748E-5</v>
      </c>
      <c r="T24" s="358">
        <v>1.2999999999999999E-4</v>
      </c>
      <c r="U24" s="144" t="s">
        <v>3048</v>
      </c>
      <c r="V24" s="83"/>
      <c r="W24" s="83"/>
      <c r="X24" s="83"/>
      <c r="Y24" s="126">
        <f>1000*T24</f>
        <v>0.12999999999999998</v>
      </c>
      <c r="Z24" s="84" t="s">
        <v>2737</v>
      </c>
      <c r="AA24" s="85">
        <f>Y24</f>
        <v>0.12999999999999998</v>
      </c>
    </row>
    <row r="25" spans="1:27" x14ac:dyDescent="0.3">
      <c r="A25" s="59"/>
      <c r="B25" s="77"/>
      <c r="C25" s="60"/>
      <c r="D25" s="159">
        <v>328</v>
      </c>
      <c r="E25" s="60"/>
      <c r="F25" s="60"/>
      <c r="G25" s="61"/>
      <c r="H25" s="209"/>
      <c r="I25" s="60">
        <v>60.5</v>
      </c>
      <c r="J25" s="67" t="s">
        <v>3005</v>
      </c>
      <c r="K25" s="61"/>
      <c r="L25" s="160"/>
      <c r="M25" s="60">
        <v>1.7299999999999999E-2</v>
      </c>
      <c r="N25" s="60">
        <f>$N$1*M25</f>
        <v>1.2976066957105548E-4</v>
      </c>
      <c r="O25" s="60">
        <f>O24</f>
        <v>56.243313464771518</v>
      </c>
      <c r="P25" s="60">
        <f>K24</f>
        <v>54</v>
      </c>
      <c r="Q25" s="64">
        <f>N25*EXP(-O25*((P25+$H$1)/298.15-1)/$Q$1)</f>
        <v>6.7203875226592047E-5</v>
      </c>
      <c r="R25" s="67" t="s">
        <v>2737</v>
      </c>
      <c r="S25" s="350"/>
      <c r="T25" s="356"/>
      <c r="U25" s="72"/>
      <c r="V25" s="60"/>
      <c r="W25" s="60"/>
      <c r="X25" s="60"/>
      <c r="Y25" s="60"/>
      <c r="Z25" s="67"/>
      <c r="AA25" s="61"/>
    </row>
    <row r="26" spans="1:27" x14ac:dyDescent="0.3">
      <c r="A26" s="59"/>
      <c r="B26" s="77"/>
      <c r="C26" s="60"/>
      <c r="D26" s="159">
        <v>328</v>
      </c>
      <c r="E26" s="60"/>
      <c r="F26" s="60"/>
      <c r="G26" s="61"/>
      <c r="H26" s="209">
        <v>331.7</v>
      </c>
      <c r="I26" s="60">
        <f>H26-$H$1</f>
        <v>58.550000000000011</v>
      </c>
      <c r="J26" s="67" t="s">
        <v>3035</v>
      </c>
      <c r="K26" s="61"/>
      <c r="L26" s="160"/>
      <c r="M26" s="60">
        <v>9.8399999999999998E-3</v>
      </c>
      <c r="N26" s="60">
        <f>$N$1*M26</f>
        <v>7.3806068703999186E-5</v>
      </c>
      <c r="O26" s="60">
        <f>O24</f>
        <v>56.243313464771518</v>
      </c>
      <c r="P26" s="60">
        <f>K24</f>
        <v>54</v>
      </c>
      <c r="Q26" s="64">
        <f>N26*EXP(-O26*((P26+$H$1)/298.15-1)/$Q$1)</f>
        <v>3.8224631920789932E-5</v>
      </c>
      <c r="R26" s="67" t="s">
        <v>2912</v>
      </c>
      <c r="S26" s="350"/>
      <c r="T26" s="356"/>
      <c r="U26" s="72"/>
      <c r="V26" s="60"/>
      <c r="W26" s="60"/>
      <c r="X26" s="60"/>
      <c r="Y26" s="60"/>
      <c r="Z26" s="67"/>
      <c r="AA26" s="61"/>
    </row>
    <row r="27" spans="1:27" ht="24" x14ac:dyDescent="0.3">
      <c r="A27" s="59"/>
      <c r="B27" s="77"/>
      <c r="C27" s="60"/>
      <c r="D27" s="159">
        <v>328</v>
      </c>
      <c r="E27" s="60"/>
      <c r="F27" s="60"/>
      <c r="G27" s="61"/>
      <c r="H27" s="209"/>
      <c r="I27" s="60">
        <v>56.25</v>
      </c>
      <c r="J27" s="67" t="s">
        <v>2735</v>
      </c>
      <c r="K27" s="61"/>
      <c r="L27" s="160"/>
      <c r="M27" s="60"/>
      <c r="N27" s="60"/>
      <c r="O27" s="60"/>
      <c r="P27" s="60"/>
      <c r="Q27" s="73">
        <f>AVERAGE(Q24:Q26)</f>
        <v>4.2943477123533748E-5</v>
      </c>
      <c r="R27" s="70" t="s">
        <v>3046</v>
      </c>
      <c r="S27" s="350"/>
      <c r="T27" s="356"/>
      <c r="U27" s="72"/>
      <c r="V27" s="60"/>
      <c r="W27" s="60"/>
      <c r="X27" s="60"/>
      <c r="Y27" s="60"/>
      <c r="Z27" s="67"/>
      <c r="AA27" s="61"/>
    </row>
    <row r="28" spans="1:27" x14ac:dyDescent="0.3">
      <c r="A28" s="59"/>
      <c r="B28" s="77"/>
      <c r="C28" s="60"/>
      <c r="D28" s="159">
        <v>328</v>
      </c>
      <c r="E28" s="60"/>
      <c r="F28" s="60"/>
      <c r="G28" s="61"/>
      <c r="H28" s="209">
        <v>327.14999999999998</v>
      </c>
      <c r="I28" s="68">
        <f>H28-$H$1</f>
        <v>54</v>
      </c>
      <c r="J28" s="67" t="s">
        <v>2314</v>
      </c>
      <c r="K28" s="61"/>
      <c r="L28" s="160"/>
      <c r="M28" s="60"/>
      <c r="N28" s="60"/>
      <c r="O28" s="60"/>
      <c r="P28" s="60"/>
      <c r="Q28" s="73"/>
      <c r="R28" s="70"/>
      <c r="S28" s="350"/>
      <c r="T28" s="209"/>
      <c r="U28" s="71"/>
      <c r="V28" s="60"/>
      <c r="W28" s="60"/>
      <c r="X28" s="60"/>
      <c r="Y28" s="60"/>
      <c r="Z28" s="67"/>
      <c r="AA28" s="61"/>
    </row>
    <row r="29" spans="1:27" x14ac:dyDescent="0.3">
      <c r="A29" s="59"/>
      <c r="B29" s="77"/>
      <c r="C29" s="60"/>
      <c r="D29" s="159">
        <v>328</v>
      </c>
      <c r="E29" s="60"/>
      <c r="F29" s="60"/>
      <c r="G29" s="61"/>
      <c r="H29" s="209"/>
      <c r="I29" s="60">
        <v>57.5</v>
      </c>
      <c r="J29" s="67" t="s">
        <v>2737</v>
      </c>
      <c r="K29" s="61"/>
      <c r="L29" s="160"/>
      <c r="M29" s="60"/>
      <c r="N29" s="60"/>
      <c r="O29" s="60"/>
      <c r="P29" s="60"/>
      <c r="Q29" s="64"/>
      <c r="R29" s="67"/>
      <c r="S29" s="350"/>
      <c r="T29" s="209"/>
      <c r="U29" s="71"/>
      <c r="V29" s="60"/>
      <c r="W29" s="60"/>
      <c r="X29" s="60"/>
      <c r="Y29" s="60"/>
      <c r="Z29" s="67"/>
      <c r="AA29" s="61"/>
    </row>
    <row r="30" spans="1:27" x14ac:dyDescent="0.3">
      <c r="A30" s="176" t="s">
        <v>2540</v>
      </c>
      <c r="B30" s="177" t="s">
        <v>447</v>
      </c>
      <c r="C30" s="134" t="s">
        <v>2784</v>
      </c>
      <c r="D30" s="178">
        <v>406.9</v>
      </c>
      <c r="E30" s="134"/>
      <c r="F30" s="134"/>
      <c r="G30" s="135"/>
      <c r="H30" s="210"/>
      <c r="I30" s="134"/>
      <c r="J30" s="139"/>
      <c r="K30" s="135"/>
      <c r="L30" s="181"/>
      <c r="M30" s="179"/>
      <c r="N30" s="134"/>
      <c r="O30" s="134"/>
      <c r="P30" s="134"/>
      <c r="Q30" s="134"/>
      <c r="R30" s="134"/>
      <c r="S30" s="351"/>
      <c r="T30" s="210"/>
      <c r="U30" s="200"/>
      <c r="V30" s="134"/>
      <c r="W30" s="134"/>
      <c r="X30" s="134"/>
      <c r="Y30" s="134"/>
      <c r="Z30" s="134"/>
      <c r="AA30" s="135"/>
    </row>
    <row r="31" spans="1:27" x14ac:dyDescent="0.3">
      <c r="A31" s="176" t="s">
        <v>2541</v>
      </c>
      <c r="B31" s="177" t="s">
        <v>448</v>
      </c>
      <c r="C31" s="134" t="s">
        <v>2785</v>
      </c>
      <c r="D31" s="178">
        <v>406.9</v>
      </c>
      <c r="E31" s="150">
        <v>5.74</v>
      </c>
      <c r="F31" s="139" t="s">
        <v>2885</v>
      </c>
      <c r="G31" s="135">
        <f>E31</f>
        <v>5.74</v>
      </c>
      <c r="H31" s="210"/>
      <c r="I31" s="134"/>
      <c r="J31" s="139"/>
      <c r="K31" s="135"/>
      <c r="L31" s="181"/>
      <c r="M31" s="179"/>
      <c r="N31" s="134"/>
      <c r="O31" s="134"/>
      <c r="P31" s="134"/>
      <c r="Q31" s="134"/>
      <c r="R31" s="134"/>
      <c r="S31" s="351"/>
      <c r="T31" s="210"/>
      <c r="U31" s="200"/>
      <c r="V31" s="134"/>
      <c r="W31" s="134"/>
      <c r="X31" s="134"/>
      <c r="Y31" s="134"/>
      <c r="Z31" s="134"/>
      <c r="AA31" s="135"/>
    </row>
    <row r="32" spans="1:27" x14ac:dyDescent="0.3">
      <c r="A32" s="176" t="s">
        <v>2542</v>
      </c>
      <c r="B32" s="177" t="s">
        <v>449</v>
      </c>
      <c r="C32" s="134" t="s">
        <v>2786</v>
      </c>
      <c r="D32" s="178">
        <v>406.9</v>
      </c>
      <c r="E32" s="134"/>
      <c r="F32" s="134"/>
      <c r="G32" s="135"/>
      <c r="H32" s="210"/>
      <c r="I32" s="134"/>
      <c r="J32" s="139"/>
      <c r="K32" s="135"/>
      <c r="L32" s="181"/>
      <c r="M32" s="179"/>
      <c r="N32" s="134"/>
      <c r="O32" s="134"/>
      <c r="P32" s="134"/>
      <c r="Q32" s="134"/>
      <c r="R32" s="134"/>
      <c r="S32" s="351"/>
      <c r="T32" s="210"/>
      <c r="U32" s="200"/>
      <c r="V32" s="134"/>
      <c r="W32" s="134"/>
      <c r="X32" s="134"/>
      <c r="Y32" s="134"/>
      <c r="Z32" s="134"/>
      <c r="AA32" s="135"/>
    </row>
    <row r="33" spans="1:27" x14ac:dyDescent="0.3">
      <c r="A33" s="176" t="s">
        <v>2543</v>
      </c>
      <c r="B33" s="177" t="s">
        <v>450</v>
      </c>
      <c r="C33" s="134" t="s">
        <v>2787</v>
      </c>
      <c r="D33" s="178">
        <v>406.9</v>
      </c>
      <c r="E33" s="134"/>
      <c r="F33" s="134"/>
      <c r="G33" s="135"/>
      <c r="H33" s="210"/>
      <c r="I33" s="134"/>
      <c r="J33" s="139"/>
      <c r="K33" s="135"/>
      <c r="L33" s="181"/>
      <c r="M33" s="179"/>
      <c r="N33" s="134"/>
      <c r="O33" s="134"/>
      <c r="P33" s="134"/>
      <c r="Q33" s="134"/>
      <c r="R33" s="134"/>
      <c r="S33" s="351"/>
      <c r="T33" s="210"/>
      <c r="U33" s="200"/>
      <c r="V33" s="134"/>
      <c r="W33" s="134"/>
      <c r="X33" s="134"/>
      <c r="Y33" s="134"/>
      <c r="Z33" s="134"/>
      <c r="AA33" s="135"/>
    </row>
    <row r="34" spans="1:27" x14ac:dyDescent="0.3">
      <c r="A34" s="176" t="s">
        <v>2544</v>
      </c>
      <c r="B34" s="177" t="s">
        <v>451</v>
      </c>
      <c r="C34" s="134" t="s">
        <v>2788</v>
      </c>
      <c r="D34" s="178">
        <v>406.9</v>
      </c>
      <c r="E34" s="134"/>
      <c r="F34" s="134"/>
      <c r="G34" s="135"/>
      <c r="H34" s="210"/>
      <c r="I34" s="134"/>
      <c r="J34" s="139"/>
      <c r="K34" s="135"/>
      <c r="L34" s="181"/>
      <c r="M34" s="179"/>
      <c r="N34" s="134"/>
      <c r="O34" s="134"/>
      <c r="P34" s="134"/>
      <c r="Q34" s="134"/>
      <c r="R34" s="134"/>
      <c r="S34" s="351"/>
      <c r="T34" s="210"/>
      <c r="U34" s="200"/>
      <c r="V34" s="134"/>
      <c r="W34" s="134"/>
      <c r="X34" s="134"/>
      <c r="Y34" s="134"/>
      <c r="Z34" s="134"/>
      <c r="AA34" s="135"/>
    </row>
    <row r="35" spans="1:27" x14ac:dyDescent="0.3">
      <c r="A35" s="176" t="s">
        <v>2545</v>
      </c>
      <c r="B35" s="177" t="s">
        <v>452</v>
      </c>
      <c r="C35" s="134" t="s">
        <v>2789</v>
      </c>
      <c r="D35" s="178">
        <v>406.9</v>
      </c>
      <c r="E35" s="134"/>
      <c r="F35" s="134"/>
      <c r="G35" s="135"/>
      <c r="H35" s="210"/>
      <c r="I35" s="134"/>
      <c r="J35" s="139"/>
      <c r="K35" s="135"/>
      <c r="L35" s="181"/>
      <c r="M35" s="179"/>
      <c r="N35" s="134"/>
      <c r="O35" s="134"/>
      <c r="P35" s="134"/>
      <c r="Q35" s="134"/>
      <c r="R35" s="134"/>
      <c r="S35" s="351"/>
      <c r="T35" s="210"/>
      <c r="U35" s="200"/>
      <c r="V35" s="134"/>
      <c r="W35" s="134"/>
      <c r="X35" s="134"/>
      <c r="Y35" s="134"/>
      <c r="Z35" s="134"/>
      <c r="AA35" s="135"/>
    </row>
    <row r="36" spans="1:27" x14ac:dyDescent="0.3">
      <c r="A36" s="176" t="s">
        <v>2546</v>
      </c>
      <c r="B36" s="177" t="s">
        <v>453</v>
      </c>
      <c r="C36" s="134" t="s">
        <v>2790</v>
      </c>
      <c r="D36" s="178">
        <v>406.9</v>
      </c>
      <c r="E36" s="134"/>
      <c r="F36" s="134"/>
      <c r="G36" s="135"/>
      <c r="H36" s="210"/>
      <c r="I36" s="134"/>
      <c r="J36" s="139"/>
      <c r="K36" s="135"/>
      <c r="L36" s="181"/>
      <c r="M36" s="179"/>
      <c r="N36" s="134"/>
      <c r="O36" s="134"/>
      <c r="P36" s="134"/>
      <c r="Q36" s="134"/>
      <c r="R36" s="134"/>
      <c r="S36" s="351"/>
      <c r="T36" s="210"/>
      <c r="U36" s="200"/>
      <c r="V36" s="134"/>
      <c r="W36" s="134"/>
      <c r="X36" s="134"/>
      <c r="Y36" s="134"/>
      <c r="Z36" s="134"/>
      <c r="AA36" s="135"/>
    </row>
    <row r="37" spans="1:27" x14ac:dyDescent="0.3">
      <c r="A37" s="176" t="s">
        <v>2547</v>
      </c>
      <c r="B37" s="177" t="s">
        <v>454</v>
      </c>
      <c r="C37" s="134" t="s">
        <v>2791</v>
      </c>
      <c r="D37" s="178">
        <v>406.9</v>
      </c>
      <c r="E37" s="134"/>
      <c r="F37" s="134"/>
      <c r="G37" s="135"/>
      <c r="H37" s="210"/>
      <c r="I37" s="134"/>
      <c r="J37" s="139"/>
      <c r="K37" s="135"/>
      <c r="L37" s="181"/>
      <c r="M37" s="179"/>
      <c r="N37" s="134"/>
      <c r="O37" s="134"/>
      <c r="P37" s="134"/>
      <c r="Q37" s="134"/>
      <c r="R37" s="134"/>
      <c r="S37" s="351"/>
      <c r="T37" s="210"/>
      <c r="U37" s="200"/>
      <c r="V37" s="134"/>
      <c r="W37" s="134"/>
      <c r="X37" s="134"/>
      <c r="Y37" s="134"/>
      <c r="Z37" s="134"/>
      <c r="AA37" s="135"/>
    </row>
    <row r="38" spans="1:27" x14ac:dyDescent="0.3">
      <c r="A38" s="176" t="s">
        <v>2548</v>
      </c>
      <c r="B38" s="177" t="s">
        <v>455</v>
      </c>
      <c r="C38" s="134"/>
      <c r="D38" s="178">
        <v>406.9</v>
      </c>
      <c r="E38" s="134"/>
      <c r="F38" s="134"/>
      <c r="G38" s="135"/>
      <c r="H38" s="210"/>
      <c r="I38" s="134"/>
      <c r="J38" s="139"/>
      <c r="K38" s="135"/>
      <c r="L38" s="181"/>
      <c r="M38" s="179"/>
      <c r="N38" s="134"/>
      <c r="O38" s="134"/>
      <c r="P38" s="134"/>
      <c r="Q38" s="134"/>
      <c r="R38" s="134"/>
      <c r="S38" s="351"/>
      <c r="T38" s="210"/>
      <c r="U38" s="200"/>
      <c r="V38" s="134"/>
      <c r="W38" s="134"/>
      <c r="X38" s="134"/>
      <c r="Y38" s="134"/>
      <c r="Z38" s="134"/>
      <c r="AA38" s="135"/>
    </row>
    <row r="39" spans="1:27" x14ac:dyDescent="0.3">
      <c r="A39" s="176" t="s">
        <v>2549</v>
      </c>
      <c r="B39" s="177" t="s">
        <v>456</v>
      </c>
      <c r="C39" s="134" t="s">
        <v>2792</v>
      </c>
      <c r="D39" s="178">
        <v>406.9</v>
      </c>
      <c r="E39" s="134"/>
      <c r="F39" s="134"/>
      <c r="G39" s="135"/>
      <c r="H39" s="210"/>
      <c r="I39" s="134"/>
      <c r="J39" s="139"/>
      <c r="K39" s="135"/>
      <c r="L39" s="181"/>
      <c r="M39" s="179"/>
      <c r="N39" s="134"/>
      <c r="O39" s="134"/>
      <c r="P39" s="134"/>
      <c r="Q39" s="134"/>
      <c r="R39" s="134"/>
      <c r="S39" s="351"/>
      <c r="T39" s="210"/>
      <c r="U39" s="200"/>
      <c r="V39" s="134"/>
      <c r="W39" s="134"/>
      <c r="X39" s="134"/>
      <c r="Y39" s="134"/>
      <c r="Z39" s="134"/>
      <c r="AA39" s="135"/>
    </row>
    <row r="40" spans="1:27" x14ac:dyDescent="0.3">
      <c r="A40" s="176" t="s">
        <v>2550</v>
      </c>
      <c r="B40" s="177" t="s">
        <v>457</v>
      </c>
      <c r="C40" s="134" t="s">
        <v>2793</v>
      </c>
      <c r="D40" s="178">
        <v>406.9</v>
      </c>
      <c r="E40" s="134"/>
      <c r="F40" s="134"/>
      <c r="G40" s="135"/>
      <c r="H40" s="210"/>
      <c r="I40" s="134"/>
      <c r="J40" s="139"/>
      <c r="K40" s="135"/>
      <c r="L40" s="181"/>
      <c r="M40" s="179"/>
      <c r="N40" s="134"/>
      <c r="O40" s="134"/>
      <c r="P40" s="134"/>
      <c r="Q40" s="134"/>
      <c r="R40" s="134"/>
      <c r="S40" s="351"/>
      <c r="T40" s="210"/>
      <c r="U40" s="200"/>
      <c r="V40" s="134"/>
      <c r="W40" s="134"/>
      <c r="X40" s="134"/>
      <c r="Y40" s="134"/>
      <c r="Z40" s="134"/>
      <c r="AA40" s="135"/>
    </row>
    <row r="41" spans="1:27" x14ac:dyDescent="0.3">
      <c r="A41" s="176" t="s">
        <v>2551</v>
      </c>
      <c r="B41" s="177" t="s">
        <v>458</v>
      </c>
      <c r="C41" s="134" t="s">
        <v>2794</v>
      </c>
      <c r="D41" s="178">
        <v>406.9</v>
      </c>
      <c r="E41" s="134"/>
      <c r="F41" s="134"/>
      <c r="G41" s="135"/>
      <c r="H41" s="210"/>
      <c r="I41" s="134"/>
      <c r="J41" s="139"/>
      <c r="K41" s="135"/>
      <c r="L41" s="181"/>
      <c r="M41" s="179"/>
      <c r="N41" s="134"/>
      <c r="O41" s="134"/>
      <c r="P41" s="134"/>
      <c r="Q41" s="134"/>
      <c r="R41" s="134"/>
      <c r="S41" s="351"/>
      <c r="T41" s="210"/>
      <c r="U41" s="200"/>
      <c r="V41" s="134"/>
      <c r="W41" s="134"/>
      <c r="X41" s="134"/>
      <c r="Y41" s="134"/>
      <c r="Z41" s="134"/>
      <c r="AA41" s="135"/>
    </row>
    <row r="42" spans="1:27" x14ac:dyDescent="0.3">
      <c r="A42" s="91" t="s">
        <v>2552</v>
      </c>
      <c r="B42" s="129" t="s">
        <v>459</v>
      </c>
      <c r="C42" s="83" t="s">
        <v>647</v>
      </c>
      <c r="D42" s="182">
        <v>406.9</v>
      </c>
      <c r="E42" s="126">
        <v>5.94</v>
      </c>
      <c r="F42" s="184" t="s">
        <v>2885</v>
      </c>
      <c r="G42" s="85">
        <f t="shared" ref="G42" si="2">E42</f>
        <v>5.94</v>
      </c>
      <c r="H42" s="206"/>
      <c r="I42" s="83">
        <v>64.25</v>
      </c>
      <c r="J42" s="84" t="s">
        <v>2734</v>
      </c>
      <c r="K42" s="85">
        <f>I44</f>
        <v>64.25</v>
      </c>
      <c r="L42" s="183"/>
      <c r="M42" s="83"/>
      <c r="N42" s="83"/>
      <c r="O42" s="83"/>
      <c r="P42" s="83"/>
      <c r="Q42" s="87">
        <v>6.7000000000000004E-7</v>
      </c>
      <c r="R42" s="67" t="s">
        <v>2309</v>
      </c>
      <c r="S42" s="352">
        <f>Q44</f>
        <v>6.7681195160508852E-6</v>
      </c>
      <c r="T42" s="206">
        <v>6.9999999999999994E-5</v>
      </c>
      <c r="U42" s="144" t="s">
        <v>3048</v>
      </c>
      <c r="V42" s="83"/>
      <c r="W42" s="83"/>
      <c r="X42" s="83"/>
      <c r="Y42" s="126">
        <f>1000*T42</f>
        <v>6.9999999999999993E-2</v>
      </c>
      <c r="Z42" s="84" t="s">
        <v>2737</v>
      </c>
      <c r="AA42" s="85">
        <f>Y42</f>
        <v>6.9999999999999993E-2</v>
      </c>
    </row>
    <row r="43" spans="1:27" x14ac:dyDescent="0.3">
      <c r="A43" s="59"/>
      <c r="B43" s="77"/>
      <c r="C43" s="60"/>
      <c r="D43" s="159">
        <v>406.9</v>
      </c>
      <c r="E43" s="68"/>
      <c r="F43" s="161"/>
      <c r="G43" s="61"/>
      <c r="H43" s="209"/>
      <c r="I43" s="60">
        <v>64.25</v>
      </c>
      <c r="J43" s="67" t="s">
        <v>2737</v>
      </c>
      <c r="K43" s="61"/>
      <c r="L43" s="160"/>
      <c r="M43" s="60"/>
      <c r="N43" s="60"/>
      <c r="O43" s="60"/>
      <c r="P43" s="60"/>
      <c r="Q43" s="64">
        <v>6.7000000000000004E-7</v>
      </c>
      <c r="R43" s="67" t="s">
        <v>3005</v>
      </c>
      <c r="S43" s="350"/>
      <c r="T43" s="209"/>
      <c r="U43" s="71"/>
      <c r="V43" s="60"/>
      <c r="W43" s="60"/>
      <c r="X43" s="60"/>
      <c r="Y43" s="60"/>
      <c r="Z43" s="67"/>
      <c r="AA43" s="61"/>
    </row>
    <row r="44" spans="1:27" ht="24" x14ac:dyDescent="0.3">
      <c r="A44" s="59"/>
      <c r="B44" s="77"/>
      <c r="C44" s="60"/>
      <c r="D44" s="159">
        <v>406.9</v>
      </c>
      <c r="E44" s="68"/>
      <c r="F44" s="161"/>
      <c r="G44" s="61"/>
      <c r="H44" s="209"/>
      <c r="I44" s="68">
        <f>AVERAGE(I42:I43)</f>
        <v>64.25</v>
      </c>
      <c r="J44" s="70" t="s">
        <v>3040</v>
      </c>
      <c r="K44" s="61"/>
      <c r="L44" s="160"/>
      <c r="M44" s="60">
        <v>2.1900000000000001E-3</v>
      </c>
      <c r="N44" s="60">
        <f>$N$1*M44</f>
        <v>1.6426350656682746E-5</v>
      </c>
      <c r="O44" s="60">
        <v>56</v>
      </c>
      <c r="P44" s="60">
        <f>K42</f>
        <v>64.25</v>
      </c>
      <c r="Q44" s="73">
        <f>N44*EXP(-O44*((P44+$H$1)/298.15-1)/$Q$1)</f>
        <v>6.7681195160508852E-6</v>
      </c>
      <c r="R44" s="67" t="s">
        <v>2737</v>
      </c>
      <c r="S44" s="350"/>
      <c r="T44" s="209"/>
      <c r="U44" s="71"/>
      <c r="V44" s="60"/>
      <c r="W44" s="60"/>
      <c r="X44" s="60"/>
      <c r="Y44" s="60"/>
      <c r="Z44" s="67"/>
      <c r="AA44" s="61"/>
    </row>
    <row r="45" spans="1:27" x14ac:dyDescent="0.3">
      <c r="A45" s="176" t="s">
        <v>2553</v>
      </c>
      <c r="B45" s="177" t="s">
        <v>460</v>
      </c>
      <c r="C45" s="134" t="s">
        <v>2795</v>
      </c>
      <c r="D45" s="178">
        <v>406.9</v>
      </c>
      <c r="E45" s="134"/>
      <c r="F45" s="134"/>
      <c r="G45" s="135"/>
      <c r="H45" s="210"/>
      <c r="I45" s="134"/>
      <c r="J45" s="139"/>
      <c r="K45" s="135"/>
      <c r="L45" s="181"/>
      <c r="M45" s="179"/>
      <c r="N45" s="134"/>
      <c r="O45" s="134"/>
      <c r="P45" s="134"/>
      <c r="Q45" s="134"/>
      <c r="R45" s="134"/>
      <c r="S45" s="351"/>
      <c r="T45" s="210"/>
      <c r="U45" s="200"/>
      <c r="V45" s="134"/>
      <c r="W45" s="134"/>
      <c r="X45" s="134"/>
      <c r="Y45" s="134"/>
      <c r="Z45" s="134"/>
      <c r="AA45" s="135"/>
    </row>
    <row r="46" spans="1:27" x14ac:dyDescent="0.3">
      <c r="A46" s="176" t="s">
        <v>2554</v>
      </c>
      <c r="B46" s="177" t="s">
        <v>461</v>
      </c>
      <c r="C46" s="134" t="s">
        <v>2796</v>
      </c>
      <c r="D46" s="178">
        <v>406.9</v>
      </c>
      <c r="E46" s="134"/>
      <c r="F46" s="134"/>
      <c r="G46" s="135"/>
      <c r="H46" s="210"/>
      <c r="I46" s="150">
        <v>85.5</v>
      </c>
      <c r="J46" s="139" t="s">
        <v>2735</v>
      </c>
      <c r="K46" s="135">
        <f>I46</f>
        <v>85.5</v>
      </c>
      <c r="L46" s="181"/>
      <c r="M46" s="179">
        <v>4.5599999999999998E-3</v>
      </c>
      <c r="N46" s="134">
        <f>$N$1*M46</f>
        <v>3.4202812326243525E-5</v>
      </c>
      <c r="O46" s="134">
        <v>56</v>
      </c>
      <c r="P46" s="134">
        <f>K46</f>
        <v>85.5</v>
      </c>
      <c r="Q46" s="180">
        <f>N46*EXP(-O46*((P46+$H$1)/298.15-1)/$Q$1)</f>
        <v>8.7198636919558189E-6</v>
      </c>
      <c r="R46" s="139" t="s">
        <v>2912</v>
      </c>
      <c r="S46" s="351">
        <f>Q46</f>
        <v>8.7198636919558189E-6</v>
      </c>
      <c r="T46" s="210"/>
      <c r="U46" s="200"/>
      <c r="V46" s="134"/>
      <c r="W46" s="134"/>
      <c r="X46" s="134"/>
      <c r="Y46" s="134"/>
      <c r="Z46" s="134"/>
      <c r="AA46" s="135"/>
    </row>
    <row r="47" spans="1:27" x14ac:dyDescent="0.3">
      <c r="A47" s="176" t="s">
        <v>2555</v>
      </c>
      <c r="B47" s="177" t="s">
        <v>462</v>
      </c>
      <c r="C47" s="134" t="s">
        <v>2811</v>
      </c>
      <c r="D47" s="178">
        <v>406.9</v>
      </c>
      <c r="E47" s="134"/>
      <c r="F47" s="134"/>
      <c r="G47" s="135"/>
      <c r="H47" s="210"/>
      <c r="I47" s="134"/>
      <c r="J47" s="139"/>
      <c r="K47" s="135"/>
      <c r="L47" s="181"/>
      <c r="M47" s="179"/>
      <c r="N47" s="134"/>
      <c r="O47" s="134"/>
      <c r="P47" s="134"/>
      <c r="Q47" s="134"/>
      <c r="R47" s="134"/>
      <c r="S47" s="351"/>
      <c r="T47" s="210"/>
      <c r="U47" s="200"/>
      <c r="V47" s="134"/>
      <c r="W47" s="134"/>
      <c r="X47" s="134"/>
      <c r="Y47" s="134"/>
      <c r="Z47" s="134"/>
      <c r="AA47" s="135"/>
    </row>
    <row r="48" spans="1:27" x14ac:dyDescent="0.3">
      <c r="A48" s="176" t="s">
        <v>2556</v>
      </c>
      <c r="B48" s="177" t="s">
        <v>463</v>
      </c>
      <c r="C48" s="134" t="s">
        <v>2797</v>
      </c>
      <c r="D48" s="178">
        <v>406.9</v>
      </c>
      <c r="E48" s="134"/>
      <c r="F48" s="134"/>
      <c r="G48" s="135"/>
      <c r="H48" s="210"/>
      <c r="I48" s="150">
        <v>77.25</v>
      </c>
      <c r="J48" s="139" t="s">
        <v>2735</v>
      </c>
      <c r="K48" s="135">
        <f>I48</f>
        <v>77.25</v>
      </c>
      <c r="L48" s="181"/>
      <c r="M48" s="179">
        <v>2.2499999999999998E-3</v>
      </c>
      <c r="N48" s="134">
        <f>$N$1*M48</f>
        <v>1.6876387660975422E-5</v>
      </c>
      <c r="O48" s="134">
        <v>56</v>
      </c>
      <c r="P48" s="134">
        <f>K48</f>
        <v>77.25</v>
      </c>
      <c r="Q48" s="180">
        <f>N48*EXP(-O48*((P48+$H$1)/298.15-1)/$Q$1)</f>
        <v>5.1840155694915992E-6</v>
      </c>
      <c r="R48" s="139" t="s">
        <v>2912</v>
      </c>
      <c r="S48" s="351">
        <f t="shared" ref="S48:S49" si="3">Q48</f>
        <v>5.1840155694915992E-6</v>
      </c>
      <c r="T48" s="210"/>
      <c r="U48" s="200"/>
      <c r="V48" s="134"/>
      <c r="W48" s="134"/>
      <c r="X48" s="134"/>
      <c r="Y48" s="134"/>
      <c r="Z48" s="134"/>
      <c r="AA48" s="135"/>
    </row>
    <row r="49" spans="1:27" x14ac:dyDescent="0.3">
      <c r="A49" s="176" t="s">
        <v>2557</v>
      </c>
      <c r="B49" s="177" t="s">
        <v>464</v>
      </c>
      <c r="C49" s="134" t="s">
        <v>2798</v>
      </c>
      <c r="D49" s="178">
        <v>406.9</v>
      </c>
      <c r="E49" s="134"/>
      <c r="F49" s="134"/>
      <c r="G49" s="135"/>
      <c r="H49" s="210"/>
      <c r="I49" s="134"/>
      <c r="J49" s="139"/>
      <c r="K49" s="135"/>
      <c r="L49" s="181"/>
      <c r="M49" s="179">
        <v>1.7799999999999999E-3</v>
      </c>
      <c r="N49" s="134">
        <f>$N$1*M49</f>
        <v>1.3351097794016112E-5</v>
      </c>
      <c r="O49" s="134">
        <v>56</v>
      </c>
      <c r="P49" s="134">
        <v>54.2</v>
      </c>
      <c r="Q49" s="180">
        <f>N49*EXP(-O49*((P49+$H$1)/298.15-1)/$Q$1)</f>
        <v>6.9030693145604473E-6</v>
      </c>
      <c r="R49" s="139" t="s">
        <v>2912</v>
      </c>
      <c r="S49" s="351">
        <f t="shared" si="3"/>
        <v>6.9030693145604473E-6</v>
      </c>
      <c r="T49" s="210"/>
      <c r="U49" s="200"/>
      <c r="V49" s="134"/>
      <c r="W49" s="134"/>
      <c r="X49" s="134"/>
      <c r="Y49" s="134"/>
      <c r="Z49" s="134"/>
      <c r="AA49" s="135"/>
    </row>
    <row r="50" spans="1:27" x14ac:dyDescent="0.3">
      <c r="A50" s="176" t="s">
        <v>2558</v>
      </c>
      <c r="B50" s="177" t="s">
        <v>465</v>
      </c>
      <c r="C50" s="134" t="s">
        <v>2799</v>
      </c>
      <c r="D50" s="178">
        <v>406.9</v>
      </c>
      <c r="E50" s="134"/>
      <c r="F50" s="134"/>
      <c r="G50" s="135"/>
      <c r="H50" s="210"/>
      <c r="I50" s="134"/>
      <c r="J50" s="139"/>
      <c r="K50" s="135"/>
      <c r="L50" s="181"/>
      <c r="M50" s="179"/>
      <c r="N50" s="134"/>
      <c r="O50" s="134"/>
      <c r="P50" s="134"/>
      <c r="Q50" s="134"/>
      <c r="R50" s="134"/>
      <c r="S50" s="351"/>
      <c r="T50" s="210"/>
      <c r="U50" s="200"/>
      <c r="V50" s="134"/>
      <c r="W50" s="134"/>
      <c r="X50" s="134"/>
      <c r="Y50" s="134"/>
      <c r="Z50" s="134"/>
      <c r="AA50" s="135"/>
    </row>
    <row r="51" spans="1:27" x14ac:dyDescent="0.3">
      <c r="A51" s="176" t="s">
        <v>2559</v>
      </c>
      <c r="B51" s="177" t="s">
        <v>466</v>
      </c>
      <c r="C51" s="134" t="s">
        <v>654</v>
      </c>
      <c r="D51" s="178">
        <v>406.9</v>
      </c>
      <c r="E51" s="134"/>
      <c r="F51" s="134"/>
      <c r="G51" s="135"/>
      <c r="H51" s="210"/>
      <c r="I51" s="134"/>
      <c r="J51" s="139"/>
      <c r="K51" s="135"/>
      <c r="L51" s="181"/>
      <c r="M51" s="179">
        <v>1.39E-3</v>
      </c>
      <c r="N51" s="134">
        <f>$N$1*M51</f>
        <v>1.0425857266113705E-5</v>
      </c>
      <c r="O51" s="134">
        <v>56</v>
      </c>
      <c r="P51" s="134">
        <v>55.5</v>
      </c>
      <c r="Q51" s="180">
        <f>N51*EXP(-O51*((P51+$H$1)/298.15-1)/$Q$1)</f>
        <v>5.2345942000943416E-6</v>
      </c>
      <c r="R51" s="139" t="s">
        <v>2912</v>
      </c>
      <c r="S51" s="351">
        <f>Q51</f>
        <v>5.2345942000943416E-6</v>
      </c>
      <c r="T51" s="210"/>
      <c r="U51" s="200"/>
      <c r="V51" s="134"/>
      <c r="W51" s="134"/>
      <c r="X51" s="134"/>
      <c r="Y51" s="134"/>
      <c r="Z51" s="134"/>
      <c r="AA51" s="135"/>
    </row>
    <row r="52" spans="1:27" x14ac:dyDescent="0.3">
      <c r="A52" s="176" t="s">
        <v>2560</v>
      </c>
      <c r="B52" s="177" t="s">
        <v>467</v>
      </c>
      <c r="C52" s="134" t="s">
        <v>641</v>
      </c>
      <c r="D52" s="178">
        <v>406.9</v>
      </c>
      <c r="E52" s="134"/>
      <c r="F52" s="134"/>
      <c r="G52" s="135"/>
      <c r="H52" s="210"/>
      <c r="I52" s="134"/>
      <c r="J52" s="139"/>
      <c r="K52" s="135"/>
      <c r="L52" s="181"/>
      <c r="M52" s="179"/>
      <c r="N52" s="134"/>
      <c r="O52" s="134"/>
      <c r="P52" s="134"/>
      <c r="Q52" s="134"/>
      <c r="R52" s="134"/>
      <c r="S52" s="351"/>
      <c r="T52" s="210"/>
      <c r="U52" s="200"/>
      <c r="V52" s="134"/>
      <c r="W52" s="134"/>
      <c r="X52" s="134"/>
      <c r="Y52" s="134"/>
      <c r="Z52" s="134"/>
      <c r="AA52" s="135"/>
    </row>
    <row r="53" spans="1:27" x14ac:dyDescent="0.3">
      <c r="A53" s="176" t="s">
        <v>2561</v>
      </c>
      <c r="B53" s="177" t="s">
        <v>468</v>
      </c>
      <c r="C53" s="134" t="s">
        <v>642</v>
      </c>
      <c r="D53" s="178">
        <v>406.9</v>
      </c>
      <c r="E53" s="134"/>
      <c r="F53" s="134"/>
      <c r="G53" s="135"/>
      <c r="H53" s="210"/>
      <c r="I53" s="150">
        <v>48.5</v>
      </c>
      <c r="J53" s="139" t="s">
        <v>2735</v>
      </c>
      <c r="K53" s="135">
        <f>I53</f>
        <v>48.5</v>
      </c>
      <c r="L53" s="181"/>
      <c r="M53" s="179">
        <v>1.0200000000000001E-3</v>
      </c>
      <c r="N53" s="134">
        <f>$N$1*M53</f>
        <v>7.6506290729755258E-6</v>
      </c>
      <c r="O53" s="134">
        <v>56</v>
      </c>
      <c r="P53" s="134">
        <f t="shared" ref="P53" si="4">K53</f>
        <v>48.5</v>
      </c>
      <c r="Q53" s="180">
        <f>N53*EXP(-O53*((P53+$H$1)/298.15-1)/$Q$1)</f>
        <v>4.4992885168521326E-6</v>
      </c>
      <c r="R53" s="139" t="s">
        <v>2912</v>
      </c>
      <c r="S53" s="351">
        <f>Q53</f>
        <v>4.4992885168521326E-6</v>
      </c>
      <c r="T53" s="210"/>
      <c r="U53" s="200"/>
      <c r="V53" s="134"/>
      <c r="W53" s="134"/>
      <c r="X53" s="134"/>
      <c r="Y53" s="134"/>
      <c r="Z53" s="134"/>
      <c r="AA53" s="135"/>
    </row>
    <row r="54" spans="1:27" x14ac:dyDescent="0.3">
      <c r="A54" s="176" t="s">
        <v>2562</v>
      </c>
      <c r="B54" s="177" t="s">
        <v>469</v>
      </c>
      <c r="C54" s="134" t="s">
        <v>2800</v>
      </c>
      <c r="D54" s="178">
        <v>406.9</v>
      </c>
      <c r="E54" s="134"/>
      <c r="F54" s="134"/>
      <c r="G54" s="135"/>
      <c r="H54" s="210"/>
      <c r="I54" s="134"/>
      <c r="J54" s="139"/>
      <c r="K54" s="135"/>
      <c r="L54" s="181"/>
      <c r="M54" s="179"/>
      <c r="N54" s="134"/>
      <c r="O54" s="134"/>
      <c r="P54" s="134"/>
      <c r="Q54" s="134"/>
      <c r="R54" s="134"/>
      <c r="S54" s="351"/>
      <c r="T54" s="210"/>
      <c r="U54" s="200"/>
      <c r="V54" s="134"/>
      <c r="W54" s="134"/>
      <c r="X54" s="134"/>
      <c r="Y54" s="134"/>
      <c r="Z54" s="134"/>
      <c r="AA54" s="135"/>
    </row>
    <row r="55" spans="1:27" x14ac:dyDescent="0.3">
      <c r="A55" s="176" t="s">
        <v>2563</v>
      </c>
      <c r="B55" s="177" t="s">
        <v>470</v>
      </c>
      <c r="C55" s="134" t="s">
        <v>1067</v>
      </c>
      <c r="D55" s="178">
        <v>406.9</v>
      </c>
      <c r="E55" s="134"/>
      <c r="F55" s="134"/>
      <c r="G55" s="135"/>
      <c r="H55" s="210"/>
      <c r="I55" s="134"/>
      <c r="J55" s="139"/>
      <c r="K55" s="135"/>
      <c r="L55" s="181"/>
      <c r="M55" s="179"/>
      <c r="N55" s="134"/>
      <c r="O55" s="134"/>
      <c r="P55" s="134"/>
      <c r="Q55" s="134"/>
      <c r="R55" s="134"/>
      <c r="S55" s="351"/>
      <c r="T55" s="210"/>
      <c r="U55" s="200"/>
      <c r="V55" s="134"/>
      <c r="W55" s="134"/>
      <c r="X55" s="134"/>
      <c r="Y55" s="134"/>
      <c r="Z55" s="134"/>
      <c r="AA55" s="135"/>
    </row>
    <row r="56" spans="1:27" x14ac:dyDescent="0.3">
      <c r="A56" s="176" t="s">
        <v>2564</v>
      </c>
      <c r="B56" s="177" t="s">
        <v>471</v>
      </c>
      <c r="C56" s="134"/>
      <c r="D56" s="178">
        <v>485.8</v>
      </c>
      <c r="E56" s="134"/>
      <c r="F56" s="134"/>
      <c r="G56" s="135"/>
      <c r="H56" s="210"/>
      <c r="I56" s="134"/>
      <c r="J56" s="139"/>
      <c r="K56" s="135"/>
      <c r="L56" s="181"/>
      <c r="M56" s="179"/>
      <c r="N56" s="134"/>
      <c r="O56" s="134"/>
      <c r="P56" s="134"/>
      <c r="Q56" s="134"/>
      <c r="R56" s="134"/>
      <c r="S56" s="351"/>
      <c r="T56" s="210"/>
      <c r="U56" s="200"/>
      <c r="V56" s="134"/>
      <c r="W56" s="134"/>
      <c r="X56" s="134"/>
      <c r="Y56" s="134"/>
      <c r="Z56" s="134"/>
      <c r="AA56" s="135"/>
    </row>
    <row r="57" spans="1:27" x14ac:dyDescent="0.3">
      <c r="A57" s="176" t="s">
        <v>2565</v>
      </c>
      <c r="B57" s="177" t="s">
        <v>472</v>
      </c>
      <c r="C57" s="134" t="s">
        <v>2801</v>
      </c>
      <c r="D57" s="178">
        <v>485.8</v>
      </c>
      <c r="E57" s="134"/>
      <c r="F57" s="134"/>
      <c r="G57" s="135"/>
      <c r="H57" s="210"/>
      <c r="I57" s="134"/>
      <c r="J57" s="139"/>
      <c r="K57" s="135"/>
      <c r="L57" s="181"/>
      <c r="M57" s="179"/>
      <c r="N57" s="134"/>
      <c r="O57" s="134"/>
      <c r="P57" s="134"/>
      <c r="Q57" s="134"/>
      <c r="R57" s="134"/>
      <c r="S57" s="351"/>
      <c r="T57" s="210"/>
      <c r="U57" s="200"/>
      <c r="V57" s="134"/>
      <c r="W57" s="134"/>
      <c r="X57" s="134"/>
      <c r="Y57" s="134"/>
      <c r="Z57" s="134"/>
      <c r="AA57" s="135"/>
    </row>
    <row r="58" spans="1:27" x14ac:dyDescent="0.3">
      <c r="A58" s="176" t="s">
        <v>2566</v>
      </c>
      <c r="B58" s="177" t="s">
        <v>473</v>
      </c>
      <c r="C58" s="134" t="s">
        <v>2802</v>
      </c>
      <c r="D58" s="178">
        <v>485.8</v>
      </c>
      <c r="E58" s="134"/>
      <c r="F58" s="134"/>
      <c r="G58" s="135"/>
      <c r="H58" s="210"/>
      <c r="I58" s="134"/>
      <c r="J58" s="139"/>
      <c r="K58" s="135"/>
      <c r="L58" s="181"/>
      <c r="M58" s="179"/>
      <c r="N58" s="134"/>
      <c r="O58" s="134"/>
      <c r="P58" s="134"/>
      <c r="Q58" s="134"/>
      <c r="R58" s="134"/>
      <c r="S58" s="351"/>
      <c r="T58" s="210"/>
      <c r="U58" s="200"/>
      <c r="V58" s="134"/>
      <c r="W58" s="134"/>
      <c r="X58" s="134"/>
      <c r="Y58" s="134"/>
      <c r="Z58" s="134"/>
      <c r="AA58" s="135"/>
    </row>
    <row r="59" spans="1:27" x14ac:dyDescent="0.3">
      <c r="A59" s="176" t="s">
        <v>2567</v>
      </c>
      <c r="B59" s="177" t="s">
        <v>474</v>
      </c>
      <c r="C59" s="134" t="s">
        <v>2810</v>
      </c>
      <c r="D59" s="178">
        <v>485.8</v>
      </c>
      <c r="E59" s="134"/>
      <c r="F59" s="134"/>
      <c r="G59" s="135"/>
      <c r="H59" s="210"/>
      <c r="I59" s="134"/>
      <c r="J59" s="139"/>
      <c r="K59" s="135"/>
      <c r="L59" s="181"/>
      <c r="M59" s="179"/>
      <c r="N59" s="134"/>
      <c r="O59" s="134"/>
      <c r="P59" s="134"/>
      <c r="Q59" s="134"/>
      <c r="R59" s="134"/>
      <c r="S59" s="351"/>
      <c r="T59" s="210"/>
      <c r="U59" s="200"/>
      <c r="V59" s="134"/>
      <c r="W59" s="134"/>
      <c r="X59" s="134"/>
      <c r="Y59" s="134"/>
      <c r="Z59" s="134"/>
      <c r="AA59" s="135"/>
    </row>
    <row r="60" spans="1:27" x14ac:dyDescent="0.3">
      <c r="A60" s="176" t="s">
        <v>2568</v>
      </c>
      <c r="B60" s="177" t="s">
        <v>475</v>
      </c>
      <c r="C60" s="134" t="s">
        <v>2803</v>
      </c>
      <c r="D60" s="178">
        <v>485.8</v>
      </c>
      <c r="E60" s="134"/>
      <c r="F60" s="134"/>
      <c r="G60" s="135"/>
      <c r="H60" s="210"/>
      <c r="I60" s="134"/>
      <c r="J60" s="139"/>
      <c r="K60" s="135"/>
      <c r="L60" s="181"/>
      <c r="M60" s="179"/>
      <c r="N60" s="134"/>
      <c r="O60" s="134"/>
      <c r="P60" s="134"/>
      <c r="Q60" s="134"/>
      <c r="R60" s="134"/>
      <c r="S60" s="351"/>
      <c r="T60" s="210"/>
      <c r="U60" s="200"/>
      <c r="V60" s="134"/>
      <c r="W60" s="134"/>
      <c r="X60" s="134"/>
      <c r="Y60" s="134"/>
      <c r="Z60" s="134"/>
      <c r="AA60" s="135"/>
    </row>
    <row r="61" spans="1:27" x14ac:dyDescent="0.3">
      <c r="A61" s="176" t="s">
        <v>2569</v>
      </c>
      <c r="B61" s="177" t="s">
        <v>476</v>
      </c>
      <c r="C61" s="134"/>
      <c r="D61" s="178">
        <v>485.8</v>
      </c>
      <c r="E61" s="134"/>
      <c r="F61" s="134"/>
      <c r="G61" s="135"/>
      <c r="H61" s="210"/>
      <c r="I61" s="134"/>
      <c r="J61" s="139"/>
      <c r="K61" s="135"/>
      <c r="L61" s="181"/>
      <c r="M61" s="179"/>
      <c r="N61" s="134"/>
      <c r="O61" s="134"/>
      <c r="P61" s="134"/>
      <c r="Q61" s="134"/>
      <c r="R61" s="134"/>
      <c r="S61" s="351"/>
      <c r="T61" s="210"/>
      <c r="U61" s="200"/>
      <c r="V61" s="134"/>
      <c r="W61" s="134"/>
      <c r="X61" s="134"/>
      <c r="Y61" s="134"/>
      <c r="Z61" s="134"/>
      <c r="AA61" s="135"/>
    </row>
    <row r="62" spans="1:27" x14ac:dyDescent="0.3">
      <c r="A62" s="176" t="s">
        <v>2570</v>
      </c>
      <c r="B62" s="177" t="s">
        <v>477</v>
      </c>
      <c r="C62" s="134" t="s">
        <v>2804</v>
      </c>
      <c r="D62" s="178">
        <v>485.8</v>
      </c>
      <c r="E62" s="134"/>
      <c r="F62" s="134"/>
      <c r="G62" s="135"/>
      <c r="H62" s="210"/>
      <c r="I62" s="134"/>
      <c r="J62" s="139"/>
      <c r="K62" s="135"/>
      <c r="L62" s="181"/>
      <c r="M62" s="179"/>
      <c r="N62" s="134"/>
      <c r="O62" s="134"/>
      <c r="P62" s="134"/>
      <c r="Q62" s="134"/>
      <c r="R62" s="134"/>
      <c r="S62" s="351"/>
      <c r="T62" s="210"/>
      <c r="U62" s="200"/>
      <c r="V62" s="134"/>
      <c r="W62" s="134"/>
      <c r="X62" s="134"/>
      <c r="Y62" s="134"/>
      <c r="Z62" s="134"/>
      <c r="AA62" s="135"/>
    </row>
    <row r="63" spans="1:27" x14ac:dyDescent="0.3">
      <c r="A63" s="91" t="s">
        <v>2571</v>
      </c>
      <c r="B63" s="129" t="s">
        <v>478</v>
      </c>
      <c r="C63" s="83" t="s">
        <v>643</v>
      </c>
      <c r="D63" s="182">
        <v>485.8</v>
      </c>
      <c r="E63" s="126">
        <v>6.81</v>
      </c>
      <c r="F63" s="184" t="s">
        <v>2885</v>
      </c>
      <c r="G63" s="85">
        <f t="shared" ref="G63" si="5">E63</f>
        <v>6.81</v>
      </c>
      <c r="H63" s="206">
        <v>356.9</v>
      </c>
      <c r="I63" s="83">
        <f>H63-$H$1</f>
        <v>83.75</v>
      </c>
      <c r="J63" s="84" t="s">
        <v>3035</v>
      </c>
      <c r="K63" s="85">
        <f>I68</f>
        <v>82.25</v>
      </c>
      <c r="L63" s="183">
        <v>25</v>
      </c>
      <c r="M63" s="83"/>
      <c r="N63" s="83"/>
      <c r="O63" s="83"/>
      <c r="P63" s="83"/>
      <c r="Q63" s="87">
        <v>7.0000000000000005E-8</v>
      </c>
      <c r="R63" s="84" t="s">
        <v>2309</v>
      </c>
      <c r="S63" s="352">
        <f>Q67</f>
        <v>5.1962647133866946E-7</v>
      </c>
      <c r="T63" s="206">
        <v>1.5E-5</v>
      </c>
      <c r="U63" s="144" t="s">
        <v>3048</v>
      </c>
      <c r="V63" s="83"/>
      <c r="W63" s="83"/>
      <c r="X63" s="83"/>
      <c r="Y63" s="126">
        <f>1000*T63</f>
        <v>1.5000000000000001E-2</v>
      </c>
      <c r="Z63" s="84" t="s">
        <v>2737</v>
      </c>
      <c r="AA63" s="85">
        <f>Y63</f>
        <v>1.5000000000000001E-2</v>
      </c>
    </row>
    <row r="64" spans="1:27" x14ac:dyDescent="0.3">
      <c r="A64" s="59"/>
      <c r="B64" s="77"/>
      <c r="C64" s="60"/>
      <c r="D64" s="159">
        <v>485.8</v>
      </c>
      <c r="E64" s="68"/>
      <c r="F64" s="161"/>
      <c r="G64" s="61"/>
      <c r="H64" s="209"/>
      <c r="I64" s="60">
        <v>78.75</v>
      </c>
      <c r="J64" s="67" t="s">
        <v>2736</v>
      </c>
      <c r="K64" s="61"/>
      <c r="L64" s="160">
        <v>25</v>
      </c>
      <c r="M64" s="60"/>
      <c r="N64" s="60"/>
      <c r="O64" s="60"/>
      <c r="P64" s="60"/>
      <c r="Q64" s="64">
        <v>7.0000000000000005E-8</v>
      </c>
      <c r="R64" s="67" t="s">
        <v>3005</v>
      </c>
      <c r="S64" s="350"/>
      <c r="T64" s="209"/>
      <c r="U64" s="71"/>
      <c r="V64" s="60"/>
      <c r="W64" s="60"/>
      <c r="X64" s="60"/>
      <c r="Y64" s="60"/>
      <c r="Z64" s="67"/>
      <c r="AA64" s="61"/>
    </row>
    <row r="65" spans="1:27" x14ac:dyDescent="0.3">
      <c r="A65" s="59"/>
      <c r="B65" s="77"/>
      <c r="C65" s="60"/>
      <c r="D65" s="159">
        <v>485.8</v>
      </c>
      <c r="E65" s="68"/>
      <c r="F65" s="161"/>
      <c r="G65" s="61"/>
      <c r="H65" s="209"/>
      <c r="I65" s="60">
        <v>82.25</v>
      </c>
      <c r="J65" s="67" t="s">
        <v>2739</v>
      </c>
      <c r="K65" s="61"/>
      <c r="L65" s="160"/>
      <c r="M65" s="60">
        <v>1.8599999999999999E-4</v>
      </c>
      <c r="N65" s="60">
        <f>$N$1*M65</f>
        <v>1.3951147133073015E-6</v>
      </c>
      <c r="O65" s="60">
        <v>56</v>
      </c>
      <c r="P65" s="60">
        <f>K63</f>
        <v>82.25</v>
      </c>
      <c r="Q65" s="64">
        <f>N65*EXP(-O65*((P65+$H$1)/298.15-1)/$Q$1)</f>
        <v>3.8277435116432681E-7</v>
      </c>
      <c r="R65" s="70" t="s">
        <v>2737</v>
      </c>
      <c r="S65" s="350"/>
      <c r="T65" s="209"/>
      <c r="U65" s="71"/>
      <c r="V65" s="60"/>
      <c r="W65" s="60"/>
      <c r="X65" s="60"/>
      <c r="Y65" s="60"/>
      <c r="Z65" s="67"/>
      <c r="AA65" s="61"/>
    </row>
    <row r="66" spans="1:27" x14ac:dyDescent="0.3">
      <c r="A66" s="59"/>
      <c r="B66" s="77"/>
      <c r="C66" s="60"/>
      <c r="D66" s="159">
        <v>485.8</v>
      </c>
      <c r="E66" s="68"/>
      <c r="F66" s="161"/>
      <c r="G66" s="61"/>
      <c r="H66" s="209"/>
      <c r="I66" s="60">
        <v>82.5</v>
      </c>
      <c r="J66" s="67" t="s">
        <v>2741</v>
      </c>
      <c r="K66" s="61"/>
      <c r="L66" s="160"/>
      <c r="M66" s="60">
        <v>3.19E-4</v>
      </c>
      <c r="N66" s="60">
        <f>$N$1*M66</f>
        <v>2.3926967394894043E-6</v>
      </c>
      <c r="O66" s="60">
        <v>56</v>
      </c>
      <c r="P66" s="60">
        <f>K63</f>
        <v>82.25</v>
      </c>
      <c r="Q66" s="64">
        <f>N66*EXP(-O66*((P66+$H$1)/298.15-1)/$Q$1)</f>
        <v>6.5647859151301211E-7</v>
      </c>
      <c r="R66" s="67" t="s">
        <v>2912</v>
      </c>
      <c r="S66" s="350"/>
      <c r="T66" s="209"/>
      <c r="U66" s="71"/>
      <c r="V66" s="60"/>
      <c r="W66" s="60"/>
      <c r="X66" s="60"/>
      <c r="Y66" s="60"/>
      <c r="Z66" s="67"/>
      <c r="AA66" s="61"/>
    </row>
    <row r="67" spans="1:27" ht="24" x14ac:dyDescent="0.3">
      <c r="A67" s="59"/>
      <c r="B67" s="77"/>
      <c r="C67" s="60"/>
      <c r="D67" s="159">
        <v>485.8</v>
      </c>
      <c r="E67" s="68"/>
      <c r="F67" s="161"/>
      <c r="G67" s="61"/>
      <c r="H67" s="209"/>
      <c r="I67" s="60">
        <v>84</v>
      </c>
      <c r="J67" s="67" t="s">
        <v>2737</v>
      </c>
      <c r="K67" s="61"/>
      <c r="L67" s="160"/>
      <c r="M67" s="60"/>
      <c r="N67" s="60"/>
      <c r="O67" s="60"/>
      <c r="P67" s="60"/>
      <c r="Q67" s="73">
        <f>AVERAGE(Q65:Q66)</f>
        <v>5.1962647133866946E-7</v>
      </c>
      <c r="R67" s="70" t="s">
        <v>2913</v>
      </c>
      <c r="S67" s="350"/>
      <c r="T67" s="209"/>
      <c r="U67" s="71"/>
      <c r="V67" s="60"/>
      <c r="W67" s="60"/>
      <c r="X67" s="60"/>
      <c r="Y67" s="60"/>
      <c r="Z67" s="67"/>
      <c r="AA67" s="61"/>
    </row>
    <row r="68" spans="1:27" ht="24" x14ac:dyDescent="0.3">
      <c r="A68" s="166"/>
      <c r="B68" s="167"/>
      <c r="C68" s="154"/>
      <c r="D68" s="168">
        <v>485.8</v>
      </c>
      <c r="E68" s="169"/>
      <c r="F68" s="170"/>
      <c r="G68" s="155"/>
      <c r="H68" s="211"/>
      <c r="I68" s="169">
        <f>AVERAGE(I63:I67)</f>
        <v>82.25</v>
      </c>
      <c r="J68" s="171" t="s">
        <v>3036</v>
      </c>
      <c r="K68" s="155"/>
      <c r="L68" s="172"/>
      <c r="M68" s="154"/>
      <c r="N68" s="154"/>
      <c r="O68" s="154"/>
      <c r="P68" s="154"/>
      <c r="Q68" s="145"/>
      <c r="R68" s="165"/>
      <c r="S68" s="353"/>
      <c r="T68" s="211"/>
      <c r="U68" s="201"/>
      <c r="V68" s="154"/>
      <c r="W68" s="154"/>
      <c r="X68" s="154"/>
      <c r="Y68" s="154"/>
      <c r="Z68" s="165"/>
      <c r="AA68" s="155"/>
    </row>
    <row r="69" spans="1:27" x14ac:dyDescent="0.3">
      <c r="A69" s="176" t="s">
        <v>2572</v>
      </c>
      <c r="B69" s="177" t="s">
        <v>479</v>
      </c>
      <c r="C69" s="134" t="s">
        <v>2805</v>
      </c>
      <c r="D69" s="178">
        <v>485.8</v>
      </c>
      <c r="E69" s="134"/>
      <c r="F69" s="134"/>
      <c r="G69" s="135"/>
      <c r="H69" s="210"/>
      <c r="I69" s="134"/>
      <c r="J69" s="139"/>
      <c r="K69" s="135"/>
      <c r="L69" s="181"/>
      <c r="M69" s="179"/>
      <c r="N69" s="134"/>
      <c r="O69" s="134"/>
      <c r="P69" s="134"/>
      <c r="Q69" s="134"/>
      <c r="R69" s="134"/>
      <c r="S69" s="351"/>
      <c r="T69" s="210"/>
      <c r="U69" s="200"/>
      <c r="V69" s="134"/>
      <c r="W69" s="134"/>
      <c r="X69" s="134"/>
      <c r="Y69" s="134"/>
      <c r="Z69" s="134"/>
      <c r="AA69" s="135"/>
    </row>
    <row r="70" spans="1:27" x14ac:dyDescent="0.3">
      <c r="A70" s="176" t="s">
        <v>2573</v>
      </c>
      <c r="B70" s="177" t="s">
        <v>480</v>
      </c>
      <c r="C70" s="134" t="s">
        <v>648</v>
      </c>
      <c r="D70" s="178">
        <v>485.8</v>
      </c>
      <c r="E70" s="134"/>
      <c r="F70" s="134"/>
      <c r="G70" s="135"/>
      <c r="H70" s="210"/>
      <c r="I70" s="134"/>
      <c r="J70" s="139"/>
      <c r="K70" s="135"/>
      <c r="L70" s="181"/>
      <c r="M70" s="179"/>
      <c r="N70" s="134"/>
      <c r="O70" s="134"/>
      <c r="P70" s="134"/>
      <c r="Q70" s="134"/>
      <c r="R70" s="134"/>
      <c r="S70" s="351"/>
      <c r="T70" s="210"/>
      <c r="U70" s="200"/>
      <c r="V70" s="134"/>
      <c r="W70" s="134"/>
      <c r="X70" s="134"/>
      <c r="Y70" s="134"/>
      <c r="Z70" s="134"/>
      <c r="AA70" s="135"/>
    </row>
    <row r="71" spans="1:27" x14ac:dyDescent="0.3">
      <c r="A71" s="176" t="s">
        <v>2574</v>
      </c>
      <c r="B71" s="177" t="s">
        <v>481</v>
      </c>
      <c r="C71" s="134" t="s">
        <v>2806</v>
      </c>
      <c r="D71" s="178">
        <v>485.8</v>
      </c>
      <c r="E71" s="134"/>
      <c r="F71" s="134"/>
      <c r="G71" s="135"/>
      <c r="H71" s="210"/>
      <c r="I71" s="134"/>
      <c r="J71" s="139"/>
      <c r="K71" s="135"/>
      <c r="L71" s="181"/>
      <c r="M71" s="179"/>
      <c r="N71" s="134"/>
      <c r="O71" s="134"/>
      <c r="P71" s="134"/>
      <c r="Q71" s="134"/>
      <c r="R71" s="134"/>
      <c r="S71" s="351"/>
      <c r="T71" s="210"/>
      <c r="U71" s="200"/>
      <c r="V71" s="134"/>
      <c r="W71" s="134"/>
      <c r="X71" s="134"/>
      <c r="Y71" s="134"/>
      <c r="Z71" s="134"/>
      <c r="AA71" s="135"/>
    </row>
    <row r="72" spans="1:27" x14ac:dyDescent="0.3">
      <c r="A72" s="176" t="s">
        <v>2575</v>
      </c>
      <c r="B72" s="177" t="s">
        <v>482</v>
      </c>
      <c r="C72" s="134" t="s">
        <v>2809</v>
      </c>
      <c r="D72" s="178">
        <v>485.8</v>
      </c>
      <c r="E72" s="134"/>
      <c r="F72" s="134"/>
      <c r="G72" s="135"/>
      <c r="H72" s="210"/>
      <c r="I72" s="150">
        <v>96.5</v>
      </c>
      <c r="J72" s="139" t="s">
        <v>2736</v>
      </c>
      <c r="K72" s="135">
        <f>I72</f>
        <v>96.5</v>
      </c>
      <c r="L72" s="181"/>
      <c r="M72" s="179"/>
      <c r="N72" s="134"/>
      <c r="O72" s="134"/>
      <c r="P72" s="134"/>
      <c r="Q72" s="134"/>
      <c r="R72" s="134"/>
      <c r="S72" s="351"/>
      <c r="T72" s="210"/>
      <c r="U72" s="200"/>
      <c r="V72" s="134"/>
      <c r="W72" s="134"/>
      <c r="X72" s="134"/>
      <c r="Y72" s="134"/>
      <c r="Z72" s="134"/>
      <c r="AA72" s="135"/>
    </row>
    <row r="73" spans="1:27" x14ac:dyDescent="0.3">
      <c r="A73" s="176" t="s">
        <v>2576</v>
      </c>
      <c r="B73" s="177" t="s">
        <v>483</v>
      </c>
      <c r="C73" s="134" t="s">
        <v>2807</v>
      </c>
      <c r="D73" s="178">
        <v>485.8</v>
      </c>
      <c r="E73" s="134"/>
      <c r="F73" s="134"/>
      <c r="G73" s="135"/>
      <c r="H73" s="210"/>
      <c r="I73" s="134"/>
      <c r="J73" s="139"/>
      <c r="K73" s="135"/>
      <c r="L73" s="181"/>
      <c r="M73" s="179"/>
      <c r="N73" s="134"/>
      <c r="O73" s="134"/>
      <c r="P73" s="134"/>
      <c r="Q73" s="134"/>
      <c r="R73" s="134"/>
      <c r="S73" s="351"/>
      <c r="T73" s="210"/>
      <c r="U73" s="200"/>
      <c r="V73" s="134"/>
      <c r="W73" s="134"/>
      <c r="X73" s="134"/>
      <c r="Y73" s="134"/>
      <c r="Z73" s="134"/>
      <c r="AA73" s="135"/>
    </row>
    <row r="74" spans="1:27" x14ac:dyDescent="0.3">
      <c r="A74" s="176" t="s">
        <v>2577</v>
      </c>
      <c r="B74" s="177" t="s">
        <v>484</v>
      </c>
      <c r="C74" s="134" t="s">
        <v>2808</v>
      </c>
      <c r="D74" s="178">
        <v>485.8</v>
      </c>
      <c r="E74" s="134"/>
      <c r="F74" s="134"/>
      <c r="G74" s="135"/>
      <c r="H74" s="210"/>
      <c r="I74" s="134"/>
      <c r="J74" s="139"/>
      <c r="K74" s="135"/>
      <c r="L74" s="181"/>
      <c r="M74" s="179"/>
      <c r="N74" s="134"/>
      <c r="O74" s="134"/>
      <c r="P74" s="134"/>
      <c r="Q74" s="134"/>
      <c r="R74" s="134"/>
      <c r="S74" s="351"/>
      <c r="T74" s="210"/>
      <c r="U74" s="200"/>
      <c r="V74" s="134"/>
      <c r="W74" s="134"/>
      <c r="X74" s="134"/>
      <c r="Y74" s="134"/>
      <c r="Z74" s="134"/>
      <c r="AA74" s="135"/>
    </row>
    <row r="75" spans="1:27" x14ac:dyDescent="0.3">
      <c r="A75" s="176" t="s">
        <v>2578</v>
      </c>
      <c r="B75" s="177" t="s">
        <v>485</v>
      </c>
      <c r="C75" s="134"/>
      <c r="D75" s="178">
        <v>485.8</v>
      </c>
      <c r="E75" s="134"/>
      <c r="F75" s="134"/>
      <c r="G75" s="135"/>
      <c r="H75" s="210"/>
      <c r="I75" s="134"/>
      <c r="J75" s="139"/>
      <c r="K75" s="135"/>
      <c r="L75" s="181"/>
      <c r="M75" s="179"/>
      <c r="N75" s="134"/>
      <c r="O75" s="134"/>
      <c r="P75" s="134"/>
      <c r="Q75" s="134"/>
      <c r="R75" s="134"/>
      <c r="S75" s="351"/>
      <c r="T75" s="210"/>
      <c r="U75" s="200"/>
      <c r="V75" s="134"/>
      <c r="W75" s="134"/>
      <c r="X75" s="134"/>
      <c r="Y75" s="134"/>
      <c r="Z75" s="134"/>
      <c r="AA75" s="135"/>
    </row>
    <row r="76" spans="1:27" x14ac:dyDescent="0.3">
      <c r="A76" s="91" t="s">
        <v>2579</v>
      </c>
      <c r="B76" s="129" t="s">
        <v>486</v>
      </c>
      <c r="C76" s="83" t="s">
        <v>2878</v>
      </c>
      <c r="D76" s="182">
        <v>485.8</v>
      </c>
      <c r="E76" s="83">
        <v>6.05</v>
      </c>
      <c r="F76" s="84" t="s">
        <v>2309</v>
      </c>
      <c r="G76" s="85"/>
      <c r="H76" s="206"/>
      <c r="I76" s="83"/>
      <c r="J76" s="84"/>
      <c r="K76" s="85"/>
      <c r="L76" s="183">
        <v>25</v>
      </c>
      <c r="M76" s="83"/>
      <c r="N76" s="83"/>
      <c r="O76" s="83"/>
      <c r="P76" s="83"/>
      <c r="Q76" s="83">
        <v>2.2000000000000001E-6</v>
      </c>
      <c r="R76" s="67" t="s">
        <v>2309</v>
      </c>
      <c r="S76" s="352"/>
      <c r="T76" s="206"/>
      <c r="U76" s="144"/>
      <c r="V76" s="83"/>
      <c r="W76" s="83"/>
      <c r="X76" s="83"/>
      <c r="Y76" s="83"/>
      <c r="Z76" s="83"/>
      <c r="AA76" s="85"/>
    </row>
    <row r="77" spans="1:27" x14ac:dyDescent="0.3">
      <c r="A77" s="59"/>
      <c r="B77" s="77"/>
      <c r="C77" s="60"/>
      <c r="D77" s="159">
        <v>485.8</v>
      </c>
      <c r="E77" s="60">
        <v>6.05</v>
      </c>
      <c r="F77" s="67" t="s">
        <v>3005</v>
      </c>
      <c r="G77" s="61"/>
      <c r="H77" s="209"/>
      <c r="I77" s="60"/>
      <c r="J77" s="67"/>
      <c r="K77" s="61"/>
      <c r="L77" s="160">
        <v>25</v>
      </c>
      <c r="M77" s="60"/>
      <c r="N77" s="60"/>
      <c r="O77" s="60"/>
      <c r="P77" s="60"/>
      <c r="Q77" s="60">
        <v>2.2000000000000001E-6</v>
      </c>
      <c r="R77" s="67" t="s">
        <v>3005</v>
      </c>
      <c r="S77" s="350"/>
      <c r="T77" s="209"/>
      <c r="U77" s="71"/>
      <c r="V77" s="60"/>
      <c r="W77" s="60"/>
      <c r="X77" s="60"/>
      <c r="Y77" s="60"/>
      <c r="Z77" s="60"/>
      <c r="AA77" s="61"/>
    </row>
    <row r="78" spans="1:27" x14ac:dyDescent="0.3">
      <c r="A78" s="176" t="s">
        <v>2580</v>
      </c>
      <c r="B78" s="177" t="s">
        <v>487</v>
      </c>
      <c r="C78" s="134"/>
      <c r="D78" s="178">
        <v>485.8</v>
      </c>
      <c r="E78" s="134"/>
      <c r="F78" s="134"/>
      <c r="G78" s="135"/>
      <c r="H78" s="210"/>
      <c r="I78" s="134"/>
      <c r="J78" s="139"/>
      <c r="K78" s="135"/>
      <c r="L78" s="181"/>
      <c r="M78" s="179"/>
      <c r="N78" s="134"/>
      <c r="O78" s="134"/>
      <c r="P78" s="134"/>
      <c r="Q78" s="134"/>
      <c r="R78" s="134"/>
      <c r="S78" s="351"/>
      <c r="T78" s="210"/>
      <c r="U78" s="200"/>
      <c r="V78" s="134"/>
      <c r="W78" s="134"/>
      <c r="X78" s="134"/>
      <c r="Y78" s="134"/>
      <c r="Z78" s="134"/>
      <c r="AA78" s="135"/>
    </row>
    <row r="79" spans="1:27" x14ac:dyDescent="0.3">
      <c r="A79" s="176" t="s">
        <v>2581</v>
      </c>
      <c r="B79" s="177" t="s">
        <v>488</v>
      </c>
      <c r="C79" s="134"/>
      <c r="D79" s="178">
        <v>485.8</v>
      </c>
      <c r="E79" s="134"/>
      <c r="F79" s="134"/>
      <c r="G79" s="135"/>
      <c r="H79" s="210"/>
      <c r="I79" s="134"/>
      <c r="J79" s="139"/>
      <c r="K79" s="135"/>
      <c r="L79" s="181"/>
      <c r="M79" s="179"/>
      <c r="N79" s="134"/>
      <c r="O79" s="134"/>
      <c r="P79" s="134"/>
      <c r="Q79" s="134"/>
      <c r="R79" s="134"/>
      <c r="S79" s="351"/>
      <c r="T79" s="210"/>
      <c r="U79" s="200"/>
      <c r="V79" s="134"/>
      <c r="W79" s="134"/>
      <c r="X79" s="134"/>
      <c r="Y79" s="134"/>
      <c r="Z79" s="134"/>
      <c r="AA79" s="135"/>
    </row>
    <row r="80" spans="1:27" x14ac:dyDescent="0.3">
      <c r="A80" s="176" t="s">
        <v>2582</v>
      </c>
      <c r="B80" s="177" t="s">
        <v>489</v>
      </c>
      <c r="C80" s="134"/>
      <c r="D80" s="178">
        <v>485.8</v>
      </c>
      <c r="E80" s="134"/>
      <c r="F80" s="134"/>
      <c r="G80" s="135"/>
      <c r="H80" s="210"/>
      <c r="I80" s="134"/>
      <c r="J80" s="139"/>
      <c r="K80" s="135"/>
      <c r="L80" s="181"/>
      <c r="M80" s="179"/>
      <c r="N80" s="134"/>
      <c r="O80" s="134"/>
      <c r="P80" s="134"/>
      <c r="Q80" s="134"/>
      <c r="R80" s="134"/>
      <c r="S80" s="351"/>
      <c r="T80" s="210"/>
      <c r="U80" s="200"/>
      <c r="V80" s="134"/>
      <c r="W80" s="134"/>
      <c r="X80" s="134"/>
      <c r="Y80" s="134"/>
      <c r="Z80" s="134"/>
      <c r="AA80" s="135"/>
    </row>
    <row r="81" spans="1:27" x14ac:dyDescent="0.3">
      <c r="A81" s="176" t="s">
        <v>2583</v>
      </c>
      <c r="B81" s="177" t="s">
        <v>490</v>
      </c>
      <c r="C81" s="134"/>
      <c r="D81" s="178">
        <v>485.8</v>
      </c>
      <c r="E81" s="134"/>
      <c r="F81" s="134"/>
      <c r="G81" s="135"/>
      <c r="H81" s="210"/>
      <c r="I81" s="134"/>
      <c r="J81" s="139"/>
      <c r="K81" s="135"/>
      <c r="L81" s="181"/>
      <c r="M81" s="179"/>
      <c r="N81" s="134"/>
      <c r="O81" s="134"/>
      <c r="P81" s="134"/>
      <c r="Q81" s="134"/>
      <c r="R81" s="134"/>
      <c r="S81" s="351"/>
      <c r="T81" s="210"/>
      <c r="U81" s="200"/>
      <c r="V81" s="134"/>
      <c r="W81" s="134"/>
      <c r="X81" s="134"/>
      <c r="Y81" s="134"/>
      <c r="Z81" s="134"/>
      <c r="AA81" s="135"/>
    </row>
    <row r="82" spans="1:27" x14ac:dyDescent="0.3">
      <c r="A82" s="176" t="s">
        <v>2584</v>
      </c>
      <c r="B82" s="177" t="s">
        <v>491</v>
      </c>
      <c r="C82" s="134" t="s">
        <v>2812</v>
      </c>
      <c r="D82" s="178">
        <v>485.8</v>
      </c>
      <c r="E82" s="134"/>
      <c r="F82" s="134"/>
      <c r="G82" s="135"/>
      <c r="H82" s="210"/>
      <c r="I82" s="134"/>
      <c r="J82" s="139"/>
      <c r="K82" s="135"/>
      <c r="L82" s="181"/>
      <c r="M82" s="179"/>
      <c r="N82" s="134"/>
      <c r="O82" s="134"/>
      <c r="P82" s="134"/>
      <c r="Q82" s="134"/>
      <c r="R82" s="134"/>
      <c r="S82" s="351"/>
      <c r="T82" s="210"/>
      <c r="U82" s="200"/>
      <c r="V82" s="134"/>
      <c r="W82" s="134"/>
      <c r="X82" s="134"/>
      <c r="Y82" s="134"/>
      <c r="Z82" s="134"/>
      <c r="AA82" s="135"/>
    </row>
    <row r="83" spans="1:27" x14ac:dyDescent="0.3">
      <c r="A83" s="176" t="s">
        <v>2585</v>
      </c>
      <c r="B83" s="177" t="s">
        <v>492</v>
      </c>
      <c r="C83" s="134" t="s">
        <v>2813</v>
      </c>
      <c r="D83" s="178">
        <v>485.8</v>
      </c>
      <c r="E83" s="134"/>
      <c r="F83" s="134"/>
      <c r="G83" s="135"/>
      <c r="H83" s="210"/>
      <c r="I83" s="134"/>
      <c r="J83" s="139"/>
      <c r="K83" s="135"/>
      <c r="L83" s="181"/>
      <c r="M83" s="179"/>
      <c r="N83" s="134"/>
      <c r="O83" s="134"/>
      <c r="P83" s="134"/>
      <c r="Q83" s="134"/>
      <c r="R83" s="134"/>
      <c r="S83" s="351"/>
      <c r="T83" s="210"/>
      <c r="U83" s="200"/>
      <c r="V83" s="134"/>
      <c r="W83" s="134"/>
      <c r="X83" s="134"/>
      <c r="Y83" s="134"/>
      <c r="Z83" s="134"/>
      <c r="AA83" s="135"/>
    </row>
    <row r="84" spans="1:27" x14ac:dyDescent="0.3">
      <c r="A84" s="176" t="s">
        <v>2586</v>
      </c>
      <c r="B84" s="177" t="s">
        <v>493</v>
      </c>
      <c r="C84" s="134" t="s">
        <v>2814</v>
      </c>
      <c r="D84" s="178">
        <v>485.8</v>
      </c>
      <c r="E84" s="134"/>
      <c r="F84" s="134"/>
      <c r="G84" s="135"/>
      <c r="H84" s="210"/>
      <c r="I84" s="134"/>
      <c r="J84" s="139"/>
      <c r="K84" s="135"/>
      <c r="L84" s="181"/>
      <c r="M84" s="179"/>
      <c r="N84" s="134"/>
      <c r="O84" s="134"/>
      <c r="P84" s="134"/>
      <c r="Q84" s="134"/>
      <c r="R84" s="134"/>
      <c r="S84" s="351"/>
      <c r="T84" s="210"/>
      <c r="U84" s="200"/>
      <c r="V84" s="134"/>
      <c r="W84" s="134"/>
      <c r="X84" s="134"/>
      <c r="Y84" s="134"/>
      <c r="Z84" s="134"/>
      <c r="AA84" s="135"/>
    </row>
    <row r="85" spans="1:27" x14ac:dyDescent="0.3">
      <c r="A85" s="176" t="s">
        <v>2587</v>
      </c>
      <c r="B85" s="177" t="s">
        <v>494</v>
      </c>
      <c r="C85" s="134" t="s">
        <v>2815</v>
      </c>
      <c r="D85" s="178">
        <v>485.8</v>
      </c>
      <c r="E85" s="134"/>
      <c r="F85" s="134"/>
      <c r="G85" s="135"/>
      <c r="H85" s="210"/>
      <c r="I85" s="134"/>
      <c r="J85" s="139"/>
      <c r="K85" s="135"/>
      <c r="L85" s="181"/>
      <c r="M85" s="179"/>
      <c r="N85" s="134"/>
      <c r="O85" s="134"/>
      <c r="P85" s="134"/>
      <c r="Q85" s="134"/>
      <c r="R85" s="134"/>
      <c r="S85" s="351"/>
      <c r="T85" s="210"/>
      <c r="U85" s="200"/>
      <c r="V85" s="134"/>
      <c r="W85" s="134"/>
      <c r="X85" s="134"/>
      <c r="Y85" s="134"/>
      <c r="Z85" s="134"/>
      <c r="AA85" s="135"/>
    </row>
    <row r="86" spans="1:27" x14ac:dyDescent="0.3">
      <c r="A86" s="176" t="s">
        <v>2588</v>
      </c>
      <c r="B86" s="177" t="s">
        <v>495</v>
      </c>
      <c r="C86" s="134"/>
      <c r="D86" s="178">
        <v>485.8</v>
      </c>
      <c r="E86" s="134"/>
      <c r="F86" s="134"/>
      <c r="G86" s="135"/>
      <c r="H86" s="210"/>
      <c r="I86" s="134"/>
      <c r="J86" s="139"/>
      <c r="K86" s="135"/>
      <c r="L86" s="181"/>
      <c r="M86" s="179"/>
      <c r="N86" s="134"/>
      <c r="O86" s="134"/>
      <c r="P86" s="134"/>
      <c r="Q86" s="134"/>
      <c r="R86" s="134"/>
      <c r="S86" s="351"/>
      <c r="T86" s="210"/>
      <c r="U86" s="200"/>
      <c r="V86" s="134"/>
      <c r="W86" s="134"/>
      <c r="X86" s="134"/>
      <c r="Y86" s="134"/>
      <c r="Z86" s="134"/>
      <c r="AA86" s="135"/>
    </row>
    <row r="87" spans="1:27" x14ac:dyDescent="0.3">
      <c r="A87" s="176" t="s">
        <v>2589</v>
      </c>
      <c r="B87" s="177" t="s">
        <v>496</v>
      </c>
      <c r="C87" s="134"/>
      <c r="D87" s="178">
        <v>485.8</v>
      </c>
      <c r="E87" s="134"/>
      <c r="F87" s="134"/>
      <c r="G87" s="135"/>
      <c r="H87" s="210"/>
      <c r="I87" s="134"/>
      <c r="J87" s="139"/>
      <c r="K87" s="135"/>
      <c r="L87" s="181"/>
      <c r="M87" s="179"/>
      <c r="N87" s="134"/>
      <c r="O87" s="134"/>
      <c r="P87" s="134"/>
      <c r="Q87" s="134"/>
      <c r="R87" s="134"/>
      <c r="S87" s="351"/>
      <c r="T87" s="210"/>
      <c r="U87" s="200"/>
      <c r="V87" s="134"/>
      <c r="W87" s="134"/>
      <c r="X87" s="134"/>
      <c r="Y87" s="134"/>
      <c r="Z87" s="134"/>
      <c r="AA87" s="135"/>
    </row>
    <row r="88" spans="1:27" x14ac:dyDescent="0.3">
      <c r="A88" s="91" t="s">
        <v>2590</v>
      </c>
      <c r="B88" s="129" t="s">
        <v>497</v>
      </c>
      <c r="C88" s="83" t="s">
        <v>2816</v>
      </c>
      <c r="D88" s="182">
        <v>485.8</v>
      </c>
      <c r="E88" s="83"/>
      <c r="F88" s="83"/>
      <c r="G88" s="85"/>
      <c r="H88" s="206"/>
      <c r="I88" s="126">
        <v>106</v>
      </c>
      <c r="J88" s="84" t="s">
        <v>2737</v>
      </c>
      <c r="K88" s="85">
        <f>I88</f>
        <v>106</v>
      </c>
      <c r="L88" s="183"/>
      <c r="M88" s="148">
        <v>1.22E-4</v>
      </c>
      <c r="N88" s="83">
        <f>$N$1*M88</f>
        <v>9.1507524206177846E-7</v>
      </c>
      <c r="O88" s="83">
        <v>56</v>
      </c>
      <c r="P88" s="83">
        <f>K88</f>
        <v>106</v>
      </c>
      <c r="Q88" s="87">
        <f>N88*EXP(-O88*((P88+$H$1)/298.15-1)/$Q$1)</f>
        <v>1.4681949212753277E-7</v>
      </c>
      <c r="R88" s="84" t="s">
        <v>2737</v>
      </c>
      <c r="S88" s="352">
        <f>Q90</f>
        <v>2.1661892281111396E-7</v>
      </c>
      <c r="T88" s="206">
        <v>1.8E-5</v>
      </c>
      <c r="U88" s="144" t="s">
        <v>3048</v>
      </c>
      <c r="V88" s="83"/>
      <c r="W88" s="83"/>
      <c r="X88" s="83"/>
      <c r="Y88" s="126">
        <f>1000*T88</f>
        <v>1.8000000000000002E-2</v>
      </c>
      <c r="Z88" s="84" t="s">
        <v>2737</v>
      </c>
      <c r="AA88" s="85">
        <f>Y88</f>
        <v>1.8000000000000002E-2</v>
      </c>
    </row>
    <row r="89" spans="1:27" x14ac:dyDescent="0.3">
      <c r="A89" s="59"/>
      <c r="B89" s="77"/>
      <c r="C89" s="60"/>
      <c r="D89" s="159"/>
      <c r="E89" s="60"/>
      <c r="F89" s="60"/>
      <c r="G89" s="61"/>
      <c r="H89" s="209"/>
      <c r="I89" s="68"/>
      <c r="J89" s="67"/>
      <c r="K89" s="61"/>
      <c r="L89" s="160"/>
      <c r="M89" s="76">
        <v>2.3800000000000001E-4</v>
      </c>
      <c r="N89" s="60">
        <f>$N$1*M89</f>
        <v>1.7851467836942892E-6</v>
      </c>
      <c r="O89" s="60">
        <v>56</v>
      </c>
      <c r="P89" s="60">
        <f>K88</f>
        <v>106</v>
      </c>
      <c r="Q89" s="64">
        <f>N89*EXP(-O89*((P89+$H$1)/298.15-1)/$Q$1)</f>
        <v>2.8641835349469514E-7</v>
      </c>
      <c r="R89" s="67" t="s">
        <v>2912</v>
      </c>
      <c r="S89" s="350"/>
      <c r="T89" s="209"/>
      <c r="U89" s="203"/>
      <c r="V89" s="60"/>
      <c r="W89" s="60"/>
      <c r="X89" s="60"/>
      <c r="Y89" s="60"/>
      <c r="Z89" s="67"/>
      <c r="AA89" s="61"/>
    </row>
    <row r="90" spans="1:27" ht="24" x14ac:dyDescent="0.3">
      <c r="A90" s="166"/>
      <c r="B90" s="167"/>
      <c r="C90" s="154"/>
      <c r="D90" s="168"/>
      <c r="E90" s="154"/>
      <c r="F90" s="154"/>
      <c r="G90" s="155"/>
      <c r="H90" s="211"/>
      <c r="I90" s="169"/>
      <c r="J90" s="165"/>
      <c r="K90" s="155"/>
      <c r="L90" s="172"/>
      <c r="M90" s="185"/>
      <c r="N90" s="154"/>
      <c r="O90" s="154"/>
      <c r="P90" s="154"/>
      <c r="Q90" s="186">
        <f>AVERAGE(Q88:Q89)</f>
        <v>2.1661892281111396E-7</v>
      </c>
      <c r="R90" s="171" t="s">
        <v>2913</v>
      </c>
      <c r="S90" s="353"/>
      <c r="T90" s="211"/>
      <c r="U90" s="204"/>
      <c r="V90" s="154"/>
      <c r="W90" s="154"/>
      <c r="X90" s="154"/>
      <c r="Y90" s="154"/>
      <c r="Z90" s="165"/>
      <c r="AA90" s="155"/>
    </row>
    <row r="91" spans="1:27" x14ac:dyDescent="0.3">
      <c r="A91" s="176" t="s">
        <v>2591</v>
      </c>
      <c r="B91" s="177" t="s">
        <v>498</v>
      </c>
      <c r="C91" s="134" t="s">
        <v>2817</v>
      </c>
      <c r="D91" s="178">
        <v>485.8</v>
      </c>
      <c r="E91" s="134"/>
      <c r="F91" s="134"/>
      <c r="G91" s="135"/>
      <c r="H91" s="210"/>
      <c r="I91" s="134"/>
      <c r="J91" s="139"/>
      <c r="K91" s="135"/>
      <c r="L91" s="181"/>
      <c r="M91" s="179"/>
      <c r="N91" s="134"/>
      <c r="O91" s="134"/>
      <c r="P91" s="134"/>
      <c r="Q91" s="134"/>
      <c r="R91" s="134"/>
      <c r="S91" s="351"/>
      <c r="T91" s="210"/>
      <c r="U91" s="200"/>
      <c r="V91" s="134"/>
      <c r="W91" s="134"/>
      <c r="X91" s="134"/>
      <c r="Y91" s="134"/>
      <c r="Z91" s="134"/>
      <c r="AA91" s="135"/>
    </row>
    <row r="92" spans="1:27" x14ac:dyDescent="0.3">
      <c r="A92" s="176" t="s">
        <v>2592</v>
      </c>
      <c r="B92" s="177" t="s">
        <v>499</v>
      </c>
      <c r="C92" s="134" t="s">
        <v>2818</v>
      </c>
      <c r="D92" s="178">
        <v>485.8</v>
      </c>
      <c r="E92" s="134"/>
      <c r="F92" s="134"/>
      <c r="G92" s="135"/>
      <c r="H92" s="210"/>
      <c r="I92" s="134"/>
      <c r="J92" s="139"/>
      <c r="K92" s="135"/>
      <c r="L92" s="181"/>
      <c r="M92" s="179"/>
      <c r="N92" s="134"/>
      <c r="O92" s="134"/>
      <c r="P92" s="134"/>
      <c r="Q92" s="134"/>
      <c r="R92" s="134"/>
      <c r="S92" s="351"/>
      <c r="T92" s="210"/>
      <c r="U92" s="200"/>
      <c r="V92" s="134"/>
      <c r="W92" s="134"/>
      <c r="X92" s="134"/>
      <c r="Y92" s="134"/>
      <c r="Z92" s="134"/>
      <c r="AA92" s="135"/>
    </row>
    <row r="93" spans="1:27" x14ac:dyDescent="0.3">
      <c r="A93" s="176" t="s">
        <v>2593</v>
      </c>
      <c r="B93" s="177" t="s">
        <v>500</v>
      </c>
      <c r="C93" s="134" t="s">
        <v>2819</v>
      </c>
      <c r="D93" s="178">
        <v>485.8</v>
      </c>
      <c r="E93" s="134"/>
      <c r="F93" s="134"/>
      <c r="G93" s="135"/>
      <c r="H93" s="210"/>
      <c r="I93" s="134"/>
      <c r="J93" s="139"/>
      <c r="K93" s="135"/>
      <c r="L93" s="181"/>
      <c r="M93" s="179">
        <v>4.0000000000000002E-4</v>
      </c>
      <c r="N93" s="134">
        <f>$N$1*M93</f>
        <v>3.0002466952845198E-6</v>
      </c>
      <c r="O93" s="134">
        <v>56</v>
      </c>
      <c r="P93" s="134">
        <v>73.3</v>
      </c>
      <c r="Q93" s="180">
        <f>N93*EXP(-O93*((P93+$H$1)/298.15-1)/$Q$1)</f>
        <v>1.007618997291242E-6</v>
      </c>
      <c r="R93" s="139" t="s">
        <v>2912</v>
      </c>
      <c r="S93" s="351">
        <f>Q93</f>
        <v>1.007618997291242E-6</v>
      </c>
      <c r="T93" s="210"/>
      <c r="U93" s="200"/>
      <c r="V93" s="134"/>
      <c r="W93" s="134"/>
      <c r="X93" s="134"/>
      <c r="Y93" s="134"/>
      <c r="Z93" s="134"/>
      <c r="AA93" s="135"/>
    </row>
    <row r="94" spans="1:27" x14ac:dyDescent="0.3">
      <c r="A94" s="176" t="s">
        <v>2594</v>
      </c>
      <c r="B94" s="177" t="s">
        <v>501</v>
      </c>
      <c r="C94" s="134" t="s">
        <v>2820</v>
      </c>
      <c r="D94" s="178">
        <v>485.8</v>
      </c>
      <c r="E94" s="134"/>
      <c r="F94" s="134"/>
      <c r="G94" s="135"/>
      <c r="H94" s="210"/>
      <c r="I94" s="134"/>
      <c r="J94" s="139"/>
      <c r="K94" s="135"/>
      <c r="L94" s="181"/>
      <c r="M94" s="179"/>
      <c r="N94" s="134"/>
      <c r="O94" s="134"/>
      <c r="P94" s="134"/>
      <c r="Q94" s="134"/>
      <c r="R94" s="134"/>
      <c r="S94" s="351"/>
      <c r="T94" s="210"/>
      <c r="U94" s="200"/>
      <c r="V94" s="134"/>
      <c r="W94" s="134"/>
      <c r="X94" s="134"/>
      <c r="Y94" s="134"/>
      <c r="Z94" s="134"/>
      <c r="AA94" s="135"/>
    </row>
    <row r="95" spans="1:27" x14ac:dyDescent="0.3">
      <c r="A95" s="176" t="s">
        <v>2595</v>
      </c>
      <c r="B95" s="177" t="s">
        <v>502</v>
      </c>
      <c r="C95" s="134" t="s">
        <v>644</v>
      </c>
      <c r="D95" s="178">
        <v>485.8</v>
      </c>
      <c r="E95" s="134"/>
      <c r="F95" s="134"/>
      <c r="G95" s="135"/>
      <c r="H95" s="210"/>
      <c r="I95" s="150">
        <v>134.5</v>
      </c>
      <c r="J95" s="139" t="s">
        <v>2736</v>
      </c>
      <c r="K95" s="135">
        <f>I95</f>
        <v>134.5</v>
      </c>
      <c r="L95" s="181"/>
      <c r="M95" s="179"/>
      <c r="N95" s="134"/>
      <c r="O95" s="134"/>
      <c r="P95" s="134"/>
      <c r="Q95" s="134"/>
      <c r="R95" s="134"/>
      <c r="S95" s="351"/>
      <c r="T95" s="210"/>
      <c r="U95" s="200"/>
      <c r="V95" s="134"/>
      <c r="W95" s="134"/>
      <c r="X95" s="134"/>
      <c r="Y95" s="134"/>
      <c r="Z95" s="134"/>
      <c r="AA95" s="135"/>
    </row>
    <row r="96" spans="1:27" x14ac:dyDescent="0.3">
      <c r="A96" s="176" t="s">
        <v>2596</v>
      </c>
      <c r="B96" s="177" t="s">
        <v>503</v>
      </c>
      <c r="C96" s="134" t="s">
        <v>2821</v>
      </c>
      <c r="D96" s="178">
        <v>485.8</v>
      </c>
      <c r="E96" s="134"/>
      <c r="F96" s="134"/>
      <c r="G96" s="135"/>
      <c r="H96" s="210"/>
      <c r="I96" s="134"/>
      <c r="J96" s="139"/>
      <c r="K96" s="135"/>
      <c r="L96" s="181"/>
      <c r="M96" s="179"/>
      <c r="N96" s="134"/>
      <c r="O96" s="134"/>
      <c r="P96" s="134"/>
      <c r="Q96" s="134"/>
      <c r="R96" s="134"/>
      <c r="S96" s="351"/>
      <c r="T96" s="210"/>
      <c r="U96" s="200"/>
      <c r="V96" s="134"/>
      <c r="W96" s="134"/>
      <c r="X96" s="134"/>
      <c r="Y96" s="134"/>
      <c r="Z96" s="134"/>
      <c r="AA96" s="135"/>
    </row>
    <row r="97" spans="1:27" x14ac:dyDescent="0.3">
      <c r="A97" s="176" t="s">
        <v>2597</v>
      </c>
      <c r="B97" s="177" t="s">
        <v>504</v>
      </c>
      <c r="C97" s="134" t="s">
        <v>2822</v>
      </c>
      <c r="D97" s="178">
        <v>485.8</v>
      </c>
      <c r="E97" s="134"/>
      <c r="F97" s="134"/>
      <c r="G97" s="135"/>
      <c r="H97" s="210"/>
      <c r="I97" s="134"/>
      <c r="J97" s="139"/>
      <c r="K97" s="135"/>
      <c r="L97" s="181"/>
      <c r="M97" s="179"/>
      <c r="N97" s="134"/>
      <c r="O97" s="134"/>
      <c r="P97" s="134"/>
      <c r="Q97" s="134"/>
      <c r="R97" s="134"/>
      <c r="S97" s="351"/>
      <c r="T97" s="210"/>
      <c r="U97" s="200"/>
      <c r="V97" s="134"/>
      <c r="W97" s="134"/>
      <c r="X97" s="134"/>
      <c r="Y97" s="134"/>
      <c r="Z97" s="134"/>
      <c r="AA97" s="135"/>
    </row>
    <row r="98" spans="1:27" x14ac:dyDescent="0.3">
      <c r="A98" s="176" t="s">
        <v>2598</v>
      </c>
      <c r="B98" s="177" t="s">
        <v>505</v>
      </c>
      <c r="C98" s="134" t="s">
        <v>2823</v>
      </c>
      <c r="D98" s="178">
        <v>485.8</v>
      </c>
      <c r="E98" s="134"/>
      <c r="F98" s="134"/>
      <c r="G98" s="135"/>
      <c r="H98" s="210"/>
      <c r="I98" s="134"/>
      <c r="J98" s="139"/>
      <c r="K98" s="135"/>
      <c r="L98" s="181"/>
      <c r="M98" s="179"/>
      <c r="N98" s="134"/>
      <c r="O98" s="134"/>
      <c r="P98" s="134"/>
      <c r="Q98" s="134"/>
      <c r="R98" s="134"/>
      <c r="S98" s="351"/>
      <c r="T98" s="210"/>
      <c r="U98" s="200"/>
      <c r="V98" s="134"/>
      <c r="W98" s="134"/>
      <c r="X98" s="134"/>
      <c r="Y98" s="134"/>
      <c r="Z98" s="134"/>
      <c r="AA98" s="135"/>
    </row>
    <row r="99" spans="1:27" x14ac:dyDescent="0.3">
      <c r="A99" s="91" t="s">
        <v>2599</v>
      </c>
      <c r="B99" s="129" t="s">
        <v>506</v>
      </c>
      <c r="C99" s="83" t="s">
        <v>645</v>
      </c>
      <c r="D99" s="182">
        <v>485.8</v>
      </c>
      <c r="E99" s="83"/>
      <c r="F99" s="83"/>
      <c r="G99" s="85"/>
      <c r="H99" s="206"/>
      <c r="I99" s="83">
        <v>149.5</v>
      </c>
      <c r="J99" s="84" t="s">
        <v>2742</v>
      </c>
      <c r="K99" s="85">
        <f>I101</f>
        <v>142.25</v>
      </c>
      <c r="L99" s="183"/>
      <c r="M99" s="148">
        <v>4.9200000000000003E-4</v>
      </c>
      <c r="N99" s="83">
        <f>$N$1*M99</f>
        <v>3.6903034351999594E-6</v>
      </c>
      <c r="O99" s="83">
        <v>56</v>
      </c>
      <c r="P99" s="83">
        <f>K99</f>
        <v>142.25</v>
      </c>
      <c r="Q99" s="140">
        <f>N99*EXP(-O99*((P99+$H$1)/298.15-1)/$Q$1)</f>
        <v>2.6106476209072819E-7</v>
      </c>
      <c r="R99" s="84" t="s">
        <v>2912</v>
      </c>
      <c r="S99" s="352">
        <f>Q99</f>
        <v>2.6106476209072819E-7</v>
      </c>
      <c r="T99" s="206"/>
      <c r="U99" s="202"/>
      <c r="V99" s="83"/>
      <c r="W99" s="83"/>
      <c r="X99" s="83"/>
      <c r="Y99" s="83"/>
      <c r="Z99" s="83"/>
      <c r="AA99" s="85"/>
    </row>
    <row r="100" spans="1:27" x14ac:dyDescent="0.3">
      <c r="A100" s="59"/>
      <c r="B100" s="77"/>
      <c r="C100" s="60"/>
      <c r="D100" s="159">
        <v>485.8</v>
      </c>
      <c r="E100" s="60"/>
      <c r="F100" s="60"/>
      <c r="G100" s="61"/>
      <c r="H100" s="209"/>
      <c r="I100" s="60">
        <v>135</v>
      </c>
      <c r="J100" s="67" t="s">
        <v>2736</v>
      </c>
      <c r="K100" s="61"/>
      <c r="L100" s="160"/>
      <c r="M100" s="76"/>
      <c r="N100" s="60"/>
      <c r="O100" s="60"/>
      <c r="P100" s="60"/>
      <c r="Q100" s="64"/>
      <c r="R100" s="67"/>
      <c r="S100" s="350"/>
      <c r="T100" s="209"/>
      <c r="U100" s="203"/>
      <c r="V100" s="60"/>
      <c r="W100" s="60"/>
      <c r="X100" s="60"/>
      <c r="Y100" s="60"/>
      <c r="Z100" s="60"/>
      <c r="AA100" s="61"/>
    </row>
    <row r="101" spans="1:27" x14ac:dyDescent="0.3">
      <c r="A101" s="59"/>
      <c r="B101" s="77"/>
      <c r="C101" s="60"/>
      <c r="D101" s="159">
        <v>485.8</v>
      </c>
      <c r="E101" s="60"/>
      <c r="F101" s="60"/>
      <c r="G101" s="61"/>
      <c r="H101" s="209"/>
      <c r="I101" s="68">
        <f>AVERAGE(I99:I100)</f>
        <v>142.25</v>
      </c>
      <c r="J101" s="67" t="s">
        <v>3043</v>
      </c>
      <c r="K101" s="61"/>
      <c r="L101" s="160"/>
      <c r="M101" s="76"/>
      <c r="N101" s="60"/>
      <c r="O101" s="60"/>
      <c r="P101" s="60"/>
      <c r="Q101" s="64"/>
      <c r="R101" s="67"/>
      <c r="S101" s="350"/>
      <c r="T101" s="209"/>
      <c r="U101" s="203"/>
      <c r="V101" s="60"/>
      <c r="W101" s="60"/>
      <c r="X101" s="60"/>
      <c r="Y101" s="60"/>
      <c r="Z101" s="60"/>
      <c r="AA101" s="61"/>
    </row>
    <row r="102" spans="1:27" x14ac:dyDescent="0.3">
      <c r="A102" s="176" t="s">
        <v>2600</v>
      </c>
      <c r="B102" s="177" t="s">
        <v>507</v>
      </c>
      <c r="C102" s="134" t="s">
        <v>2824</v>
      </c>
      <c r="D102" s="178">
        <v>485.8</v>
      </c>
      <c r="E102" s="134"/>
      <c r="F102" s="134"/>
      <c r="G102" s="135"/>
      <c r="H102" s="210"/>
      <c r="I102" s="134"/>
      <c r="J102" s="139"/>
      <c r="K102" s="135"/>
      <c r="L102" s="181"/>
      <c r="M102" s="179"/>
      <c r="N102" s="134"/>
      <c r="O102" s="134"/>
      <c r="P102" s="134"/>
      <c r="Q102" s="134"/>
      <c r="R102" s="134"/>
      <c r="S102" s="351"/>
      <c r="T102" s="210"/>
      <c r="U102" s="200"/>
      <c r="V102" s="134"/>
      <c r="W102" s="134"/>
      <c r="X102" s="134"/>
      <c r="Y102" s="134"/>
      <c r="Z102" s="134"/>
      <c r="AA102" s="135"/>
    </row>
    <row r="103" spans="1:27" x14ac:dyDescent="0.3">
      <c r="A103" s="91" t="s">
        <v>2601</v>
      </c>
      <c r="B103" s="129" t="s">
        <v>508</v>
      </c>
      <c r="C103" s="83" t="s">
        <v>646</v>
      </c>
      <c r="D103" s="182">
        <v>485.8</v>
      </c>
      <c r="E103" s="83"/>
      <c r="F103" s="83"/>
      <c r="G103" s="85"/>
      <c r="H103" s="206"/>
      <c r="I103" s="83">
        <v>94.5</v>
      </c>
      <c r="J103" s="84" t="s">
        <v>2736</v>
      </c>
      <c r="K103" s="85">
        <f>I105</f>
        <v>95.875</v>
      </c>
      <c r="L103" s="183"/>
      <c r="M103" s="190">
        <v>6.7899999999999997E-5</v>
      </c>
      <c r="N103" s="83">
        <f>$N$1*M103</f>
        <v>5.0929187652454718E-7</v>
      </c>
      <c r="O103" s="83">
        <v>56</v>
      </c>
      <c r="P103" s="83">
        <f>K103</f>
        <v>95.875</v>
      </c>
      <c r="Q103" s="87">
        <f>N103*EXP(-O103*((P103+$H$1)/298.15-1)/$Q$1)</f>
        <v>1.0271356357973694E-7</v>
      </c>
      <c r="R103" s="84" t="s">
        <v>2737</v>
      </c>
      <c r="S103" s="352">
        <f>Q105</f>
        <v>1.6934879886232033E-7</v>
      </c>
      <c r="T103" s="206">
        <v>6.0000000000000002E-6</v>
      </c>
      <c r="U103" s="144" t="s">
        <v>3048</v>
      </c>
      <c r="V103" s="83"/>
      <c r="W103" s="83"/>
      <c r="X103" s="83"/>
      <c r="Y103" s="126">
        <f>1000*T103</f>
        <v>6.0000000000000001E-3</v>
      </c>
      <c r="Z103" s="84" t="s">
        <v>2737</v>
      </c>
      <c r="AA103" s="85">
        <f>Y103</f>
        <v>6.0000000000000001E-3</v>
      </c>
    </row>
    <row r="104" spans="1:27" x14ac:dyDescent="0.3">
      <c r="A104" s="59"/>
      <c r="B104" s="77"/>
      <c r="C104" s="60"/>
      <c r="D104" s="159">
        <v>485.8</v>
      </c>
      <c r="E104" s="60"/>
      <c r="F104" s="60"/>
      <c r="G104" s="61"/>
      <c r="H104" s="209"/>
      <c r="I104" s="60">
        <v>97.25</v>
      </c>
      <c r="J104" s="67" t="s">
        <v>2737</v>
      </c>
      <c r="K104" s="61"/>
      <c r="L104" s="160"/>
      <c r="M104" s="191">
        <v>1.56E-4</v>
      </c>
      <c r="N104" s="60">
        <f>$N$1*M104</f>
        <v>1.1700962111609627E-6</v>
      </c>
      <c r="O104" s="60">
        <v>56</v>
      </c>
      <c r="P104" s="60">
        <f>K103</f>
        <v>95.875</v>
      </c>
      <c r="Q104" s="64">
        <f>N104*EXP(-O104*((P104+$H$1)/298.15-1)/$Q$1)</f>
        <v>2.3598403414490372E-7</v>
      </c>
      <c r="R104" s="67" t="s">
        <v>2912</v>
      </c>
      <c r="S104" s="350"/>
      <c r="T104" s="209"/>
      <c r="U104" s="203"/>
      <c r="V104" s="60"/>
      <c r="W104" s="60"/>
      <c r="X104" s="60"/>
      <c r="Y104" s="60"/>
      <c r="Z104" s="67"/>
      <c r="AA104" s="61"/>
    </row>
    <row r="105" spans="1:27" ht="24" x14ac:dyDescent="0.3">
      <c r="A105" s="59"/>
      <c r="B105" s="77"/>
      <c r="C105" s="60"/>
      <c r="D105" s="159">
        <v>485.8</v>
      </c>
      <c r="E105" s="60"/>
      <c r="F105" s="60"/>
      <c r="G105" s="61"/>
      <c r="H105" s="209"/>
      <c r="I105" s="68">
        <f>AVERAGE(I103:I104)</f>
        <v>95.875</v>
      </c>
      <c r="J105" s="67" t="s">
        <v>3039</v>
      </c>
      <c r="K105" s="61"/>
      <c r="L105" s="160"/>
      <c r="M105" s="76"/>
      <c r="N105" s="60"/>
      <c r="O105" s="60"/>
      <c r="P105" s="60"/>
      <c r="Q105" s="73">
        <f>AVERAGE(Q103:Q104)</f>
        <v>1.6934879886232033E-7</v>
      </c>
      <c r="R105" s="70" t="s">
        <v>2913</v>
      </c>
      <c r="S105" s="350"/>
      <c r="T105" s="209"/>
      <c r="U105" s="203"/>
      <c r="V105" s="60"/>
      <c r="W105" s="60"/>
      <c r="X105" s="60"/>
      <c r="Y105" s="60"/>
      <c r="Z105" s="67"/>
      <c r="AA105" s="61"/>
    </row>
    <row r="106" spans="1:27" x14ac:dyDescent="0.3">
      <c r="A106" s="176" t="s">
        <v>2602</v>
      </c>
      <c r="B106" s="177" t="s">
        <v>509</v>
      </c>
      <c r="C106" s="134" t="s">
        <v>2825</v>
      </c>
      <c r="D106" s="178">
        <v>485.8</v>
      </c>
      <c r="E106" s="134"/>
      <c r="F106" s="134"/>
      <c r="G106" s="135"/>
      <c r="H106" s="210"/>
      <c r="I106" s="134"/>
      <c r="J106" s="139"/>
      <c r="K106" s="135"/>
      <c r="L106" s="181"/>
      <c r="M106" s="179"/>
      <c r="N106" s="134"/>
      <c r="O106" s="134"/>
      <c r="P106" s="134"/>
      <c r="Q106" s="134"/>
      <c r="R106" s="134"/>
      <c r="S106" s="351"/>
      <c r="T106" s="210"/>
      <c r="U106" s="200"/>
      <c r="V106" s="134"/>
      <c r="W106" s="134"/>
      <c r="X106" s="134"/>
      <c r="Y106" s="134"/>
      <c r="Z106" s="134"/>
      <c r="AA106" s="135"/>
    </row>
    <row r="107" spans="1:27" x14ac:dyDescent="0.3">
      <c r="A107" s="176" t="s">
        <v>2603</v>
      </c>
      <c r="B107" s="177" t="s">
        <v>510</v>
      </c>
      <c r="C107" s="134" t="s">
        <v>2826</v>
      </c>
      <c r="D107" s="178">
        <v>485.8</v>
      </c>
      <c r="E107" s="134"/>
      <c r="F107" s="134"/>
      <c r="G107" s="135"/>
      <c r="H107" s="210"/>
      <c r="I107" s="134"/>
      <c r="J107" s="139"/>
      <c r="K107" s="135"/>
      <c r="L107" s="181"/>
      <c r="M107" s="179"/>
      <c r="N107" s="134"/>
      <c r="O107" s="134"/>
      <c r="P107" s="134"/>
      <c r="Q107" s="134"/>
      <c r="R107" s="134"/>
      <c r="S107" s="351"/>
      <c r="T107" s="210"/>
      <c r="U107" s="200"/>
      <c r="V107" s="134"/>
      <c r="W107" s="134"/>
      <c r="X107" s="134"/>
      <c r="Y107" s="134"/>
      <c r="Z107" s="134"/>
      <c r="AA107" s="135"/>
    </row>
    <row r="108" spans="1:27" x14ac:dyDescent="0.3">
      <c r="A108" s="176" t="s">
        <v>2604</v>
      </c>
      <c r="B108" s="177" t="s">
        <v>511</v>
      </c>
      <c r="C108" s="134" t="s">
        <v>2827</v>
      </c>
      <c r="D108" s="178">
        <v>485.8</v>
      </c>
      <c r="E108" s="134"/>
      <c r="F108" s="134"/>
      <c r="G108" s="135"/>
      <c r="H108" s="210"/>
      <c r="I108" s="134"/>
      <c r="J108" s="139"/>
      <c r="K108" s="135"/>
      <c r="L108" s="181"/>
      <c r="M108" s="179"/>
      <c r="N108" s="134"/>
      <c r="O108" s="134"/>
      <c r="P108" s="134"/>
      <c r="Q108" s="134"/>
      <c r="R108" s="134"/>
      <c r="S108" s="351"/>
      <c r="T108" s="210"/>
      <c r="U108" s="200"/>
      <c r="V108" s="134"/>
      <c r="W108" s="134"/>
      <c r="X108" s="134"/>
      <c r="Y108" s="134"/>
      <c r="Z108" s="134"/>
      <c r="AA108" s="135"/>
    </row>
    <row r="109" spans="1:27" x14ac:dyDescent="0.3">
      <c r="A109" s="176" t="s">
        <v>2605</v>
      </c>
      <c r="B109" s="177" t="s">
        <v>512</v>
      </c>
      <c r="C109" s="134" t="s">
        <v>2828</v>
      </c>
      <c r="D109" s="178">
        <v>485.8</v>
      </c>
      <c r="E109" s="134"/>
      <c r="F109" s="134"/>
      <c r="G109" s="135"/>
      <c r="H109" s="210"/>
      <c r="I109" s="134"/>
      <c r="J109" s="139"/>
      <c r="K109" s="135"/>
      <c r="L109" s="181"/>
      <c r="M109" s="179"/>
      <c r="N109" s="134"/>
      <c r="O109" s="134"/>
      <c r="P109" s="134"/>
      <c r="Q109" s="134"/>
      <c r="R109" s="134"/>
      <c r="S109" s="351"/>
      <c r="T109" s="210"/>
      <c r="U109" s="200"/>
      <c r="V109" s="134"/>
      <c r="W109" s="134"/>
      <c r="X109" s="134"/>
      <c r="Y109" s="134"/>
      <c r="Z109" s="134"/>
      <c r="AA109" s="135"/>
    </row>
    <row r="110" spans="1:27" x14ac:dyDescent="0.3">
      <c r="A110" s="176" t="s">
        <v>2606</v>
      </c>
      <c r="B110" s="177" t="s">
        <v>513</v>
      </c>
      <c r="C110" s="134"/>
      <c r="D110" s="178">
        <v>564.69000000000005</v>
      </c>
      <c r="E110" s="134"/>
      <c r="F110" s="134"/>
      <c r="G110" s="135"/>
      <c r="H110" s="210"/>
      <c r="I110" s="134"/>
      <c r="J110" s="139"/>
      <c r="K110" s="135"/>
      <c r="L110" s="181"/>
      <c r="M110" s="192">
        <v>6.4700000000000001E-5</v>
      </c>
      <c r="N110" s="134">
        <f>$N$1*M110</f>
        <v>4.8528990296227108E-7</v>
      </c>
      <c r="O110" s="134">
        <v>56</v>
      </c>
      <c r="P110" s="83">
        <v>155</v>
      </c>
      <c r="Q110" s="180">
        <f>N110*EXP(-O110*((P110+$H$1)/298.15-1)/$Q$1)</f>
        <v>2.573949388422104E-8</v>
      </c>
      <c r="R110" s="139" t="s">
        <v>2912</v>
      </c>
      <c r="S110" s="352">
        <f>Q110</f>
        <v>2.573949388422104E-8</v>
      </c>
      <c r="T110" s="210"/>
      <c r="U110" s="200"/>
      <c r="V110" s="134"/>
      <c r="W110" s="134"/>
      <c r="X110" s="134"/>
      <c r="Y110" s="134"/>
      <c r="Z110" s="134"/>
      <c r="AA110" s="135"/>
    </row>
    <row r="111" spans="1:27" x14ac:dyDescent="0.3">
      <c r="A111" s="176" t="s">
        <v>2607</v>
      </c>
      <c r="B111" s="177" t="s">
        <v>514</v>
      </c>
      <c r="C111" s="134" t="s">
        <v>2829</v>
      </c>
      <c r="D111" s="178">
        <v>564.69000000000005</v>
      </c>
      <c r="E111" s="134"/>
      <c r="F111" s="134"/>
      <c r="G111" s="135"/>
      <c r="H111" s="210"/>
      <c r="I111" s="134"/>
      <c r="J111" s="139"/>
      <c r="K111" s="135"/>
      <c r="L111" s="181"/>
      <c r="M111" s="179"/>
      <c r="N111" s="134"/>
      <c r="O111" s="134"/>
      <c r="P111" s="134"/>
      <c r="Q111" s="134"/>
      <c r="R111" s="134"/>
      <c r="S111" s="351"/>
      <c r="T111" s="210"/>
      <c r="U111" s="200"/>
      <c r="V111" s="134"/>
      <c r="W111" s="134"/>
      <c r="X111" s="134"/>
      <c r="Y111" s="134"/>
      <c r="Z111" s="134"/>
      <c r="AA111" s="135"/>
    </row>
    <row r="112" spans="1:27" x14ac:dyDescent="0.3">
      <c r="A112" s="176" t="s">
        <v>2608</v>
      </c>
      <c r="B112" s="177" t="s">
        <v>515</v>
      </c>
      <c r="C112" s="134"/>
      <c r="D112" s="178">
        <v>564.69000000000005</v>
      </c>
      <c r="E112" s="134"/>
      <c r="F112" s="134"/>
      <c r="G112" s="135"/>
      <c r="H112" s="210"/>
      <c r="I112" s="134"/>
      <c r="J112" s="139"/>
      <c r="K112" s="135"/>
      <c r="L112" s="181"/>
      <c r="M112" s="179"/>
      <c r="N112" s="134"/>
      <c r="O112" s="134"/>
      <c r="P112" s="134"/>
      <c r="Q112" s="134"/>
      <c r="R112" s="134"/>
      <c r="S112" s="351"/>
      <c r="T112" s="210"/>
      <c r="U112" s="200"/>
      <c r="V112" s="134"/>
      <c r="W112" s="134"/>
      <c r="X112" s="134"/>
      <c r="Y112" s="134"/>
      <c r="Z112" s="134"/>
      <c r="AA112" s="135"/>
    </row>
    <row r="113" spans="1:27" x14ac:dyDescent="0.3">
      <c r="A113" s="91" t="s">
        <v>2609</v>
      </c>
      <c r="B113" s="129" t="s">
        <v>516</v>
      </c>
      <c r="C113" s="83" t="s">
        <v>2830</v>
      </c>
      <c r="D113" s="182">
        <v>564.69000000000005</v>
      </c>
      <c r="E113" s="126">
        <v>7.37</v>
      </c>
      <c r="F113" s="184" t="s">
        <v>2885</v>
      </c>
      <c r="G113" s="85">
        <f t="shared" ref="G113" si="6">E113</f>
        <v>7.37</v>
      </c>
      <c r="H113" s="206"/>
      <c r="I113" s="83">
        <v>123.5</v>
      </c>
      <c r="J113" s="84" t="s">
        <v>2740</v>
      </c>
      <c r="K113" s="85">
        <f>I116</f>
        <v>122.26666666666667</v>
      </c>
      <c r="L113" s="183">
        <v>25</v>
      </c>
      <c r="M113" s="83"/>
      <c r="N113" s="83"/>
      <c r="O113" s="83"/>
      <c r="P113" s="83"/>
      <c r="Q113" s="87">
        <v>7.2E-9</v>
      </c>
      <c r="R113" s="84" t="s">
        <v>2309</v>
      </c>
      <c r="S113" s="352">
        <f>Q115</f>
        <v>8.2169781512039553E-9</v>
      </c>
      <c r="T113" s="206">
        <v>6.0000000000000002E-6</v>
      </c>
      <c r="U113" s="144" t="s">
        <v>3048</v>
      </c>
      <c r="V113" s="83"/>
      <c r="W113" s="83"/>
      <c r="X113" s="83"/>
      <c r="Y113" s="126">
        <f>1000*T113</f>
        <v>6.0000000000000001E-3</v>
      </c>
      <c r="Z113" s="84" t="s">
        <v>2737</v>
      </c>
      <c r="AA113" s="85">
        <f>Y113</f>
        <v>6.0000000000000001E-3</v>
      </c>
    </row>
    <row r="114" spans="1:27" x14ac:dyDescent="0.3">
      <c r="A114" s="59"/>
      <c r="B114" s="77"/>
      <c r="C114" s="60"/>
      <c r="D114" s="159">
        <v>564.69000000000005</v>
      </c>
      <c r="E114" s="68"/>
      <c r="F114" s="161"/>
      <c r="G114" s="61"/>
      <c r="H114" s="209"/>
      <c r="I114" s="60">
        <v>123.3</v>
      </c>
      <c r="J114" s="67" t="s">
        <v>2739</v>
      </c>
      <c r="K114" s="61"/>
      <c r="L114" s="160">
        <v>25</v>
      </c>
      <c r="M114" s="60"/>
      <c r="N114" s="60"/>
      <c r="O114" s="60"/>
      <c r="P114" s="60"/>
      <c r="Q114" s="64">
        <v>7.2E-9</v>
      </c>
      <c r="R114" s="67" t="s">
        <v>3005</v>
      </c>
      <c r="S114" s="350"/>
      <c r="T114" s="209"/>
      <c r="U114" s="75"/>
      <c r="V114" s="60"/>
      <c r="W114" s="60"/>
      <c r="X114" s="60"/>
      <c r="Y114" s="60"/>
      <c r="Z114" s="67"/>
      <c r="AA114" s="61"/>
    </row>
    <row r="115" spans="1:27" x14ac:dyDescent="0.3">
      <c r="A115" s="59"/>
      <c r="B115" s="77"/>
      <c r="C115" s="60"/>
      <c r="D115" s="159">
        <v>564.69000000000005</v>
      </c>
      <c r="E115" s="68"/>
      <c r="F115" s="161"/>
      <c r="G115" s="61"/>
      <c r="H115" s="209"/>
      <c r="I115" s="60">
        <v>120</v>
      </c>
      <c r="J115" s="67" t="s">
        <v>2737</v>
      </c>
      <c r="K115" s="61"/>
      <c r="L115" s="160"/>
      <c r="M115" s="60">
        <v>9.8600000000000005E-6</v>
      </c>
      <c r="N115" s="60">
        <f>$N$1*M115</f>
        <v>7.3956081038763411E-8</v>
      </c>
      <c r="O115" s="60">
        <v>56</v>
      </c>
      <c r="P115" s="60">
        <f>K113</f>
        <v>122.26666666666667</v>
      </c>
      <c r="Q115" s="73">
        <f>N115*EXP(-O115*((P115+$H$1)/298.15-1)/$Q$1)</f>
        <v>8.2169781512039553E-9</v>
      </c>
      <c r="R115" s="67" t="s">
        <v>2737</v>
      </c>
      <c r="S115" s="350"/>
      <c r="T115" s="209"/>
      <c r="U115" s="75"/>
      <c r="V115" s="60"/>
      <c r="W115" s="60"/>
      <c r="X115" s="60"/>
      <c r="Y115" s="60"/>
      <c r="Z115" s="67"/>
      <c r="AA115" s="61"/>
    </row>
    <row r="116" spans="1:27" ht="24" x14ac:dyDescent="0.3">
      <c r="A116" s="59"/>
      <c r="B116" s="77"/>
      <c r="C116" s="60"/>
      <c r="D116" s="159">
        <v>564.69000000000005</v>
      </c>
      <c r="E116" s="68"/>
      <c r="F116" s="161"/>
      <c r="G116" s="61"/>
      <c r="H116" s="209"/>
      <c r="I116" s="68">
        <f>AVERAGE(I113:I115)</f>
        <v>122.26666666666667</v>
      </c>
      <c r="J116" s="70" t="s">
        <v>3044</v>
      </c>
      <c r="K116" s="61"/>
      <c r="L116" s="160"/>
      <c r="M116" s="65"/>
      <c r="N116" s="60"/>
      <c r="O116" s="60"/>
      <c r="P116" s="60"/>
      <c r="Q116" s="64"/>
      <c r="R116" s="67"/>
      <c r="S116" s="350"/>
      <c r="T116" s="209"/>
      <c r="U116" s="75"/>
      <c r="V116" s="60"/>
      <c r="W116" s="60"/>
      <c r="X116" s="60"/>
      <c r="Y116" s="60"/>
      <c r="Z116" s="67"/>
      <c r="AA116" s="61"/>
    </row>
    <row r="117" spans="1:27" x14ac:dyDescent="0.3">
      <c r="A117" s="176" t="s">
        <v>2610</v>
      </c>
      <c r="B117" s="177" t="s">
        <v>517</v>
      </c>
      <c r="C117" s="134" t="s">
        <v>2831</v>
      </c>
      <c r="D117" s="178">
        <v>564.69000000000005</v>
      </c>
      <c r="E117" s="134"/>
      <c r="F117" s="134"/>
      <c r="G117" s="135"/>
      <c r="H117" s="210"/>
      <c r="I117" s="134"/>
      <c r="J117" s="139"/>
      <c r="K117" s="135"/>
      <c r="L117" s="181"/>
      <c r="M117" s="179"/>
      <c r="N117" s="134"/>
      <c r="O117" s="134"/>
      <c r="P117" s="134"/>
      <c r="Q117" s="134"/>
      <c r="R117" s="134"/>
      <c r="S117" s="351"/>
      <c r="T117" s="210"/>
      <c r="U117" s="200"/>
      <c r="V117" s="134"/>
      <c r="W117" s="134"/>
      <c r="X117" s="134"/>
      <c r="Y117" s="134"/>
      <c r="Z117" s="134"/>
      <c r="AA117" s="135"/>
    </row>
    <row r="118" spans="1:27" x14ac:dyDescent="0.3">
      <c r="A118" s="176" t="s">
        <v>2611</v>
      </c>
      <c r="B118" s="177" t="s">
        <v>518</v>
      </c>
      <c r="C118" s="134" t="s">
        <v>2832</v>
      </c>
      <c r="D118" s="178">
        <v>564.69000000000005</v>
      </c>
      <c r="E118" s="134"/>
      <c r="F118" s="134"/>
      <c r="G118" s="135"/>
      <c r="H118" s="210"/>
      <c r="I118" s="134"/>
      <c r="J118" s="139"/>
      <c r="K118" s="135"/>
      <c r="L118" s="181"/>
      <c r="M118" s="179"/>
      <c r="N118" s="134"/>
      <c r="O118" s="134"/>
      <c r="P118" s="134"/>
      <c r="Q118" s="134"/>
      <c r="R118" s="134"/>
      <c r="S118" s="351"/>
      <c r="T118" s="210"/>
      <c r="U118" s="200"/>
      <c r="V118" s="134"/>
      <c r="W118" s="134"/>
      <c r="X118" s="134"/>
      <c r="Y118" s="134"/>
      <c r="Z118" s="134"/>
      <c r="AA118" s="135"/>
    </row>
    <row r="119" spans="1:27" x14ac:dyDescent="0.3">
      <c r="A119" s="176" t="s">
        <v>2612</v>
      </c>
      <c r="B119" s="177" t="s">
        <v>519</v>
      </c>
      <c r="C119" s="134" t="s">
        <v>2833</v>
      </c>
      <c r="D119" s="178">
        <v>564.69000000000005</v>
      </c>
      <c r="E119" s="134"/>
      <c r="F119" s="134"/>
      <c r="G119" s="135"/>
      <c r="H119" s="210"/>
      <c r="I119" s="134"/>
      <c r="J119" s="139"/>
      <c r="K119" s="135"/>
      <c r="L119" s="181"/>
      <c r="M119" s="179"/>
      <c r="N119" s="134"/>
      <c r="O119" s="134"/>
      <c r="P119" s="134"/>
      <c r="Q119" s="134"/>
      <c r="R119" s="134"/>
      <c r="S119" s="351"/>
      <c r="T119" s="210"/>
      <c r="U119" s="200"/>
      <c r="V119" s="134"/>
      <c r="W119" s="134"/>
      <c r="X119" s="134"/>
      <c r="Y119" s="134"/>
      <c r="Z119" s="134"/>
      <c r="AA119" s="135"/>
    </row>
    <row r="120" spans="1:27" x14ac:dyDescent="0.3">
      <c r="A120" s="176" t="s">
        <v>2613</v>
      </c>
      <c r="B120" s="177" t="s">
        <v>520</v>
      </c>
      <c r="C120" s="134"/>
      <c r="D120" s="178">
        <v>564.69000000000005</v>
      </c>
      <c r="E120" s="134"/>
      <c r="F120" s="134"/>
      <c r="G120" s="135"/>
      <c r="H120" s="210"/>
      <c r="I120" s="134"/>
      <c r="J120" s="139"/>
      <c r="K120" s="135"/>
      <c r="L120" s="181"/>
      <c r="M120" s="179"/>
      <c r="N120" s="134"/>
      <c r="O120" s="134"/>
      <c r="P120" s="134"/>
      <c r="Q120" s="134"/>
      <c r="R120" s="134"/>
      <c r="S120" s="351"/>
      <c r="T120" s="210"/>
      <c r="U120" s="200"/>
      <c r="V120" s="134"/>
      <c r="W120" s="134"/>
      <c r="X120" s="134"/>
      <c r="Y120" s="134"/>
      <c r="Z120" s="134"/>
      <c r="AA120" s="135"/>
    </row>
    <row r="121" spans="1:27" x14ac:dyDescent="0.3">
      <c r="A121" s="176" t="s">
        <v>2614</v>
      </c>
      <c r="B121" s="177" t="s">
        <v>521</v>
      </c>
      <c r="C121" s="134" t="s">
        <v>2834</v>
      </c>
      <c r="D121" s="178">
        <v>564.69000000000005</v>
      </c>
      <c r="E121" s="134"/>
      <c r="F121" s="134"/>
      <c r="G121" s="135"/>
      <c r="H121" s="210"/>
      <c r="I121" s="134"/>
      <c r="J121" s="139"/>
      <c r="K121" s="135"/>
      <c r="L121" s="181"/>
      <c r="M121" s="179"/>
      <c r="N121" s="134"/>
      <c r="O121" s="134"/>
      <c r="P121" s="134"/>
      <c r="Q121" s="134"/>
      <c r="R121" s="134"/>
      <c r="S121" s="351"/>
      <c r="T121" s="210"/>
      <c r="U121" s="200"/>
      <c r="V121" s="134"/>
      <c r="W121" s="134"/>
      <c r="X121" s="134"/>
      <c r="Y121" s="134"/>
      <c r="Z121" s="134"/>
      <c r="AA121" s="135"/>
    </row>
    <row r="122" spans="1:27" x14ac:dyDescent="0.3">
      <c r="A122" s="176" t="s">
        <v>2615</v>
      </c>
      <c r="B122" s="177" t="s">
        <v>522</v>
      </c>
      <c r="C122" s="134"/>
      <c r="D122" s="178">
        <v>564.69000000000005</v>
      </c>
      <c r="E122" s="134"/>
      <c r="F122" s="134"/>
      <c r="G122" s="135"/>
      <c r="H122" s="210"/>
      <c r="I122" s="134"/>
      <c r="J122" s="139"/>
      <c r="K122" s="135"/>
      <c r="L122" s="181"/>
      <c r="M122" s="179"/>
      <c r="N122" s="134"/>
      <c r="O122" s="134"/>
      <c r="P122" s="134"/>
      <c r="Q122" s="134"/>
      <c r="R122" s="134"/>
      <c r="S122" s="351"/>
      <c r="T122" s="210"/>
      <c r="U122" s="200"/>
      <c r="V122" s="134"/>
      <c r="W122" s="134"/>
      <c r="X122" s="134"/>
      <c r="Y122" s="134"/>
      <c r="Z122" s="134"/>
      <c r="AA122" s="135"/>
    </row>
    <row r="123" spans="1:27" x14ac:dyDescent="0.3">
      <c r="A123" s="176" t="s">
        <v>2616</v>
      </c>
      <c r="B123" s="177" t="s">
        <v>523</v>
      </c>
      <c r="C123" s="134" t="s">
        <v>2835</v>
      </c>
      <c r="D123" s="178">
        <v>564.69000000000005</v>
      </c>
      <c r="E123" s="134"/>
      <c r="F123" s="134"/>
      <c r="G123" s="135"/>
      <c r="H123" s="210"/>
      <c r="I123" s="134"/>
      <c r="J123" s="139"/>
      <c r="K123" s="135"/>
      <c r="L123" s="181"/>
      <c r="M123" s="179"/>
      <c r="N123" s="134"/>
      <c r="O123" s="134"/>
      <c r="P123" s="134"/>
      <c r="Q123" s="134"/>
      <c r="R123" s="134"/>
      <c r="S123" s="351"/>
      <c r="T123" s="210"/>
      <c r="U123" s="200"/>
      <c r="V123" s="134"/>
      <c r="W123" s="134"/>
      <c r="X123" s="134"/>
      <c r="Y123" s="134"/>
      <c r="Z123" s="134"/>
      <c r="AA123" s="135"/>
    </row>
    <row r="124" spans="1:27" x14ac:dyDescent="0.3">
      <c r="A124" s="176" t="s">
        <v>2617</v>
      </c>
      <c r="B124" s="177" t="s">
        <v>524</v>
      </c>
      <c r="C124" s="134"/>
      <c r="D124" s="178">
        <v>564.69000000000005</v>
      </c>
      <c r="E124" s="134"/>
      <c r="F124" s="134"/>
      <c r="G124" s="135"/>
      <c r="H124" s="210"/>
      <c r="I124" s="134"/>
      <c r="J124" s="139"/>
      <c r="K124" s="135"/>
      <c r="L124" s="181"/>
      <c r="M124" s="179"/>
      <c r="N124" s="134"/>
      <c r="O124" s="134"/>
      <c r="P124" s="134"/>
      <c r="Q124" s="134"/>
      <c r="R124" s="134"/>
      <c r="S124" s="351"/>
      <c r="T124" s="210"/>
      <c r="U124" s="200"/>
      <c r="V124" s="134"/>
      <c r="W124" s="134"/>
      <c r="X124" s="134"/>
      <c r="Y124" s="134"/>
      <c r="Z124" s="134"/>
      <c r="AA124" s="135"/>
    </row>
    <row r="125" spans="1:27" x14ac:dyDescent="0.3">
      <c r="A125" s="176" t="s">
        <v>2618</v>
      </c>
      <c r="B125" s="177" t="s">
        <v>525</v>
      </c>
      <c r="C125" s="134" t="s">
        <v>2836</v>
      </c>
      <c r="D125" s="178">
        <v>564.69000000000005</v>
      </c>
      <c r="E125" s="134"/>
      <c r="F125" s="134"/>
      <c r="G125" s="135"/>
      <c r="H125" s="210"/>
      <c r="I125" s="134"/>
      <c r="J125" s="139"/>
      <c r="K125" s="135"/>
      <c r="L125" s="181"/>
      <c r="M125" s="179"/>
      <c r="N125" s="134"/>
      <c r="O125" s="134"/>
      <c r="P125" s="134"/>
      <c r="Q125" s="134"/>
      <c r="R125" s="134"/>
      <c r="S125" s="351"/>
      <c r="T125" s="210"/>
      <c r="U125" s="200"/>
      <c r="V125" s="134"/>
      <c r="W125" s="134"/>
      <c r="X125" s="134"/>
      <c r="Y125" s="134"/>
      <c r="Z125" s="134"/>
      <c r="AA125" s="135"/>
    </row>
    <row r="126" spans="1:27" x14ac:dyDescent="0.3">
      <c r="A126" s="176" t="s">
        <v>2619</v>
      </c>
      <c r="B126" s="177" t="s">
        <v>526</v>
      </c>
      <c r="C126" s="134"/>
      <c r="D126" s="178">
        <v>564.69000000000005</v>
      </c>
      <c r="E126" s="134"/>
      <c r="F126" s="134"/>
      <c r="G126" s="135"/>
      <c r="H126" s="210"/>
      <c r="I126" s="134"/>
      <c r="J126" s="139"/>
      <c r="K126" s="135"/>
      <c r="L126" s="181"/>
      <c r="M126" s="179"/>
      <c r="N126" s="134"/>
      <c r="O126" s="134"/>
      <c r="P126" s="134"/>
      <c r="Q126" s="134"/>
      <c r="R126" s="134"/>
      <c r="S126" s="351"/>
      <c r="T126" s="210"/>
      <c r="U126" s="200"/>
      <c r="V126" s="134"/>
      <c r="W126" s="134"/>
      <c r="X126" s="134"/>
      <c r="Y126" s="134"/>
      <c r="Z126" s="134"/>
      <c r="AA126" s="135"/>
    </row>
    <row r="127" spans="1:27" x14ac:dyDescent="0.3">
      <c r="A127" s="176" t="s">
        <v>2620</v>
      </c>
      <c r="B127" s="177" t="s">
        <v>527</v>
      </c>
      <c r="C127" s="134"/>
      <c r="D127" s="178">
        <v>564.69000000000005</v>
      </c>
      <c r="E127" s="134"/>
      <c r="F127" s="134"/>
      <c r="G127" s="135"/>
      <c r="H127" s="210"/>
      <c r="I127" s="134"/>
      <c r="J127" s="139"/>
      <c r="K127" s="135"/>
      <c r="L127" s="181"/>
      <c r="M127" s="179"/>
      <c r="N127" s="134"/>
      <c r="O127" s="134"/>
      <c r="P127" s="134"/>
      <c r="Q127" s="134"/>
      <c r="R127" s="134"/>
      <c r="S127" s="351"/>
      <c r="T127" s="210"/>
      <c r="U127" s="200"/>
      <c r="V127" s="134"/>
      <c r="W127" s="134"/>
      <c r="X127" s="134"/>
      <c r="Y127" s="134"/>
      <c r="Z127" s="134"/>
      <c r="AA127" s="135"/>
    </row>
    <row r="128" spans="1:27" x14ac:dyDescent="0.3">
      <c r="A128" s="176" t="s">
        <v>2621</v>
      </c>
      <c r="B128" s="177" t="s">
        <v>528</v>
      </c>
      <c r="C128" s="134" t="s">
        <v>2837</v>
      </c>
      <c r="D128" s="178">
        <v>564.69000000000005</v>
      </c>
      <c r="E128" s="134"/>
      <c r="F128" s="134"/>
      <c r="G128" s="135"/>
      <c r="H128" s="210"/>
      <c r="I128" s="134"/>
      <c r="J128" s="139"/>
      <c r="K128" s="135"/>
      <c r="L128" s="181"/>
      <c r="M128" s="179"/>
      <c r="N128" s="134"/>
      <c r="O128" s="134"/>
      <c r="P128" s="134"/>
      <c r="Q128" s="134"/>
      <c r="R128" s="134"/>
      <c r="S128" s="351"/>
      <c r="T128" s="210"/>
      <c r="U128" s="200"/>
      <c r="V128" s="134"/>
      <c r="W128" s="134"/>
      <c r="X128" s="134"/>
      <c r="Y128" s="134"/>
      <c r="Z128" s="134"/>
      <c r="AA128" s="135"/>
    </row>
    <row r="129" spans="1:27" x14ac:dyDescent="0.3">
      <c r="A129" s="176" t="s">
        <v>2622</v>
      </c>
      <c r="B129" s="177" t="s">
        <v>529</v>
      </c>
      <c r="C129" s="134" t="s">
        <v>2838</v>
      </c>
      <c r="D129" s="178">
        <v>564.69000000000005</v>
      </c>
      <c r="E129" s="134"/>
      <c r="F129" s="134"/>
      <c r="G129" s="135"/>
      <c r="H129" s="210"/>
      <c r="I129" s="134"/>
      <c r="J129" s="139"/>
      <c r="K129" s="135"/>
      <c r="L129" s="181"/>
      <c r="M129" s="179"/>
      <c r="N129" s="134"/>
      <c r="O129" s="134"/>
      <c r="P129" s="134"/>
      <c r="Q129" s="134"/>
      <c r="R129" s="134"/>
      <c r="S129" s="351"/>
      <c r="T129" s="210"/>
      <c r="U129" s="200"/>
      <c r="V129" s="134"/>
      <c r="W129" s="134"/>
      <c r="X129" s="134"/>
      <c r="Y129" s="134"/>
      <c r="Z129" s="134"/>
      <c r="AA129" s="135"/>
    </row>
    <row r="130" spans="1:27" x14ac:dyDescent="0.3">
      <c r="A130" s="91" t="s">
        <v>2623</v>
      </c>
      <c r="B130" s="129" t="s">
        <v>530</v>
      </c>
      <c r="C130" s="83" t="s">
        <v>649</v>
      </c>
      <c r="D130" s="182">
        <v>564.69000000000005</v>
      </c>
      <c r="E130" s="83">
        <v>6.84</v>
      </c>
      <c r="F130" s="84" t="s">
        <v>2309</v>
      </c>
      <c r="G130" s="85">
        <f>E131</f>
        <v>7.32</v>
      </c>
      <c r="H130" s="206"/>
      <c r="I130" s="93">
        <v>-5</v>
      </c>
      <c r="J130" s="90" t="s">
        <v>3033</v>
      </c>
      <c r="K130" s="85">
        <f>I135</f>
        <v>87.787500000000009</v>
      </c>
      <c r="L130" s="183">
        <v>25</v>
      </c>
      <c r="M130" s="83"/>
      <c r="N130" s="83"/>
      <c r="O130" s="83"/>
      <c r="P130" s="83"/>
      <c r="Q130" s="87">
        <v>3.1E-8</v>
      </c>
      <c r="R130" s="84" t="s">
        <v>2309</v>
      </c>
      <c r="S130" s="352">
        <f>Q134</f>
        <v>7.7904041581372376E-8</v>
      </c>
      <c r="T130" s="359"/>
      <c r="U130" s="196"/>
      <c r="V130" s="92"/>
      <c r="W130" s="92"/>
      <c r="X130" s="92"/>
      <c r="Y130" s="92">
        <v>8.9999999999999996E-7</v>
      </c>
      <c r="Z130" s="84" t="s">
        <v>2309</v>
      </c>
      <c r="AA130" s="85">
        <f>Y131</f>
        <v>9.4000000000000004E-3</v>
      </c>
    </row>
    <row r="131" spans="1:27" x14ac:dyDescent="0.3">
      <c r="A131" s="59"/>
      <c r="B131" s="77"/>
      <c r="C131" s="60"/>
      <c r="D131" s="159">
        <v>564.69000000000005</v>
      </c>
      <c r="E131" s="68">
        <v>7.32</v>
      </c>
      <c r="F131" s="161" t="s">
        <v>2885</v>
      </c>
      <c r="G131" s="61"/>
      <c r="H131" s="209">
        <v>355</v>
      </c>
      <c r="I131" s="60">
        <f>H131-$H$1</f>
        <v>81.850000000000023</v>
      </c>
      <c r="J131" s="67" t="s">
        <v>3035</v>
      </c>
      <c r="K131" s="61"/>
      <c r="L131" s="160">
        <v>25</v>
      </c>
      <c r="M131" s="60"/>
      <c r="N131" s="60"/>
      <c r="O131" s="60"/>
      <c r="P131" s="60"/>
      <c r="Q131" s="64">
        <v>3.1E-8</v>
      </c>
      <c r="R131" s="67" t="s">
        <v>3005</v>
      </c>
      <c r="S131" s="350"/>
      <c r="T131" s="360">
        <v>9.3999999999999998E-6</v>
      </c>
      <c r="U131" s="207" t="s">
        <v>3048</v>
      </c>
      <c r="V131" s="65"/>
      <c r="W131" s="65"/>
      <c r="X131" s="65"/>
      <c r="Y131" s="68">
        <f>1000*T131</f>
        <v>9.4000000000000004E-3</v>
      </c>
      <c r="Z131" s="67" t="s">
        <v>2737</v>
      </c>
      <c r="AA131" s="61"/>
    </row>
    <row r="132" spans="1:27" x14ac:dyDescent="0.3">
      <c r="A132" s="59"/>
      <c r="B132" s="77"/>
      <c r="C132" s="60"/>
      <c r="D132" s="159">
        <v>564.69000000000005</v>
      </c>
      <c r="E132" s="77"/>
      <c r="F132" s="161"/>
      <c r="G132" s="61"/>
      <c r="H132" s="209"/>
      <c r="I132" s="60">
        <v>92.3</v>
      </c>
      <c r="J132" s="67" t="s">
        <v>2739</v>
      </c>
      <c r="K132" s="61"/>
      <c r="L132" s="160"/>
      <c r="M132" s="65">
        <v>1.7600000000000001E-5</v>
      </c>
      <c r="N132" s="60">
        <f>$N$1*M132</f>
        <v>1.3201085459251887E-7</v>
      </c>
      <c r="O132" s="60">
        <v>56</v>
      </c>
      <c r="P132" s="60">
        <f>K130</f>
        <v>87.787500000000009</v>
      </c>
      <c r="Q132" s="64">
        <f>N132*EXP(-O132*((P132+$H$1)/298.15-1)/$Q$1)</f>
        <v>3.1960632443639951E-8</v>
      </c>
      <c r="R132" s="67" t="s">
        <v>2737</v>
      </c>
      <c r="S132" s="350"/>
      <c r="T132" s="360"/>
      <c r="U132" s="207"/>
      <c r="V132" s="65"/>
      <c r="W132" s="65"/>
      <c r="X132" s="65"/>
      <c r="Y132" s="60"/>
      <c r="Z132" s="67"/>
      <c r="AA132" s="61"/>
    </row>
    <row r="133" spans="1:27" x14ac:dyDescent="0.3">
      <c r="A133" s="59"/>
      <c r="B133" s="77"/>
      <c r="C133" s="60"/>
      <c r="D133" s="159">
        <v>564.69000000000005</v>
      </c>
      <c r="E133" s="60"/>
      <c r="F133" s="161"/>
      <c r="G133" s="61"/>
      <c r="H133" s="209"/>
      <c r="I133" s="60">
        <v>84.5</v>
      </c>
      <c r="J133" s="67" t="s">
        <v>2741</v>
      </c>
      <c r="K133" s="61"/>
      <c r="L133" s="160"/>
      <c r="M133" s="65">
        <v>6.8200000000000004E-5</v>
      </c>
      <c r="N133" s="60">
        <f>$N$1*M133</f>
        <v>5.1154206154601067E-7</v>
      </c>
      <c r="O133" s="60">
        <v>56</v>
      </c>
      <c r="P133" s="60">
        <f>K130</f>
        <v>87.787500000000009</v>
      </c>
      <c r="Q133" s="64">
        <f>N133*EXP(-O133*((P133+$H$1)/298.15-1)/$Q$1)</f>
        <v>1.238474507191048E-7</v>
      </c>
      <c r="R133" s="67" t="s">
        <v>2912</v>
      </c>
      <c r="S133" s="350"/>
      <c r="T133" s="360"/>
      <c r="U133" s="207"/>
      <c r="V133" s="65"/>
      <c r="W133" s="65"/>
      <c r="X133" s="65"/>
      <c r="Y133" s="60"/>
      <c r="Z133" s="67"/>
      <c r="AA133" s="61"/>
    </row>
    <row r="134" spans="1:27" ht="24" x14ac:dyDescent="0.3">
      <c r="A134" s="59"/>
      <c r="B134" s="77"/>
      <c r="C134" s="60"/>
      <c r="D134" s="159">
        <v>564.69000000000005</v>
      </c>
      <c r="E134" s="60"/>
      <c r="F134" s="161"/>
      <c r="G134" s="61"/>
      <c r="H134" s="209"/>
      <c r="I134" s="60">
        <v>92.5</v>
      </c>
      <c r="J134" s="67" t="s">
        <v>2737</v>
      </c>
      <c r="K134" s="61"/>
      <c r="L134" s="160"/>
      <c r="M134" s="60"/>
      <c r="N134" s="60"/>
      <c r="O134" s="60"/>
      <c r="P134" s="60"/>
      <c r="Q134" s="73">
        <f>AVERAGE(Q132:Q133)</f>
        <v>7.7904041581372376E-8</v>
      </c>
      <c r="R134" s="70" t="s">
        <v>2913</v>
      </c>
      <c r="S134" s="350"/>
      <c r="T134" s="360"/>
      <c r="U134" s="207"/>
      <c r="V134" s="65"/>
      <c r="W134" s="65"/>
      <c r="X134" s="65"/>
      <c r="Y134" s="60"/>
      <c r="Z134" s="67"/>
      <c r="AA134" s="61"/>
    </row>
    <row r="135" spans="1:27" ht="24" x14ac:dyDescent="0.3">
      <c r="A135" s="59"/>
      <c r="B135" s="77"/>
      <c r="C135" s="60"/>
      <c r="D135" s="159">
        <v>564.69000000000005</v>
      </c>
      <c r="E135" s="60"/>
      <c r="F135" s="161"/>
      <c r="G135" s="61"/>
      <c r="H135" s="209"/>
      <c r="I135" s="68">
        <f>AVERAGE(I131:I134)</f>
        <v>87.787500000000009</v>
      </c>
      <c r="J135" s="70" t="s">
        <v>3038</v>
      </c>
      <c r="K135" s="61"/>
      <c r="L135" s="160"/>
      <c r="M135" s="60"/>
      <c r="N135" s="60"/>
      <c r="O135" s="60"/>
      <c r="P135" s="60"/>
      <c r="Q135" s="64"/>
      <c r="R135" s="67"/>
      <c r="S135" s="350"/>
      <c r="T135" s="360"/>
      <c r="U135" s="207"/>
      <c r="V135" s="65"/>
      <c r="W135" s="65"/>
      <c r="X135" s="65"/>
      <c r="Y135" s="60"/>
      <c r="Z135" s="67"/>
      <c r="AA135" s="61"/>
    </row>
    <row r="136" spans="1:27" x14ac:dyDescent="0.3">
      <c r="A136" s="91" t="s">
        <v>2624</v>
      </c>
      <c r="B136" s="129" t="s">
        <v>531</v>
      </c>
      <c r="C136" s="83" t="s">
        <v>2839</v>
      </c>
      <c r="D136" s="182">
        <v>564.69000000000005</v>
      </c>
      <c r="E136" s="126">
        <v>7.24</v>
      </c>
      <c r="F136" s="184" t="s">
        <v>2885</v>
      </c>
      <c r="G136" s="85">
        <f t="shared" ref="G136" si="7">E136</f>
        <v>7.24</v>
      </c>
      <c r="H136" s="206"/>
      <c r="I136" s="83">
        <v>97.5</v>
      </c>
      <c r="J136" s="84" t="s">
        <v>2736</v>
      </c>
      <c r="K136" s="85">
        <f>I139</f>
        <v>98.5</v>
      </c>
      <c r="L136" s="183"/>
      <c r="M136" s="148">
        <v>2.8600000000000001E-5</v>
      </c>
      <c r="N136" s="83">
        <f>$N$1*M136</f>
        <v>2.1451763871284315E-7</v>
      </c>
      <c r="O136" s="83">
        <v>56</v>
      </c>
      <c r="P136" s="83">
        <f>K136</f>
        <v>98.5</v>
      </c>
      <c r="Q136" s="140">
        <f>N136*EXP(-O136*((P136+$H$1)/298.15-1)/$Q$1)</f>
        <v>4.0772821075958735E-8</v>
      </c>
      <c r="R136" s="84" t="s">
        <v>2737</v>
      </c>
      <c r="S136" s="352">
        <f>Q136</f>
        <v>4.0772821075958735E-8</v>
      </c>
      <c r="T136" s="359">
        <v>4.0000000000000003E-5</v>
      </c>
      <c r="U136" s="202" t="s">
        <v>3048</v>
      </c>
      <c r="V136" s="83"/>
      <c r="W136" s="83"/>
      <c r="X136" s="83"/>
      <c r="Y136" s="126">
        <f>1000*T136</f>
        <v>0.04</v>
      </c>
      <c r="Z136" s="84" t="s">
        <v>2737</v>
      </c>
      <c r="AA136" s="85">
        <f>Y136</f>
        <v>0.04</v>
      </c>
    </row>
    <row r="137" spans="1:27" x14ac:dyDescent="0.3">
      <c r="A137" s="59"/>
      <c r="B137" s="77"/>
      <c r="C137" s="60"/>
      <c r="D137" s="159">
        <v>564.69000000000005</v>
      </c>
      <c r="E137" s="60"/>
      <c r="F137" s="161"/>
      <c r="G137" s="61"/>
      <c r="H137" s="209"/>
      <c r="I137" s="60">
        <v>97.5</v>
      </c>
      <c r="J137" s="67" t="s">
        <v>2741</v>
      </c>
      <c r="K137" s="61"/>
      <c r="L137" s="160"/>
      <c r="M137" s="76"/>
      <c r="N137" s="60"/>
      <c r="O137" s="60"/>
      <c r="P137" s="60"/>
      <c r="Q137" s="64"/>
      <c r="R137" s="67"/>
      <c r="S137" s="350"/>
      <c r="T137" s="209"/>
      <c r="U137" s="203"/>
      <c r="V137" s="60"/>
      <c r="W137" s="60"/>
      <c r="X137" s="60"/>
      <c r="Y137" s="60"/>
      <c r="Z137" s="67"/>
      <c r="AA137" s="61"/>
    </row>
    <row r="138" spans="1:27" x14ac:dyDescent="0.3">
      <c r="A138" s="59"/>
      <c r="B138" s="77"/>
      <c r="C138" s="60"/>
      <c r="D138" s="159">
        <v>564.69000000000005</v>
      </c>
      <c r="E138" s="60"/>
      <c r="F138" s="161"/>
      <c r="G138" s="61"/>
      <c r="H138" s="209"/>
      <c r="I138" s="60">
        <v>100.5</v>
      </c>
      <c r="J138" s="67" t="s">
        <v>2737</v>
      </c>
      <c r="K138" s="61"/>
      <c r="L138" s="160"/>
      <c r="M138" s="189"/>
      <c r="N138" s="60"/>
      <c r="O138" s="60"/>
      <c r="P138" s="60"/>
      <c r="Q138" s="64"/>
      <c r="R138" s="67"/>
      <c r="S138" s="350"/>
      <c r="T138" s="209"/>
      <c r="U138" s="203"/>
      <c r="V138" s="60"/>
      <c r="W138" s="60"/>
      <c r="X138" s="60"/>
      <c r="Y138" s="60"/>
      <c r="Z138" s="67"/>
      <c r="AA138" s="61"/>
    </row>
    <row r="139" spans="1:27" ht="24" x14ac:dyDescent="0.3">
      <c r="A139" s="59"/>
      <c r="B139" s="77"/>
      <c r="C139" s="60"/>
      <c r="D139" s="159">
        <v>564.69000000000005</v>
      </c>
      <c r="E139" s="60"/>
      <c r="F139" s="161"/>
      <c r="G139" s="61"/>
      <c r="H139" s="209"/>
      <c r="I139" s="68">
        <f>AVERAGE(I136:I138)</f>
        <v>98.5</v>
      </c>
      <c r="J139" s="70" t="s">
        <v>3037</v>
      </c>
      <c r="K139" s="61"/>
      <c r="L139" s="160"/>
      <c r="M139" s="76"/>
      <c r="N139" s="60"/>
      <c r="O139" s="60"/>
      <c r="P139" s="60"/>
      <c r="Q139" s="64"/>
      <c r="R139" s="67"/>
      <c r="S139" s="350"/>
      <c r="T139" s="209"/>
      <c r="U139" s="203"/>
      <c r="V139" s="60"/>
      <c r="W139" s="60"/>
      <c r="X139" s="60"/>
      <c r="Y139" s="60"/>
      <c r="Z139" s="67"/>
      <c r="AA139" s="61"/>
    </row>
    <row r="140" spans="1:27" x14ac:dyDescent="0.3">
      <c r="A140" s="176" t="s">
        <v>2625</v>
      </c>
      <c r="B140" s="177" t="s">
        <v>532</v>
      </c>
      <c r="C140" s="134" t="s">
        <v>2840</v>
      </c>
      <c r="D140" s="178">
        <v>564.69000000000005</v>
      </c>
      <c r="E140" s="134"/>
      <c r="F140" s="134"/>
      <c r="G140" s="135"/>
      <c r="H140" s="210"/>
      <c r="I140" s="134"/>
      <c r="J140" s="139"/>
      <c r="K140" s="135"/>
      <c r="L140" s="181"/>
      <c r="M140" s="179"/>
      <c r="N140" s="134"/>
      <c r="O140" s="134"/>
      <c r="P140" s="134"/>
      <c r="Q140" s="134"/>
      <c r="R140" s="134"/>
      <c r="S140" s="351"/>
      <c r="T140" s="210"/>
      <c r="U140" s="200"/>
      <c r="V140" s="134"/>
      <c r="W140" s="134"/>
      <c r="X140" s="134"/>
      <c r="Y140" s="134"/>
      <c r="Z140" s="134"/>
      <c r="AA140" s="135"/>
    </row>
    <row r="141" spans="1:27" x14ac:dyDescent="0.3">
      <c r="A141" s="176" t="s">
        <v>2626</v>
      </c>
      <c r="B141" s="177" t="s">
        <v>533</v>
      </c>
      <c r="C141" s="134" t="s">
        <v>2841</v>
      </c>
      <c r="D141" s="178">
        <v>564.69000000000005</v>
      </c>
      <c r="E141" s="134"/>
      <c r="F141" s="134"/>
      <c r="G141" s="135"/>
      <c r="H141" s="210"/>
      <c r="I141" s="134"/>
      <c r="J141" s="139"/>
      <c r="K141" s="135"/>
      <c r="L141" s="181"/>
      <c r="M141" s="179"/>
      <c r="N141" s="134"/>
      <c r="O141" s="134"/>
      <c r="P141" s="134"/>
      <c r="Q141" s="134"/>
      <c r="R141" s="134"/>
      <c r="S141" s="351"/>
      <c r="T141" s="210"/>
      <c r="U141" s="200"/>
      <c r="V141" s="134"/>
      <c r="W141" s="134"/>
      <c r="X141" s="134"/>
      <c r="Y141" s="134"/>
      <c r="Z141" s="134"/>
      <c r="AA141" s="135"/>
    </row>
    <row r="142" spans="1:27" x14ac:dyDescent="0.3">
      <c r="A142" s="176" t="s">
        <v>2627</v>
      </c>
      <c r="B142" s="177" t="s">
        <v>534</v>
      </c>
      <c r="C142" s="134" t="s">
        <v>2842</v>
      </c>
      <c r="D142" s="178">
        <v>564.69000000000005</v>
      </c>
      <c r="E142" s="134"/>
      <c r="F142" s="134"/>
      <c r="G142" s="135"/>
      <c r="H142" s="210"/>
      <c r="I142" s="134"/>
      <c r="J142" s="139"/>
      <c r="K142" s="135"/>
      <c r="L142" s="181"/>
      <c r="M142" s="179"/>
      <c r="N142" s="134"/>
      <c r="O142" s="134"/>
      <c r="P142" s="134"/>
      <c r="Q142" s="134"/>
      <c r="R142" s="134"/>
      <c r="S142" s="351"/>
      <c r="T142" s="210"/>
      <c r="U142" s="200"/>
      <c r="V142" s="134"/>
      <c r="W142" s="134"/>
      <c r="X142" s="134"/>
      <c r="Y142" s="134"/>
      <c r="Z142" s="134"/>
      <c r="AA142" s="135"/>
    </row>
    <row r="143" spans="1:27" x14ac:dyDescent="0.3">
      <c r="A143" s="176" t="s">
        <v>2628</v>
      </c>
      <c r="B143" s="177" t="s">
        <v>535</v>
      </c>
      <c r="C143" s="134" t="s">
        <v>2843</v>
      </c>
      <c r="D143" s="178">
        <v>564.69000000000005</v>
      </c>
      <c r="E143" s="134"/>
      <c r="F143" s="134"/>
      <c r="G143" s="135"/>
      <c r="H143" s="210"/>
      <c r="I143" s="134"/>
      <c r="J143" s="139"/>
      <c r="K143" s="135"/>
      <c r="L143" s="181"/>
      <c r="M143" s="179"/>
      <c r="N143" s="134"/>
      <c r="O143" s="134"/>
      <c r="P143" s="134"/>
      <c r="Q143" s="134"/>
      <c r="R143" s="134"/>
      <c r="S143" s="351"/>
      <c r="T143" s="210"/>
      <c r="U143" s="200"/>
      <c r="V143" s="134"/>
      <c r="W143" s="134"/>
      <c r="X143" s="134"/>
      <c r="Y143" s="134"/>
      <c r="Z143" s="134"/>
      <c r="AA143" s="135"/>
    </row>
    <row r="144" spans="1:27" x14ac:dyDescent="0.3">
      <c r="A144" s="176" t="s">
        <v>2629</v>
      </c>
      <c r="B144" s="177" t="s">
        <v>536</v>
      </c>
      <c r="C144" s="134" t="s">
        <v>2844</v>
      </c>
      <c r="D144" s="178">
        <v>564.69000000000005</v>
      </c>
      <c r="E144" s="134"/>
      <c r="F144" s="134"/>
      <c r="G144" s="135"/>
      <c r="H144" s="210"/>
      <c r="I144" s="134"/>
      <c r="J144" s="139"/>
      <c r="K144" s="135"/>
      <c r="L144" s="181"/>
      <c r="M144" s="179"/>
      <c r="N144" s="134"/>
      <c r="O144" s="134"/>
      <c r="P144" s="134"/>
      <c r="Q144" s="134"/>
      <c r="R144" s="134"/>
      <c r="S144" s="351"/>
      <c r="T144" s="210"/>
      <c r="U144" s="200"/>
      <c r="V144" s="134"/>
      <c r="W144" s="134"/>
      <c r="X144" s="134"/>
      <c r="Y144" s="134"/>
      <c r="Z144" s="134"/>
      <c r="AA144" s="135"/>
    </row>
    <row r="145" spans="1:27" x14ac:dyDescent="0.3">
      <c r="A145" s="176" t="s">
        <v>2630</v>
      </c>
      <c r="B145" s="177" t="s">
        <v>537</v>
      </c>
      <c r="C145" s="134" t="s">
        <v>2845</v>
      </c>
      <c r="D145" s="178">
        <v>564.69000000000005</v>
      </c>
      <c r="E145" s="134"/>
      <c r="F145" s="134"/>
      <c r="G145" s="135"/>
      <c r="H145" s="210"/>
      <c r="I145" s="134"/>
      <c r="J145" s="139"/>
      <c r="K145" s="135"/>
      <c r="L145" s="181"/>
      <c r="M145" s="179"/>
      <c r="N145" s="134"/>
      <c r="O145" s="134"/>
      <c r="P145" s="134"/>
      <c r="Q145" s="134"/>
      <c r="R145" s="134"/>
      <c r="S145" s="351"/>
      <c r="T145" s="210"/>
      <c r="U145" s="200"/>
      <c r="V145" s="134"/>
      <c r="W145" s="134"/>
      <c r="X145" s="134"/>
      <c r="Y145" s="134"/>
      <c r="Z145" s="134"/>
      <c r="AA145" s="135"/>
    </row>
    <row r="146" spans="1:27" x14ac:dyDescent="0.3">
      <c r="A146" s="176" t="s">
        <v>2631</v>
      </c>
      <c r="B146" s="177" t="s">
        <v>538</v>
      </c>
      <c r="C146" s="134"/>
      <c r="D146" s="178">
        <v>564.69000000000005</v>
      </c>
      <c r="E146" s="134"/>
      <c r="F146" s="134"/>
      <c r="G146" s="135"/>
      <c r="H146" s="210"/>
      <c r="I146" s="134"/>
      <c r="J146" s="139"/>
      <c r="K146" s="135"/>
      <c r="L146" s="181"/>
      <c r="M146" s="179"/>
      <c r="N146" s="134"/>
      <c r="O146" s="134"/>
      <c r="P146" s="134"/>
      <c r="Q146" s="134"/>
      <c r="R146" s="134"/>
      <c r="S146" s="351"/>
      <c r="T146" s="210"/>
      <c r="U146" s="200"/>
      <c r="V146" s="134"/>
      <c r="W146" s="134"/>
      <c r="X146" s="134"/>
      <c r="Y146" s="134"/>
      <c r="Z146" s="134"/>
      <c r="AA146" s="135"/>
    </row>
    <row r="147" spans="1:27" x14ac:dyDescent="0.3">
      <c r="A147" s="176" t="s">
        <v>2632</v>
      </c>
      <c r="B147" s="177" t="s">
        <v>539</v>
      </c>
      <c r="C147" s="134" t="s">
        <v>2846</v>
      </c>
      <c r="D147" s="178">
        <v>564.69000000000005</v>
      </c>
      <c r="E147" s="134"/>
      <c r="F147" s="134"/>
      <c r="G147" s="135"/>
      <c r="H147" s="210"/>
      <c r="I147" s="134"/>
      <c r="J147" s="139"/>
      <c r="K147" s="135"/>
      <c r="L147" s="181"/>
      <c r="M147" s="179"/>
      <c r="N147" s="134"/>
      <c r="O147" s="134"/>
      <c r="P147" s="134"/>
      <c r="Q147" s="134"/>
      <c r="R147" s="134"/>
      <c r="S147" s="351"/>
      <c r="T147" s="210"/>
      <c r="U147" s="200"/>
      <c r="V147" s="134"/>
      <c r="W147" s="134"/>
      <c r="X147" s="134"/>
      <c r="Y147" s="134"/>
      <c r="Z147" s="134"/>
      <c r="AA147" s="135"/>
    </row>
    <row r="148" spans="1:27" x14ac:dyDescent="0.3">
      <c r="A148" s="176" t="s">
        <v>2633</v>
      </c>
      <c r="B148" s="177" t="s">
        <v>540</v>
      </c>
      <c r="C148" s="134" t="s">
        <v>2847</v>
      </c>
      <c r="D148" s="178">
        <v>564.69000000000005</v>
      </c>
      <c r="E148" s="134"/>
      <c r="F148" s="134"/>
      <c r="G148" s="135"/>
      <c r="H148" s="210"/>
      <c r="I148" s="134"/>
      <c r="J148" s="139"/>
      <c r="K148" s="135"/>
      <c r="L148" s="181"/>
      <c r="M148" s="179"/>
      <c r="N148" s="134"/>
      <c r="O148" s="134"/>
      <c r="P148" s="134"/>
      <c r="Q148" s="134"/>
      <c r="R148" s="134"/>
      <c r="S148" s="351"/>
      <c r="T148" s="210"/>
      <c r="U148" s="200"/>
      <c r="V148" s="134"/>
      <c r="W148" s="134"/>
      <c r="X148" s="134"/>
      <c r="Y148" s="134"/>
      <c r="Z148" s="134"/>
      <c r="AA148" s="135"/>
    </row>
    <row r="149" spans="1:27" x14ac:dyDescent="0.3">
      <c r="A149" s="176" t="s">
        <v>2634</v>
      </c>
      <c r="B149" s="177" t="s">
        <v>541</v>
      </c>
      <c r="C149" s="134"/>
      <c r="D149" s="178">
        <v>564.69000000000005</v>
      </c>
      <c r="E149" s="134"/>
      <c r="F149" s="134"/>
      <c r="G149" s="135"/>
      <c r="H149" s="210"/>
      <c r="I149" s="134"/>
      <c r="J149" s="139"/>
      <c r="K149" s="135"/>
      <c r="L149" s="181"/>
      <c r="M149" s="179"/>
      <c r="N149" s="134"/>
      <c r="O149" s="134"/>
      <c r="P149" s="134"/>
      <c r="Q149" s="134"/>
      <c r="R149" s="134"/>
      <c r="S149" s="351"/>
      <c r="T149" s="210"/>
      <c r="U149" s="200"/>
      <c r="V149" s="134"/>
      <c r="W149" s="134"/>
      <c r="X149" s="134"/>
      <c r="Y149" s="134"/>
      <c r="Z149" s="134"/>
      <c r="AA149" s="135"/>
    </row>
    <row r="150" spans="1:27" x14ac:dyDescent="0.3">
      <c r="A150" s="176" t="s">
        <v>2635</v>
      </c>
      <c r="B150" s="177" t="s">
        <v>542</v>
      </c>
      <c r="C150" s="134" t="s">
        <v>2848</v>
      </c>
      <c r="D150" s="178">
        <v>564.69000000000005</v>
      </c>
      <c r="E150" s="134"/>
      <c r="F150" s="134"/>
      <c r="G150" s="135"/>
      <c r="H150" s="210"/>
      <c r="I150" s="134"/>
      <c r="J150" s="139"/>
      <c r="K150" s="135"/>
      <c r="L150" s="181"/>
      <c r="M150" s="179"/>
      <c r="N150" s="134"/>
      <c r="O150" s="134"/>
      <c r="P150" s="134"/>
      <c r="Q150" s="134"/>
      <c r="R150" s="134"/>
      <c r="S150" s="351"/>
      <c r="T150" s="210"/>
      <c r="U150" s="200"/>
      <c r="V150" s="134"/>
      <c r="W150" s="134"/>
      <c r="X150" s="134"/>
      <c r="Y150" s="134"/>
      <c r="Z150" s="134"/>
      <c r="AA150" s="135"/>
    </row>
    <row r="151" spans="1:27" x14ac:dyDescent="0.3">
      <c r="A151" s="176" t="s">
        <v>2636</v>
      </c>
      <c r="B151" s="177" t="s">
        <v>543</v>
      </c>
      <c r="C151" s="134"/>
      <c r="D151" s="178">
        <v>564.69000000000005</v>
      </c>
      <c r="E151" s="134"/>
      <c r="F151" s="134"/>
      <c r="G151" s="135"/>
      <c r="H151" s="210"/>
      <c r="I151" s="134"/>
      <c r="J151" s="139"/>
      <c r="K151" s="135"/>
      <c r="L151" s="181"/>
      <c r="M151" s="179"/>
      <c r="N151" s="134"/>
      <c r="O151" s="134"/>
      <c r="P151" s="134"/>
      <c r="Q151" s="134"/>
      <c r="R151" s="134"/>
      <c r="S151" s="351"/>
      <c r="T151" s="210"/>
      <c r="U151" s="200"/>
      <c r="V151" s="134"/>
      <c r="W151" s="134"/>
      <c r="X151" s="134"/>
      <c r="Y151" s="134"/>
      <c r="Z151" s="134"/>
      <c r="AA151" s="135"/>
    </row>
    <row r="152" spans="1:27" x14ac:dyDescent="0.3">
      <c r="A152" s="176" t="s">
        <v>2637</v>
      </c>
      <c r="B152" s="177" t="s">
        <v>544</v>
      </c>
      <c r="C152" s="134"/>
      <c r="D152" s="178">
        <v>564.69000000000005</v>
      </c>
      <c r="E152" s="134"/>
      <c r="F152" s="134"/>
      <c r="G152" s="135"/>
      <c r="H152" s="210"/>
      <c r="I152" s="134"/>
      <c r="J152" s="139"/>
      <c r="K152" s="135"/>
      <c r="L152" s="181"/>
      <c r="M152" s="179"/>
      <c r="N152" s="134"/>
      <c r="O152" s="134"/>
      <c r="P152" s="134"/>
      <c r="Q152" s="134"/>
      <c r="R152" s="134"/>
      <c r="S152" s="351"/>
      <c r="T152" s="210"/>
      <c r="U152" s="200"/>
      <c r="V152" s="134"/>
      <c r="W152" s="134"/>
      <c r="X152" s="134"/>
      <c r="Y152" s="134"/>
      <c r="Z152" s="134"/>
      <c r="AA152" s="135"/>
    </row>
    <row r="153" spans="1:27" x14ac:dyDescent="0.3">
      <c r="A153" s="176" t="s">
        <v>2638</v>
      </c>
      <c r="B153" s="177" t="s">
        <v>545</v>
      </c>
      <c r="C153" s="134" t="s">
        <v>2849</v>
      </c>
      <c r="D153" s="178">
        <v>564.69000000000005</v>
      </c>
      <c r="E153" s="134"/>
      <c r="F153" s="134"/>
      <c r="G153" s="135"/>
      <c r="H153" s="210"/>
      <c r="I153" s="134"/>
      <c r="J153" s="139"/>
      <c r="K153" s="135"/>
      <c r="L153" s="181"/>
      <c r="M153" s="179"/>
      <c r="N153" s="134"/>
      <c r="O153" s="134"/>
      <c r="P153" s="134"/>
      <c r="Q153" s="134"/>
      <c r="R153" s="134"/>
      <c r="S153" s="351"/>
      <c r="T153" s="210"/>
      <c r="U153" s="200"/>
      <c r="V153" s="134"/>
      <c r="W153" s="134"/>
      <c r="X153" s="134"/>
      <c r="Y153" s="134"/>
      <c r="Z153" s="134"/>
      <c r="AA153" s="135"/>
    </row>
    <row r="154" spans="1:27" x14ac:dyDescent="0.3">
      <c r="A154" s="176" t="s">
        <v>2639</v>
      </c>
      <c r="B154" s="177" t="s">
        <v>546</v>
      </c>
      <c r="C154" s="134" t="s">
        <v>2850</v>
      </c>
      <c r="D154" s="178">
        <v>564.69000000000005</v>
      </c>
      <c r="E154" s="134"/>
      <c r="F154" s="134"/>
      <c r="G154" s="135"/>
      <c r="H154" s="210"/>
      <c r="I154" s="134"/>
      <c r="J154" s="139"/>
      <c r="K154" s="135"/>
      <c r="L154" s="181"/>
      <c r="M154" s="192">
        <v>3.0199999999999999E-5</v>
      </c>
      <c r="N154" s="134">
        <f>$N$1*M154</f>
        <v>2.2651862549398123E-7</v>
      </c>
      <c r="O154" s="134">
        <v>56</v>
      </c>
      <c r="P154" s="134">
        <v>117</v>
      </c>
      <c r="Q154" s="180">
        <f>N154*EXP(-O154*((P154+$H$1)/298.15-1)/$Q$1)</f>
        <v>2.8347336705457505E-8</v>
      </c>
      <c r="R154" s="139" t="s">
        <v>2912</v>
      </c>
      <c r="S154" s="351">
        <f>Q154</f>
        <v>2.8347336705457505E-8</v>
      </c>
      <c r="T154" s="210"/>
      <c r="U154" s="200"/>
      <c r="V154" s="134"/>
      <c r="W154" s="134"/>
      <c r="X154" s="134"/>
      <c r="Y154" s="134"/>
      <c r="Z154" s="134"/>
      <c r="AA154" s="135"/>
    </row>
    <row r="155" spans="1:27" x14ac:dyDescent="0.3">
      <c r="A155" s="176" t="s">
        <v>2640</v>
      </c>
      <c r="B155" s="177" t="s">
        <v>547</v>
      </c>
      <c r="C155" s="134" t="s">
        <v>2851</v>
      </c>
      <c r="D155" s="178">
        <v>564.69000000000005</v>
      </c>
      <c r="E155" s="134"/>
      <c r="F155" s="134"/>
      <c r="G155" s="135"/>
      <c r="H155" s="210"/>
      <c r="I155" s="150">
        <v>199.75</v>
      </c>
      <c r="J155" s="139" t="s">
        <v>2736</v>
      </c>
      <c r="K155" s="135">
        <f>I155</f>
        <v>199.75</v>
      </c>
      <c r="L155" s="181"/>
      <c r="M155" s="179"/>
      <c r="N155" s="134"/>
      <c r="O155" s="134"/>
      <c r="P155" s="134"/>
      <c r="Q155" s="134"/>
      <c r="R155" s="134"/>
      <c r="S155" s="351"/>
      <c r="T155" s="210"/>
      <c r="U155" s="200"/>
      <c r="V155" s="134"/>
      <c r="W155" s="134"/>
      <c r="X155" s="134"/>
      <c r="Y155" s="134"/>
      <c r="Z155" s="134"/>
      <c r="AA155" s="135"/>
    </row>
    <row r="156" spans="1:27" x14ac:dyDescent="0.3">
      <c r="A156" s="176" t="s">
        <v>2641</v>
      </c>
      <c r="B156" s="177" t="s">
        <v>548</v>
      </c>
      <c r="C156" s="134"/>
      <c r="D156" s="178">
        <v>564.69000000000005</v>
      </c>
      <c r="E156" s="134"/>
      <c r="F156" s="134"/>
      <c r="G156" s="135"/>
      <c r="H156" s="210"/>
      <c r="I156" s="177"/>
      <c r="J156" s="139"/>
      <c r="K156" s="135"/>
      <c r="L156" s="181"/>
      <c r="M156" s="179"/>
      <c r="N156" s="134"/>
      <c r="O156" s="134"/>
      <c r="P156" s="134"/>
      <c r="Q156" s="134"/>
      <c r="R156" s="134"/>
      <c r="S156" s="351"/>
      <c r="T156" s="210"/>
      <c r="U156" s="200"/>
      <c r="V156" s="134"/>
      <c r="W156" s="134"/>
      <c r="X156" s="134"/>
      <c r="Y156" s="134"/>
      <c r="Z156" s="134"/>
      <c r="AA156" s="135"/>
    </row>
    <row r="157" spans="1:27" x14ac:dyDescent="0.3">
      <c r="A157" s="176" t="s">
        <v>2642</v>
      </c>
      <c r="B157" s="177" t="s">
        <v>549</v>
      </c>
      <c r="C157" s="134" t="s">
        <v>2852</v>
      </c>
      <c r="D157" s="178">
        <v>564.69000000000005</v>
      </c>
      <c r="E157" s="134"/>
      <c r="F157" s="134"/>
      <c r="G157" s="135"/>
      <c r="H157" s="210"/>
      <c r="I157" s="134"/>
      <c r="J157" s="139"/>
      <c r="K157" s="135"/>
      <c r="L157" s="181"/>
      <c r="M157" s="179"/>
      <c r="N157" s="134"/>
      <c r="O157" s="134"/>
      <c r="P157" s="134"/>
      <c r="Q157" s="134"/>
      <c r="R157" s="134"/>
      <c r="S157" s="351"/>
      <c r="T157" s="210"/>
      <c r="U157" s="200"/>
      <c r="V157" s="134"/>
      <c r="W157" s="134"/>
      <c r="X157" s="134"/>
      <c r="Y157" s="134"/>
      <c r="Z157" s="134"/>
      <c r="AA157" s="135"/>
    </row>
    <row r="158" spans="1:27" x14ac:dyDescent="0.3">
      <c r="A158" s="176" t="s">
        <v>2643</v>
      </c>
      <c r="B158" s="177" t="s">
        <v>550</v>
      </c>
      <c r="C158" s="134" t="s">
        <v>2853</v>
      </c>
      <c r="D158" s="178">
        <v>564.69000000000005</v>
      </c>
      <c r="E158" s="134"/>
      <c r="F158" s="134"/>
      <c r="G158" s="135"/>
      <c r="H158" s="210"/>
      <c r="I158" s="150">
        <v>86.5</v>
      </c>
      <c r="J158" s="139" t="s">
        <v>2736</v>
      </c>
      <c r="K158" s="135">
        <f>I158</f>
        <v>86.5</v>
      </c>
      <c r="L158" s="181"/>
      <c r="M158" s="179"/>
      <c r="N158" s="134"/>
      <c r="O158" s="134"/>
      <c r="P158" s="134"/>
      <c r="Q158" s="134"/>
      <c r="R158" s="134"/>
      <c r="S158" s="351"/>
      <c r="T158" s="210"/>
      <c r="U158" s="200"/>
      <c r="V158" s="134"/>
      <c r="W158" s="134"/>
      <c r="X158" s="134"/>
      <c r="Y158" s="134"/>
      <c r="Z158" s="134"/>
      <c r="AA158" s="135"/>
    </row>
    <row r="159" spans="1:27" x14ac:dyDescent="0.3">
      <c r="A159" s="176" t="s">
        <v>2644</v>
      </c>
      <c r="B159" s="177" t="s">
        <v>551</v>
      </c>
      <c r="C159" s="134"/>
      <c r="D159" s="178">
        <v>564.69000000000005</v>
      </c>
      <c r="E159" s="134"/>
      <c r="F159" s="134"/>
      <c r="G159" s="135"/>
      <c r="H159" s="210"/>
      <c r="I159" s="134"/>
      <c r="J159" s="139"/>
      <c r="K159" s="135"/>
      <c r="L159" s="181"/>
      <c r="M159" s="179"/>
      <c r="N159" s="134"/>
      <c r="O159" s="134"/>
      <c r="P159" s="134"/>
      <c r="Q159" s="134"/>
      <c r="R159" s="134"/>
      <c r="S159" s="351"/>
      <c r="T159" s="210"/>
      <c r="U159" s="200"/>
      <c r="V159" s="134"/>
      <c r="W159" s="134"/>
      <c r="X159" s="134"/>
      <c r="Y159" s="134"/>
      <c r="Z159" s="134"/>
      <c r="AA159" s="135"/>
    </row>
    <row r="160" spans="1:27" x14ac:dyDescent="0.3">
      <c r="A160" s="176" t="s">
        <v>2645</v>
      </c>
      <c r="B160" s="177" t="s">
        <v>552</v>
      </c>
      <c r="C160" s="134"/>
      <c r="D160" s="178">
        <v>564.69000000000005</v>
      </c>
      <c r="E160" s="134"/>
      <c r="F160" s="134"/>
      <c r="G160" s="135"/>
      <c r="H160" s="210"/>
      <c r="I160" s="134"/>
      <c r="J160" s="139"/>
      <c r="K160" s="135"/>
      <c r="L160" s="181"/>
      <c r="M160" s="179"/>
      <c r="N160" s="134"/>
      <c r="O160" s="134"/>
      <c r="P160" s="134"/>
      <c r="Q160" s="134"/>
      <c r="R160" s="134"/>
      <c r="S160" s="351"/>
      <c r="T160" s="210"/>
      <c r="U160" s="200"/>
      <c r="V160" s="134"/>
      <c r="W160" s="134"/>
      <c r="X160" s="134"/>
      <c r="Y160" s="134"/>
      <c r="Z160" s="134"/>
      <c r="AA160" s="135"/>
    </row>
    <row r="161" spans="1:27" x14ac:dyDescent="0.3">
      <c r="A161" s="176" t="s">
        <v>2646</v>
      </c>
      <c r="B161" s="177" t="s">
        <v>553</v>
      </c>
      <c r="C161" s="134"/>
      <c r="D161" s="178">
        <v>564.69000000000005</v>
      </c>
      <c r="E161" s="134"/>
      <c r="F161" s="134"/>
      <c r="G161" s="135"/>
      <c r="H161" s="210"/>
      <c r="I161" s="134"/>
      <c r="J161" s="139"/>
      <c r="K161" s="135"/>
      <c r="L161" s="181"/>
      <c r="M161" s="179"/>
      <c r="N161" s="134"/>
      <c r="O161" s="134"/>
      <c r="P161" s="134"/>
      <c r="Q161" s="134"/>
      <c r="R161" s="134"/>
      <c r="S161" s="351"/>
      <c r="T161" s="361"/>
      <c r="U161" s="200"/>
      <c r="V161" s="134"/>
      <c r="W161" s="134"/>
      <c r="X161" s="134"/>
      <c r="Y161" s="134"/>
      <c r="Z161" s="134"/>
      <c r="AA161" s="135"/>
    </row>
    <row r="162" spans="1:27" x14ac:dyDescent="0.3">
      <c r="A162" s="176" t="s">
        <v>2647</v>
      </c>
      <c r="B162" s="177" t="s">
        <v>554</v>
      </c>
      <c r="C162" s="134"/>
      <c r="D162" s="178">
        <v>564.69000000000005</v>
      </c>
      <c r="E162" s="134"/>
      <c r="F162" s="134"/>
      <c r="G162" s="135"/>
      <c r="H162" s="210"/>
      <c r="I162" s="134"/>
      <c r="J162" s="139"/>
      <c r="K162" s="135"/>
      <c r="L162" s="181"/>
      <c r="M162" s="179"/>
      <c r="N162" s="134"/>
      <c r="O162" s="134"/>
      <c r="P162" s="134"/>
      <c r="Q162" s="134"/>
      <c r="R162" s="134"/>
      <c r="S162" s="351"/>
      <c r="T162" s="210"/>
      <c r="U162" s="200"/>
      <c r="V162" s="134"/>
      <c r="W162" s="134"/>
      <c r="X162" s="134"/>
      <c r="Y162" s="134"/>
      <c r="Z162" s="134"/>
      <c r="AA162" s="135"/>
    </row>
    <row r="163" spans="1:27" x14ac:dyDescent="0.3">
      <c r="A163" s="176" t="s">
        <v>2648</v>
      </c>
      <c r="B163" s="177" t="s">
        <v>555</v>
      </c>
      <c r="C163" s="134"/>
      <c r="D163" s="178">
        <v>564.69000000000005</v>
      </c>
      <c r="E163" s="134"/>
      <c r="F163" s="134"/>
      <c r="G163" s="135"/>
      <c r="H163" s="210"/>
      <c r="I163" s="134"/>
      <c r="J163" s="139"/>
      <c r="K163" s="135"/>
      <c r="L163" s="181"/>
      <c r="M163" s="179"/>
      <c r="N163" s="134"/>
      <c r="O163" s="134"/>
      <c r="P163" s="134"/>
      <c r="Q163" s="134"/>
      <c r="R163" s="134"/>
      <c r="S163" s="351"/>
      <c r="T163" s="210"/>
      <c r="U163" s="200"/>
      <c r="V163" s="134"/>
      <c r="W163" s="134"/>
      <c r="X163" s="134"/>
      <c r="Y163" s="134"/>
      <c r="Z163" s="134"/>
      <c r="AA163" s="135"/>
    </row>
    <row r="164" spans="1:27" x14ac:dyDescent="0.3">
      <c r="A164" s="176" t="s">
        <v>2649</v>
      </c>
      <c r="B164" s="177" t="s">
        <v>556</v>
      </c>
      <c r="C164" s="134"/>
      <c r="D164" s="178">
        <v>564.69000000000005</v>
      </c>
      <c r="E164" s="134"/>
      <c r="F164" s="134"/>
      <c r="G164" s="135"/>
      <c r="H164" s="210"/>
      <c r="I164" s="134"/>
      <c r="J164" s="139"/>
      <c r="K164" s="135"/>
      <c r="L164" s="181"/>
      <c r="M164" s="179"/>
      <c r="N164" s="134"/>
      <c r="O164" s="134"/>
      <c r="P164" s="134"/>
      <c r="Q164" s="134"/>
      <c r="R164" s="134"/>
      <c r="S164" s="351"/>
      <c r="T164" s="210"/>
      <c r="U164" s="200"/>
      <c r="V164" s="134"/>
      <c r="W164" s="134"/>
      <c r="X164" s="134"/>
      <c r="Y164" s="134"/>
      <c r="Z164" s="134"/>
      <c r="AA164" s="135"/>
    </row>
    <row r="165" spans="1:27" x14ac:dyDescent="0.3">
      <c r="A165" s="176" t="s">
        <v>2650</v>
      </c>
      <c r="B165" s="177" t="s">
        <v>557</v>
      </c>
      <c r="C165" s="134" t="s">
        <v>2879</v>
      </c>
      <c r="D165" s="178">
        <v>564.69000000000005</v>
      </c>
      <c r="E165" s="134"/>
      <c r="F165" s="134"/>
      <c r="G165" s="135"/>
      <c r="H165" s="210"/>
      <c r="I165" s="134"/>
      <c r="J165" s="139"/>
      <c r="K165" s="135"/>
      <c r="L165" s="181"/>
      <c r="M165" s="179"/>
      <c r="N165" s="134"/>
      <c r="O165" s="134"/>
      <c r="P165" s="134"/>
      <c r="Q165" s="134"/>
      <c r="R165" s="134"/>
      <c r="S165" s="351"/>
      <c r="T165" s="210"/>
      <c r="U165" s="200"/>
      <c r="V165" s="134"/>
      <c r="W165" s="134"/>
      <c r="X165" s="134"/>
      <c r="Y165" s="134"/>
      <c r="Z165" s="134"/>
      <c r="AA165" s="135"/>
    </row>
    <row r="166" spans="1:27" x14ac:dyDescent="0.3">
      <c r="A166" s="176" t="s">
        <v>2651</v>
      </c>
      <c r="B166" s="177" t="s">
        <v>558</v>
      </c>
      <c r="C166" s="134"/>
      <c r="D166" s="178">
        <v>564.69000000000005</v>
      </c>
      <c r="E166" s="134"/>
      <c r="F166" s="134"/>
      <c r="G166" s="135"/>
      <c r="H166" s="210"/>
      <c r="I166" s="134"/>
      <c r="J166" s="139"/>
      <c r="K166" s="135"/>
      <c r="L166" s="181"/>
      <c r="M166" s="179"/>
      <c r="N166" s="134"/>
      <c r="O166" s="134"/>
      <c r="P166" s="134"/>
      <c r="Q166" s="134"/>
      <c r="R166" s="134"/>
      <c r="S166" s="351"/>
      <c r="T166" s="210"/>
      <c r="U166" s="200"/>
      <c r="V166" s="134"/>
      <c r="W166" s="134"/>
      <c r="X166" s="134"/>
      <c r="Y166" s="134"/>
      <c r="Z166" s="134"/>
      <c r="AA166" s="135"/>
    </row>
    <row r="167" spans="1:27" ht="24" x14ac:dyDescent="0.3">
      <c r="A167" s="176" t="s">
        <v>2652</v>
      </c>
      <c r="B167" s="177" t="s">
        <v>559</v>
      </c>
      <c r="C167" s="134"/>
      <c r="D167" s="178">
        <v>643.59</v>
      </c>
      <c r="E167" s="134"/>
      <c r="F167" s="134"/>
      <c r="G167" s="135"/>
      <c r="H167" s="210"/>
      <c r="I167" s="150">
        <v>182.55</v>
      </c>
      <c r="J167" s="139" t="s">
        <v>2739</v>
      </c>
      <c r="K167" s="135">
        <f>I167</f>
        <v>182.55</v>
      </c>
      <c r="L167" s="181">
        <v>25</v>
      </c>
      <c r="M167" s="179"/>
      <c r="N167" s="134"/>
      <c r="O167" s="134"/>
      <c r="P167" s="134"/>
      <c r="Q167" s="193">
        <v>2.7999999999999998E-9</v>
      </c>
      <c r="R167" s="194" t="s">
        <v>3047</v>
      </c>
      <c r="S167" s="351"/>
      <c r="T167" s="210"/>
      <c r="U167" s="200"/>
      <c r="V167" s="134"/>
      <c r="W167" s="134"/>
      <c r="X167" s="134"/>
      <c r="Y167" s="134"/>
      <c r="Z167" s="134"/>
      <c r="AA167" s="135"/>
    </row>
    <row r="168" spans="1:27" x14ac:dyDescent="0.3">
      <c r="A168" s="176" t="s">
        <v>2653</v>
      </c>
      <c r="B168" s="177" t="s">
        <v>560</v>
      </c>
      <c r="C168" s="134"/>
      <c r="D168" s="178">
        <v>643.59</v>
      </c>
      <c r="E168" s="134"/>
      <c r="F168" s="134"/>
      <c r="G168" s="135"/>
      <c r="H168" s="210"/>
      <c r="I168" s="134"/>
      <c r="J168" s="139"/>
      <c r="K168" s="135"/>
      <c r="L168" s="181"/>
      <c r="M168" s="179"/>
      <c r="N168" s="134"/>
      <c r="O168" s="134"/>
      <c r="P168" s="134"/>
      <c r="Q168" s="134"/>
      <c r="R168" s="134"/>
      <c r="S168" s="351"/>
      <c r="T168" s="210"/>
      <c r="U168" s="200"/>
      <c r="V168" s="134"/>
      <c r="W168" s="134"/>
      <c r="X168" s="134"/>
      <c r="Y168" s="134"/>
      <c r="Z168" s="134"/>
      <c r="AA168" s="135"/>
    </row>
    <row r="169" spans="1:27" x14ac:dyDescent="0.3">
      <c r="A169" s="176" t="s">
        <v>2654</v>
      </c>
      <c r="B169" s="177" t="s">
        <v>561</v>
      </c>
      <c r="C169" s="134"/>
      <c r="D169" s="178">
        <v>643.59</v>
      </c>
      <c r="E169" s="134"/>
      <c r="F169" s="134"/>
      <c r="G169" s="135"/>
      <c r="H169" s="210"/>
      <c r="I169" s="134"/>
      <c r="J169" s="139"/>
      <c r="K169" s="135"/>
      <c r="L169" s="181"/>
      <c r="M169" s="179"/>
      <c r="N169" s="134"/>
      <c r="O169" s="134"/>
      <c r="P169" s="134"/>
      <c r="Q169" s="134"/>
      <c r="R169" s="134"/>
      <c r="S169" s="351"/>
      <c r="T169" s="210"/>
      <c r="U169" s="200"/>
      <c r="V169" s="134"/>
      <c r="W169" s="134"/>
      <c r="X169" s="134"/>
      <c r="Y169" s="134"/>
      <c r="Z169" s="134"/>
      <c r="AA169" s="135"/>
    </row>
    <row r="170" spans="1:27" x14ac:dyDescent="0.3">
      <c r="A170" s="176" t="s">
        <v>2655</v>
      </c>
      <c r="B170" s="177" t="s">
        <v>562</v>
      </c>
      <c r="C170" s="134"/>
      <c r="D170" s="178">
        <v>643.59</v>
      </c>
      <c r="E170" s="134"/>
      <c r="F170" s="134"/>
      <c r="G170" s="135"/>
      <c r="H170" s="210"/>
      <c r="I170" s="134"/>
      <c r="J170" s="139"/>
      <c r="K170" s="135"/>
      <c r="L170" s="181"/>
      <c r="M170" s="179"/>
      <c r="N170" s="134"/>
      <c r="O170" s="134"/>
      <c r="P170" s="134"/>
      <c r="Q170" s="134"/>
      <c r="R170" s="134"/>
      <c r="S170" s="351"/>
      <c r="T170" s="210"/>
      <c r="U170" s="200"/>
      <c r="V170" s="134"/>
      <c r="W170" s="134"/>
      <c r="X170" s="134"/>
      <c r="Y170" s="134"/>
      <c r="Z170" s="134"/>
      <c r="AA170" s="135"/>
    </row>
    <row r="171" spans="1:27" x14ac:dyDescent="0.3">
      <c r="A171" s="176" t="s">
        <v>2656</v>
      </c>
      <c r="B171" s="177" t="s">
        <v>563</v>
      </c>
      <c r="C171" s="134"/>
      <c r="D171" s="178">
        <v>643.59</v>
      </c>
      <c r="E171" s="134"/>
      <c r="F171" s="134"/>
      <c r="G171" s="135"/>
      <c r="H171" s="210"/>
      <c r="I171" s="134"/>
      <c r="J171" s="139"/>
      <c r="K171" s="135"/>
      <c r="L171" s="181"/>
      <c r="M171" s="179"/>
      <c r="N171" s="134"/>
      <c r="O171" s="134"/>
      <c r="P171" s="134"/>
      <c r="Q171" s="134"/>
      <c r="R171" s="134"/>
      <c r="S171" s="351"/>
      <c r="T171" s="210"/>
      <c r="U171" s="200"/>
      <c r="V171" s="134"/>
      <c r="W171" s="134"/>
      <c r="X171" s="134"/>
      <c r="Y171" s="134"/>
      <c r="Z171" s="134"/>
      <c r="AA171" s="135"/>
    </row>
    <row r="172" spans="1:27" x14ac:dyDescent="0.3">
      <c r="A172" s="176" t="s">
        <v>2657</v>
      </c>
      <c r="B172" s="177" t="s">
        <v>564</v>
      </c>
      <c r="C172" s="134"/>
      <c r="D172" s="178">
        <v>643.59</v>
      </c>
      <c r="E172" s="134"/>
      <c r="F172" s="134"/>
      <c r="G172" s="135"/>
      <c r="H172" s="210"/>
      <c r="I172" s="134"/>
      <c r="J172" s="139"/>
      <c r="K172" s="135"/>
      <c r="L172" s="181"/>
      <c r="M172" s="179"/>
      <c r="N172" s="134"/>
      <c r="O172" s="134"/>
      <c r="P172" s="134"/>
      <c r="Q172" s="134"/>
      <c r="R172" s="134"/>
      <c r="S172" s="351"/>
      <c r="T172" s="210"/>
      <c r="U172" s="200"/>
      <c r="V172" s="134"/>
      <c r="W172" s="134"/>
      <c r="X172" s="134"/>
      <c r="Y172" s="134"/>
      <c r="Z172" s="134"/>
      <c r="AA172" s="135"/>
    </row>
    <row r="173" spans="1:27" x14ac:dyDescent="0.3">
      <c r="A173" s="176" t="s">
        <v>2658</v>
      </c>
      <c r="B173" s="177" t="s">
        <v>565</v>
      </c>
      <c r="C173" s="134"/>
      <c r="D173" s="178">
        <v>643.59</v>
      </c>
      <c r="E173" s="134"/>
      <c r="F173" s="134"/>
      <c r="G173" s="135"/>
      <c r="H173" s="210"/>
      <c r="I173" s="134"/>
      <c r="J173" s="139"/>
      <c r="K173" s="135"/>
      <c r="L173" s="181"/>
      <c r="M173" s="179"/>
      <c r="N173" s="134"/>
      <c r="O173" s="134"/>
      <c r="P173" s="134"/>
      <c r="Q173" s="134"/>
      <c r="R173" s="134"/>
      <c r="S173" s="351"/>
      <c r="T173" s="210"/>
      <c r="U173" s="200"/>
      <c r="V173" s="134"/>
      <c r="W173" s="134"/>
      <c r="X173" s="134"/>
      <c r="Y173" s="134"/>
      <c r="Z173" s="134"/>
      <c r="AA173" s="135"/>
    </row>
    <row r="174" spans="1:27" x14ac:dyDescent="0.3">
      <c r="A174" s="176" t="s">
        <v>2659</v>
      </c>
      <c r="B174" s="177" t="s">
        <v>566</v>
      </c>
      <c r="C174" s="134"/>
      <c r="D174" s="178">
        <v>643.59</v>
      </c>
      <c r="E174" s="134"/>
      <c r="F174" s="134"/>
      <c r="G174" s="135"/>
      <c r="H174" s="210"/>
      <c r="I174" s="134"/>
      <c r="J174" s="139"/>
      <c r="K174" s="135"/>
      <c r="L174" s="181"/>
      <c r="M174" s="179"/>
      <c r="N174" s="134"/>
      <c r="O174" s="134"/>
      <c r="P174" s="134"/>
      <c r="Q174" s="134"/>
      <c r="R174" s="134"/>
      <c r="S174" s="351"/>
      <c r="T174" s="210"/>
      <c r="U174" s="200"/>
      <c r="V174" s="134"/>
      <c r="W174" s="134"/>
      <c r="X174" s="134"/>
      <c r="Y174" s="134"/>
      <c r="Z174" s="134"/>
      <c r="AA174" s="135"/>
    </row>
    <row r="175" spans="1:27" x14ac:dyDescent="0.3">
      <c r="A175" s="176" t="s">
        <v>2660</v>
      </c>
      <c r="B175" s="177" t="s">
        <v>567</v>
      </c>
      <c r="C175" s="134"/>
      <c r="D175" s="178">
        <v>643.59</v>
      </c>
      <c r="E175" s="134"/>
      <c r="F175" s="134"/>
      <c r="G175" s="135"/>
      <c r="H175" s="210"/>
      <c r="I175" s="134"/>
      <c r="J175" s="139"/>
      <c r="K175" s="135"/>
      <c r="L175" s="181"/>
      <c r="M175" s="179"/>
      <c r="N175" s="134"/>
      <c r="O175" s="134"/>
      <c r="P175" s="134"/>
      <c r="Q175" s="134"/>
      <c r="R175" s="134"/>
      <c r="S175" s="351"/>
      <c r="T175" s="210"/>
      <c r="U175" s="200"/>
      <c r="V175" s="134"/>
      <c r="W175" s="134"/>
      <c r="X175" s="134"/>
      <c r="Y175" s="134"/>
      <c r="Z175" s="134"/>
      <c r="AA175" s="135"/>
    </row>
    <row r="176" spans="1:27" x14ac:dyDescent="0.3">
      <c r="A176" s="176" t="s">
        <v>2661</v>
      </c>
      <c r="B176" s="177" t="s">
        <v>568</v>
      </c>
      <c r="C176" s="134"/>
      <c r="D176" s="178">
        <v>643.59</v>
      </c>
      <c r="E176" s="134"/>
      <c r="F176" s="134"/>
      <c r="G176" s="135"/>
      <c r="H176" s="210"/>
      <c r="I176" s="134"/>
      <c r="J176" s="139"/>
      <c r="K176" s="135"/>
      <c r="L176" s="181"/>
      <c r="M176" s="179"/>
      <c r="N176" s="134"/>
      <c r="O176" s="134"/>
      <c r="P176" s="134"/>
      <c r="Q176" s="134"/>
      <c r="R176" s="134"/>
      <c r="S176" s="351"/>
      <c r="T176" s="210"/>
      <c r="U176" s="200"/>
      <c r="V176" s="134"/>
      <c r="W176" s="134"/>
      <c r="X176" s="134"/>
      <c r="Y176" s="134"/>
      <c r="Z176" s="134"/>
      <c r="AA176" s="135"/>
    </row>
    <row r="177" spans="1:27" x14ac:dyDescent="0.3">
      <c r="A177" s="91" t="s">
        <v>2662</v>
      </c>
      <c r="B177" s="129" t="s">
        <v>569</v>
      </c>
      <c r="C177" s="83" t="s">
        <v>2854</v>
      </c>
      <c r="D177" s="182">
        <v>643.59</v>
      </c>
      <c r="E177" s="83"/>
      <c r="F177" s="83"/>
      <c r="G177" s="85"/>
      <c r="H177" s="206"/>
      <c r="I177" s="126">
        <v>135.5</v>
      </c>
      <c r="J177" s="84" t="s">
        <v>2740</v>
      </c>
      <c r="K177" s="85">
        <f t="shared" ref="K177:K180" si="8">I177</f>
        <v>135.5</v>
      </c>
      <c r="L177" s="183">
        <v>25</v>
      </c>
      <c r="M177" s="83"/>
      <c r="N177" s="83"/>
      <c r="O177" s="83"/>
      <c r="P177" s="83"/>
      <c r="Q177" s="87">
        <v>2.7999999999999998E-9</v>
      </c>
      <c r="R177" s="84" t="s">
        <v>3005</v>
      </c>
      <c r="S177" s="352">
        <f>Q178</f>
        <v>9.7647920098178302E-10</v>
      </c>
      <c r="T177" s="206"/>
      <c r="U177" s="196"/>
      <c r="V177" s="83"/>
      <c r="W177" s="83"/>
      <c r="X177" s="83"/>
      <c r="Y177" s="83"/>
      <c r="Z177" s="83"/>
      <c r="AA177" s="85"/>
    </row>
    <row r="178" spans="1:27" x14ac:dyDescent="0.3">
      <c r="A178" s="166"/>
      <c r="B178" s="167"/>
      <c r="C178" s="154"/>
      <c r="D178" s="168"/>
      <c r="E178" s="154"/>
      <c r="F178" s="154"/>
      <c r="G178" s="155"/>
      <c r="H178" s="211"/>
      <c r="I178" s="169"/>
      <c r="J178" s="165"/>
      <c r="K178" s="155"/>
      <c r="L178" s="172"/>
      <c r="M178" s="157">
        <v>1.5799999999999999E-6</v>
      </c>
      <c r="N178" s="154">
        <f>$N$1*M178</f>
        <v>1.1850974446373853E-8</v>
      </c>
      <c r="O178" s="154">
        <v>56</v>
      </c>
      <c r="P178" s="154">
        <f>K177</f>
        <v>135.5</v>
      </c>
      <c r="Q178" s="186">
        <f>N178*EXP(-O178*((P178+$H$1)/298.15-1)/$Q$1)</f>
        <v>9.7647920098178302E-10</v>
      </c>
      <c r="R178" s="165" t="s">
        <v>2737</v>
      </c>
      <c r="S178" s="353"/>
      <c r="T178" s="211"/>
      <c r="U178" s="205"/>
      <c r="V178" s="154"/>
      <c r="W178" s="154"/>
      <c r="X178" s="154"/>
      <c r="Y178" s="154"/>
      <c r="Z178" s="154"/>
      <c r="AA178" s="155"/>
    </row>
    <row r="179" spans="1:27" x14ac:dyDescent="0.3">
      <c r="A179" s="176" t="s">
        <v>2663</v>
      </c>
      <c r="B179" s="177" t="s">
        <v>570</v>
      </c>
      <c r="C179" s="134"/>
      <c r="D179" s="178">
        <v>643.59</v>
      </c>
      <c r="E179" s="134"/>
      <c r="F179" s="134"/>
      <c r="G179" s="135"/>
      <c r="H179" s="210"/>
      <c r="I179" s="150">
        <v>127</v>
      </c>
      <c r="J179" s="139" t="s">
        <v>2741</v>
      </c>
      <c r="K179" s="135">
        <f t="shared" si="8"/>
        <v>127</v>
      </c>
      <c r="L179" s="181"/>
      <c r="M179" s="179"/>
      <c r="N179" s="134"/>
      <c r="O179" s="134"/>
      <c r="P179" s="134"/>
      <c r="Q179" s="134"/>
      <c r="R179" s="134"/>
      <c r="S179" s="351"/>
      <c r="T179" s="361"/>
      <c r="U179" s="200"/>
      <c r="V179" s="134"/>
      <c r="W179" s="134"/>
      <c r="X179" s="134"/>
      <c r="Y179" s="134"/>
      <c r="Z179" s="134"/>
      <c r="AA179" s="135"/>
    </row>
    <row r="180" spans="1:27" x14ac:dyDescent="0.3">
      <c r="A180" s="176" t="s">
        <v>2664</v>
      </c>
      <c r="B180" s="177" t="s">
        <v>571</v>
      </c>
      <c r="C180" s="134" t="s">
        <v>2855</v>
      </c>
      <c r="D180" s="178">
        <v>643.59</v>
      </c>
      <c r="E180" s="134"/>
      <c r="F180" s="134"/>
      <c r="G180" s="135"/>
      <c r="H180" s="210"/>
      <c r="I180" s="150">
        <v>180.5</v>
      </c>
      <c r="J180" s="139" t="s">
        <v>2736</v>
      </c>
      <c r="K180" s="135">
        <f t="shared" si="8"/>
        <v>180.5</v>
      </c>
      <c r="L180" s="181"/>
      <c r="M180" s="179"/>
      <c r="N180" s="134"/>
      <c r="O180" s="134"/>
      <c r="P180" s="134"/>
      <c r="Q180" s="134"/>
      <c r="R180" s="134"/>
      <c r="S180" s="351"/>
      <c r="T180" s="210"/>
      <c r="U180" s="200"/>
      <c r="V180" s="134"/>
      <c r="W180" s="134"/>
      <c r="X180" s="134"/>
      <c r="Y180" s="134"/>
      <c r="Z180" s="134"/>
      <c r="AA180" s="135"/>
    </row>
    <row r="181" spans="1:27" x14ac:dyDescent="0.3">
      <c r="A181" s="176" t="s">
        <v>2665</v>
      </c>
      <c r="B181" s="177" t="s">
        <v>572</v>
      </c>
      <c r="C181" s="134"/>
      <c r="D181" s="178">
        <v>643.59</v>
      </c>
      <c r="E181" s="134"/>
      <c r="F181" s="134"/>
      <c r="G181" s="135"/>
      <c r="H181" s="210"/>
      <c r="I181" s="134"/>
      <c r="J181" s="139"/>
      <c r="K181" s="135"/>
      <c r="L181" s="181"/>
      <c r="M181" s="179"/>
      <c r="N181" s="134"/>
      <c r="O181" s="134"/>
      <c r="P181" s="134"/>
      <c r="Q181" s="134"/>
      <c r="R181" s="134"/>
      <c r="S181" s="351"/>
      <c r="T181" s="210"/>
      <c r="U181" s="200"/>
      <c r="V181" s="134"/>
      <c r="W181" s="134"/>
      <c r="X181" s="134"/>
      <c r="Y181" s="134"/>
      <c r="Z181" s="134"/>
      <c r="AA181" s="135"/>
    </row>
    <row r="182" spans="1:27" x14ac:dyDescent="0.3">
      <c r="A182" s="176" t="s">
        <v>2666</v>
      </c>
      <c r="B182" s="177" t="s">
        <v>573</v>
      </c>
      <c r="C182" s="134"/>
      <c r="D182" s="178">
        <v>643.59</v>
      </c>
      <c r="E182" s="134"/>
      <c r="F182" s="134"/>
      <c r="G182" s="135"/>
      <c r="H182" s="210"/>
      <c r="I182" s="134"/>
      <c r="J182" s="139"/>
      <c r="K182" s="135"/>
      <c r="L182" s="181"/>
      <c r="M182" s="179"/>
      <c r="N182" s="134"/>
      <c r="O182" s="134"/>
      <c r="P182" s="134"/>
      <c r="Q182" s="134"/>
      <c r="R182" s="134"/>
      <c r="S182" s="351"/>
      <c r="T182" s="210"/>
      <c r="U182" s="200"/>
      <c r="V182" s="134"/>
      <c r="W182" s="134"/>
      <c r="X182" s="134"/>
      <c r="Y182" s="134"/>
      <c r="Z182" s="134"/>
      <c r="AA182" s="135"/>
    </row>
    <row r="183" spans="1:27" x14ac:dyDescent="0.3">
      <c r="A183" s="176" t="s">
        <v>2667</v>
      </c>
      <c r="B183" s="177" t="s">
        <v>574</v>
      </c>
      <c r="C183" s="134"/>
      <c r="D183" s="178">
        <v>643.59</v>
      </c>
      <c r="E183" s="134"/>
      <c r="F183" s="134"/>
      <c r="G183" s="135"/>
      <c r="H183" s="210"/>
      <c r="I183" s="134"/>
      <c r="J183" s="139"/>
      <c r="K183" s="135"/>
      <c r="L183" s="181"/>
      <c r="M183" s="179"/>
      <c r="N183" s="134"/>
      <c r="O183" s="134"/>
      <c r="P183" s="134"/>
      <c r="Q183" s="134"/>
      <c r="R183" s="134"/>
      <c r="S183" s="351"/>
      <c r="T183" s="210"/>
      <c r="U183" s="200"/>
      <c r="V183" s="134"/>
      <c r="W183" s="134"/>
      <c r="X183" s="134"/>
      <c r="Y183" s="134"/>
      <c r="Z183" s="134"/>
      <c r="AA183" s="135"/>
    </row>
    <row r="184" spans="1:27" x14ac:dyDescent="0.3">
      <c r="A184" s="176" t="s">
        <v>2668</v>
      </c>
      <c r="B184" s="177" t="s">
        <v>575</v>
      </c>
      <c r="C184" s="134"/>
      <c r="D184" s="178">
        <v>643.59</v>
      </c>
      <c r="E184" s="134"/>
      <c r="F184" s="134"/>
      <c r="G184" s="135"/>
      <c r="H184" s="210"/>
      <c r="I184" s="134"/>
      <c r="J184" s="139"/>
      <c r="K184" s="135"/>
      <c r="L184" s="181"/>
      <c r="M184" s="179"/>
      <c r="N184" s="134"/>
      <c r="O184" s="134"/>
      <c r="P184" s="134"/>
      <c r="Q184" s="134"/>
      <c r="R184" s="134"/>
      <c r="S184" s="351"/>
      <c r="T184" s="210"/>
      <c r="U184" s="200"/>
      <c r="V184" s="134"/>
      <c r="W184" s="134"/>
      <c r="X184" s="134"/>
      <c r="Y184" s="134"/>
      <c r="Z184" s="134"/>
      <c r="AA184" s="135"/>
    </row>
    <row r="185" spans="1:27" x14ac:dyDescent="0.3">
      <c r="A185" s="176" t="s">
        <v>2669</v>
      </c>
      <c r="B185" s="177" t="s">
        <v>576</v>
      </c>
      <c r="C185" s="134"/>
      <c r="D185" s="178">
        <v>643.59</v>
      </c>
      <c r="E185" s="134"/>
      <c r="F185" s="134"/>
      <c r="G185" s="135"/>
      <c r="H185" s="210"/>
      <c r="I185" s="134"/>
      <c r="J185" s="139"/>
      <c r="K185" s="135"/>
      <c r="L185" s="181"/>
      <c r="M185" s="179"/>
      <c r="N185" s="134"/>
      <c r="O185" s="134"/>
      <c r="P185" s="134"/>
      <c r="Q185" s="134"/>
      <c r="R185" s="134"/>
      <c r="S185" s="351"/>
      <c r="T185" s="210"/>
      <c r="U185" s="200"/>
      <c r="V185" s="134"/>
      <c r="W185" s="134"/>
      <c r="X185" s="134"/>
      <c r="Y185" s="134"/>
      <c r="Z185" s="134"/>
      <c r="AA185" s="135"/>
    </row>
    <row r="186" spans="1:27" x14ac:dyDescent="0.3">
      <c r="A186" s="176" t="s">
        <v>2670</v>
      </c>
      <c r="B186" s="177" t="s">
        <v>577</v>
      </c>
      <c r="C186" s="134"/>
      <c r="D186" s="178">
        <v>643.59</v>
      </c>
      <c r="E186" s="134"/>
      <c r="F186" s="134"/>
      <c r="G186" s="135"/>
      <c r="H186" s="210"/>
      <c r="I186" s="134"/>
      <c r="J186" s="139"/>
      <c r="K186" s="135"/>
      <c r="L186" s="181"/>
      <c r="M186" s="179"/>
      <c r="N186" s="134"/>
      <c r="O186" s="134"/>
      <c r="P186" s="134"/>
      <c r="Q186" s="134"/>
      <c r="R186" s="134"/>
      <c r="S186" s="351"/>
      <c r="T186" s="210"/>
      <c r="U186" s="200"/>
      <c r="V186" s="134"/>
      <c r="W186" s="134"/>
      <c r="X186" s="134"/>
      <c r="Y186" s="134"/>
      <c r="Z186" s="134"/>
      <c r="AA186" s="135"/>
    </row>
    <row r="187" spans="1:27" x14ac:dyDescent="0.3">
      <c r="A187" s="176" t="s">
        <v>2671</v>
      </c>
      <c r="B187" s="177" t="s">
        <v>578</v>
      </c>
      <c r="C187" s="134"/>
      <c r="D187" s="178">
        <v>643.59</v>
      </c>
      <c r="E187" s="134"/>
      <c r="F187" s="134"/>
      <c r="G187" s="135"/>
      <c r="H187" s="210"/>
      <c r="I187" s="134"/>
      <c r="J187" s="139"/>
      <c r="K187" s="135"/>
      <c r="L187" s="181"/>
      <c r="M187" s="179"/>
      <c r="N187" s="134"/>
      <c r="O187" s="134"/>
      <c r="P187" s="134"/>
      <c r="Q187" s="134"/>
      <c r="R187" s="134"/>
      <c r="S187" s="351"/>
      <c r="T187" s="210"/>
      <c r="U187" s="200"/>
      <c r="V187" s="134"/>
      <c r="W187" s="134"/>
      <c r="X187" s="134"/>
      <c r="Y187" s="134"/>
      <c r="Z187" s="134"/>
      <c r="AA187" s="135"/>
    </row>
    <row r="188" spans="1:27" x14ac:dyDescent="0.3">
      <c r="A188" s="176" t="s">
        <v>2672</v>
      </c>
      <c r="B188" s="177" t="s">
        <v>579</v>
      </c>
      <c r="C188" s="134"/>
      <c r="D188" s="178">
        <v>643.59</v>
      </c>
      <c r="E188" s="134"/>
      <c r="F188" s="134"/>
      <c r="G188" s="135"/>
      <c r="H188" s="210"/>
      <c r="I188" s="134"/>
      <c r="J188" s="139"/>
      <c r="K188" s="135"/>
      <c r="L188" s="181"/>
      <c r="M188" s="179"/>
      <c r="N188" s="134"/>
      <c r="O188" s="134"/>
      <c r="P188" s="134"/>
      <c r="Q188" s="134"/>
      <c r="R188" s="134"/>
      <c r="S188" s="351"/>
      <c r="T188" s="210"/>
      <c r="U188" s="200"/>
      <c r="V188" s="134"/>
      <c r="W188" s="134"/>
      <c r="X188" s="134"/>
      <c r="Y188" s="134"/>
      <c r="Z188" s="134"/>
      <c r="AA188" s="135"/>
    </row>
    <row r="189" spans="1:27" x14ac:dyDescent="0.3">
      <c r="A189" s="176" t="s">
        <v>2673</v>
      </c>
      <c r="B189" s="177" t="s">
        <v>580</v>
      </c>
      <c r="C189" s="134"/>
      <c r="D189" s="178">
        <v>643.59</v>
      </c>
      <c r="E189" s="134"/>
      <c r="F189" s="134"/>
      <c r="G189" s="135"/>
      <c r="H189" s="210"/>
      <c r="I189" s="134"/>
      <c r="J189" s="139"/>
      <c r="K189" s="135"/>
      <c r="L189" s="181"/>
      <c r="M189" s="179"/>
      <c r="N189" s="134"/>
      <c r="O189" s="134"/>
      <c r="P189" s="134"/>
      <c r="Q189" s="134"/>
      <c r="R189" s="134"/>
      <c r="S189" s="351"/>
      <c r="T189" s="210"/>
      <c r="U189" s="200"/>
      <c r="V189" s="134"/>
      <c r="W189" s="134"/>
      <c r="X189" s="134"/>
      <c r="Y189" s="134"/>
      <c r="Z189" s="134"/>
      <c r="AA189" s="135"/>
    </row>
    <row r="190" spans="1:27" x14ac:dyDescent="0.3">
      <c r="A190" s="176" t="s">
        <v>2674</v>
      </c>
      <c r="B190" s="177" t="s">
        <v>581</v>
      </c>
      <c r="C190" s="134"/>
      <c r="D190" s="178">
        <v>643.59</v>
      </c>
      <c r="E190" s="134"/>
      <c r="F190" s="134"/>
      <c r="G190" s="135"/>
      <c r="H190" s="210"/>
      <c r="I190" s="134"/>
      <c r="J190" s="139"/>
      <c r="K190" s="135"/>
      <c r="L190" s="181"/>
      <c r="M190" s="179"/>
      <c r="N190" s="134"/>
      <c r="O190" s="134"/>
      <c r="P190" s="134"/>
      <c r="Q190" s="134"/>
      <c r="R190" s="134"/>
      <c r="S190" s="351"/>
      <c r="T190" s="210"/>
      <c r="U190" s="200"/>
      <c r="V190" s="134"/>
      <c r="W190" s="134"/>
      <c r="X190" s="134"/>
      <c r="Y190" s="134"/>
      <c r="Z190" s="134"/>
      <c r="AA190" s="135"/>
    </row>
    <row r="191" spans="1:27" x14ac:dyDescent="0.3">
      <c r="A191" s="176" t="s">
        <v>2675</v>
      </c>
      <c r="B191" s="177" t="s">
        <v>582</v>
      </c>
      <c r="C191" s="134"/>
      <c r="D191" s="178">
        <v>643.59</v>
      </c>
      <c r="E191" s="134"/>
      <c r="F191" s="134"/>
      <c r="G191" s="135"/>
      <c r="H191" s="210"/>
      <c r="I191" s="134"/>
      <c r="J191" s="139"/>
      <c r="K191" s="135"/>
      <c r="L191" s="181"/>
      <c r="M191" s="179"/>
      <c r="N191" s="134"/>
      <c r="O191" s="134"/>
      <c r="P191" s="134"/>
      <c r="Q191" s="134"/>
      <c r="R191" s="134"/>
      <c r="S191" s="351"/>
      <c r="T191" s="210"/>
      <c r="U191" s="200"/>
      <c r="V191" s="134"/>
      <c r="W191" s="134"/>
      <c r="X191" s="134"/>
      <c r="Y191" s="134"/>
      <c r="Z191" s="134"/>
      <c r="AA191" s="135"/>
    </row>
    <row r="192" spans="1:27" x14ac:dyDescent="0.3">
      <c r="A192" s="176" t="s">
        <v>2676</v>
      </c>
      <c r="B192" s="177" t="s">
        <v>583</v>
      </c>
      <c r="C192" s="134"/>
      <c r="D192" s="178">
        <v>643.59</v>
      </c>
      <c r="E192" s="134"/>
      <c r="F192" s="134"/>
      <c r="G192" s="135"/>
      <c r="H192" s="210"/>
      <c r="I192" s="134"/>
      <c r="J192" s="139"/>
      <c r="K192" s="135"/>
      <c r="L192" s="181"/>
      <c r="M192" s="179"/>
      <c r="N192" s="134"/>
      <c r="O192" s="134"/>
      <c r="P192" s="134"/>
      <c r="Q192" s="134"/>
      <c r="R192" s="134"/>
      <c r="S192" s="351"/>
      <c r="T192" s="210"/>
      <c r="U192" s="200"/>
      <c r="V192" s="134"/>
      <c r="W192" s="134"/>
      <c r="X192" s="134"/>
      <c r="Y192" s="134"/>
      <c r="Z192" s="134"/>
      <c r="AA192" s="135"/>
    </row>
    <row r="193" spans="1:27" x14ac:dyDescent="0.3">
      <c r="A193" s="91" t="s">
        <v>2677</v>
      </c>
      <c r="B193" s="129" t="s">
        <v>584</v>
      </c>
      <c r="C193" s="83" t="s">
        <v>2856</v>
      </c>
      <c r="D193" s="182">
        <v>643.59</v>
      </c>
      <c r="E193" s="126">
        <v>7.9</v>
      </c>
      <c r="F193" s="184" t="s">
        <v>2885</v>
      </c>
      <c r="G193" s="85">
        <f t="shared" ref="G193:G196" si="9">E193</f>
        <v>7.9</v>
      </c>
      <c r="H193" s="206">
        <v>436.6</v>
      </c>
      <c r="I193" s="83">
        <f>H193-$H$1</f>
        <v>163.45000000000005</v>
      </c>
      <c r="J193" s="84" t="s">
        <v>3035</v>
      </c>
      <c r="K193" s="85">
        <f>I195</f>
        <v>162.47500000000002</v>
      </c>
      <c r="L193" s="183"/>
      <c r="M193" s="195">
        <v>2.0899999999999999E-6</v>
      </c>
      <c r="N193" s="83">
        <f>$N$1*M193</f>
        <v>1.5676288982861615E-8</v>
      </c>
      <c r="O193" s="83">
        <v>56</v>
      </c>
      <c r="P193" s="83">
        <f>K193</f>
        <v>162.47500000000002</v>
      </c>
      <c r="Q193" s="87">
        <f>N193*EXP(-O193*((P193+$H$1)/298.15-1)/$Q$1)</f>
        <v>7.022737518575948E-10</v>
      </c>
      <c r="R193" s="84" t="s">
        <v>2913</v>
      </c>
      <c r="S193" s="352">
        <f>Q195</f>
        <v>1.7674449448664826E-9</v>
      </c>
      <c r="T193" s="206">
        <v>8.7000000000000003E-7</v>
      </c>
      <c r="U193" s="202" t="s">
        <v>3048</v>
      </c>
      <c r="V193" s="83"/>
      <c r="W193" s="83"/>
      <c r="X193" s="83"/>
      <c r="Y193" s="126">
        <f>1000*T193</f>
        <v>8.7000000000000001E-4</v>
      </c>
      <c r="Z193" s="84" t="s">
        <v>2737</v>
      </c>
      <c r="AA193" s="85">
        <f>Y193</f>
        <v>8.7000000000000001E-4</v>
      </c>
    </row>
    <row r="194" spans="1:27" x14ac:dyDescent="0.3">
      <c r="A194" s="59"/>
      <c r="B194" s="77"/>
      <c r="C194" s="60"/>
      <c r="D194" s="159"/>
      <c r="E194" s="68"/>
      <c r="F194" s="161"/>
      <c r="G194" s="61"/>
      <c r="H194" s="209"/>
      <c r="I194" s="60">
        <v>161.5</v>
      </c>
      <c r="J194" s="67" t="s">
        <v>2737</v>
      </c>
      <c r="K194" s="61"/>
      <c r="L194" s="160"/>
      <c r="M194" s="189">
        <v>8.4300000000000006E-6</v>
      </c>
      <c r="N194" s="60">
        <f>$N$1*M194</f>
        <v>6.3230199103121257E-8</v>
      </c>
      <c r="O194" s="60">
        <v>56</v>
      </c>
      <c r="P194" s="60">
        <f>K193</f>
        <v>162.47500000000002</v>
      </c>
      <c r="Q194" s="64">
        <f>N194*EXP(-O194*((P194+$H$1)/298.15-1)/$Q$1)</f>
        <v>2.8326161378753703E-9</v>
      </c>
      <c r="R194" s="67" t="s">
        <v>2912</v>
      </c>
      <c r="S194" s="350"/>
      <c r="T194" s="209"/>
      <c r="U194" s="203"/>
      <c r="V194" s="60"/>
      <c r="W194" s="60"/>
      <c r="X194" s="60"/>
      <c r="Y194" s="60"/>
      <c r="Z194" s="67"/>
      <c r="AA194" s="61"/>
    </row>
    <row r="195" spans="1:27" ht="24" x14ac:dyDescent="0.3">
      <c r="A195" s="59"/>
      <c r="B195" s="77"/>
      <c r="C195" s="60"/>
      <c r="D195" s="159"/>
      <c r="E195" s="68"/>
      <c r="F195" s="161"/>
      <c r="G195" s="61"/>
      <c r="H195" s="209"/>
      <c r="I195" s="68">
        <f>AVERAGE(I193:I194)</f>
        <v>162.47500000000002</v>
      </c>
      <c r="J195" s="70" t="s">
        <v>3042</v>
      </c>
      <c r="K195" s="61"/>
      <c r="L195" s="160"/>
      <c r="M195" s="76"/>
      <c r="N195" s="60"/>
      <c r="O195" s="60"/>
      <c r="P195" s="60"/>
      <c r="Q195" s="73">
        <f>AVERAGE(Q193:Q194)</f>
        <v>1.7674449448664826E-9</v>
      </c>
      <c r="R195" s="70" t="s">
        <v>2913</v>
      </c>
      <c r="S195" s="350"/>
      <c r="T195" s="209"/>
      <c r="U195" s="203"/>
      <c r="V195" s="60"/>
      <c r="W195" s="60"/>
      <c r="X195" s="60"/>
      <c r="Y195" s="60"/>
      <c r="Z195" s="67"/>
      <c r="AA195" s="61"/>
    </row>
    <row r="196" spans="1:27" x14ac:dyDescent="0.3">
      <c r="A196" s="91" t="s">
        <v>2678</v>
      </c>
      <c r="B196" s="129" t="s">
        <v>585</v>
      </c>
      <c r="C196" s="83" t="s">
        <v>2857</v>
      </c>
      <c r="D196" s="182">
        <v>643.59</v>
      </c>
      <c r="E196" s="126">
        <v>7.82</v>
      </c>
      <c r="F196" s="184" t="s">
        <v>2885</v>
      </c>
      <c r="G196" s="85">
        <f t="shared" si="9"/>
        <v>7.82</v>
      </c>
      <c r="H196" s="206"/>
      <c r="I196" s="83">
        <v>142.5</v>
      </c>
      <c r="J196" s="84" t="s">
        <v>2738</v>
      </c>
      <c r="K196" s="85">
        <f>I199</f>
        <v>137.41666666666666</v>
      </c>
      <c r="L196" s="183"/>
      <c r="M196" s="148">
        <v>3.8E-6</v>
      </c>
      <c r="N196" s="83">
        <f>$N$1*M196</f>
        <v>2.8502343605202936E-8</v>
      </c>
      <c r="O196" s="83">
        <v>56</v>
      </c>
      <c r="P196" s="83">
        <f>K196</f>
        <v>137.41666666666666</v>
      </c>
      <c r="Q196" s="140">
        <f>N196*EXP(-O196*((P196+$H$1)/298.15-1)/$Q$1)</f>
        <v>2.2489795897553517E-9</v>
      </c>
      <c r="R196" s="84" t="s">
        <v>2737</v>
      </c>
      <c r="S196" s="352">
        <f>Q196</f>
        <v>2.2489795897553517E-9</v>
      </c>
      <c r="T196" s="206">
        <v>8.7000000000000003E-7</v>
      </c>
      <c r="U196" s="202" t="s">
        <v>3048</v>
      </c>
      <c r="V196" s="83"/>
      <c r="W196" s="83"/>
      <c r="X196" s="83"/>
      <c r="Y196" s="126">
        <f>1000*T196</f>
        <v>8.7000000000000001E-4</v>
      </c>
      <c r="Z196" s="84" t="s">
        <v>2737</v>
      </c>
      <c r="AA196" s="85">
        <f>Y196</f>
        <v>8.7000000000000001E-4</v>
      </c>
    </row>
    <row r="197" spans="1:27" x14ac:dyDescent="0.3">
      <c r="A197" s="59"/>
      <c r="B197" s="77"/>
      <c r="C197" s="60"/>
      <c r="D197" s="159"/>
      <c r="E197" s="68"/>
      <c r="F197" s="161"/>
      <c r="G197" s="61"/>
      <c r="H197" s="209"/>
      <c r="I197" s="60">
        <v>138</v>
      </c>
      <c r="J197" s="67" t="s">
        <v>2741</v>
      </c>
      <c r="K197" s="61"/>
      <c r="L197" s="160"/>
      <c r="M197" s="76"/>
      <c r="N197" s="60"/>
      <c r="O197" s="60"/>
      <c r="P197" s="60"/>
      <c r="Q197" s="64"/>
      <c r="R197" s="67"/>
      <c r="S197" s="350"/>
      <c r="T197" s="209"/>
      <c r="U197" s="203"/>
      <c r="V197" s="60"/>
      <c r="W197" s="60"/>
      <c r="X197" s="60"/>
      <c r="Y197" s="60"/>
      <c r="Z197" s="67"/>
      <c r="AA197" s="61"/>
    </row>
    <row r="198" spans="1:27" x14ac:dyDescent="0.3">
      <c r="A198" s="59"/>
      <c r="B198" s="77"/>
      <c r="C198" s="60"/>
      <c r="D198" s="159"/>
      <c r="E198" s="68"/>
      <c r="F198" s="161"/>
      <c r="G198" s="61"/>
      <c r="H198" s="209"/>
      <c r="I198" s="60">
        <v>131.75</v>
      </c>
      <c r="J198" s="67" t="s">
        <v>2737</v>
      </c>
      <c r="K198" s="61"/>
      <c r="L198" s="160"/>
      <c r="M198" s="189"/>
      <c r="N198" s="60"/>
      <c r="O198" s="60"/>
      <c r="P198" s="60"/>
      <c r="Q198" s="64"/>
      <c r="R198" s="67"/>
      <c r="S198" s="350"/>
      <c r="T198" s="209"/>
      <c r="U198" s="203"/>
      <c r="V198" s="60"/>
      <c r="W198" s="60"/>
      <c r="X198" s="60"/>
      <c r="Y198" s="60"/>
      <c r="Z198" s="67"/>
      <c r="AA198" s="61"/>
    </row>
    <row r="199" spans="1:27" ht="24" x14ac:dyDescent="0.3">
      <c r="A199" s="59"/>
      <c r="B199" s="77"/>
      <c r="C199" s="60"/>
      <c r="D199" s="159"/>
      <c r="E199" s="68"/>
      <c r="F199" s="161"/>
      <c r="G199" s="61"/>
      <c r="H199" s="209"/>
      <c r="I199" s="68">
        <f>AVERAGE(I196:I198)</f>
        <v>137.41666666666666</v>
      </c>
      <c r="J199" s="70" t="s">
        <v>3037</v>
      </c>
      <c r="K199" s="61"/>
      <c r="L199" s="160"/>
      <c r="M199" s="76"/>
      <c r="N199" s="60"/>
      <c r="O199" s="60"/>
      <c r="P199" s="60"/>
      <c r="Q199" s="64"/>
      <c r="R199" s="67"/>
      <c r="S199" s="350"/>
      <c r="T199" s="209"/>
      <c r="U199" s="203"/>
      <c r="V199" s="60"/>
      <c r="W199" s="60"/>
      <c r="X199" s="60"/>
      <c r="Y199" s="60"/>
      <c r="Z199" s="67"/>
      <c r="AA199" s="61"/>
    </row>
    <row r="200" spans="1:27" x14ac:dyDescent="0.3">
      <c r="A200" s="176" t="s">
        <v>2679</v>
      </c>
      <c r="B200" s="177" t="s">
        <v>586</v>
      </c>
      <c r="C200" s="187" t="s">
        <v>2858</v>
      </c>
      <c r="D200" s="178">
        <v>643.59</v>
      </c>
      <c r="E200" s="134"/>
      <c r="F200" s="134"/>
      <c r="G200" s="135"/>
      <c r="H200" s="210"/>
      <c r="I200" s="150">
        <v>152.5</v>
      </c>
      <c r="J200" s="139" t="s">
        <v>2741</v>
      </c>
      <c r="K200" s="135">
        <f>I200</f>
        <v>152.5</v>
      </c>
      <c r="L200" s="181"/>
      <c r="M200" s="179"/>
      <c r="N200" s="134"/>
      <c r="O200" s="134"/>
      <c r="P200" s="134"/>
      <c r="Q200" s="134"/>
      <c r="R200" s="134"/>
      <c r="S200" s="351"/>
      <c r="T200" s="210"/>
      <c r="U200" s="200"/>
      <c r="V200" s="134"/>
      <c r="W200" s="134"/>
      <c r="X200" s="134"/>
      <c r="Y200" s="134"/>
      <c r="Z200" s="134"/>
      <c r="AA200" s="135"/>
    </row>
    <row r="201" spans="1:27" x14ac:dyDescent="0.3">
      <c r="A201" s="176" t="s">
        <v>2680</v>
      </c>
      <c r="B201" s="177" t="s">
        <v>587</v>
      </c>
      <c r="C201" s="187"/>
      <c r="D201" s="178">
        <v>643.59</v>
      </c>
      <c r="E201" s="134"/>
      <c r="F201" s="134"/>
      <c r="G201" s="135"/>
      <c r="H201" s="210"/>
      <c r="I201" s="134"/>
      <c r="J201" s="139"/>
      <c r="K201" s="135"/>
      <c r="L201" s="181"/>
      <c r="M201" s="179"/>
      <c r="N201" s="134"/>
      <c r="O201" s="134"/>
      <c r="P201" s="134"/>
      <c r="Q201" s="134"/>
      <c r="R201" s="134"/>
      <c r="S201" s="351"/>
      <c r="T201" s="210"/>
      <c r="U201" s="200"/>
      <c r="V201" s="134"/>
      <c r="W201" s="134"/>
      <c r="X201" s="134"/>
      <c r="Y201" s="134"/>
      <c r="Z201" s="134"/>
      <c r="AA201" s="135"/>
    </row>
    <row r="202" spans="1:27" x14ac:dyDescent="0.3">
      <c r="A202" s="176" t="s">
        <v>2681</v>
      </c>
      <c r="B202" s="177" t="s">
        <v>588</v>
      </c>
      <c r="C202" s="134"/>
      <c r="D202" s="178">
        <v>643.59</v>
      </c>
      <c r="E202" s="134"/>
      <c r="F202" s="134"/>
      <c r="G202" s="135"/>
      <c r="H202" s="210"/>
      <c r="I202" s="134"/>
      <c r="J202" s="139"/>
      <c r="K202" s="135"/>
      <c r="L202" s="181"/>
      <c r="M202" s="179"/>
      <c r="N202" s="134"/>
      <c r="O202" s="134"/>
      <c r="P202" s="134"/>
      <c r="Q202" s="134"/>
      <c r="R202" s="134"/>
      <c r="S202" s="351"/>
      <c r="T202" s="210"/>
      <c r="U202" s="200"/>
      <c r="V202" s="134"/>
      <c r="W202" s="134"/>
      <c r="X202" s="134"/>
      <c r="Y202" s="134"/>
      <c r="Z202" s="134"/>
      <c r="AA202" s="135"/>
    </row>
    <row r="203" spans="1:27" x14ac:dyDescent="0.3">
      <c r="A203" s="176" t="s">
        <v>2682</v>
      </c>
      <c r="B203" s="177" t="s">
        <v>589</v>
      </c>
      <c r="C203" s="134"/>
      <c r="D203" s="178">
        <v>643.59</v>
      </c>
      <c r="E203" s="134"/>
      <c r="F203" s="134"/>
      <c r="G203" s="135"/>
      <c r="H203" s="210"/>
      <c r="I203" s="134"/>
      <c r="J203" s="139"/>
      <c r="K203" s="135"/>
      <c r="L203" s="181"/>
      <c r="M203" s="179"/>
      <c r="N203" s="134"/>
      <c r="O203" s="134"/>
      <c r="P203" s="134"/>
      <c r="Q203" s="134"/>
      <c r="R203" s="134"/>
      <c r="S203" s="351"/>
      <c r="T203" s="210"/>
      <c r="U203" s="200"/>
      <c r="V203" s="134"/>
      <c r="W203" s="134"/>
      <c r="X203" s="134"/>
      <c r="Y203" s="134"/>
      <c r="Z203" s="134"/>
      <c r="AA203" s="135"/>
    </row>
    <row r="204" spans="1:27" x14ac:dyDescent="0.3">
      <c r="A204" s="176" t="s">
        <v>2683</v>
      </c>
      <c r="B204" s="177" t="s">
        <v>590</v>
      </c>
      <c r="C204" s="134"/>
      <c r="D204" s="178">
        <v>643.59</v>
      </c>
      <c r="E204" s="134"/>
      <c r="F204" s="134"/>
      <c r="G204" s="135"/>
      <c r="H204" s="210"/>
      <c r="I204" s="134"/>
      <c r="J204" s="139"/>
      <c r="K204" s="135"/>
      <c r="L204" s="181"/>
      <c r="M204" s="179"/>
      <c r="N204" s="134"/>
      <c r="O204" s="134"/>
      <c r="P204" s="134"/>
      <c r="Q204" s="134"/>
      <c r="R204" s="134"/>
      <c r="S204" s="351"/>
      <c r="T204" s="210"/>
      <c r="U204" s="200"/>
      <c r="V204" s="134"/>
      <c r="W204" s="134"/>
      <c r="X204" s="134"/>
      <c r="Y204" s="134"/>
      <c r="Z204" s="134"/>
      <c r="AA204" s="135"/>
    </row>
    <row r="205" spans="1:27" x14ac:dyDescent="0.3">
      <c r="A205" s="176" t="s">
        <v>2684</v>
      </c>
      <c r="B205" s="177" t="s">
        <v>591</v>
      </c>
      <c r="C205" s="134"/>
      <c r="D205" s="178">
        <v>643.59</v>
      </c>
      <c r="E205" s="134"/>
      <c r="F205" s="134"/>
      <c r="G205" s="135"/>
      <c r="H205" s="210"/>
      <c r="I205" s="134"/>
      <c r="J205" s="139"/>
      <c r="K205" s="135"/>
      <c r="L205" s="181"/>
      <c r="M205" s="179"/>
      <c r="N205" s="134"/>
      <c r="O205" s="134"/>
      <c r="P205" s="134"/>
      <c r="Q205" s="134"/>
      <c r="R205" s="134"/>
      <c r="S205" s="351"/>
      <c r="T205" s="210"/>
      <c r="U205" s="200"/>
      <c r="V205" s="134"/>
      <c r="W205" s="134"/>
      <c r="X205" s="134"/>
      <c r="Y205" s="134"/>
      <c r="Z205" s="134"/>
      <c r="AA205" s="135"/>
    </row>
    <row r="206" spans="1:27" x14ac:dyDescent="0.3">
      <c r="A206" s="176" t="s">
        <v>2685</v>
      </c>
      <c r="B206" s="177" t="s">
        <v>592</v>
      </c>
      <c r="C206" s="134"/>
      <c r="D206" s="178">
        <v>643.59</v>
      </c>
      <c r="E206" s="134"/>
      <c r="F206" s="134"/>
      <c r="G206" s="135"/>
      <c r="H206" s="210"/>
      <c r="I206" s="134"/>
      <c r="J206" s="139"/>
      <c r="K206" s="135"/>
      <c r="L206" s="181"/>
      <c r="M206" s="179"/>
      <c r="N206" s="134"/>
      <c r="O206" s="134"/>
      <c r="P206" s="134"/>
      <c r="Q206" s="134"/>
      <c r="R206" s="134"/>
      <c r="S206" s="351"/>
      <c r="T206" s="210"/>
      <c r="U206" s="200"/>
      <c r="V206" s="134"/>
      <c r="W206" s="134"/>
      <c r="X206" s="134"/>
      <c r="Y206" s="134"/>
      <c r="Z206" s="134"/>
      <c r="AA206" s="135"/>
    </row>
    <row r="207" spans="1:27" x14ac:dyDescent="0.3">
      <c r="A207" s="176" t="s">
        <v>2686</v>
      </c>
      <c r="B207" s="177" t="s">
        <v>593</v>
      </c>
      <c r="C207" s="134"/>
      <c r="D207" s="178">
        <v>643.59</v>
      </c>
      <c r="E207" s="134"/>
      <c r="F207" s="134"/>
      <c r="G207" s="135"/>
      <c r="H207" s="210"/>
      <c r="I207" s="134"/>
      <c r="J207" s="139"/>
      <c r="K207" s="135"/>
      <c r="L207" s="181"/>
      <c r="M207" s="179"/>
      <c r="N207" s="134"/>
      <c r="O207" s="134"/>
      <c r="P207" s="134"/>
      <c r="Q207" s="134"/>
      <c r="R207" s="134"/>
      <c r="S207" s="351"/>
      <c r="T207" s="210"/>
      <c r="U207" s="200"/>
      <c r="V207" s="134"/>
      <c r="W207" s="134"/>
      <c r="X207" s="134"/>
      <c r="Y207" s="134"/>
      <c r="Z207" s="134"/>
      <c r="AA207" s="135"/>
    </row>
    <row r="208" spans="1:27" x14ac:dyDescent="0.3">
      <c r="A208" s="176" t="s">
        <v>2687</v>
      </c>
      <c r="B208" s="177" t="s">
        <v>594</v>
      </c>
      <c r="C208" s="134"/>
      <c r="D208" s="178">
        <v>643.59</v>
      </c>
      <c r="E208" s="134"/>
      <c r="F208" s="134"/>
      <c r="G208" s="135"/>
      <c r="H208" s="210"/>
      <c r="I208" s="134"/>
      <c r="J208" s="139"/>
      <c r="K208" s="135"/>
      <c r="L208" s="181"/>
      <c r="M208" s="179"/>
      <c r="N208" s="134"/>
      <c r="O208" s="134"/>
      <c r="P208" s="134"/>
      <c r="Q208" s="134"/>
      <c r="R208" s="134"/>
      <c r="S208" s="351"/>
      <c r="T208" s="210"/>
      <c r="U208" s="200"/>
      <c r="V208" s="134"/>
      <c r="W208" s="134"/>
      <c r="X208" s="134"/>
      <c r="Y208" s="134"/>
      <c r="Z208" s="134"/>
      <c r="AA208" s="135"/>
    </row>
    <row r="209" spans="1:27" x14ac:dyDescent="0.3">
      <c r="A209" s="176" t="s">
        <v>2688</v>
      </c>
      <c r="B209" s="177" t="s">
        <v>595</v>
      </c>
      <c r="C209" s="134"/>
      <c r="D209" s="178">
        <v>643.59</v>
      </c>
      <c r="E209" s="134"/>
      <c r="F209" s="134"/>
      <c r="G209" s="135"/>
      <c r="H209" s="210"/>
      <c r="I209" s="134"/>
      <c r="J209" s="139"/>
      <c r="K209" s="135"/>
      <c r="L209" s="181"/>
      <c r="M209" s="179"/>
      <c r="N209" s="134"/>
      <c r="O209" s="134"/>
      <c r="P209" s="134"/>
      <c r="Q209" s="134"/>
      <c r="R209" s="134"/>
      <c r="S209" s="351"/>
      <c r="T209" s="210"/>
      <c r="U209" s="200"/>
      <c r="V209" s="134"/>
      <c r="W209" s="134"/>
      <c r="X209" s="134"/>
      <c r="Y209" s="134"/>
      <c r="Z209" s="134"/>
      <c r="AA209" s="135"/>
    </row>
    <row r="210" spans="1:27" x14ac:dyDescent="0.3">
      <c r="A210" s="176" t="s">
        <v>2689</v>
      </c>
      <c r="B210" s="177" t="s">
        <v>596</v>
      </c>
      <c r="C210" s="134"/>
      <c r="D210" s="178">
        <v>643.59</v>
      </c>
      <c r="E210" s="134"/>
      <c r="F210" s="134"/>
      <c r="G210" s="135"/>
      <c r="H210" s="210"/>
      <c r="I210" s="134"/>
      <c r="J210" s="139"/>
      <c r="K210" s="135"/>
      <c r="L210" s="181"/>
      <c r="M210" s="179"/>
      <c r="N210" s="134"/>
      <c r="O210" s="134"/>
      <c r="P210" s="134"/>
      <c r="Q210" s="134"/>
      <c r="R210" s="134"/>
      <c r="S210" s="351"/>
      <c r="T210" s="210"/>
      <c r="U210" s="200"/>
      <c r="V210" s="134"/>
      <c r="W210" s="134"/>
      <c r="X210" s="134"/>
      <c r="Y210" s="134"/>
      <c r="Z210" s="134"/>
      <c r="AA210" s="135"/>
    </row>
    <row r="211" spans="1:27" x14ac:dyDescent="0.3">
      <c r="A211" s="176" t="s">
        <v>2690</v>
      </c>
      <c r="B211" s="177" t="s">
        <v>597</v>
      </c>
      <c r="C211" s="134" t="s">
        <v>2859</v>
      </c>
      <c r="D211" s="178">
        <v>643.59</v>
      </c>
      <c r="E211" s="134"/>
      <c r="F211" s="134"/>
      <c r="G211" s="135"/>
      <c r="H211" s="210"/>
      <c r="I211" s="150">
        <v>184</v>
      </c>
      <c r="J211" s="139" t="s">
        <v>2736</v>
      </c>
      <c r="K211" s="135">
        <f>I211</f>
        <v>184</v>
      </c>
      <c r="L211" s="181"/>
      <c r="M211" s="179"/>
      <c r="N211" s="134"/>
      <c r="O211" s="134"/>
      <c r="P211" s="134"/>
      <c r="Q211" s="134"/>
      <c r="R211" s="134"/>
      <c r="S211" s="351"/>
      <c r="T211" s="210"/>
      <c r="U211" s="200"/>
      <c r="V211" s="134"/>
      <c r="W211" s="134"/>
      <c r="X211" s="134"/>
      <c r="Y211" s="134"/>
      <c r="Z211" s="134"/>
      <c r="AA211" s="135"/>
    </row>
    <row r="212" spans="1:27" x14ac:dyDescent="0.3">
      <c r="A212" s="176" t="s">
        <v>2691</v>
      </c>
      <c r="B212" s="177" t="s">
        <v>598</v>
      </c>
      <c r="C212" s="134"/>
      <c r="D212" s="178">
        <v>643.59</v>
      </c>
      <c r="E212" s="134"/>
      <c r="F212" s="134"/>
      <c r="G212" s="135"/>
      <c r="H212" s="210"/>
      <c r="I212" s="188">
        <v>148</v>
      </c>
      <c r="J212" s="143" t="s">
        <v>3041</v>
      </c>
      <c r="K212" s="135"/>
      <c r="L212" s="181">
        <v>25</v>
      </c>
      <c r="M212" s="179"/>
      <c r="N212" s="134"/>
      <c r="O212" s="134"/>
      <c r="P212" s="134"/>
      <c r="Q212" s="134">
        <v>5.1E-8</v>
      </c>
      <c r="R212" s="84" t="s">
        <v>2309</v>
      </c>
      <c r="S212" s="351"/>
      <c r="T212" s="210"/>
      <c r="U212" s="200"/>
      <c r="V212" s="134"/>
      <c r="W212" s="134"/>
      <c r="X212" s="134"/>
      <c r="Y212" s="134">
        <v>4.0800000000000003E-3</v>
      </c>
      <c r="Z212" s="67" t="s">
        <v>2309</v>
      </c>
      <c r="AA212" s="135"/>
    </row>
    <row r="213" spans="1:27" x14ac:dyDescent="0.3">
      <c r="A213" s="176" t="s">
        <v>2692</v>
      </c>
      <c r="B213" s="177" t="s">
        <v>599</v>
      </c>
      <c r="C213" s="134"/>
      <c r="D213" s="178">
        <v>643.59</v>
      </c>
      <c r="E213" s="134"/>
      <c r="F213" s="134"/>
      <c r="G213" s="135"/>
      <c r="H213" s="210"/>
      <c r="I213" s="134"/>
      <c r="J213" s="139"/>
      <c r="K213" s="135"/>
      <c r="L213" s="181"/>
      <c r="M213" s="179"/>
      <c r="N213" s="134"/>
      <c r="O213" s="134"/>
      <c r="P213" s="134"/>
      <c r="Q213" s="134"/>
      <c r="R213" s="134"/>
      <c r="S213" s="351"/>
      <c r="T213" s="210"/>
      <c r="U213" s="200"/>
      <c r="V213" s="134"/>
      <c r="W213" s="134"/>
      <c r="X213" s="134"/>
      <c r="Y213" s="134"/>
      <c r="Z213" s="134"/>
      <c r="AA213" s="135"/>
    </row>
    <row r="214" spans="1:27" x14ac:dyDescent="0.3">
      <c r="A214" s="176" t="s">
        <v>2693</v>
      </c>
      <c r="B214" s="177" t="s">
        <v>600</v>
      </c>
      <c r="C214" s="134"/>
      <c r="D214" s="178">
        <v>643.59</v>
      </c>
      <c r="E214" s="134"/>
      <c r="F214" s="134"/>
      <c r="G214" s="135"/>
      <c r="H214" s="210"/>
      <c r="I214" s="134"/>
      <c r="J214" s="139"/>
      <c r="K214" s="135"/>
      <c r="L214" s="181"/>
      <c r="M214" s="179"/>
      <c r="N214" s="134"/>
      <c r="O214" s="134"/>
      <c r="P214" s="134"/>
      <c r="Q214" s="134"/>
      <c r="R214" s="134"/>
      <c r="S214" s="351"/>
      <c r="T214" s="210"/>
      <c r="U214" s="200"/>
      <c r="V214" s="134"/>
      <c r="W214" s="134"/>
      <c r="X214" s="134"/>
      <c r="Y214" s="134"/>
      <c r="Z214" s="134"/>
      <c r="AA214" s="135"/>
    </row>
    <row r="215" spans="1:27" x14ac:dyDescent="0.3">
      <c r="A215" s="176" t="s">
        <v>2694</v>
      </c>
      <c r="B215" s="177" t="s">
        <v>601</v>
      </c>
      <c r="C215" s="134" t="s">
        <v>2880</v>
      </c>
      <c r="D215" s="178">
        <v>722.48</v>
      </c>
      <c r="E215" s="134"/>
      <c r="F215" s="134"/>
      <c r="G215" s="135"/>
      <c r="H215" s="210"/>
      <c r="I215" s="134"/>
      <c r="J215" s="139"/>
      <c r="K215" s="135"/>
      <c r="L215" s="181"/>
      <c r="M215" s="179"/>
      <c r="N215" s="134"/>
      <c r="O215" s="134"/>
      <c r="P215" s="134"/>
      <c r="Q215" s="134"/>
      <c r="R215" s="134"/>
      <c r="S215" s="351"/>
      <c r="T215" s="210"/>
      <c r="U215" s="200"/>
      <c r="V215" s="134"/>
      <c r="W215" s="134"/>
      <c r="X215" s="134"/>
      <c r="Y215" s="134"/>
      <c r="Z215" s="134"/>
      <c r="AA215" s="135"/>
    </row>
    <row r="216" spans="1:27" x14ac:dyDescent="0.3">
      <c r="A216" s="176" t="s">
        <v>2695</v>
      </c>
      <c r="B216" s="177" t="s">
        <v>602</v>
      </c>
      <c r="C216" s="134"/>
      <c r="D216" s="178">
        <v>722.48</v>
      </c>
      <c r="E216" s="134"/>
      <c r="F216" s="134"/>
      <c r="G216" s="135"/>
      <c r="H216" s="210"/>
      <c r="I216" s="134"/>
      <c r="J216" s="139"/>
      <c r="K216" s="135"/>
      <c r="L216" s="181"/>
      <c r="M216" s="179"/>
      <c r="N216" s="134"/>
      <c r="O216" s="134"/>
      <c r="P216" s="134"/>
      <c r="Q216" s="134"/>
      <c r="R216" s="134"/>
      <c r="S216" s="351"/>
      <c r="T216" s="210"/>
      <c r="U216" s="200"/>
      <c r="V216" s="134"/>
      <c r="W216" s="134"/>
      <c r="X216" s="134"/>
      <c r="Y216" s="134"/>
      <c r="Z216" s="134"/>
      <c r="AA216" s="135"/>
    </row>
    <row r="217" spans="1:27" x14ac:dyDescent="0.3">
      <c r="A217" s="176" t="s">
        <v>2696</v>
      </c>
      <c r="B217" s="177" t="s">
        <v>603</v>
      </c>
      <c r="C217" s="134"/>
      <c r="D217" s="178">
        <v>722.48</v>
      </c>
      <c r="E217" s="134"/>
      <c r="F217" s="134"/>
      <c r="G217" s="135"/>
      <c r="H217" s="210"/>
      <c r="I217" s="134"/>
      <c r="J217" s="139"/>
      <c r="K217" s="135"/>
      <c r="L217" s="181"/>
      <c r="M217" s="179"/>
      <c r="N217" s="134"/>
      <c r="O217" s="134"/>
      <c r="P217" s="134"/>
      <c r="Q217" s="134"/>
      <c r="R217" s="134"/>
      <c r="S217" s="351"/>
      <c r="T217" s="210"/>
      <c r="U217" s="200"/>
      <c r="V217" s="134"/>
      <c r="W217" s="134"/>
      <c r="X217" s="134"/>
      <c r="Y217" s="134"/>
      <c r="Z217" s="134"/>
      <c r="AA217" s="135"/>
    </row>
    <row r="218" spans="1:27" x14ac:dyDescent="0.3">
      <c r="A218" s="176" t="s">
        <v>2697</v>
      </c>
      <c r="B218" s="177" t="s">
        <v>604</v>
      </c>
      <c r="C218" s="134"/>
      <c r="D218" s="178">
        <v>722.48</v>
      </c>
      <c r="E218" s="134"/>
      <c r="F218" s="134"/>
      <c r="G218" s="135"/>
      <c r="H218" s="210"/>
      <c r="I218" s="134"/>
      <c r="J218" s="139"/>
      <c r="K218" s="135"/>
      <c r="L218" s="181"/>
      <c r="M218" s="179"/>
      <c r="N218" s="134"/>
      <c r="O218" s="134"/>
      <c r="P218" s="134"/>
      <c r="Q218" s="134"/>
      <c r="R218" s="134"/>
      <c r="S218" s="351"/>
      <c r="T218" s="210"/>
      <c r="U218" s="200"/>
      <c r="V218" s="134"/>
      <c r="W218" s="134"/>
      <c r="X218" s="134"/>
      <c r="Y218" s="134"/>
      <c r="Z218" s="134"/>
      <c r="AA218" s="135"/>
    </row>
    <row r="219" spans="1:27" x14ac:dyDescent="0.3">
      <c r="A219" s="176" t="s">
        <v>2698</v>
      </c>
      <c r="B219" s="177" t="s">
        <v>605</v>
      </c>
      <c r="C219" s="134"/>
      <c r="D219" s="178">
        <v>722.48</v>
      </c>
      <c r="E219" s="134"/>
      <c r="F219" s="134"/>
      <c r="G219" s="135"/>
      <c r="H219" s="210"/>
      <c r="I219" s="134"/>
      <c r="J219" s="139"/>
      <c r="K219" s="135"/>
      <c r="L219" s="181"/>
      <c r="M219" s="179"/>
      <c r="N219" s="134"/>
      <c r="O219" s="134"/>
      <c r="P219" s="134"/>
      <c r="Q219" s="134"/>
      <c r="R219" s="134"/>
      <c r="S219" s="351"/>
      <c r="T219" s="210"/>
      <c r="U219" s="200"/>
      <c r="V219" s="134"/>
      <c r="W219" s="134"/>
      <c r="X219" s="134"/>
      <c r="Y219" s="134"/>
      <c r="Z219" s="134"/>
      <c r="AA219" s="135"/>
    </row>
    <row r="220" spans="1:27" x14ac:dyDescent="0.3">
      <c r="A220" s="176" t="s">
        <v>2699</v>
      </c>
      <c r="B220" s="177" t="s">
        <v>606</v>
      </c>
      <c r="C220" s="134"/>
      <c r="D220" s="178">
        <v>722.48</v>
      </c>
      <c r="E220" s="134"/>
      <c r="F220" s="134"/>
      <c r="G220" s="135"/>
      <c r="H220" s="210"/>
      <c r="I220" s="134"/>
      <c r="J220" s="139"/>
      <c r="K220" s="135"/>
      <c r="L220" s="181"/>
      <c r="M220" s="179"/>
      <c r="N220" s="134"/>
      <c r="O220" s="134"/>
      <c r="P220" s="134"/>
      <c r="Q220" s="134"/>
      <c r="R220" s="134"/>
      <c r="S220" s="351"/>
      <c r="T220" s="210"/>
      <c r="U220" s="200"/>
      <c r="V220" s="134"/>
      <c r="W220" s="134"/>
      <c r="X220" s="134"/>
      <c r="Y220" s="134"/>
      <c r="Z220" s="134"/>
      <c r="AA220" s="135"/>
    </row>
    <row r="221" spans="1:27" x14ac:dyDescent="0.3">
      <c r="A221" s="176" t="s">
        <v>2700</v>
      </c>
      <c r="B221" s="177" t="s">
        <v>607</v>
      </c>
      <c r="C221" s="134"/>
      <c r="D221" s="178">
        <v>722.48</v>
      </c>
      <c r="E221" s="134"/>
      <c r="F221" s="134"/>
      <c r="G221" s="135"/>
      <c r="H221" s="210"/>
      <c r="I221" s="134"/>
      <c r="J221" s="139"/>
      <c r="K221" s="135"/>
      <c r="L221" s="181"/>
      <c r="M221" s="179"/>
      <c r="N221" s="134"/>
      <c r="O221" s="134"/>
      <c r="P221" s="134"/>
      <c r="Q221" s="134"/>
      <c r="R221" s="134"/>
      <c r="S221" s="351"/>
      <c r="T221" s="210"/>
      <c r="U221" s="200"/>
      <c r="V221" s="134"/>
      <c r="W221" s="134"/>
      <c r="X221" s="134"/>
      <c r="Y221" s="134"/>
      <c r="Z221" s="134"/>
      <c r="AA221" s="135"/>
    </row>
    <row r="222" spans="1:27" x14ac:dyDescent="0.3">
      <c r="A222" s="176" t="s">
        <v>2701</v>
      </c>
      <c r="B222" s="177" t="s">
        <v>608</v>
      </c>
      <c r="C222" s="134"/>
      <c r="D222" s="178">
        <v>722.48</v>
      </c>
      <c r="E222" s="134"/>
      <c r="F222" s="134"/>
      <c r="G222" s="135"/>
      <c r="H222" s="210"/>
      <c r="I222" s="134"/>
      <c r="J222" s="139"/>
      <c r="K222" s="135"/>
      <c r="L222" s="181"/>
      <c r="M222" s="179"/>
      <c r="N222" s="134"/>
      <c r="O222" s="134"/>
      <c r="P222" s="134"/>
      <c r="Q222" s="134"/>
      <c r="R222" s="134"/>
      <c r="S222" s="351"/>
      <c r="T222" s="210"/>
      <c r="U222" s="200"/>
      <c r="V222" s="134"/>
      <c r="W222" s="134"/>
      <c r="X222" s="134"/>
      <c r="Y222" s="134"/>
      <c r="Z222" s="134"/>
      <c r="AA222" s="135"/>
    </row>
    <row r="223" spans="1:27" x14ac:dyDescent="0.3">
      <c r="A223" s="176" t="s">
        <v>2702</v>
      </c>
      <c r="B223" s="177" t="s">
        <v>609</v>
      </c>
      <c r="C223" s="134"/>
      <c r="D223" s="178">
        <v>722.48</v>
      </c>
      <c r="E223" s="134"/>
      <c r="F223" s="134"/>
      <c r="G223" s="135"/>
      <c r="H223" s="210"/>
      <c r="I223" s="134"/>
      <c r="J223" s="139"/>
      <c r="K223" s="135"/>
      <c r="L223" s="181"/>
      <c r="M223" s="179"/>
      <c r="N223" s="134"/>
      <c r="O223" s="134"/>
      <c r="P223" s="134"/>
      <c r="Q223" s="134"/>
      <c r="R223" s="134"/>
      <c r="S223" s="351"/>
      <c r="T223" s="210"/>
      <c r="U223" s="200"/>
      <c r="V223" s="134"/>
      <c r="W223" s="134"/>
      <c r="X223" s="134"/>
      <c r="Y223" s="134"/>
      <c r="Z223" s="134"/>
      <c r="AA223" s="135"/>
    </row>
    <row r="224" spans="1:27" x14ac:dyDescent="0.3">
      <c r="A224" s="176" t="s">
        <v>2703</v>
      </c>
      <c r="B224" s="177" t="s">
        <v>610</v>
      </c>
      <c r="C224" s="134"/>
      <c r="D224" s="178">
        <v>722.48</v>
      </c>
      <c r="E224" s="134"/>
      <c r="F224" s="134"/>
      <c r="G224" s="135"/>
      <c r="H224" s="210"/>
      <c r="I224" s="134"/>
      <c r="J224" s="139"/>
      <c r="K224" s="135"/>
      <c r="L224" s="181"/>
      <c r="M224" s="179"/>
      <c r="N224" s="134"/>
      <c r="O224" s="134"/>
      <c r="P224" s="134"/>
      <c r="Q224" s="134"/>
      <c r="R224" s="134"/>
      <c r="S224" s="351"/>
      <c r="T224" s="210"/>
      <c r="U224" s="200"/>
      <c r="V224" s="134"/>
      <c r="W224" s="134"/>
      <c r="X224" s="134"/>
      <c r="Y224" s="134"/>
      <c r="Z224" s="134"/>
      <c r="AA224" s="135"/>
    </row>
    <row r="225" spans="1:27" x14ac:dyDescent="0.3">
      <c r="A225" s="176" t="s">
        <v>2704</v>
      </c>
      <c r="B225" s="177" t="s">
        <v>611</v>
      </c>
      <c r="C225" s="134"/>
      <c r="D225" s="178">
        <v>722.48</v>
      </c>
      <c r="E225" s="134"/>
      <c r="F225" s="134"/>
      <c r="G225" s="135"/>
      <c r="H225" s="210"/>
      <c r="I225" s="150">
        <v>126</v>
      </c>
      <c r="J225" s="139" t="s">
        <v>2741</v>
      </c>
      <c r="K225" s="135">
        <f t="shared" ref="K225:K227" si="10">I225</f>
        <v>126</v>
      </c>
      <c r="L225" s="181"/>
      <c r="M225" s="179"/>
      <c r="N225" s="134"/>
      <c r="O225" s="134"/>
      <c r="P225" s="134"/>
      <c r="Q225" s="134"/>
      <c r="R225" s="134"/>
      <c r="S225" s="351"/>
      <c r="T225" s="210"/>
      <c r="U225" s="200"/>
      <c r="V225" s="134"/>
      <c r="W225" s="134"/>
      <c r="X225" s="134"/>
      <c r="Y225" s="134"/>
      <c r="Z225" s="134"/>
      <c r="AA225" s="135"/>
    </row>
    <row r="226" spans="1:27" x14ac:dyDescent="0.3">
      <c r="A226" s="176" t="s">
        <v>2705</v>
      </c>
      <c r="B226" s="177" t="s">
        <v>612</v>
      </c>
      <c r="C226" s="134" t="s">
        <v>2860</v>
      </c>
      <c r="D226" s="178">
        <v>722.48</v>
      </c>
      <c r="E226" s="134"/>
      <c r="F226" s="134"/>
      <c r="G226" s="135"/>
      <c r="H226" s="210"/>
      <c r="I226" s="150">
        <v>156.5</v>
      </c>
      <c r="J226" s="139" t="s">
        <v>2736</v>
      </c>
      <c r="K226" s="135">
        <f t="shared" si="10"/>
        <v>156.5</v>
      </c>
      <c r="L226" s="181"/>
      <c r="M226" s="179"/>
      <c r="N226" s="134"/>
      <c r="O226" s="134"/>
      <c r="P226" s="134"/>
      <c r="Q226" s="134"/>
      <c r="R226" s="134"/>
      <c r="S226" s="351"/>
      <c r="T226" s="210"/>
      <c r="U226" s="200"/>
      <c r="V226" s="134"/>
      <c r="W226" s="134"/>
      <c r="X226" s="134"/>
      <c r="Y226" s="134"/>
      <c r="Z226" s="134"/>
      <c r="AA226" s="135"/>
    </row>
    <row r="227" spans="1:27" x14ac:dyDescent="0.3">
      <c r="A227" s="176" t="s">
        <v>2706</v>
      </c>
      <c r="B227" s="177" t="s">
        <v>613</v>
      </c>
      <c r="C227" s="134"/>
      <c r="D227" s="178">
        <v>722.48</v>
      </c>
      <c r="E227" s="134"/>
      <c r="F227" s="134"/>
      <c r="G227" s="135"/>
      <c r="H227" s="210"/>
      <c r="I227" s="150">
        <v>186</v>
      </c>
      <c r="J227" s="139" t="s">
        <v>2741</v>
      </c>
      <c r="K227" s="135">
        <f t="shared" si="10"/>
        <v>186</v>
      </c>
      <c r="L227" s="181"/>
      <c r="M227" s="179"/>
      <c r="N227" s="134"/>
      <c r="O227" s="134"/>
      <c r="P227" s="134"/>
      <c r="Q227" s="134"/>
      <c r="R227" s="134"/>
      <c r="S227" s="351"/>
      <c r="T227" s="210"/>
      <c r="U227" s="200"/>
      <c r="V227" s="134"/>
      <c r="W227" s="134"/>
      <c r="X227" s="134"/>
      <c r="Y227" s="134"/>
      <c r="Z227" s="134"/>
      <c r="AA227" s="135"/>
    </row>
    <row r="228" spans="1:27" x14ac:dyDescent="0.3">
      <c r="A228" s="91" t="s">
        <v>2707</v>
      </c>
      <c r="B228" s="129" t="s">
        <v>614</v>
      </c>
      <c r="C228" s="83" t="s">
        <v>2861</v>
      </c>
      <c r="D228" s="182">
        <v>722.48</v>
      </c>
      <c r="E228" s="126">
        <v>8.27</v>
      </c>
      <c r="F228" s="184" t="s">
        <v>2885</v>
      </c>
      <c r="G228" s="85">
        <f>E228</f>
        <v>8.27</v>
      </c>
      <c r="H228" s="206"/>
      <c r="I228" s="83">
        <v>174.25</v>
      </c>
      <c r="J228" s="84" t="s">
        <v>2740</v>
      </c>
      <c r="K228" s="85">
        <f>I231</f>
        <v>172.08333333333334</v>
      </c>
      <c r="L228" s="183"/>
      <c r="M228" s="195">
        <v>4.6800000000000001E-7</v>
      </c>
      <c r="N228" s="83">
        <f>$N$1*M228</f>
        <v>3.510288633482888E-9</v>
      </c>
      <c r="O228" s="83">
        <v>56</v>
      </c>
      <c r="P228" s="83">
        <f>K228</f>
        <v>172.08333333333334</v>
      </c>
      <c r="Q228" s="140">
        <f>N228*EXP(-O228*((P228+$H$1)/298.15-1)/$Q$1)</f>
        <v>1.2657291145285346E-10</v>
      </c>
      <c r="R228" s="84" t="s">
        <v>2737</v>
      </c>
      <c r="S228" s="352">
        <f>Q228</f>
        <v>1.2657291145285346E-10</v>
      </c>
      <c r="T228" s="206">
        <v>1.5E-6</v>
      </c>
      <c r="U228" s="202" t="s">
        <v>3048</v>
      </c>
      <c r="V228" s="83"/>
      <c r="W228" s="83"/>
      <c r="X228" s="83"/>
      <c r="Y228" s="126">
        <f>1000*T228</f>
        <v>1.5E-3</v>
      </c>
      <c r="Z228" s="84" t="s">
        <v>2737</v>
      </c>
      <c r="AA228" s="85">
        <f>Y228</f>
        <v>1.5E-3</v>
      </c>
    </row>
    <row r="229" spans="1:27" x14ac:dyDescent="0.3">
      <c r="A229" s="59"/>
      <c r="B229" s="77"/>
      <c r="C229" s="60"/>
      <c r="D229" s="159">
        <v>722.48</v>
      </c>
      <c r="E229" s="68"/>
      <c r="F229" s="161"/>
      <c r="G229" s="61"/>
      <c r="H229" s="209"/>
      <c r="I229" s="60">
        <v>170</v>
      </c>
      <c r="J229" s="67" t="s">
        <v>2741</v>
      </c>
      <c r="K229" s="61"/>
      <c r="L229" s="160"/>
      <c r="M229" s="76"/>
      <c r="N229" s="60"/>
      <c r="O229" s="60"/>
      <c r="P229" s="60"/>
      <c r="Q229" s="64"/>
      <c r="R229" s="67"/>
      <c r="S229" s="350"/>
      <c r="T229" s="209"/>
      <c r="U229" s="203"/>
      <c r="V229" s="60"/>
      <c r="W229" s="60"/>
      <c r="X229" s="60"/>
      <c r="Y229" s="60"/>
      <c r="Z229" s="67"/>
      <c r="AA229" s="61"/>
    </row>
    <row r="230" spans="1:27" x14ac:dyDescent="0.3">
      <c r="A230" s="59"/>
      <c r="B230" s="77"/>
      <c r="C230" s="60"/>
      <c r="D230" s="159">
        <v>722.48</v>
      </c>
      <c r="E230" s="68"/>
      <c r="F230" s="161"/>
      <c r="G230" s="61"/>
      <c r="H230" s="209"/>
      <c r="I230" s="60">
        <v>172</v>
      </c>
      <c r="J230" s="67" t="s">
        <v>2737</v>
      </c>
      <c r="K230" s="61"/>
      <c r="L230" s="160"/>
      <c r="M230" s="76"/>
      <c r="N230" s="60"/>
      <c r="O230" s="60"/>
      <c r="P230" s="60"/>
      <c r="Q230" s="64"/>
      <c r="R230" s="67"/>
      <c r="S230" s="350"/>
      <c r="T230" s="209"/>
      <c r="U230" s="203"/>
      <c r="V230" s="60"/>
      <c r="W230" s="60"/>
      <c r="X230" s="60"/>
      <c r="Y230" s="60"/>
      <c r="Z230" s="67"/>
      <c r="AA230" s="61"/>
    </row>
    <row r="231" spans="1:27" ht="24" x14ac:dyDescent="0.3">
      <c r="A231" s="59"/>
      <c r="B231" s="77"/>
      <c r="C231" s="60"/>
      <c r="D231" s="159">
        <v>722.48</v>
      </c>
      <c r="E231" s="68"/>
      <c r="F231" s="161"/>
      <c r="G231" s="61"/>
      <c r="H231" s="209"/>
      <c r="I231" s="68">
        <f>AVERAGE(I228:I230)</f>
        <v>172.08333333333334</v>
      </c>
      <c r="J231" s="70" t="s">
        <v>3045</v>
      </c>
      <c r="K231" s="61"/>
      <c r="L231" s="160"/>
      <c r="M231" s="76"/>
      <c r="N231" s="60"/>
      <c r="O231" s="60"/>
      <c r="P231" s="60"/>
      <c r="Q231" s="64"/>
      <c r="R231" s="67"/>
      <c r="S231" s="350"/>
      <c r="T231" s="209"/>
      <c r="U231" s="203"/>
      <c r="V231" s="60"/>
      <c r="W231" s="60"/>
      <c r="X231" s="60"/>
      <c r="Y231" s="60"/>
      <c r="Z231" s="67"/>
      <c r="AA231" s="61"/>
    </row>
    <row r="232" spans="1:27" x14ac:dyDescent="0.3">
      <c r="A232" s="176" t="s">
        <v>2708</v>
      </c>
      <c r="B232" s="177" t="s">
        <v>615</v>
      </c>
      <c r="C232" s="134"/>
      <c r="D232" s="178">
        <v>722.48</v>
      </c>
      <c r="E232" s="134"/>
      <c r="F232" s="134"/>
      <c r="G232" s="135"/>
      <c r="H232" s="210"/>
      <c r="I232" s="150">
        <v>151</v>
      </c>
      <c r="J232" s="139" t="s">
        <v>2741</v>
      </c>
      <c r="K232" s="135">
        <f>I232</f>
        <v>151</v>
      </c>
      <c r="L232" s="181"/>
      <c r="M232" s="179"/>
      <c r="N232" s="134"/>
      <c r="O232" s="134"/>
      <c r="P232" s="134"/>
      <c r="Q232" s="134"/>
      <c r="R232" s="134"/>
      <c r="S232" s="351"/>
      <c r="T232" s="210"/>
      <c r="U232" s="200"/>
      <c r="V232" s="134"/>
      <c r="W232" s="134"/>
      <c r="X232" s="134"/>
      <c r="Y232" s="134"/>
      <c r="Z232" s="134"/>
      <c r="AA232" s="135"/>
    </row>
    <row r="233" spans="1:27" x14ac:dyDescent="0.3">
      <c r="A233" s="176" t="s">
        <v>2709</v>
      </c>
      <c r="B233" s="177" t="s">
        <v>616</v>
      </c>
      <c r="C233" s="134"/>
      <c r="D233" s="178">
        <v>722.48</v>
      </c>
      <c r="E233" s="134"/>
      <c r="F233" s="134"/>
      <c r="G233" s="135"/>
      <c r="H233" s="210"/>
      <c r="I233" s="134"/>
      <c r="J233" s="139"/>
      <c r="K233" s="135"/>
      <c r="L233" s="181"/>
      <c r="M233" s="179"/>
      <c r="N233" s="134"/>
      <c r="O233" s="134"/>
      <c r="P233" s="134"/>
      <c r="Q233" s="134"/>
      <c r="R233" s="134"/>
      <c r="S233" s="351"/>
      <c r="T233" s="210"/>
      <c r="U233" s="200"/>
      <c r="V233" s="134"/>
      <c r="W233" s="134"/>
      <c r="X233" s="134"/>
      <c r="Y233" s="134"/>
      <c r="Z233" s="134"/>
      <c r="AA233" s="135"/>
    </row>
    <row r="234" spans="1:27" x14ac:dyDescent="0.3">
      <c r="A234" s="176" t="s">
        <v>2710</v>
      </c>
      <c r="B234" s="177" t="s">
        <v>617</v>
      </c>
      <c r="C234" s="134"/>
      <c r="D234" s="178">
        <v>722.48</v>
      </c>
      <c r="E234" s="134"/>
      <c r="F234" s="134"/>
      <c r="G234" s="135"/>
      <c r="H234" s="210"/>
      <c r="I234" s="134"/>
      <c r="J234" s="139"/>
      <c r="K234" s="135"/>
      <c r="L234" s="181"/>
      <c r="M234" s="179"/>
      <c r="N234" s="134"/>
      <c r="O234" s="134"/>
      <c r="P234" s="134"/>
      <c r="Q234" s="134"/>
      <c r="R234" s="134"/>
      <c r="S234" s="351"/>
      <c r="T234" s="210"/>
      <c r="U234" s="200"/>
      <c r="V234" s="134"/>
      <c r="W234" s="134"/>
      <c r="X234" s="134"/>
      <c r="Y234" s="134"/>
      <c r="Z234" s="134"/>
      <c r="AA234" s="135"/>
    </row>
    <row r="235" spans="1:27" x14ac:dyDescent="0.3">
      <c r="A235" s="176" t="s">
        <v>2711</v>
      </c>
      <c r="B235" s="177" t="s">
        <v>618</v>
      </c>
      <c r="C235" s="134"/>
      <c r="D235" s="178">
        <v>722.48</v>
      </c>
      <c r="E235" s="134"/>
      <c r="F235" s="134"/>
      <c r="G235" s="135"/>
      <c r="H235" s="210"/>
      <c r="I235" s="134"/>
      <c r="J235" s="139"/>
      <c r="K235" s="135"/>
      <c r="L235" s="181"/>
      <c r="M235" s="179"/>
      <c r="N235" s="134"/>
      <c r="O235" s="134"/>
      <c r="P235" s="134"/>
      <c r="Q235" s="134"/>
      <c r="R235" s="134"/>
      <c r="S235" s="351"/>
      <c r="T235" s="210"/>
      <c r="U235" s="200"/>
      <c r="V235" s="134"/>
      <c r="W235" s="134"/>
      <c r="X235" s="134"/>
      <c r="Y235" s="134"/>
      <c r="Z235" s="134"/>
      <c r="AA235" s="135"/>
    </row>
    <row r="236" spans="1:27" x14ac:dyDescent="0.3">
      <c r="A236" s="176" t="s">
        <v>2712</v>
      </c>
      <c r="B236" s="177" t="s">
        <v>619</v>
      </c>
      <c r="C236" s="134"/>
      <c r="D236" s="178">
        <v>722.48</v>
      </c>
      <c r="E236" s="134"/>
      <c r="F236" s="134"/>
      <c r="G236" s="135"/>
      <c r="H236" s="210"/>
      <c r="I236" s="134"/>
      <c r="J236" s="139"/>
      <c r="K236" s="135"/>
      <c r="L236" s="181"/>
      <c r="M236" s="179"/>
      <c r="N236" s="134"/>
      <c r="O236" s="134"/>
      <c r="P236" s="134"/>
      <c r="Q236" s="134"/>
      <c r="R236" s="134"/>
      <c r="S236" s="351"/>
      <c r="T236" s="210"/>
      <c r="U236" s="200"/>
      <c r="V236" s="134"/>
      <c r="W236" s="134"/>
      <c r="X236" s="134"/>
      <c r="Y236" s="134"/>
      <c r="Z236" s="134"/>
      <c r="AA236" s="135"/>
    </row>
    <row r="237" spans="1:27" x14ac:dyDescent="0.3">
      <c r="A237" s="176" t="s">
        <v>2713</v>
      </c>
      <c r="B237" s="177" t="s">
        <v>620</v>
      </c>
      <c r="C237" s="134"/>
      <c r="D237" s="178">
        <v>722.48</v>
      </c>
      <c r="E237" s="134"/>
      <c r="F237" s="134"/>
      <c r="G237" s="135"/>
      <c r="H237" s="210"/>
      <c r="I237" s="134"/>
      <c r="J237" s="139"/>
      <c r="K237" s="135"/>
      <c r="L237" s="181"/>
      <c r="M237" s="179"/>
      <c r="N237" s="134"/>
      <c r="O237" s="134"/>
      <c r="P237" s="134"/>
      <c r="Q237" s="134"/>
      <c r="R237" s="134"/>
      <c r="S237" s="351"/>
      <c r="T237" s="210"/>
      <c r="U237" s="200"/>
      <c r="V237" s="134"/>
      <c r="W237" s="134"/>
      <c r="X237" s="134"/>
      <c r="Y237" s="134"/>
      <c r="Z237" s="134"/>
      <c r="AA237" s="135"/>
    </row>
    <row r="238" spans="1:27" x14ac:dyDescent="0.3">
      <c r="A238" s="91" t="s">
        <v>2714</v>
      </c>
      <c r="B238" s="129" t="s">
        <v>621</v>
      </c>
      <c r="C238" s="83" t="s">
        <v>2862</v>
      </c>
      <c r="D238" s="182">
        <v>722.48</v>
      </c>
      <c r="E238" s="83"/>
      <c r="F238" s="83"/>
      <c r="G238" s="85"/>
      <c r="H238" s="206"/>
      <c r="I238" s="126">
        <v>197.25</v>
      </c>
      <c r="J238" s="84" t="s">
        <v>2736</v>
      </c>
      <c r="K238" s="85">
        <f>I238</f>
        <v>197.25</v>
      </c>
      <c r="L238" s="183">
        <v>25</v>
      </c>
      <c r="M238" s="83"/>
      <c r="N238" s="83"/>
      <c r="O238" s="83"/>
      <c r="P238" s="83"/>
      <c r="Q238" s="87">
        <v>3.4999999999999998E-10</v>
      </c>
      <c r="R238" s="84" t="s">
        <v>2309</v>
      </c>
      <c r="S238" s="352">
        <f>Q242</f>
        <v>9.0909870423109231E-11</v>
      </c>
      <c r="T238" s="206"/>
      <c r="U238" s="196"/>
      <c r="V238" s="83"/>
      <c r="W238" s="83"/>
      <c r="X238" s="83"/>
      <c r="Y238" s="83"/>
      <c r="Z238" s="83"/>
      <c r="AA238" s="85"/>
    </row>
    <row r="239" spans="1:27" x14ac:dyDescent="0.3">
      <c r="A239" s="59"/>
      <c r="B239" s="77"/>
      <c r="C239" s="60"/>
      <c r="D239" s="159">
        <v>722.48</v>
      </c>
      <c r="E239" s="60"/>
      <c r="F239" s="60"/>
      <c r="G239" s="61"/>
      <c r="H239" s="209"/>
      <c r="I239" s="68"/>
      <c r="J239" s="67"/>
      <c r="K239" s="61"/>
      <c r="L239" s="160">
        <v>25</v>
      </c>
      <c r="M239" s="60"/>
      <c r="N239" s="60"/>
      <c r="O239" s="60"/>
      <c r="P239" s="60"/>
      <c r="Q239" s="64">
        <v>3.4999999999999998E-10</v>
      </c>
      <c r="R239" s="67" t="s">
        <v>3005</v>
      </c>
      <c r="S239" s="350"/>
      <c r="T239" s="209"/>
      <c r="U239" s="75"/>
      <c r="V239" s="60"/>
      <c r="W239" s="60"/>
      <c r="X239" s="60"/>
      <c r="Y239" s="60"/>
      <c r="Z239" s="60"/>
      <c r="AA239" s="61"/>
    </row>
    <row r="240" spans="1:27" x14ac:dyDescent="0.3">
      <c r="A240" s="59"/>
      <c r="B240" s="77"/>
      <c r="C240" s="60"/>
      <c r="D240" s="159">
        <v>722.48</v>
      </c>
      <c r="E240" s="60"/>
      <c r="F240" s="60"/>
      <c r="G240" s="61"/>
      <c r="H240" s="209"/>
      <c r="I240" s="68"/>
      <c r="J240" s="67"/>
      <c r="K240" s="61"/>
      <c r="L240" s="160"/>
      <c r="M240" s="65">
        <v>2.8200000000000001E-7</v>
      </c>
      <c r="N240" s="60">
        <f>$N$1*M240</f>
        <v>2.1151739201755864E-9</v>
      </c>
      <c r="O240" s="60">
        <v>56</v>
      </c>
      <c r="P240" s="60">
        <f>K238</f>
        <v>197.25</v>
      </c>
      <c r="Q240" s="64">
        <f>N240*EXP(-O240*((P240+$H$1)/298.15-1)/$Q$1)</f>
        <v>4.3195591338360237E-11</v>
      </c>
      <c r="R240" s="67" t="s">
        <v>2737</v>
      </c>
      <c r="S240" s="350"/>
      <c r="T240" s="209"/>
      <c r="U240" s="75"/>
      <c r="V240" s="60"/>
      <c r="W240" s="60"/>
      <c r="X240" s="60"/>
      <c r="Y240" s="60"/>
      <c r="Z240" s="60"/>
      <c r="AA240" s="61"/>
    </row>
    <row r="241" spans="1:27" x14ac:dyDescent="0.3">
      <c r="A241" s="59"/>
      <c r="B241" s="77"/>
      <c r="C241" s="60"/>
      <c r="D241" s="159">
        <v>722.48</v>
      </c>
      <c r="E241" s="60"/>
      <c r="F241" s="60"/>
      <c r="G241" s="61"/>
      <c r="H241" s="209"/>
      <c r="I241" s="68"/>
      <c r="J241" s="67"/>
      <c r="K241" s="61"/>
      <c r="L241" s="160"/>
      <c r="M241" s="65">
        <v>9.0500000000000002E-7</v>
      </c>
      <c r="N241" s="60">
        <f>$N$1*M241</f>
        <v>6.788058148081226E-9</v>
      </c>
      <c r="O241" s="60">
        <v>56</v>
      </c>
      <c r="P241" s="60">
        <f>K238</f>
        <v>197.25</v>
      </c>
      <c r="Q241" s="64">
        <f>N241*EXP(-O241*((P241+$H$1)/298.15-1)/$Q$1)</f>
        <v>1.3862414950785823E-10</v>
      </c>
      <c r="R241" s="67" t="s">
        <v>2912</v>
      </c>
      <c r="S241" s="350"/>
      <c r="T241" s="209"/>
      <c r="U241" s="75"/>
      <c r="V241" s="60"/>
      <c r="W241" s="60"/>
      <c r="X241" s="60"/>
      <c r="Y241" s="60"/>
      <c r="Z241" s="60"/>
      <c r="AA241" s="61"/>
    </row>
    <row r="242" spans="1:27" ht="24" x14ac:dyDescent="0.3">
      <c r="A242" s="166"/>
      <c r="B242" s="167"/>
      <c r="C242" s="154"/>
      <c r="D242" s="168">
        <v>722.48</v>
      </c>
      <c r="E242" s="154"/>
      <c r="F242" s="154"/>
      <c r="G242" s="155"/>
      <c r="H242" s="211"/>
      <c r="I242" s="169"/>
      <c r="J242" s="165"/>
      <c r="K242" s="155"/>
      <c r="L242" s="172"/>
      <c r="M242" s="154"/>
      <c r="N242" s="154"/>
      <c r="O242" s="154"/>
      <c r="P242" s="154"/>
      <c r="Q242" s="186">
        <f>AVERAGE(Q240:Q241)</f>
        <v>9.0909870423109231E-11</v>
      </c>
      <c r="R242" s="171" t="s">
        <v>2913</v>
      </c>
      <c r="S242" s="353"/>
      <c r="T242" s="211"/>
      <c r="U242" s="205"/>
      <c r="V242" s="154"/>
      <c r="W242" s="154"/>
      <c r="X242" s="154"/>
      <c r="Y242" s="154"/>
      <c r="Z242" s="154"/>
      <c r="AA242" s="155"/>
    </row>
    <row r="243" spans="1:27" x14ac:dyDescent="0.3">
      <c r="A243" s="176" t="s">
        <v>2715</v>
      </c>
      <c r="B243" s="177" t="s">
        <v>622</v>
      </c>
      <c r="C243" s="134"/>
      <c r="D243" s="178">
        <v>722.48</v>
      </c>
      <c r="E243" s="134"/>
      <c r="F243" s="134"/>
      <c r="G243" s="135"/>
      <c r="H243" s="210"/>
      <c r="I243" s="134"/>
      <c r="J243" s="139"/>
      <c r="K243" s="135"/>
      <c r="L243" s="181"/>
      <c r="M243" s="179"/>
      <c r="N243" s="134"/>
      <c r="O243" s="134"/>
      <c r="P243" s="134"/>
      <c r="Q243" s="134"/>
      <c r="R243" s="134"/>
      <c r="S243" s="351"/>
      <c r="T243" s="210"/>
      <c r="U243" s="200"/>
      <c r="V243" s="134"/>
      <c r="W243" s="134"/>
      <c r="X243" s="134"/>
      <c r="Y243" s="134"/>
      <c r="Z243" s="134"/>
      <c r="AA243" s="135"/>
    </row>
    <row r="244" spans="1:27" x14ac:dyDescent="0.3">
      <c r="A244" s="176" t="s">
        <v>2716</v>
      </c>
      <c r="B244" s="177" t="s">
        <v>623</v>
      </c>
      <c r="C244" s="134"/>
      <c r="D244" s="178">
        <v>722.48</v>
      </c>
      <c r="E244" s="134"/>
      <c r="F244" s="134"/>
      <c r="G244" s="135"/>
      <c r="H244" s="210"/>
      <c r="I244" s="134"/>
      <c r="J244" s="139"/>
      <c r="K244" s="135"/>
      <c r="L244" s="181"/>
      <c r="M244" s="179"/>
      <c r="N244" s="134"/>
      <c r="O244" s="134"/>
      <c r="P244" s="134"/>
      <c r="Q244" s="134"/>
      <c r="R244" s="134"/>
      <c r="S244" s="351"/>
      <c r="T244" s="210"/>
      <c r="U244" s="200"/>
      <c r="V244" s="134"/>
      <c r="W244" s="134"/>
      <c r="X244" s="134"/>
      <c r="Y244" s="134"/>
      <c r="Z244" s="134"/>
      <c r="AA244" s="135"/>
    </row>
    <row r="245" spans="1:27" x14ac:dyDescent="0.3">
      <c r="A245" s="176" t="s">
        <v>2717</v>
      </c>
      <c r="B245" s="177" t="s">
        <v>624</v>
      </c>
      <c r="C245" s="134"/>
      <c r="D245" s="178">
        <v>722.48</v>
      </c>
      <c r="E245" s="134"/>
      <c r="F245" s="134"/>
      <c r="G245" s="135"/>
      <c r="H245" s="210"/>
      <c r="I245" s="134"/>
      <c r="J245" s="139"/>
      <c r="K245" s="135"/>
      <c r="L245" s="181"/>
      <c r="M245" s="179"/>
      <c r="N245" s="134"/>
      <c r="O245" s="134"/>
      <c r="P245" s="134"/>
      <c r="Q245" s="134"/>
      <c r="R245" s="134"/>
      <c r="S245" s="351"/>
      <c r="T245" s="210"/>
      <c r="U245" s="200"/>
      <c r="V245" s="134"/>
      <c r="W245" s="134"/>
      <c r="X245" s="134"/>
      <c r="Y245" s="134"/>
      <c r="Z245" s="134"/>
      <c r="AA245" s="135"/>
    </row>
    <row r="246" spans="1:27" x14ac:dyDescent="0.3">
      <c r="A246" s="176" t="s">
        <v>2718</v>
      </c>
      <c r="B246" s="177" t="s">
        <v>625</v>
      </c>
      <c r="C246" s="134" t="s">
        <v>2869</v>
      </c>
      <c r="D246" s="178">
        <v>801.38</v>
      </c>
      <c r="E246" s="134"/>
      <c r="F246" s="134"/>
      <c r="G246" s="135"/>
      <c r="H246" s="210"/>
      <c r="I246" s="134"/>
      <c r="J246" s="139"/>
      <c r="K246" s="135"/>
      <c r="L246" s="181"/>
      <c r="M246" s="179"/>
      <c r="N246" s="134"/>
      <c r="O246" s="134"/>
      <c r="P246" s="134"/>
      <c r="Q246" s="134"/>
      <c r="R246" s="134"/>
      <c r="S246" s="351"/>
      <c r="T246" s="210"/>
      <c r="U246" s="200"/>
      <c r="V246" s="134"/>
      <c r="W246" s="134"/>
      <c r="X246" s="134"/>
      <c r="Y246" s="134"/>
      <c r="Z246" s="134"/>
      <c r="AA246" s="135"/>
    </row>
    <row r="247" spans="1:27" x14ac:dyDescent="0.3">
      <c r="A247" s="176" t="s">
        <v>2719</v>
      </c>
      <c r="B247" s="177" t="s">
        <v>626</v>
      </c>
      <c r="C247" s="134" t="s">
        <v>2870</v>
      </c>
      <c r="D247" s="178">
        <v>801.38</v>
      </c>
      <c r="E247" s="134"/>
      <c r="F247" s="134"/>
      <c r="G247" s="135"/>
      <c r="H247" s="210"/>
      <c r="I247" s="150">
        <v>209.5</v>
      </c>
      <c r="J247" s="139" t="s">
        <v>2741</v>
      </c>
      <c r="K247" s="135">
        <f>I247</f>
        <v>209.5</v>
      </c>
      <c r="L247" s="181"/>
      <c r="M247" s="179"/>
      <c r="N247" s="134"/>
      <c r="O247" s="134"/>
      <c r="P247" s="134"/>
      <c r="Q247" s="134"/>
      <c r="R247" s="134"/>
      <c r="S247" s="351"/>
      <c r="T247" s="210"/>
      <c r="U247" s="200"/>
      <c r="V247" s="134"/>
      <c r="W247" s="134"/>
      <c r="X247" s="134"/>
      <c r="Y247" s="134"/>
      <c r="Z247" s="134"/>
      <c r="AA247" s="135"/>
    </row>
    <row r="248" spans="1:27" x14ac:dyDescent="0.3">
      <c r="A248" s="176" t="s">
        <v>2720</v>
      </c>
      <c r="B248" s="177" t="s">
        <v>627</v>
      </c>
      <c r="C248" s="134" t="s">
        <v>2863</v>
      </c>
      <c r="D248" s="178">
        <v>801.38</v>
      </c>
      <c r="E248" s="134"/>
      <c r="F248" s="134"/>
      <c r="G248" s="135"/>
      <c r="H248" s="210"/>
      <c r="I248" s="134"/>
      <c r="J248" s="139"/>
      <c r="K248" s="135"/>
      <c r="L248" s="181"/>
      <c r="M248" s="179"/>
      <c r="N248" s="134"/>
      <c r="O248" s="134"/>
      <c r="P248" s="134"/>
      <c r="Q248" s="134"/>
      <c r="R248" s="134"/>
      <c r="S248" s="351"/>
      <c r="T248" s="210"/>
      <c r="U248" s="200"/>
      <c r="V248" s="134"/>
      <c r="W248" s="134"/>
      <c r="X248" s="134"/>
      <c r="Y248" s="134"/>
      <c r="Z248" s="134"/>
      <c r="AA248" s="135"/>
    </row>
    <row r="249" spans="1:27" x14ac:dyDescent="0.3">
      <c r="A249" s="176" t="s">
        <v>2721</v>
      </c>
      <c r="B249" s="177" t="s">
        <v>628</v>
      </c>
      <c r="C249" s="134" t="s">
        <v>2868</v>
      </c>
      <c r="D249" s="178">
        <v>801.38</v>
      </c>
      <c r="E249" s="134"/>
      <c r="F249" s="134"/>
      <c r="G249" s="135"/>
      <c r="H249" s="210"/>
      <c r="I249" s="134"/>
      <c r="J249" s="139"/>
      <c r="K249" s="135"/>
      <c r="L249" s="181"/>
      <c r="M249" s="179"/>
      <c r="N249" s="134"/>
      <c r="O249" s="134"/>
      <c r="P249" s="134"/>
      <c r="Q249" s="134"/>
      <c r="R249" s="134"/>
      <c r="S249" s="351"/>
      <c r="T249" s="210"/>
      <c r="U249" s="200"/>
      <c r="V249" s="134"/>
      <c r="W249" s="134"/>
      <c r="X249" s="134"/>
      <c r="Y249" s="134"/>
      <c r="Z249" s="134"/>
      <c r="AA249" s="135"/>
    </row>
    <row r="250" spans="1:27" x14ac:dyDescent="0.3">
      <c r="A250" s="176" t="s">
        <v>2722</v>
      </c>
      <c r="B250" s="177" t="s">
        <v>629</v>
      </c>
      <c r="C250" s="134" t="s">
        <v>2864</v>
      </c>
      <c r="D250" s="178">
        <v>801.38</v>
      </c>
      <c r="E250" s="134"/>
      <c r="F250" s="134"/>
      <c r="G250" s="135"/>
      <c r="H250" s="210"/>
      <c r="I250" s="134"/>
      <c r="J250" s="139"/>
      <c r="K250" s="135"/>
      <c r="L250" s="181"/>
      <c r="M250" s="179"/>
      <c r="N250" s="134"/>
      <c r="O250" s="134"/>
      <c r="P250" s="134"/>
      <c r="Q250" s="134"/>
      <c r="R250" s="134"/>
      <c r="S250" s="351"/>
      <c r="T250" s="210"/>
      <c r="U250" s="200"/>
      <c r="V250" s="134"/>
      <c r="W250" s="134"/>
      <c r="X250" s="134"/>
      <c r="Y250" s="134"/>
      <c r="Z250" s="134"/>
      <c r="AA250" s="135"/>
    </row>
    <row r="251" spans="1:27" x14ac:dyDescent="0.3">
      <c r="A251" s="176" t="s">
        <v>2723</v>
      </c>
      <c r="B251" s="177" t="s">
        <v>630</v>
      </c>
      <c r="C251" s="134" t="s">
        <v>2867</v>
      </c>
      <c r="D251" s="178">
        <v>801.38</v>
      </c>
      <c r="E251" s="134"/>
      <c r="F251" s="134"/>
      <c r="G251" s="135"/>
      <c r="H251" s="210"/>
      <c r="I251" s="134"/>
      <c r="J251" s="139"/>
      <c r="K251" s="135"/>
      <c r="L251" s="181"/>
      <c r="M251" s="179"/>
      <c r="N251" s="134"/>
      <c r="O251" s="134"/>
      <c r="P251" s="134"/>
      <c r="Q251" s="134"/>
      <c r="R251" s="134"/>
      <c r="S251" s="351"/>
      <c r="T251" s="210"/>
      <c r="U251" s="200"/>
      <c r="V251" s="134"/>
      <c r="W251" s="134"/>
      <c r="X251" s="134"/>
      <c r="Y251" s="134"/>
      <c r="Z251" s="134"/>
      <c r="AA251" s="135"/>
    </row>
    <row r="252" spans="1:27" x14ac:dyDescent="0.3">
      <c r="A252" s="176" t="s">
        <v>2724</v>
      </c>
      <c r="B252" s="177" t="s">
        <v>631</v>
      </c>
      <c r="C252" s="134" t="s">
        <v>2871</v>
      </c>
      <c r="D252" s="178">
        <v>801.38</v>
      </c>
      <c r="E252" s="134"/>
      <c r="F252" s="134"/>
      <c r="G252" s="135"/>
      <c r="H252" s="210"/>
      <c r="I252" s="134"/>
      <c r="J252" s="139"/>
      <c r="K252" s="135"/>
      <c r="L252" s="181"/>
      <c r="M252" s="179"/>
      <c r="N252" s="134"/>
      <c r="O252" s="134"/>
      <c r="P252" s="134"/>
      <c r="Q252" s="134"/>
      <c r="R252" s="134"/>
      <c r="S252" s="351"/>
      <c r="T252" s="210"/>
      <c r="U252" s="200"/>
      <c r="V252" s="134"/>
      <c r="W252" s="134"/>
      <c r="X252" s="134"/>
      <c r="Y252" s="134"/>
      <c r="Z252" s="134"/>
      <c r="AA252" s="135"/>
    </row>
    <row r="253" spans="1:27" x14ac:dyDescent="0.3">
      <c r="A253" s="176" t="s">
        <v>2725</v>
      </c>
      <c r="B253" s="177" t="s">
        <v>632</v>
      </c>
      <c r="C253" s="134" t="s">
        <v>2872</v>
      </c>
      <c r="D253" s="178">
        <v>801.38</v>
      </c>
      <c r="E253" s="134"/>
      <c r="F253" s="134"/>
      <c r="G253" s="135"/>
      <c r="H253" s="210"/>
      <c r="I253" s="134"/>
      <c r="J253" s="139"/>
      <c r="K253" s="135"/>
      <c r="L253" s="181"/>
      <c r="M253" s="179"/>
      <c r="N253" s="134"/>
      <c r="O253" s="134"/>
      <c r="P253" s="134"/>
      <c r="Q253" s="134"/>
      <c r="R253" s="134"/>
      <c r="S253" s="351"/>
      <c r="T253" s="210"/>
      <c r="U253" s="200"/>
      <c r="V253" s="134"/>
      <c r="W253" s="134"/>
      <c r="X253" s="134"/>
      <c r="Y253" s="134"/>
      <c r="Z253" s="134"/>
      <c r="AA253" s="135"/>
    </row>
    <row r="254" spans="1:27" x14ac:dyDescent="0.3">
      <c r="A254" s="176" t="s">
        <v>2726</v>
      </c>
      <c r="B254" s="177" t="s">
        <v>633</v>
      </c>
      <c r="C254" s="134"/>
      <c r="D254" s="178">
        <v>801.38</v>
      </c>
      <c r="E254" s="134"/>
      <c r="F254" s="134"/>
      <c r="G254" s="135"/>
      <c r="H254" s="210"/>
      <c r="I254" s="134"/>
      <c r="J254" s="139"/>
      <c r="K254" s="135"/>
      <c r="L254" s="181"/>
      <c r="M254" s="179"/>
      <c r="N254" s="134"/>
      <c r="O254" s="134"/>
      <c r="P254" s="134"/>
      <c r="Q254" s="134"/>
      <c r="R254" s="134"/>
      <c r="S254" s="351"/>
      <c r="T254" s="210"/>
      <c r="U254" s="200"/>
      <c r="V254" s="134"/>
      <c r="W254" s="134"/>
      <c r="X254" s="134"/>
      <c r="Y254" s="134"/>
      <c r="Z254" s="134"/>
      <c r="AA254" s="135"/>
    </row>
    <row r="255" spans="1:27" x14ac:dyDescent="0.3">
      <c r="A255" s="176" t="s">
        <v>2727</v>
      </c>
      <c r="B255" s="177" t="s">
        <v>634</v>
      </c>
      <c r="C255" s="134" t="s">
        <v>653</v>
      </c>
      <c r="D255" s="178">
        <v>801.38</v>
      </c>
      <c r="E255" s="134">
        <v>8.7100000000000009</v>
      </c>
      <c r="F255" s="139" t="s">
        <v>2309</v>
      </c>
      <c r="G255" s="135"/>
      <c r="H255" s="210"/>
      <c r="I255" s="150">
        <v>234.5</v>
      </c>
      <c r="J255" s="139" t="s">
        <v>2741</v>
      </c>
      <c r="K255" s="135">
        <f t="shared" ref="K255:K256" si="11">I255</f>
        <v>234.5</v>
      </c>
      <c r="L255" s="181">
        <v>25</v>
      </c>
      <c r="M255" s="179"/>
      <c r="N255" s="134"/>
      <c r="O255" s="134"/>
      <c r="P255" s="134"/>
      <c r="Q255" s="188">
        <v>1.2699999999999999E-2</v>
      </c>
      <c r="R255" s="143" t="s">
        <v>3033</v>
      </c>
      <c r="S255" s="351"/>
      <c r="T255" s="210"/>
      <c r="U255" s="200"/>
      <c r="V255" s="134"/>
      <c r="W255" s="134"/>
      <c r="X255" s="134"/>
      <c r="Y255" s="134"/>
      <c r="Z255" s="134"/>
      <c r="AA255" s="135"/>
    </row>
    <row r="256" spans="1:27" x14ac:dyDescent="0.3">
      <c r="A256" s="176" t="s">
        <v>2728</v>
      </c>
      <c r="B256" s="177" t="s">
        <v>635</v>
      </c>
      <c r="C256" s="134" t="s">
        <v>2873</v>
      </c>
      <c r="D256" s="178">
        <v>801.38</v>
      </c>
      <c r="E256" s="134"/>
      <c r="F256" s="134"/>
      <c r="G256" s="135"/>
      <c r="H256" s="210"/>
      <c r="I256" s="150">
        <v>185.75</v>
      </c>
      <c r="J256" s="139" t="s">
        <v>2741</v>
      </c>
      <c r="K256" s="135">
        <f t="shared" si="11"/>
        <v>185.75</v>
      </c>
      <c r="L256" s="181"/>
      <c r="M256" s="179"/>
      <c r="N256" s="134"/>
      <c r="O256" s="134"/>
      <c r="P256" s="134"/>
      <c r="Q256" s="134"/>
      <c r="R256" s="134"/>
      <c r="S256" s="351"/>
      <c r="T256" s="210"/>
      <c r="U256" s="200"/>
      <c r="V256" s="134"/>
      <c r="W256" s="134"/>
      <c r="X256" s="134"/>
      <c r="Y256" s="134"/>
      <c r="Z256" s="134"/>
      <c r="AA256" s="135"/>
    </row>
    <row r="257" spans="1:27" x14ac:dyDescent="0.3">
      <c r="A257" s="176" t="s">
        <v>2729</v>
      </c>
      <c r="B257" s="177" t="s">
        <v>636</v>
      </c>
      <c r="C257" s="134" t="s">
        <v>652</v>
      </c>
      <c r="D257" s="178">
        <v>801.38</v>
      </c>
      <c r="E257" s="134"/>
      <c r="F257" s="134"/>
      <c r="G257" s="135"/>
      <c r="H257" s="210"/>
      <c r="I257" s="134"/>
      <c r="J257" s="139"/>
      <c r="K257" s="135"/>
      <c r="L257" s="181"/>
      <c r="M257" s="179"/>
      <c r="N257" s="134"/>
      <c r="O257" s="134"/>
      <c r="P257" s="134"/>
      <c r="Q257" s="134"/>
      <c r="R257" s="134"/>
      <c r="S257" s="351"/>
      <c r="T257" s="210"/>
      <c r="U257" s="200"/>
      <c r="V257" s="134"/>
      <c r="W257" s="134"/>
      <c r="X257" s="134"/>
      <c r="Y257" s="134"/>
      <c r="Z257" s="134"/>
      <c r="AA257" s="135"/>
    </row>
    <row r="258" spans="1:27" x14ac:dyDescent="0.3">
      <c r="A258" s="176" t="s">
        <v>2730</v>
      </c>
      <c r="B258" s="177" t="s">
        <v>637</v>
      </c>
      <c r="C258" s="134" t="s">
        <v>2881</v>
      </c>
      <c r="D258" s="178">
        <v>880.27</v>
      </c>
      <c r="E258" s="134"/>
      <c r="F258" s="134"/>
      <c r="G258" s="135"/>
      <c r="H258" s="210"/>
      <c r="I258" s="134"/>
      <c r="J258" s="139"/>
      <c r="K258" s="135"/>
      <c r="L258" s="181"/>
      <c r="M258" s="179"/>
      <c r="N258" s="134"/>
      <c r="O258" s="134"/>
      <c r="P258" s="134"/>
      <c r="Q258" s="134"/>
      <c r="R258" s="134"/>
      <c r="S258" s="351"/>
      <c r="T258" s="210"/>
      <c r="U258" s="200"/>
      <c r="V258" s="134"/>
      <c r="W258" s="134"/>
      <c r="X258" s="134"/>
      <c r="Y258" s="134"/>
      <c r="Z258" s="134"/>
      <c r="AA258" s="135"/>
    </row>
    <row r="259" spans="1:27" x14ac:dyDescent="0.3">
      <c r="A259" s="176" t="s">
        <v>2731</v>
      </c>
      <c r="B259" s="177" t="s">
        <v>638</v>
      </c>
      <c r="C259" s="134" t="s">
        <v>651</v>
      </c>
      <c r="D259" s="178">
        <v>880.27</v>
      </c>
      <c r="E259" s="134"/>
      <c r="F259" s="134"/>
      <c r="G259" s="135"/>
      <c r="H259" s="210"/>
      <c r="I259" s="134"/>
      <c r="J259" s="139"/>
      <c r="K259" s="135"/>
      <c r="L259" s="181"/>
      <c r="M259" s="179"/>
      <c r="N259" s="134"/>
      <c r="O259" s="134"/>
      <c r="P259" s="134"/>
      <c r="Q259" s="134"/>
      <c r="R259" s="134"/>
      <c r="S259" s="351"/>
      <c r="T259" s="210"/>
      <c r="U259" s="200"/>
      <c r="V259" s="134"/>
      <c r="W259" s="134"/>
      <c r="X259" s="134"/>
      <c r="Y259" s="134"/>
      <c r="Z259" s="134"/>
      <c r="AA259" s="135"/>
    </row>
    <row r="260" spans="1:27" x14ac:dyDescent="0.3">
      <c r="A260" s="176" t="s">
        <v>2732</v>
      </c>
      <c r="B260" s="177" t="s">
        <v>639</v>
      </c>
      <c r="C260" s="134"/>
      <c r="D260" s="178">
        <v>880.27</v>
      </c>
      <c r="E260" s="134"/>
      <c r="F260" s="134"/>
      <c r="G260" s="135"/>
      <c r="H260" s="210"/>
      <c r="I260" s="134"/>
      <c r="J260" s="139"/>
      <c r="K260" s="135"/>
      <c r="L260" s="181"/>
      <c r="M260" s="179"/>
      <c r="N260" s="134"/>
      <c r="O260" s="134"/>
      <c r="P260" s="134"/>
      <c r="Q260" s="134"/>
      <c r="R260" s="134"/>
      <c r="S260" s="351"/>
      <c r="T260" s="210"/>
      <c r="U260" s="200"/>
      <c r="V260" s="134"/>
      <c r="W260" s="134"/>
      <c r="X260" s="134"/>
      <c r="Y260" s="134"/>
      <c r="Z260" s="134"/>
      <c r="AA260" s="135"/>
    </row>
    <row r="261" spans="1:27" x14ac:dyDescent="0.3">
      <c r="A261" s="91" t="s">
        <v>2733</v>
      </c>
      <c r="B261" s="81" t="s">
        <v>640</v>
      </c>
      <c r="C261" s="83" t="s">
        <v>650</v>
      </c>
      <c r="D261" s="164">
        <v>959.17</v>
      </c>
      <c r="E261" s="83"/>
      <c r="F261" s="83"/>
      <c r="G261" s="85"/>
      <c r="H261" s="206"/>
      <c r="I261" s="83">
        <v>295</v>
      </c>
      <c r="J261" s="84" t="s">
        <v>2309</v>
      </c>
      <c r="K261" s="85">
        <f>I263</f>
        <v>307.25</v>
      </c>
      <c r="L261" s="183"/>
      <c r="M261" s="196">
        <v>9.0199999999999999E-13</v>
      </c>
      <c r="N261" s="83"/>
      <c r="O261" s="83">
        <f>1000*38.7/(P261+273.15)</f>
        <v>66.678152997932457</v>
      </c>
      <c r="P261" s="83">
        <f>K261</f>
        <v>307.25</v>
      </c>
      <c r="Q261" s="197">
        <f>$N$1*M261</f>
        <v>6.7655562978665921E-15</v>
      </c>
      <c r="R261" s="84" t="s">
        <v>2911</v>
      </c>
      <c r="S261" s="354">
        <f>Q261</f>
        <v>6.7655562978665921E-15</v>
      </c>
      <c r="T261" s="206"/>
      <c r="U261" s="129"/>
      <c r="V261" s="83"/>
      <c r="W261" s="83"/>
      <c r="X261" s="83"/>
      <c r="Y261" s="83">
        <v>1E-4</v>
      </c>
      <c r="Z261" s="84" t="s">
        <v>2309</v>
      </c>
      <c r="AA261" s="85"/>
    </row>
    <row r="262" spans="1:27" x14ac:dyDescent="0.3">
      <c r="A262" s="59"/>
      <c r="B262" s="45"/>
      <c r="C262" s="60"/>
      <c r="D262" s="55">
        <v>959.17</v>
      </c>
      <c r="E262" s="60"/>
      <c r="F262" s="60"/>
      <c r="G262" s="61"/>
      <c r="H262" s="209"/>
      <c r="I262" s="60">
        <v>295</v>
      </c>
      <c r="J262" s="67" t="s">
        <v>3005</v>
      </c>
      <c r="K262" s="61"/>
      <c r="L262" s="160"/>
      <c r="M262" s="69"/>
      <c r="N262" s="60"/>
      <c r="O262" s="60"/>
      <c r="P262" s="60"/>
      <c r="Q262" s="60"/>
      <c r="R262" s="67"/>
      <c r="S262" s="350"/>
      <c r="T262" s="209"/>
      <c r="U262" s="77"/>
      <c r="V262" s="60"/>
      <c r="W262" s="60"/>
      <c r="X262" s="60"/>
      <c r="Y262" s="60">
        <v>1E-4</v>
      </c>
      <c r="Z262" s="67" t="s">
        <v>3005</v>
      </c>
      <c r="AA262" s="61"/>
    </row>
    <row r="263" spans="1:27" x14ac:dyDescent="0.3">
      <c r="A263" s="59"/>
      <c r="B263" s="45"/>
      <c r="C263" s="60"/>
      <c r="D263" s="55">
        <v>959.17</v>
      </c>
      <c r="E263" s="60"/>
      <c r="F263" s="60"/>
      <c r="G263" s="61"/>
      <c r="H263" s="209">
        <v>580.4</v>
      </c>
      <c r="I263" s="68">
        <f>H263-$H$1</f>
        <v>307.25</v>
      </c>
      <c r="J263" s="67" t="s">
        <v>2911</v>
      </c>
      <c r="K263" s="61"/>
      <c r="L263" s="160"/>
      <c r="M263" s="69"/>
      <c r="N263" s="60"/>
      <c r="O263" s="60"/>
      <c r="P263" s="60"/>
      <c r="Q263" s="60"/>
      <c r="R263" s="67"/>
      <c r="S263" s="350"/>
      <c r="T263" s="209"/>
      <c r="U263" s="77"/>
      <c r="V263" s="60"/>
      <c r="W263" s="60"/>
      <c r="X263" s="60"/>
      <c r="Y263" s="60"/>
      <c r="Z263" s="60"/>
      <c r="AA263" s="61"/>
    </row>
  </sheetData>
  <mergeCells count="4">
    <mergeCell ref="T2:AA2"/>
    <mergeCell ref="L2:S2"/>
    <mergeCell ref="E2:G2"/>
    <mergeCell ref="H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4" x14ac:dyDescent="0.3"/>
  <cols>
    <col min="1" max="1" width="6.77734375" style="14" customWidth="1"/>
    <col min="2" max="2" width="36.77734375" style="1" customWidth="1"/>
    <col min="3" max="3" width="10.33203125" style="1" bestFit="1" customWidth="1"/>
    <col min="4" max="4" width="9.6640625" style="1" customWidth="1"/>
    <col min="6" max="6" width="22.6640625" customWidth="1"/>
    <col min="7" max="7" width="9.88671875" customWidth="1"/>
    <col min="10" max="10" width="27.6640625" customWidth="1"/>
    <col min="11" max="11" width="9.88671875" customWidth="1"/>
    <col min="12" max="12" width="7" bestFit="1" customWidth="1"/>
    <col min="13" max="13" width="9.5546875" customWidth="1"/>
    <col min="14" max="14" width="10.6640625" customWidth="1"/>
    <col min="15" max="15" width="8.88671875" customWidth="1"/>
    <col min="16" max="16" width="7" bestFit="1" customWidth="1"/>
    <col min="17" max="17" width="10.33203125" customWidth="1"/>
    <col min="18" max="18" width="33.33203125" customWidth="1"/>
    <col min="19" max="19" width="10.33203125" customWidth="1"/>
    <col min="20" max="20" width="11.33203125" customWidth="1"/>
    <col min="21" max="21" width="13.33203125" bestFit="1" customWidth="1"/>
    <col min="22" max="22" width="10.6640625" bestFit="1" customWidth="1"/>
    <col min="23" max="23" width="12" bestFit="1" customWidth="1"/>
    <col min="24" max="24" width="7" bestFit="1" customWidth="1"/>
    <col min="25" max="25" width="12" bestFit="1" customWidth="1"/>
    <col min="26" max="26" width="30.6640625" customWidth="1"/>
    <col min="27" max="27" width="10.88671875" customWidth="1"/>
  </cols>
  <sheetData>
    <row r="1" spans="1:27" x14ac:dyDescent="0.3">
      <c r="A1" s="9" t="s">
        <v>3018</v>
      </c>
      <c r="H1">
        <v>273.14999999999998</v>
      </c>
      <c r="M1" s="16" t="s">
        <v>3020</v>
      </c>
      <c r="N1">
        <f>1/133.32237</f>
        <v>7.5006167382112993E-3</v>
      </c>
      <c r="P1" s="16" t="s">
        <v>2893</v>
      </c>
      <c r="Q1">
        <v>8.3144597999999998</v>
      </c>
      <c r="R1" s="6" t="s">
        <v>2894</v>
      </c>
      <c r="X1" s="16" t="s">
        <v>2893</v>
      </c>
      <c r="Y1">
        <v>8.3144597999999998</v>
      </c>
      <c r="Z1" s="6" t="s">
        <v>2894</v>
      </c>
    </row>
    <row r="2" spans="1:27" ht="14.4" customHeight="1" x14ac:dyDescent="0.3">
      <c r="A2" s="26"/>
      <c r="B2" s="27"/>
      <c r="C2" s="27"/>
      <c r="D2" s="27"/>
      <c r="E2" s="430" t="s">
        <v>2311</v>
      </c>
      <c r="F2" s="419"/>
      <c r="G2" s="420"/>
      <c r="H2" s="427" t="s">
        <v>3002</v>
      </c>
      <c r="I2" s="428"/>
      <c r="J2" s="428"/>
      <c r="K2" s="429"/>
      <c r="L2" s="415" t="s">
        <v>2888</v>
      </c>
      <c r="M2" s="415"/>
      <c r="N2" s="415"/>
      <c r="O2" s="415"/>
      <c r="P2" s="415"/>
      <c r="Q2" s="415"/>
      <c r="R2" s="415"/>
      <c r="S2" s="416"/>
      <c r="T2" s="431" t="s">
        <v>2890</v>
      </c>
      <c r="U2" s="417"/>
      <c r="V2" s="417"/>
      <c r="W2" s="417"/>
      <c r="X2" s="417"/>
      <c r="Y2" s="417"/>
      <c r="Z2" s="417"/>
      <c r="AA2" s="418"/>
    </row>
    <row r="3" spans="1:27" ht="29.4" thickBot="1" x14ac:dyDescent="0.35">
      <c r="A3" s="42"/>
      <c r="B3" s="43" t="s">
        <v>420</v>
      </c>
      <c r="C3" s="43" t="s">
        <v>421</v>
      </c>
      <c r="D3" s="54" t="s">
        <v>2313</v>
      </c>
      <c r="E3" s="30" t="s">
        <v>2315</v>
      </c>
      <c r="F3" s="30" t="s">
        <v>2882</v>
      </c>
      <c r="G3" s="363" t="s">
        <v>2744</v>
      </c>
      <c r="H3" s="36" t="s">
        <v>3021</v>
      </c>
      <c r="I3" s="29" t="s">
        <v>3022</v>
      </c>
      <c r="J3" s="29" t="s">
        <v>2882</v>
      </c>
      <c r="K3" s="364" t="s">
        <v>2744</v>
      </c>
      <c r="L3" s="31" t="s">
        <v>2874</v>
      </c>
      <c r="M3" s="32" t="s">
        <v>3017</v>
      </c>
      <c r="N3" s="32" t="s">
        <v>3019</v>
      </c>
      <c r="O3" s="33" t="s">
        <v>2891</v>
      </c>
      <c r="P3" s="95" t="s">
        <v>3007</v>
      </c>
      <c r="Q3" s="94" t="s">
        <v>3023</v>
      </c>
      <c r="R3" s="30" t="s">
        <v>2882</v>
      </c>
      <c r="S3" s="34" t="s">
        <v>2744</v>
      </c>
      <c r="T3" s="32" t="s">
        <v>3032</v>
      </c>
      <c r="U3" s="32" t="s">
        <v>3031</v>
      </c>
      <c r="V3" s="32" t="s">
        <v>2892</v>
      </c>
      <c r="W3" s="33" t="s">
        <v>2891</v>
      </c>
      <c r="X3" s="95" t="s">
        <v>3007</v>
      </c>
      <c r="Y3" s="94" t="s">
        <v>3029</v>
      </c>
      <c r="Z3" s="33" t="s">
        <v>2882</v>
      </c>
      <c r="AA3" s="35" t="s">
        <v>2744</v>
      </c>
    </row>
    <row r="4" spans="1:27" x14ac:dyDescent="0.3">
      <c r="A4" s="59"/>
      <c r="B4" s="45" t="s">
        <v>661</v>
      </c>
      <c r="C4" s="60" t="s">
        <v>662</v>
      </c>
      <c r="D4" s="55">
        <v>184.19</v>
      </c>
      <c r="E4" s="60">
        <v>4.3</v>
      </c>
      <c r="F4" s="67" t="s">
        <v>2309</v>
      </c>
      <c r="G4" s="61"/>
      <c r="H4" s="60"/>
      <c r="I4" s="60">
        <v>122</v>
      </c>
      <c r="J4" s="67" t="s">
        <v>2309</v>
      </c>
      <c r="K4" s="61">
        <f>I6</f>
        <v>122.55000000000001</v>
      </c>
      <c r="L4" s="60">
        <v>25</v>
      </c>
      <c r="M4" s="60"/>
      <c r="N4" s="60"/>
      <c r="O4" s="60"/>
      <c r="P4" s="60"/>
      <c r="Q4" s="60">
        <v>4.125E-4</v>
      </c>
      <c r="R4" s="67" t="s">
        <v>2309</v>
      </c>
      <c r="S4" s="63">
        <f>Q6</f>
        <v>4.4758635440548839E-4</v>
      </c>
      <c r="T4" s="60"/>
      <c r="U4" s="62"/>
      <c r="V4" s="60"/>
      <c r="W4" s="60"/>
      <c r="X4" s="60"/>
      <c r="Y4" s="60">
        <v>0.90100000000000002</v>
      </c>
      <c r="Z4" s="67" t="s">
        <v>2310</v>
      </c>
      <c r="AA4" s="63">
        <f>Y11</f>
        <v>1.0609999999999999</v>
      </c>
    </row>
    <row r="5" spans="1:27" x14ac:dyDescent="0.3">
      <c r="A5" s="59"/>
      <c r="B5" s="45"/>
      <c r="C5" s="60"/>
      <c r="D5" s="55">
        <v>184.19</v>
      </c>
      <c r="E5" s="60">
        <v>4.3</v>
      </c>
      <c r="F5" s="67" t="s">
        <v>3005</v>
      </c>
      <c r="G5" s="61"/>
      <c r="H5" s="60"/>
      <c r="I5" s="60">
        <v>122</v>
      </c>
      <c r="J5" s="67" t="s">
        <v>3005</v>
      </c>
      <c r="K5" s="61"/>
      <c r="L5" s="60">
        <v>25</v>
      </c>
      <c r="M5" s="60"/>
      <c r="N5" s="60"/>
      <c r="O5" s="60"/>
      <c r="P5" s="60"/>
      <c r="Q5" s="60">
        <v>4.125E-4</v>
      </c>
      <c r="R5" s="67" t="s">
        <v>3005</v>
      </c>
      <c r="S5" s="63"/>
      <c r="T5" s="60"/>
      <c r="U5" s="62"/>
      <c r="V5" s="60"/>
      <c r="W5" s="60"/>
      <c r="X5" s="60"/>
      <c r="Y5" s="60">
        <v>0.90100000000000002</v>
      </c>
      <c r="Z5" s="67" t="s">
        <v>3005</v>
      </c>
      <c r="AA5" s="63"/>
    </row>
    <row r="6" spans="1:27" x14ac:dyDescent="0.3">
      <c r="A6" s="59"/>
      <c r="B6" s="45"/>
      <c r="C6" s="60"/>
      <c r="D6" s="55">
        <v>184.19</v>
      </c>
      <c r="E6" s="60"/>
      <c r="F6" s="60"/>
      <c r="G6" s="61"/>
      <c r="H6" s="60">
        <v>395.7</v>
      </c>
      <c r="I6" s="68">
        <f>H6-$H$1</f>
        <v>122.55000000000001</v>
      </c>
      <c r="J6" s="67" t="s">
        <v>2314</v>
      </c>
      <c r="K6" s="61"/>
      <c r="L6" s="60">
        <v>25</v>
      </c>
      <c r="M6" s="60">
        <f>EXP(34.944-1000*11.259/298.15)</f>
        <v>5.9673273548999657E-2</v>
      </c>
      <c r="N6" s="60"/>
      <c r="O6" s="60"/>
      <c r="P6" s="60"/>
      <c r="Q6" s="68">
        <f>$N$1*M6</f>
        <v>4.4758635440548839E-4</v>
      </c>
      <c r="R6" s="67" t="s">
        <v>2895</v>
      </c>
      <c r="S6" s="63"/>
      <c r="T6" s="60">
        <v>4.8899999999999998E-6</v>
      </c>
      <c r="U6" s="62" t="s">
        <v>3052</v>
      </c>
      <c r="V6" s="60"/>
      <c r="W6" s="60"/>
      <c r="X6" s="60"/>
      <c r="Y6" s="60">
        <f>1000*$D5*T6</f>
        <v>0.90068909999999991</v>
      </c>
      <c r="Z6" s="67" t="s">
        <v>3004</v>
      </c>
      <c r="AA6" s="63"/>
    </row>
    <row r="7" spans="1:27" x14ac:dyDescent="0.3">
      <c r="A7" s="59"/>
      <c r="B7" s="45"/>
      <c r="C7" s="60"/>
      <c r="D7" s="55">
        <v>184.19</v>
      </c>
      <c r="E7" s="60"/>
      <c r="F7" s="60"/>
      <c r="G7" s="61"/>
      <c r="H7" s="60"/>
      <c r="I7" s="60"/>
      <c r="J7" s="60"/>
      <c r="K7" s="61"/>
      <c r="L7" s="60">
        <v>25</v>
      </c>
      <c r="M7" s="65">
        <v>5.5E-2</v>
      </c>
      <c r="N7" s="60"/>
      <c r="O7" s="60"/>
      <c r="P7" s="60"/>
      <c r="Q7" s="77">
        <f>$N$1*M7</f>
        <v>4.1253392060162144E-4</v>
      </c>
      <c r="R7" s="67" t="s">
        <v>2906</v>
      </c>
      <c r="S7" s="63"/>
      <c r="T7" s="60"/>
      <c r="U7" s="62"/>
      <c r="V7" s="60"/>
      <c r="W7" s="60"/>
      <c r="X7" s="60"/>
      <c r="Y7" s="60">
        <v>1.26</v>
      </c>
      <c r="Z7" s="67" t="s">
        <v>2903</v>
      </c>
      <c r="AA7" s="63"/>
    </row>
    <row r="8" spans="1:27" x14ac:dyDescent="0.3">
      <c r="A8" s="59"/>
      <c r="B8" s="45"/>
      <c r="C8" s="60"/>
      <c r="D8" s="55">
        <v>184.19</v>
      </c>
      <c r="E8" s="60"/>
      <c r="F8" s="60"/>
      <c r="G8" s="61"/>
      <c r="H8" s="60"/>
      <c r="I8" s="60"/>
      <c r="J8" s="60"/>
      <c r="K8" s="61"/>
      <c r="L8" s="60"/>
      <c r="M8" s="60"/>
      <c r="N8" s="60"/>
      <c r="O8" s="60"/>
      <c r="P8" s="60"/>
      <c r="Q8" s="60"/>
      <c r="R8" s="67"/>
      <c r="S8" s="63"/>
      <c r="T8" s="60"/>
      <c r="U8" s="62"/>
      <c r="V8" s="60"/>
      <c r="W8" s="60"/>
      <c r="X8" s="60"/>
      <c r="Y8" s="60">
        <v>1.4</v>
      </c>
      <c r="Z8" s="67" t="s">
        <v>2903</v>
      </c>
      <c r="AA8" s="63"/>
    </row>
    <row r="9" spans="1:27" x14ac:dyDescent="0.3">
      <c r="A9" s="59"/>
      <c r="B9" s="45"/>
      <c r="C9" s="60"/>
      <c r="D9" s="55">
        <v>184.19</v>
      </c>
      <c r="E9" s="60"/>
      <c r="F9" s="60"/>
      <c r="G9" s="61"/>
      <c r="H9" s="60"/>
      <c r="I9" s="60"/>
      <c r="J9" s="60"/>
      <c r="K9" s="61"/>
      <c r="L9" s="60"/>
      <c r="M9" s="60"/>
      <c r="N9" s="60"/>
      <c r="O9" s="60"/>
      <c r="P9" s="60"/>
      <c r="Q9" s="60"/>
      <c r="R9" s="67"/>
      <c r="S9" s="63"/>
      <c r="T9" s="60">
        <v>842</v>
      </c>
      <c r="U9" s="62" t="s">
        <v>3026</v>
      </c>
      <c r="V9" s="60"/>
      <c r="W9" s="60"/>
      <c r="X9" s="60"/>
      <c r="Y9" s="60">
        <f>T9/1000</f>
        <v>0.84199999999999997</v>
      </c>
      <c r="Z9" s="67" t="s">
        <v>2896</v>
      </c>
      <c r="AA9" s="63"/>
    </row>
    <row r="10" spans="1:27" x14ac:dyDescent="0.3">
      <c r="A10" s="59"/>
      <c r="B10" s="45"/>
      <c r="C10" s="60"/>
      <c r="D10" s="55">
        <v>184.19</v>
      </c>
      <c r="E10" s="60"/>
      <c r="F10" s="60"/>
      <c r="G10" s="61"/>
      <c r="H10" s="60"/>
      <c r="I10" s="60"/>
      <c r="J10" s="60"/>
      <c r="K10" s="61"/>
      <c r="L10" s="60"/>
      <c r="M10" s="60"/>
      <c r="N10" s="60"/>
      <c r="O10" s="60"/>
      <c r="P10" s="60"/>
      <c r="Q10" s="60"/>
      <c r="R10" s="67"/>
      <c r="S10" s="63"/>
      <c r="T10" s="60">
        <v>900</v>
      </c>
      <c r="U10" s="62" t="s">
        <v>3026</v>
      </c>
      <c r="V10" s="60"/>
      <c r="W10" s="60"/>
      <c r="X10" s="60"/>
      <c r="Y10" s="60">
        <f>T10/1000</f>
        <v>0.9</v>
      </c>
      <c r="Z10" s="67" t="s">
        <v>2896</v>
      </c>
      <c r="AA10" s="63"/>
    </row>
    <row r="11" spans="1:27" ht="36" x14ac:dyDescent="0.3">
      <c r="A11" s="59"/>
      <c r="B11" s="45"/>
      <c r="C11" s="60"/>
      <c r="D11" s="55">
        <v>184.19</v>
      </c>
      <c r="E11" s="60"/>
      <c r="F11" s="60"/>
      <c r="G11" s="61"/>
      <c r="H11" s="60"/>
      <c r="I11" s="60"/>
      <c r="J11" s="60"/>
      <c r="K11" s="61"/>
      <c r="L11" s="60"/>
      <c r="M11" s="60"/>
      <c r="N11" s="60"/>
      <c r="O11" s="60"/>
      <c r="P11" s="60"/>
      <c r="Q11" s="60"/>
      <c r="R11" s="67"/>
      <c r="S11" s="63"/>
      <c r="T11" s="60"/>
      <c r="U11" s="62"/>
      <c r="V11" s="60"/>
      <c r="W11" s="60"/>
      <c r="X11" s="60"/>
      <c r="Y11" s="68">
        <f>ROUND(AVERAGE(Y6:Y10),3)</f>
        <v>1.0609999999999999</v>
      </c>
      <c r="Z11" s="70" t="s">
        <v>2901</v>
      </c>
      <c r="AA11" s="63"/>
    </row>
    <row r="12" spans="1:27" x14ac:dyDescent="0.3">
      <c r="A12" s="59"/>
      <c r="B12" s="45"/>
      <c r="C12" s="60"/>
      <c r="D12" s="55">
        <v>184.19</v>
      </c>
      <c r="E12" s="60"/>
      <c r="F12" s="60"/>
      <c r="G12" s="61"/>
      <c r="H12" s="60"/>
      <c r="I12" s="60"/>
      <c r="J12" s="60"/>
      <c r="K12" s="61"/>
      <c r="L12" s="60"/>
      <c r="M12" s="60"/>
      <c r="N12" s="60"/>
      <c r="O12" s="60"/>
      <c r="P12" s="60"/>
      <c r="Q12" s="60"/>
      <c r="R12" s="67"/>
      <c r="S12" s="63"/>
      <c r="T12" s="60">
        <v>-5.31</v>
      </c>
      <c r="U12" s="62" t="s">
        <v>3030</v>
      </c>
      <c r="V12" s="60"/>
      <c r="W12" s="60"/>
      <c r="X12" s="60"/>
      <c r="Y12" s="77">
        <f>1000*$D12*10^T12</f>
        <v>0.9021236073947404</v>
      </c>
      <c r="Z12" s="62" t="s">
        <v>3008</v>
      </c>
      <c r="AA12" s="63"/>
    </row>
    <row r="13" spans="1:27" x14ac:dyDescent="0.3">
      <c r="A13" s="91"/>
      <c r="B13" s="81" t="s">
        <v>659</v>
      </c>
      <c r="C13" s="83" t="s">
        <v>657</v>
      </c>
      <c r="D13" s="164">
        <v>218.64</v>
      </c>
      <c r="E13" s="83">
        <v>4.75</v>
      </c>
      <c r="F13" s="84" t="s">
        <v>2309</v>
      </c>
      <c r="G13" s="85"/>
      <c r="H13" s="83"/>
      <c r="I13" s="83">
        <v>104.5</v>
      </c>
      <c r="J13" s="84" t="s">
        <v>2309</v>
      </c>
      <c r="K13" s="85">
        <f>I15</f>
        <v>104.85000000000002</v>
      </c>
      <c r="L13" s="83">
        <v>25</v>
      </c>
      <c r="M13" s="83"/>
      <c r="N13" s="83"/>
      <c r="O13" s="83"/>
      <c r="P13" s="83"/>
      <c r="Q13" s="92">
        <v>9.0000000000000006E-5</v>
      </c>
      <c r="R13" s="84" t="s">
        <v>2309</v>
      </c>
      <c r="S13" s="86">
        <f>Q15</f>
        <v>8.7922163271440763E-5</v>
      </c>
      <c r="T13" s="83"/>
      <c r="U13" s="83"/>
      <c r="V13" s="83"/>
      <c r="W13" s="83"/>
      <c r="X13" s="83"/>
      <c r="Y13" s="83">
        <v>0.41699999999999998</v>
      </c>
      <c r="Z13" s="84" t="s">
        <v>2310</v>
      </c>
      <c r="AA13" s="86">
        <f>Y15</f>
        <v>0.41699999999999998</v>
      </c>
    </row>
    <row r="14" spans="1:27" x14ac:dyDescent="0.3">
      <c r="A14" s="59"/>
      <c r="B14" s="45"/>
      <c r="C14" s="60"/>
      <c r="D14" s="55">
        <v>218.64</v>
      </c>
      <c r="E14" s="60">
        <v>4.75</v>
      </c>
      <c r="F14" s="67" t="s">
        <v>3005</v>
      </c>
      <c r="G14" s="61"/>
      <c r="H14" s="60"/>
      <c r="I14" s="60">
        <v>104.5</v>
      </c>
      <c r="J14" s="67" t="s">
        <v>3005</v>
      </c>
      <c r="K14" s="61"/>
      <c r="L14" s="60">
        <v>25</v>
      </c>
      <c r="M14" s="60"/>
      <c r="N14" s="60"/>
      <c r="O14" s="60"/>
      <c r="P14" s="60"/>
      <c r="Q14" s="65">
        <v>9.0000000000000006E-5</v>
      </c>
      <c r="R14" s="67" t="s">
        <v>3005</v>
      </c>
      <c r="S14" s="63"/>
      <c r="T14" s="60"/>
      <c r="U14" s="60"/>
      <c r="V14" s="60"/>
      <c r="W14" s="60"/>
      <c r="X14" s="60"/>
      <c r="Y14" s="60">
        <v>0.41699999999999998</v>
      </c>
      <c r="Z14" s="67" t="s">
        <v>3005</v>
      </c>
      <c r="AA14" s="63"/>
    </row>
    <row r="15" spans="1:27" x14ac:dyDescent="0.3">
      <c r="A15" s="59"/>
      <c r="B15" s="45"/>
      <c r="C15" s="60"/>
      <c r="D15" s="55">
        <v>218.64</v>
      </c>
      <c r="E15" s="60"/>
      <c r="F15" s="67"/>
      <c r="G15" s="61"/>
      <c r="H15" s="60">
        <v>378</v>
      </c>
      <c r="I15" s="68">
        <f>H15-$H$1</f>
        <v>104.85000000000002</v>
      </c>
      <c r="J15" s="67" t="s">
        <v>2314</v>
      </c>
      <c r="K15" s="61"/>
      <c r="L15" s="60">
        <v>25</v>
      </c>
      <c r="M15" s="60">
        <f>EXP(36.087-1000*12.085/298.15)</f>
        <v>1.1721991182875436E-2</v>
      </c>
      <c r="N15" s="60"/>
      <c r="O15" s="60"/>
      <c r="P15" s="60"/>
      <c r="Q15" s="68">
        <f>$N$1*M15</f>
        <v>8.7922163271440763E-5</v>
      </c>
      <c r="R15" s="67" t="s">
        <v>2895</v>
      </c>
      <c r="S15" s="63"/>
      <c r="T15" s="60">
        <v>417</v>
      </c>
      <c r="U15" s="62" t="s">
        <v>3026</v>
      </c>
      <c r="V15" s="60"/>
      <c r="W15" s="60"/>
      <c r="X15" s="60"/>
      <c r="Y15" s="68">
        <f>T15/1000</f>
        <v>0.41699999999999998</v>
      </c>
      <c r="Z15" s="67" t="s">
        <v>2896</v>
      </c>
      <c r="AA15" s="63"/>
    </row>
    <row r="16" spans="1:27" x14ac:dyDescent="0.3">
      <c r="A16" s="59"/>
      <c r="B16" s="45"/>
      <c r="C16" s="60"/>
      <c r="D16" s="55">
        <v>218.64</v>
      </c>
      <c r="E16" s="60"/>
      <c r="F16" s="67"/>
      <c r="G16" s="61"/>
      <c r="H16" s="60"/>
      <c r="I16" s="68"/>
      <c r="J16" s="67"/>
      <c r="K16" s="61"/>
      <c r="L16" s="60">
        <v>25</v>
      </c>
      <c r="M16" s="65">
        <v>1.2E-2</v>
      </c>
      <c r="N16" s="60"/>
      <c r="O16" s="60"/>
      <c r="P16" s="60"/>
      <c r="Q16" s="77">
        <f>$N$1*M16</f>
        <v>9.0007400858535595E-5</v>
      </c>
      <c r="R16" s="67" t="s">
        <v>2906</v>
      </c>
      <c r="S16" s="63"/>
      <c r="T16" s="60"/>
      <c r="U16" s="62"/>
      <c r="V16" s="60"/>
      <c r="W16" s="60"/>
      <c r="X16" s="60"/>
      <c r="Y16" s="68"/>
      <c r="Z16" s="67"/>
      <c r="AA16" s="63"/>
    </row>
    <row r="17" spans="1:27" x14ac:dyDescent="0.3">
      <c r="A17" s="91"/>
      <c r="B17" s="81" t="s">
        <v>660</v>
      </c>
      <c r="C17" s="83" t="s">
        <v>658</v>
      </c>
      <c r="D17" s="164">
        <v>218.64</v>
      </c>
      <c r="E17" s="83">
        <v>5</v>
      </c>
      <c r="F17" s="84" t="s">
        <v>2309</v>
      </c>
      <c r="G17" s="85"/>
      <c r="H17" s="83"/>
      <c r="I17" s="83">
        <v>88</v>
      </c>
      <c r="J17" s="84" t="s">
        <v>2309</v>
      </c>
      <c r="K17" s="85">
        <f>I19</f>
        <v>88.850000000000023</v>
      </c>
      <c r="L17" s="83">
        <v>25</v>
      </c>
      <c r="M17" s="83"/>
      <c r="N17" s="83"/>
      <c r="O17" s="83"/>
      <c r="P17" s="83"/>
      <c r="Q17" s="83">
        <v>1.2799999999999999E-5</v>
      </c>
      <c r="R17" s="84" t="s">
        <v>2309</v>
      </c>
      <c r="S17" s="86">
        <f>Q19</f>
        <v>1.3624717471380444E-4</v>
      </c>
      <c r="T17" s="83"/>
      <c r="U17" s="88"/>
      <c r="V17" s="83"/>
      <c r="W17" s="83"/>
      <c r="X17" s="83"/>
      <c r="Y17" s="83">
        <v>0.31900000000000001</v>
      </c>
      <c r="Z17" s="84" t="s">
        <v>2310</v>
      </c>
      <c r="AA17" s="86">
        <f>Y24</f>
        <v>0.35444288000000002</v>
      </c>
    </row>
    <row r="18" spans="1:27" x14ac:dyDescent="0.3">
      <c r="A18" s="59"/>
      <c r="B18" s="45"/>
      <c r="C18" s="60"/>
      <c r="D18" s="55">
        <v>218.64</v>
      </c>
      <c r="E18" s="60">
        <v>5</v>
      </c>
      <c r="F18" s="67" t="s">
        <v>3005</v>
      </c>
      <c r="G18" s="61"/>
      <c r="H18" s="60"/>
      <c r="I18" s="60">
        <v>88</v>
      </c>
      <c r="J18" s="67" t="s">
        <v>3005</v>
      </c>
      <c r="K18" s="61"/>
      <c r="L18" s="60">
        <v>25</v>
      </c>
      <c r="M18" s="60"/>
      <c r="N18" s="60"/>
      <c r="O18" s="60"/>
      <c r="P18" s="60"/>
      <c r="Q18" s="60">
        <v>1.2799999999999999E-5</v>
      </c>
      <c r="R18" s="67" t="s">
        <v>3005</v>
      </c>
      <c r="S18" s="63"/>
      <c r="T18" s="60"/>
      <c r="U18" s="62"/>
      <c r="V18" s="60"/>
      <c r="W18" s="60"/>
      <c r="X18" s="60"/>
      <c r="Y18" s="60">
        <v>0.31900000000000001</v>
      </c>
      <c r="Z18" s="67" t="s">
        <v>3005</v>
      </c>
      <c r="AA18" s="63"/>
    </row>
    <row r="19" spans="1:27" x14ac:dyDescent="0.3">
      <c r="A19" s="59"/>
      <c r="B19" s="45"/>
      <c r="C19" s="60"/>
      <c r="D19" s="55">
        <v>218.64</v>
      </c>
      <c r="E19" s="60"/>
      <c r="F19" s="60"/>
      <c r="G19" s="61"/>
      <c r="H19" s="60">
        <v>362</v>
      </c>
      <c r="I19" s="68">
        <f>H19-$H$1</f>
        <v>88.850000000000023</v>
      </c>
      <c r="J19" s="67" t="s">
        <v>2314</v>
      </c>
      <c r="K19" s="61"/>
      <c r="L19" s="60">
        <v>25</v>
      </c>
      <c r="M19" s="60">
        <f>EXP(35.549-1000*11.794/298.15)</f>
        <v>1.816479623864848E-2</v>
      </c>
      <c r="N19" s="60"/>
      <c r="O19" s="60"/>
      <c r="P19" s="60"/>
      <c r="Q19" s="68">
        <f>$N$1*M19</f>
        <v>1.3624717471380444E-4</v>
      </c>
      <c r="R19" s="67" t="s">
        <v>2895</v>
      </c>
      <c r="S19" s="63"/>
      <c r="T19" s="60">
        <v>1.46E-6</v>
      </c>
      <c r="U19" s="62" t="s">
        <v>3052</v>
      </c>
      <c r="V19" s="60"/>
      <c r="W19" s="60"/>
      <c r="X19" s="60"/>
      <c r="Y19" s="60">
        <f>1000*$D18*T19</f>
        <v>0.31921440000000001</v>
      </c>
      <c r="Z19" s="67" t="s">
        <v>3004</v>
      </c>
      <c r="AA19" s="63"/>
    </row>
    <row r="20" spans="1:27" x14ac:dyDescent="0.3">
      <c r="A20" s="59"/>
      <c r="B20" s="45"/>
      <c r="C20" s="60"/>
      <c r="D20" s="55">
        <v>218.64</v>
      </c>
      <c r="E20" s="60"/>
      <c r="F20" s="60"/>
      <c r="G20" s="61"/>
      <c r="H20" s="60"/>
      <c r="I20" s="60"/>
      <c r="J20" s="60"/>
      <c r="K20" s="61"/>
      <c r="L20" s="60">
        <v>25</v>
      </c>
      <c r="M20" s="65">
        <v>1.7000000000000001E-2</v>
      </c>
      <c r="N20" s="60"/>
      <c r="O20" s="60"/>
      <c r="P20" s="60"/>
      <c r="Q20" s="77">
        <f>$N$1*M20</f>
        <v>1.275104845495921E-4</v>
      </c>
      <c r="R20" s="67" t="s">
        <v>2906</v>
      </c>
      <c r="S20" s="63"/>
      <c r="T20" s="60"/>
      <c r="U20" s="62"/>
      <c r="V20" s="60"/>
      <c r="W20" s="60"/>
      <c r="X20" s="60"/>
      <c r="Y20" s="60">
        <v>0.42</v>
      </c>
      <c r="Z20" s="67" t="s">
        <v>2903</v>
      </c>
      <c r="AA20" s="63"/>
    </row>
    <row r="21" spans="1:27" x14ac:dyDescent="0.3">
      <c r="A21" s="59"/>
      <c r="B21" s="45"/>
      <c r="C21" s="60"/>
      <c r="D21" s="55">
        <v>218.64</v>
      </c>
      <c r="E21" s="60"/>
      <c r="F21" s="60"/>
      <c r="G21" s="61"/>
      <c r="H21" s="60"/>
      <c r="I21" s="60"/>
      <c r="J21" s="60"/>
      <c r="K21" s="61"/>
      <c r="L21" s="60"/>
      <c r="M21" s="60"/>
      <c r="N21" s="60"/>
      <c r="O21" s="60"/>
      <c r="P21" s="60"/>
      <c r="Q21" s="60"/>
      <c r="R21" s="67"/>
      <c r="S21" s="63"/>
      <c r="T21" s="60"/>
      <c r="U21" s="62"/>
      <c r="V21" s="60"/>
      <c r="W21" s="60"/>
      <c r="X21" s="60"/>
      <c r="Y21" s="60">
        <v>0.437</v>
      </c>
      <c r="Z21" s="67" t="s">
        <v>2903</v>
      </c>
      <c r="AA21" s="63"/>
    </row>
    <row r="22" spans="1:27" x14ac:dyDescent="0.3">
      <c r="A22" s="59"/>
      <c r="B22" s="45"/>
      <c r="C22" s="60"/>
      <c r="D22" s="55">
        <v>218.64</v>
      </c>
      <c r="E22" s="60"/>
      <c r="F22" s="60"/>
      <c r="G22" s="61"/>
      <c r="H22" s="60"/>
      <c r="I22" s="60"/>
      <c r="J22" s="60"/>
      <c r="K22" s="61"/>
      <c r="L22" s="60"/>
      <c r="M22" s="60"/>
      <c r="N22" s="60"/>
      <c r="O22" s="60"/>
      <c r="P22" s="60"/>
      <c r="Q22" s="60"/>
      <c r="R22" s="67"/>
      <c r="S22" s="63"/>
      <c r="T22" s="60">
        <v>278</v>
      </c>
      <c r="U22" s="62" t="s">
        <v>3026</v>
      </c>
      <c r="V22" s="60"/>
      <c r="W22" s="60"/>
      <c r="X22" s="60"/>
      <c r="Y22" s="60">
        <f>T22/1000</f>
        <v>0.27800000000000002</v>
      </c>
      <c r="Z22" s="67" t="s">
        <v>2896</v>
      </c>
      <c r="AA22" s="63"/>
    </row>
    <row r="23" spans="1:27" x14ac:dyDescent="0.3">
      <c r="A23" s="59"/>
      <c r="B23" s="45"/>
      <c r="C23" s="60"/>
      <c r="D23" s="55">
        <v>218.64</v>
      </c>
      <c r="E23" s="60"/>
      <c r="F23" s="60"/>
      <c r="G23" s="61"/>
      <c r="H23" s="60"/>
      <c r="I23" s="60"/>
      <c r="J23" s="60"/>
      <c r="K23" s="61"/>
      <c r="L23" s="60"/>
      <c r="M23" s="60"/>
      <c r="N23" s="60"/>
      <c r="O23" s="60"/>
      <c r="P23" s="60"/>
      <c r="Q23" s="60"/>
      <c r="R23" s="67"/>
      <c r="S23" s="63"/>
      <c r="T23" s="60">
        <v>318</v>
      </c>
      <c r="U23" s="62" t="s">
        <v>3026</v>
      </c>
      <c r="V23" s="60"/>
      <c r="W23" s="60"/>
      <c r="X23" s="60"/>
      <c r="Y23" s="60">
        <f>T23/1000</f>
        <v>0.318</v>
      </c>
      <c r="Z23" s="67" t="s">
        <v>2896</v>
      </c>
      <c r="AA23" s="63"/>
    </row>
    <row r="24" spans="1:27" ht="36" x14ac:dyDescent="0.3">
      <c r="A24" s="59"/>
      <c r="B24" s="45"/>
      <c r="C24" s="60"/>
      <c r="D24" s="55">
        <v>218.64</v>
      </c>
      <c r="E24" s="60"/>
      <c r="F24" s="60"/>
      <c r="G24" s="61"/>
      <c r="H24" s="60"/>
      <c r="I24" s="60"/>
      <c r="J24" s="60"/>
      <c r="K24" s="61"/>
      <c r="L24" s="60"/>
      <c r="M24" s="60"/>
      <c r="N24" s="60"/>
      <c r="O24" s="60"/>
      <c r="P24" s="60"/>
      <c r="Q24" s="60"/>
      <c r="R24" s="67"/>
      <c r="S24" s="63"/>
      <c r="T24" s="60"/>
      <c r="U24" s="62"/>
      <c r="V24" s="60"/>
      <c r="W24" s="60"/>
      <c r="X24" s="60"/>
      <c r="Y24" s="68">
        <f>AVERAGE(Y19:Y23)</f>
        <v>0.35444288000000002</v>
      </c>
      <c r="Z24" s="70" t="s">
        <v>2901</v>
      </c>
      <c r="AA24" s="63"/>
    </row>
    <row r="25" spans="1:27" x14ac:dyDescent="0.3">
      <c r="A25" s="59"/>
      <c r="B25" s="45"/>
      <c r="C25" s="60"/>
      <c r="D25" s="55">
        <v>218.64</v>
      </c>
      <c r="E25" s="60"/>
      <c r="F25" s="60"/>
      <c r="G25" s="61"/>
      <c r="H25" s="60"/>
      <c r="I25" s="60"/>
      <c r="J25" s="60"/>
      <c r="K25" s="61"/>
      <c r="L25" s="60"/>
      <c r="M25" s="60"/>
      <c r="N25" s="60"/>
      <c r="O25" s="60"/>
      <c r="P25" s="60"/>
      <c r="Q25" s="60"/>
      <c r="R25" s="67"/>
      <c r="S25" s="63"/>
      <c r="T25" s="60">
        <v>-5.82</v>
      </c>
      <c r="U25" s="62" t="s">
        <v>3030</v>
      </c>
      <c r="V25" s="60"/>
      <c r="W25" s="60"/>
      <c r="X25" s="60"/>
      <c r="Y25" s="77">
        <f>1000*$D25*10^T25</f>
        <v>0.33092503135809215</v>
      </c>
      <c r="Z25" s="62" t="s">
        <v>3008</v>
      </c>
      <c r="AA25" s="63"/>
    </row>
    <row r="26" spans="1:27" x14ac:dyDescent="0.3">
      <c r="A26" s="176"/>
      <c r="B26" s="132" t="s">
        <v>663</v>
      </c>
      <c r="C26" s="134" t="s">
        <v>671</v>
      </c>
      <c r="D26" s="225">
        <v>253.08</v>
      </c>
      <c r="E26" s="134"/>
      <c r="F26" s="134"/>
      <c r="G26" s="135"/>
      <c r="H26" s="134"/>
      <c r="I26" s="134"/>
      <c r="J26" s="134"/>
      <c r="K26" s="135"/>
      <c r="L26" s="134"/>
      <c r="M26" s="134"/>
      <c r="N26" s="134"/>
      <c r="O26" s="134"/>
      <c r="P26" s="134"/>
      <c r="Q26" s="134"/>
      <c r="R26" s="134"/>
      <c r="S26" s="136"/>
      <c r="T26" s="134"/>
      <c r="U26" s="134"/>
      <c r="V26" s="134"/>
      <c r="W26" s="134"/>
      <c r="X26" s="134"/>
      <c r="Y26" s="134"/>
      <c r="Z26" s="134"/>
      <c r="AA26" s="136"/>
    </row>
    <row r="27" spans="1:27" x14ac:dyDescent="0.3">
      <c r="A27" s="176"/>
      <c r="B27" s="132" t="s">
        <v>664</v>
      </c>
      <c r="C27" s="134" t="s">
        <v>672</v>
      </c>
      <c r="D27" s="225">
        <v>253.08</v>
      </c>
      <c r="E27" s="134"/>
      <c r="F27" s="134"/>
      <c r="G27" s="135"/>
      <c r="H27" s="134"/>
      <c r="I27" s="134"/>
      <c r="J27" s="134"/>
      <c r="K27" s="135"/>
      <c r="L27" s="134"/>
      <c r="M27" s="226"/>
      <c r="N27" s="134"/>
      <c r="O27" s="134"/>
      <c r="P27" s="134"/>
      <c r="Q27" s="134"/>
      <c r="R27" s="134"/>
      <c r="S27" s="136"/>
      <c r="T27" s="134"/>
      <c r="U27" s="134"/>
      <c r="V27" s="134"/>
      <c r="W27" s="134"/>
      <c r="X27" s="134"/>
      <c r="Y27" s="134"/>
      <c r="Z27" s="134"/>
      <c r="AA27" s="136"/>
    </row>
    <row r="28" spans="1:27" x14ac:dyDescent="0.3">
      <c r="A28" s="176"/>
      <c r="B28" s="132" t="s">
        <v>665</v>
      </c>
      <c r="C28" s="134" t="s">
        <v>673</v>
      </c>
      <c r="D28" s="225">
        <v>253.08</v>
      </c>
      <c r="E28" s="134"/>
      <c r="F28" s="134"/>
      <c r="G28" s="135"/>
      <c r="H28" s="134"/>
      <c r="I28" s="134"/>
      <c r="J28" s="134"/>
      <c r="K28" s="135"/>
      <c r="L28" s="134"/>
      <c r="M28" s="146"/>
      <c r="N28" s="134"/>
      <c r="O28" s="134"/>
      <c r="P28" s="134"/>
      <c r="Q28" s="134"/>
      <c r="R28" s="134"/>
      <c r="S28" s="136"/>
      <c r="T28" s="134"/>
      <c r="U28" s="134"/>
      <c r="V28" s="134"/>
      <c r="W28" s="134"/>
      <c r="X28" s="134"/>
      <c r="Y28" s="134"/>
      <c r="Z28" s="134"/>
      <c r="AA28" s="136"/>
    </row>
    <row r="29" spans="1:27" x14ac:dyDescent="0.3">
      <c r="A29" s="176"/>
      <c r="B29" s="132" t="s">
        <v>666</v>
      </c>
      <c r="C29" s="134" t="s">
        <v>674</v>
      </c>
      <c r="D29" s="225">
        <v>253.08</v>
      </c>
      <c r="E29" s="134"/>
      <c r="F29" s="134"/>
      <c r="G29" s="135"/>
      <c r="H29" s="134"/>
      <c r="I29" s="134"/>
      <c r="J29" s="134"/>
      <c r="K29" s="135"/>
      <c r="L29" s="177"/>
      <c r="M29" s="146">
        <f>EXP(36.657-1000*13.667/298.15)</f>
        <v>1.0283933799922543E-4</v>
      </c>
      <c r="N29" s="177"/>
      <c r="O29" s="177"/>
      <c r="P29" s="177"/>
      <c r="Q29" s="227">
        <f>$N$1*M29</f>
        <v>7.7135845994355957E-7</v>
      </c>
      <c r="R29" s="139" t="s">
        <v>2895</v>
      </c>
      <c r="S29" s="136">
        <f>Q29</f>
        <v>7.7135845994355957E-7</v>
      </c>
      <c r="T29" s="134"/>
      <c r="U29" s="134"/>
      <c r="V29" s="134"/>
      <c r="W29" s="134"/>
      <c r="X29" s="134"/>
      <c r="Y29" s="134"/>
      <c r="Z29" s="134"/>
      <c r="AA29" s="136"/>
    </row>
    <row r="30" spans="1:27" ht="24" x14ac:dyDescent="0.3">
      <c r="A30" s="176"/>
      <c r="B30" s="132" t="s">
        <v>667</v>
      </c>
      <c r="C30" s="134" t="s">
        <v>675</v>
      </c>
      <c r="D30" s="225">
        <v>253.08</v>
      </c>
      <c r="E30" s="134"/>
      <c r="F30" s="134"/>
      <c r="G30" s="135"/>
      <c r="H30" s="134"/>
      <c r="I30" s="134">
        <v>151</v>
      </c>
      <c r="J30" s="194" t="s">
        <v>3053</v>
      </c>
      <c r="K30" s="135"/>
      <c r="L30" s="134">
        <v>25</v>
      </c>
      <c r="M30" s="134"/>
      <c r="N30" s="134"/>
      <c r="O30" s="134"/>
      <c r="P30" s="134"/>
      <c r="Q30" s="193">
        <v>1.0499999999999999E-6</v>
      </c>
      <c r="R30" s="194" t="s">
        <v>3053</v>
      </c>
      <c r="S30" s="136"/>
      <c r="T30" s="134"/>
      <c r="U30" s="134"/>
      <c r="V30" s="134"/>
      <c r="W30" s="134"/>
      <c r="X30" s="134"/>
      <c r="Y30" s="141">
        <v>1.67E-2</v>
      </c>
      <c r="Z30" s="194" t="s">
        <v>3053</v>
      </c>
      <c r="AA30" s="136"/>
    </row>
    <row r="31" spans="1:27" ht="24" x14ac:dyDescent="0.3">
      <c r="A31" s="176"/>
      <c r="B31" s="132" t="s">
        <v>668</v>
      </c>
      <c r="C31" s="134" t="s">
        <v>676</v>
      </c>
      <c r="D31" s="225">
        <v>253.08</v>
      </c>
      <c r="E31" s="134"/>
      <c r="F31" s="134"/>
      <c r="G31" s="135"/>
      <c r="H31" s="134"/>
      <c r="I31" s="134">
        <v>151</v>
      </c>
      <c r="J31" s="194" t="s">
        <v>3053</v>
      </c>
      <c r="K31" s="135"/>
      <c r="L31" s="134">
        <v>25</v>
      </c>
      <c r="M31" s="134"/>
      <c r="N31" s="134"/>
      <c r="O31" s="134"/>
      <c r="P31" s="134"/>
      <c r="Q31" s="193">
        <v>1.0499999999999999E-6</v>
      </c>
      <c r="R31" s="194" t="s">
        <v>3053</v>
      </c>
      <c r="S31" s="136"/>
      <c r="T31" s="134"/>
      <c r="U31" s="134"/>
      <c r="V31" s="134"/>
      <c r="W31" s="134"/>
      <c r="X31" s="134"/>
      <c r="Y31" s="141">
        <v>1.67E-2</v>
      </c>
      <c r="Z31" s="194" t="s">
        <v>3053</v>
      </c>
      <c r="AA31" s="136"/>
    </row>
    <row r="32" spans="1:27" x14ac:dyDescent="0.3">
      <c r="A32" s="176"/>
      <c r="B32" s="132" t="s">
        <v>669</v>
      </c>
      <c r="C32" s="134" t="s">
        <v>2772</v>
      </c>
      <c r="D32" s="225">
        <v>253.08</v>
      </c>
      <c r="E32" s="134"/>
      <c r="F32" s="134"/>
      <c r="G32" s="135"/>
      <c r="H32" s="134"/>
      <c r="I32" s="134"/>
      <c r="J32" s="134"/>
      <c r="K32" s="135"/>
      <c r="L32" s="134"/>
      <c r="M32" s="134"/>
      <c r="N32" s="134"/>
      <c r="O32" s="134"/>
      <c r="P32" s="134"/>
      <c r="Q32" s="134"/>
      <c r="R32" s="134"/>
      <c r="S32" s="136"/>
      <c r="T32" s="134"/>
      <c r="U32" s="134"/>
      <c r="V32" s="134"/>
      <c r="W32" s="134"/>
      <c r="X32" s="134"/>
      <c r="Y32" s="134"/>
      <c r="Z32" s="134"/>
      <c r="AA32" s="136"/>
    </row>
    <row r="33" spans="1:27" x14ac:dyDescent="0.3">
      <c r="A33" s="91"/>
      <c r="B33" s="81" t="s">
        <v>670</v>
      </c>
      <c r="C33" s="83" t="s">
        <v>2749</v>
      </c>
      <c r="D33" s="164">
        <v>253.08</v>
      </c>
      <c r="E33" s="83"/>
      <c r="F33" s="83"/>
      <c r="G33" s="85"/>
      <c r="H33" s="83"/>
      <c r="I33" s="83">
        <v>163</v>
      </c>
      <c r="J33" s="84" t="s">
        <v>2309</v>
      </c>
      <c r="K33" s="85"/>
      <c r="L33" s="83">
        <v>25</v>
      </c>
      <c r="M33" s="83"/>
      <c r="N33" s="83"/>
      <c r="O33" s="83"/>
      <c r="P33" s="83"/>
      <c r="Q33" s="83">
        <v>2.9299999999999999E-6</v>
      </c>
      <c r="R33" s="84" t="s">
        <v>2309</v>
      </c>
      <c r="S33" s="86">
        <f>Q35</f>
        <v>3.2206932795829965E-6</v>
      </c>
      <c r="T33" s="83"/>
      <c r="U33" s="83"/>
      <c r="V33" s="83"/>
      <c r="W33" s="83"/>
      <c r="X33" s="83"/>
      <c r="Y33" s="83">
        <v>1.49E-2</v>
      </c>
      <c r="Z33" s="84" t="s">
        <v>2310</v>
      </c>
      <c r="AA33" s="86">
        <f>Y35</f>
        <v>1.49E-2</v>
      </c>
    </row>
    <row r="34" spans="1:27" x14ac:dyDescent="0.3">
      <c r="A34" s="59"/>
      <c r="B34" s="45"/>
      <c r="C34" s="60"/>
      <c r="D34" s="55">
        <v>253.08</v>
      </c>
      <c r="E34" s="60"/>
      <c r="F34" s="60"/>
      <c r="G34" s="61"/>
      <c r="H34" s="60"/>
      <c r="I34" s="60">
        <v>163</v>
      </c>
      <c r="J34" s="67" t="s">
        <v>3005</v>
      </c>
      <c r="K34" s="61"/>
      <c r="L34" s="60">
        <v>25</v>
      </c>
      <c r="M34" s="60"/>
      <c r="N34" s="60"/>
      <c r="O34" s="60"/>
      <c r="P34" s="60"/>
      <c r="Q34" s="60">
        <v>2.9249999999999999E-6</v>
      </c>
      <c r="R34" s="67" t="s">
        <v>3005</v>
      </c>
      <c r="S34" s="63"/>
      <c r="T34" s="60"/>
      <c r="U34" s="60"/>
      <c r="V34" s="60"/>
      <c r="W34" s="60"/>
      <c r="X34" s="60"/>
      <c r="Y34" s="60">
        <v>1.49E-2</v>
      </c>
      <c r="Z34" s="67" t="s">
        <v>3005</v>
      </c>
      <c r="AA34" s="63"/>
    </row>
    <row r="35" spans="1:27" x14ac:dyDescent="0.3">
      <c r="A35" s="59"/>
      <c r="B35" s="45"/>
      <c r="C35" s="60"/>
      <c r="D35" s="55">
        <v>253.08</v>
      </c>
      <c r="E35" s="60"/>
      <c r="F35" s="60"/>
      <c r="G35" s="61"/>
      <c r="H35" s="60"/>
      <c r="I35" s="60"/>
      <c r="J35" s="60"/>
      <c r="K35" s="61"/>
      <c r="L35" s="60">
        <v>25</v>
      </c>
      <c r="M35" s="60">
        <f>EXP(35.081-1000*12.771/298.15)</f>
        <v>4.293904610770777E-4</v>
      </c>
      <c r="N35" s="60"/>
      <c r="O35" s="60"/>
      <c r="P35" s="60"/>
      <c r="Q35" s="68">
        <f>$N$1*M35</f>
        <v>3.2206932795829965E-6</v>
      </c>
      <c r="R35" s="67" t="s">
        <v>2895</v>
      </c>
      <c r="S35" s="63"/>
      <c r="T35" s="60">
        <v>14.9</v>
      </c>
      <c r="U35" s="62" t="s">
        <v>3026</v>
      </c>
      <c r="V35" s="60"/>
      <c r="W35" s="60"/>
      <c r="X35" s="60"/>
      <c r="Y35" s="68">
        <f>T35/1000</f>
        <v>1.49E-2</v>
      </c>
      <c r="Z35" s="67" t="s">
        <v>2896</v>
      </c>
      <c r="AA35" s="63"/>
    </row>
    <row r="36" spans="1:27" x14ac:dyDescent="0.3">
      <c r="A36" s="59"/>
      <c r="B36" s="45"/>
      <c r="C36" s="60"/>
      <c r="D36" s="55"/>
      <c r="E36" s="60"/>
      <c r="F36" s="60"/>
      <c r="G36" s="61"/>
      <c r="H36" s="60"/>
      <c r="I36" s="60"/>
      <c r="J36" s="60"/>
      <c r="K36" s="61"/>
      <c r="L36" s="60">
        <v>25</v>
      </c>
      <c r="M36" s="65">
        <v>3.8999999999999999E-4</v>
      </c>
      <c r="N36" s="60"/>
      <c r="O36" s="60"/>
      <c r="P36" s="60"/>
      <c r="Q36" s="77">
        <f>$N$1*M36</f>
        <v>2.9252405279024066E-6</v>
      </c>
      <c r="R36" s="67" t="s">
        <v>2906</v>
      </c>
      <c r="S36" s="63"/>
      <c r="T36" s="60"/>
      <c r="U36" s="62"/>
      <c r="V36" s="60"/>
      <c r="W36" s="60"/>
      <c r="X36" s="60"/>
      <c r="Y36" s="68"/>
      <c r="Z36" s="67"/>
      <c r="AA36" s="63"/>
    </row>
    <row r="37" spans="1:27" x14ac:dyDescent="0.3">
      <c r="A37" s="91"/>
      <c r="B37" s="81" t="s">
        <v>677</v>
      </c>
      <c r="C37" s="83" t="s">
        <v>2748</v>
      </c>
      <c r="D37" s="164">
        <v>253.08</v>
      </c>
      <c r="E37" s="83">
        <v>5.75</v>
      </c>
      <c r="F37" s="84" t="s">
        <v>2309</v>
      </c>
      <c r="G37" s="85"/>
      <c r="H37" s="83"/>
      <c r="I37" s="83">
        <v>209</v>
      </c>
      <c r="J37" s="84" t="s">
        <v>2309</v>
      </c>
      <c r="K37" s="85"/>
      <c r="L37" s="83">
        <v>25</v>
      </c>
      <c r="M37" s="83"/>
      <c r="N37" s="83"/>
      <c r="O37" s="83"/>
      <c r="P37" s="83"/>
      <c r="Q37" s="92">
        <v>8.9999999999999996E-7</v>
      </c>
      <c r="R37" s="84" t="s">
        <v>2309</v>
      </c>
      <c r="S37" s="86">
        <f>Q39</f>
        <v>5.0291787271550346E-7</v>
      </c>
      <c r="T37" s="83"/>
      <c r="U37" s="88"/>
      <c r="V37" s="83"/>
      <c r="W37" s="83"/>
      <c r="X37" s="83"/>
      <c r="Y37" s="83">
        <v>3.7499999999999999E-3</v>
      </c>
      <c r="Z37" s="84" t="s">
        <v>2310</v>
      </c>
      <c r="AA37" s="86">
        <f>Y41</f>
        <v>3.9199999999999999E-3</v>
      </c>
    </row>
    <row r="38" spans="1:27" x14ac:dyDescent="0.3">
      <c r="A38" s="59"/>
      <c r="B38" s="45"/>
      <c r="C38" s="60"/>
      <c r="D38" s="55">
        <v>253.08</v>
      </c>
      <c r="E38" s="60">
        <v>5.75</v>
      </c>
      <c r="F38" s="67" t="s">
        <v>3005</v>
      </c>
      <c r="G38" s="61"/>
      <c r="H38" s="60"/>
      <c r="I38" s="60">
        <v>209</v>
      </c>
      <c r="J38" s="67" t="s">
        <v>3005</v>
      </c>
      <c r="K38" s="61"/>
      <c r="L38" s="60">
        <v>25</v>
      </c>
      <c r="M38" s="60"/>
      <c r="N38" s="60"/>
      <c r="O38" s="60"/>
      <c r="P38" s="60"/>
      <c r="Q38" s="65">
        <v>8.9999999999999996E-7</v>
      </c>
      <c r="R38" s="67" t="s">
        <v>3005</v>
      </c>
      <c r="S38" s="63"/>
      <c r="T38" s="60"/>
      <c r="U38" s="62"/>
      <c r="V38" s="60"/>
      <c r="W38" s="60"/>
      <c r="X38" s="60"/>
      <c r="Y38" s="60">
        <v>3.7499999999999999E-3</v>
      </c>
      <c r="Z38" s="67" t="s">
        <v>3005</v>
      </c>
      <c r="AA38" s="63"/>
    </row>
    <row r="39" spans="1:27" x14ac:dyDescent="0.3">
      <c r="A39" s="59"/>
      <c r="B39" s="45"/>
      <c r="C39" s="60"/>
      <c r="D39" s="55">
        <v>253.08</v>
      </c>
      <c r="E39" s="60"/>
      <c r="F39" s="60"/>
      <c r="G39" s="61"/>
      <c r="H39" s="60"/>
      <c r="I39" s="60"/>
      <c r="J39" s="60"/>
      <c r="K39" s="61"/>
      <c r="L39" s="60">
        <v>25</v>
      </c>
      <c r="M39" s="60">
        <f>EXP(36.293-1000*13.686/298.15)</f>
        <v>6.7050202705789264E-5</v>
      </c>
      <c r="N39" s="60"/>
      <c r="O39" s="60"/>
      <c r="P39" s="60"/>
      <c r="Q39" s="68">
        <f>$N$1*M39</f>
        <v>5.0291787271550346E-7</v>
      </c>
      <c r="R39" s="67" t="s">
        <v>2895</v>
      </c>
      <c r="S39" s="63"/>
      <c r="T39" s="60"/>
      <c r="U39" s="62"/>
      <c r="V39" s="60"/>
      <c r="W39" s="60"/>
      <c r="X39" s="60"/>
      <c r="Y39" s="64">
        <v>4.0899999999999999E-3</v>
      </c>
      <c r="Z39" s="67" t="s">
        <v>2903</v>
      </c>
      <c r="AA39" s="63"/>
    </row>
    <row r="40" spans="1:27" x14ac:dyDescent="0.3">
      <c r="A40" s="59"/>
      <c r="B40" s="45"/>
      <c r="C40" s="60"/>
      <c r="D40" s="55">
        <v>253.08</v>
      </c>
      <c r="E40" s="60"/>
      <c r="F40" s="60"/>
      <c r="G40" s="61"/>
      <c r="H40" s="60"/>
      <c r="I40" s="60"/>
      <c r="J40" s="60"/>
      <c r="K40" s="61"/>
      <c r="L40" s="60">
        <v>25</v>
      </c>
      <c r="M40" s="65">
        <v>1.2E-4</v>
      </c>
      <c r="N40" s="60"/>
      <c r="O40" s="60"/>
      <c r="P40" s="60"/>
      <c r="Q40" s="77">
        <f>$N$1*M40</f>
        <v>9.000740085853559E-7</v>
      </c>
      <c r="R40" s="67" t="s">
        <v>2906</v>
      </c>
      <c r="S40" s="63"/>
      <c r="T40" s="60">
        <v>3.75</v>
      </c>
      <c r="U40" s="62" t="s">
        <v>3026</v>
      </c>
      <c r="V40" s="60"/>
      <c r="W40" s="60"/>
      <c r="X40" s="60"/>
      <c r="Y40" s="60">
        <f>T40/1000</f>
        <v>3.7499999999999999E-3</v>
      </c>
      <c r="Z40" s="67" t="s">
        <v>2896</v>
      </c>
      <c r="AA40" s="63"/>
    </row>
    <row r="41" spans="1:27" ht="24" x14ac:dyDescent="0.3">
      <c r="A41" s="59"/>
      <c r="B41" s="45"/>
      <c r="C41" s="60"/>
      <c r="D41" s="55">
        <v>253.08</v>
      </c>
      <c r="E41" s="60"/>
      <c r="F41" s="60"/>
      <c r="G41" s="61"/>
      <c r="H41" s="60"/>
      <c r="I41" s="60"/>
      <c r="J41" s="60"/>
      <c r="K41" s="61"/>
      <c r="L41" s="60"/>
      <c r="M41" s="60"/>
      <c r="N41" s="60"/>
      <c r="O41" s="60"/>
      <c r="P41" s="60"/>
      <c r="Q41" s="60"/>
      <c r="R41" s="67"/>
      <c r="S41" s="63"/>
      <c r="T41" s="60"/>
      <c r="U41" s="62"/>
      <c r="V41" s="60"/>
      <c r="W41" s="60"/>
      <c r="X41" s="60"/>
      <c r="Y41" s="68">
        <f>AVERAGE(Y39:Y40)</f>
        <v>3.9199999999999999E-3</v>
      </c>
      <c r="Z41" s="70" t="s">
        <v>2902</v>
      </c>
      <c r="AA41" s="63"/>
    </row>
    <row r="42" spans="1:27" x14ac:dyDescent="0.3">
      <c r="A42" s="59"/>
      <c r="B42" s="45"/>
      <c r="C42" s="60"/>
      <c r="D42" s="55">
        <v>253.08</v>
      </c>
      <c r="E42" s="60"/>
      <c r="F42" s="60"/>
      <c r="G42" s="61"/>
      <c r="H42" s="60"/>
      <c r="I42" s="60"/>
      <c r="J42" s="60"/>
      <c r="K42" s="61"/>
      <c r="L42" s="60"/>
      <c r="M42" s="60"/>
      <c r="N42" s="60"/>
      <c r="O42" s="60"/>
      <c r="P42" s="60"/>
      <c r="Q42" s="60"/>
      <c r="R42" s="67"/>
      <c r="S42" s="63"/>
      <c r="T42" s="60">
        <v>-7.82</v>
      </c>
      <c r="U42" s="62" t="s">
        <v>3030</v>
      </c>
      <c r="V42" s="60"/>
      <c r="W42" s="60"/>
      <c r="X42" s="60"/>
      <c r="Y42" s="77">
        <f>1000*$D42*10^T42</f>
        <v>3.8305208075423425E-3</v>
      </c>
      <c r="Z42" s="62" t="s">
        <v>3008</v>
      </c>
      <c r="AA42" s="63"/>
    </row>
    <row r="43" spans="1:27" ht="24" x14ac:dyDescent="0.3">
      <c r="A43" s="91"/>
      <c r="B43" s="81" t="s">
        <v>678</v>
      </c>
      <c r="C43" s="83" t="s">
        <v>2746</v>
      </c>
      <c r="D43" s="164">
        <v>253.08</v>
      </c>
      <c r="E43" s="83">
        <v>5.75</v>
      </c>
      <c r="F43" s="84" t="s">
        <v>2309</v>
      </c>
      <c r="G43" s="85"/>
      <c r="H43" s="83"/>
      <c r="I43" s="163">
        <v>209</v>
      </c>
      <c r="J43" s="228" t="s">
        <v>3054</v>
      </c>
      <c r="K43" s="85">
        <f>I45</f>
        <v>151</v>
      </c>
      <c r="L43" s="83">
        <v>25</v>
      </c>
      <c r="M43" s="83"/>
      <c r="N43" s="83"/>
      <c r="O43" s="83"/>
      <c r="P43" s="83"/>
      <c r="Q43" s="231">
        <v>8.9999999999999996E-7</v>
      </c>
      <c r="R43" s="228" t="s">
        <v>3054</v>
      </c>
      <c r="S43" s="86">
        <f>Q45</f>
        <v>1.0500863433495817E-6</v>
      </c>
      <c r="T43" s="83"/>
      <c r="U43" s="83"/>
      <c r="V43" s="83"/>
      <c r="W43" s="83"/>
      <c r="X43" s="83"/>
      <c r="Y43" s="93">
        <v>3.7499999999999999E-3</v>
      </c>
      <c r="Z43" s="228" t="s">
        <v>3054</v>
      </c>
      <c r="AA43" s="86">
        <f>Y45</f>
        <v>1.67E-2</v>
      </c>
    </row>
    <row r="44" spans="1:27" x14ac:dyDescent="0.3">
      <c r="A44" s="59"/>
      <c r="B44" s="45"/>
      <c r="C44" s="60"/>
      <c r="D44" s="55">
        <v>253.08</v>
      </c>
      <c r="E44" s="60"/>
      <c r="F44" s="60"/>
      <c r="G44" s="61"/>
      <c r="H44" s="60"/>
      <c r="I44" s="60">
        <v>151</v>
      </c>
      <c r="J44" s="67" t="s">
        <v>3005</v>
      </c>
      <c r="K44" s="61"/>
      <c r="L44" s="60">
        <v>25</v>
      </c>
      <c r="M44" s="60"/>
      <c r="N44" s="60"/>
      <c r="O44" s="60"/>
      <c r="P44" s="60"/>
      <c r="Q44" s="60">
        <v>1.0499999999999999E-6</v>
      </c>
      <c r="R44" s="67"/>
      <c r="S44" s="63"/>
      <c r="T44" s="60"/>
      <c r="U44" s="60"/>
      <c r="V44" s="60"/>
      <c r="W44" s="60"/>
      <c r="X44" s="60"/>
      <c r="Y44" s="60">
        <v>1.67E-2</v>
      </c>
      <c r="Z44" s="67" t="s">
        <v>3005</v>
      </c>
      <c r="AA44" s="63"/>
    </row>
    <row r="45" spans="1:27" x14ac:dyDescent="0.3">
      <c r="A45" s="59"/>
      <c r="B45" s="45"/>
      <c r="C45" s="60"/>
      <c r="D45" s="55">
        <v>253.08</v>
      </c>
      <c r="E45" s="60"/>
      <c r="F45" s="60"/>
      <c r="G45" s="61"/>
      <c r="H45" s="60"/>
      <c r="I45" s="68">
        <v>151</v>
      </c>
      <c r="J45" s="67" t="s">
        <v>2743</v>
      </c>
      <c r="K45" s="61"/>
      <c r="L45" s="60">
        <v>25</v>
      </c>
      <c r="M45" s="65">
        <v>1.3999999999999999E-4</v>
      </c>
      <c r="N45" s="60"/>
      <c r="O45" s="60"/>
      <c r="P45" s="60"/>
      <c r="Q45" s="68">
        <f>$N$1*M45</f>
        <v>1.0500863433495817E-6</v>
      </c>
      <c r="R45" s="67" t="s">
        <v>2906</v>
      </c>
      <c r="S45" s="63"/>
      <c r="T45" s="60">
        <v>16.7</v>
      </c>
      <c r="U45" s="62" t="s">
        <v>3026</v>
      </c>
      <c r="V45" s="60"/>
      <c r="W45" s="60"/>
      <c r="X45" s="60"/>
      <c r="Y45" s="68">
        <f>T45/1000</f>
        <v>1.67E-2</v>
      </c>
      <c r="Z45" s="67" t="s">
        <v>2896</v>
      </c>
      <c r="AA45" s="63"/>
    </row>
    <row r="46" spans="1:27" x14ac:dyDescent="0.3">
      <c r="A46" s="176"/>
      <c r="B46" s="134" t="s">
        <v>742</v>
      </c>
      <c r="C46" s="134" t="s">
        <v>2773</v>
      </c>
      <c r="D46" s="135">
        <v>287.52</v>
      </c>
      <c r="E46" s="134"/>
      <c r="F46" s="134"/>
      <c r="G46" s="135"/>
      <c r="H46" s="134"/>
      <c r="I46" s="134"/>
      <c r="J46" s="134"/>
      <c r="K46" s="135"/>
      <c r="L46" s="134">
        <v>25</v>
      </c>
      <c r="M46" s="134">
        <f>EXP(37.389-1000*14.079/298.15)</f>
        <v>5.369463953523318E-5</v>
      </c>
      <c r="N46" s="134"/>
      <c r="O46" s="134"/>
      <c r="P46" s="134"/>
      <c r="Q46" s="150">
        <f>$N$1*M46</f>
        <v>4.0274291205019215E-7</v>
      </c>
      <c r="R46" s="139" t="s">
        <v>2895</v>
      </c>
      <c r="S46" s="136">
        <f>Q46</f>
        <v>4.0274291205019215E-7</v>
      </c>
      <c r="T46" s="134"/>
      <c r="U46" s="134"/>
      <c r="V46" s="134"/>
      <c r="W46" s="134"/>
      <c r="X46" s="134"/>
      <c r="Y46" s="134"/>
      <c r="Z46" s="134"/>
      <c r="AA46" s="136"/>
    </row>
    <row r="47" spans="1:27" x14ac:dyDescent="0.3">
      <c r="A47" s="91"/>
      <c r="B47" s="83" t="s">
        <v>743</v>
      </c>
      <c r="C47" s="83" t="s">
        <v>2750</v>
      </c>
      <c r="D47" s="85">
        <v>287.52</v>
      </c>
      <c r="E47" s="83">
        <v>6.35</v>
      </c>
      <c r="F47" s="84" t="s">
        <v>2309</v>
      </c>
      <c r="G47" s="85"/>
      <c r="H47" s="83"/>
      <c r="I47" s="83">
        <v>128</v>
      </c>
      <c r="J47" s="84" t="s">
        <v>2309</v>
      </c>
      <c r="K47" s="85"/>
      <c r="L47" s="83">
        <v>25</v>
      </c>
      <c r="M47" s="83"/>
      <c r="N47" s="83"/>
      <c r="O47" s="83"/>
      <c r="P47" s="83"/>
      <c r="Q47" s="83">
        <v>7.5000000000000002E-7</v>
      </c>
      <c r="R47" s="84" t="s">
        <v>2309</v>
      </c>
      <c r="S47" s="86">
        <f>Q49</f>
        <v>5.6259312857480839E-7</v>
      </c>
      <c r="T47" s="83"/>
      <c r="U47" s="83"/>
      <c r="V47" s="83"/>
      <c r="W47" s="83"/>
      <c r="X47" s="83"/>
      <c r="Y47" s="83">
        <v>8.4100000000000008E-3</v>
      </c>
      <c r="Z47" s="84" t="s">
        <v>2310</v>
      </c>
      <c r="AA47" s="86">
        <f>Y49</f>
        <v>8.4100000000000008E-3</v>
      </c>
    </row>
    <row r="48" spans="1:27" x14ac:dyDescent="0.3">
      <c r="A48" s="59"/>
      <c r="B48" s="60"/>
      <c r="C48" s="60"/>
      <c r="D48" s="61">
        <v>287.52</v>
      </c>
      <c r="E48" s="60">
        <v>6.35</v>
      </c>
      <c r="F48" s="67" t="s">
        <v>3005</v>
      </c>
      <c r="G48" s="61"/>
      <c r="H48" s="60"/>
      <c r="I48" s="60">
        <v>128</v>
      </c>
      <c r="J48" s="67" t="s">
        <v>3005</v>
      </c>
      <c r="K48" s="61"/>
      <c r="L48" s="60">
        <v>25</v>
      </c>
      <c r="M48" s="60"/>
      <c r="N48" s="60"/>
      <c r="O48" s="60"/>
      <c r="P48" s="60"/>
      <c r="Q48" s="60">
        <v>7.5000000000000002E-7</v>
      </c>
      <c r="R48" s="67" t="s">
        <v>3005</v>
      </c>
      <c r="S48" s="63"/>
      <c r="T48" s="60"/>
      <c r="U48" s="60"/>
      <c r="V48" s="60"/>
      <c r="W48" s="60"/>
      <c r="X48" s="60"/>
      <c r="Y48" s="60">
        <v>8.4100000000000008E-3</v>
      </c>
      <c r="Z48" s="67" t="s">
        <v>3005</v>
      </c>
      <c r="AA48" s="63"/>
    </row>
    <row r="49" spans="1:27" x14ac:dyDescent="0.3">
      <c r="A49" s="59"/>
      <c r="B49" s="60"/>
      <c r="C49" s="60"/>
      <c r="D49" s="61">
        <v>287.52</v>
      </c>
      <c r="E49" s="60"/>
      <c r="F49" s="67"/>
      <c r="G49" s="61"/>
      <c r="H49" s="60"/>
      <c r="I49" s="60"/>
      <c r="J49" s="67"/>
      <c r="K49" s="61"/>
      <c r="L49" s="60">
        <v>25</v>
      </c>
      <c r="M49" s="60">
        <f>EXP(39.303-1000*14.55/298.15)</f>
        <v>7.5006249247308183E-5</v>
      </c>
      <c r="N49" s="60"/>
      <c r="O49" s="60"/>
      <c r="P49" s="60"/>
      <c r="Q49" s="68">
        <f>$N$1*M49</f>
        <v>5.6259312857480839E-7</v>
      </c>
      <c r="R49" s="67" t="s">
        <v>2895</v>
      </c>
      <c r="S49" s="63"/>
      <c r="T49" s="60">
        <v>8.41</v>
      </c>
      <c r="U49" s="62" t="s">
        <v>3026</v>
      </c>
      <c r="V49" s="60"/>
      <c r="W49" s="60"/>
      <c r="X49" s="60"/>
      <c r="Y49" s="68">
        <f>T49/1000</f>
        <v>8.4100000000000008E-3</v>
      </c>
      <c r="Z49" s="67" t="s">
        <v>2896</v>
      </c>
      <c r="AA49" s="63"/>
    </row>
    <row r="50" spans="1:27" x14ac:dyDescent="0.3">
      <c r="A50" s="59"/>
      <c r="B50" s="60"/>
      <c r="C50" s="60"/>
      <c r="D50" s="61">
        <v>287.52</v>
      </c>
      <c r="E50" s="60"/>
      <c r="F50" s="67"/>
      <c r="G50" s="61"/>
      <c r="H50" s="60"/>
      <c r="I50" s="60"/>
      <c r="J50" s="67"/>
      <c r="K50" s="61"/>
      <c r="L50" s="60">
        <v>25</v>
      </c>
      <c r="M50" s="65">
        <v>1E-4</v>
      </c>
      <c r="N50" s="60"/>
      <c r="O50" s="60"/>
      <c r="P50" s="60"/>
      <c r="Q50" s="77">
        <f>$N$1*M50</f>
        <v>7.5006167382112995E-7</v>
      </c>
      <c r="R50" s="67" t="s">
        <v>2906</v>
      </c>
      <c r="S50" s="63"/>
      <c r="T50" s="60"/>
      <c r="U50" s="62"/>
      <c r="V50" s="60"/>
      <c r="W50" s="60"/>
      <c r="X50" s="60"/>
      <c r="Y50" s="68"/>
      <c r="Z50" s="67"/>
      <c r="AA50" s="63"/>
    </row>
    <row r="51" spans="1:27" x14ac:dyDescent="0.3">
      <c r="A51" s="176"/>
      <c r="B51" s="134" t="s">
        <v>744</v>
      </c>
      <c r="C51" s="134"/>
      <c r="D51" s="135">
        <v>287.52</v>
      </c>
      <c r="E51" s="134"/>
      <c r="F51" s="134"/>
      <c r="G51" s="135"/>
      <c r="H51" s="134"/>
      <c r="I51" s="134"/>
      <c r="J51" s="134"/>
      <c r="K51" s="135"/>
      <c r="L51" s="134"/>
      <c r="M51" s="134"/>
      <c r="N51" s="134"/>
      <c r="O51" s="134"/>
      <c r="P51" s="134"/>
      <c r="Q51" s="134"/>
      <c r="R51" s="139"/>
      <c r="S51" s="136"/>
      <c r="T51" s="134"/>
      <c r="U51" s="134"/>
      <c r="V51" s="134"/>
      <c r="W51" s="134"/>
      <c r="X51" s="134"/>
      <c r="Y51" s="134"/>
      <c r="Z51" s="134"/>
      <c r="AA51" s="136"/>
    </row>
    <row r="52" spans="1:27" x14ac:dyDescent="0.3">
      <c r="A52" s="176"/>
      <c r="B52" s="134" t="s">
        <v>745</v>
      </c>
      <c r="C52" s="134"/>
      <c r="D52" s="135">
        <v>287.52</v>
      </c>
      <c r="E52" s="134"/>
      <c r="F52" s="134"/>
      <c r="G52" s="135"/>
      <c r="H52" s="134"/>
      <c r="I52" s="134"/>
      <c r="J52" s="134"/>
      <c r="K52" s="135"/>
      <c r="L52" s="134"/>
      <c r="M52" s="134"/>
      <c r="N52" s="134"/>
      <c r="O52" s="134"/>
      <c r="P52" s="134"/>
      <c r="Q52" s="134"/>
      <c r="R52" s="134"/>
      <c r="S52" s="136"/>
      <c r="T52" s="134"/>
      <c r="U52" s="134"/>
      <c r="V52" s="134"/>
      <c r="W52" s="134"/>
      <c r="X52" s="134"/>
      <c r="Y52" s="134"/>
      <c r="Z52" s="134"/>
      <c r="AA52" s="136"/>
    </row>
    <row r="53" spans="1:27" x14ac:dyDescent="0.3">
      <c r="A53" s="176"/>
      <c r="B53" s="134" t="s">
        <v>746</v>
      </c>
      <c r="C53" s="134"/>
      <c r="D53" s="135">
        <v>287.52</v>
      </c>
      <c r="E53" s="134"/>
      <c r="F53" s="134"/>
      <c r="G53" s="135"/>
      <c r="H53" s="134"/>
      <c r="I53" s="134"/>
      <c r="J53" s="134"/>
      <c r="K53" s="135"/>
      <c r="L53" s="134"/>
      <c r="M53" s="134"/>
      <c r="N53" s="134"/>
      <c r="O53" s="134"/>
      <c r="P53" s="134"/>
      <c r="Q53" s="134"/>
      <c r="R53" s="134"/>
      <c r="S53" s="136"/>
      <c r="T53" s="134"/>
      <c r="U53" s="134"/>
      <c r="V53" s="134"/>
      <c r="W53" s="134"/>
      <c r="X53" s="134"/>
      <c r="Y53" s="134"/>
      <c r="Z53" s="134"/>
      <c r="AA53" s="136"/>
    </row>
    <row r="54" spans="1:27" x14ac:dyDescent="0.3">
      <c r="A54" s="176"/>
      <c r="B54" s="134" t="s">
        <v>747</v>
      </c>
      <c r="C54" s="134"/>
      <c r="D54" s="135">
        <v>287.52</v>
      </c>
      <c r="E54" s="134"/>
      <c r="F54" s="134"/>
      <c r="G54" s="135"/>
      <c r="H54" s="134"/>
      <c r="I54" s="134"/>
      <c r="J54" s="134"/>
      <c r="K54" s="135"/>
      <c r="L54" s="134"/>
      <c r="M54" s="134"/>
      <c r="N54" s="134"/>
      <c r="O54" s="134"/>
      <c r="P54" s="134"/>
      <c r="Q54" s="134"/>
      <c r="R54" s="134"/>
      <c r="S54" s="136"/>
      <c r="T54" s="134"/>
      <c r="U54" s="134"/>
      <c r="V54" s="134"/>
      <c r="W54" s="134"/>
      <c r="X54" s="134"/>
      <c r="Y54" s="134"/>
      <c r="Z54" s="134"/>
      <c r="AA54" s="136"/>
    </row>
    <row r="55" spans="1:27" x14ac:dyDescent="0.3">
      <c r="A55" s="176"/>
      <c r="B55" s="134" t="s">
        <v>748</v>
      </c>
      <c r="C55" s="134"/>
      <c r="D55" s="135">
        <v>287.52</v>
      </c>
      <c r="E55" s="134"/>
      <c r="F55" s="134"/>
      <c r="G55" s="135"/>
      <c r="H55" s="134"/>
      <c r="I55" s="134"/>
      <c r="J55" s="134"/>
      <c r="K55" s="135"/>
      <c r="L55" s="134"/>
      <c r="M55" s="134"/>
      <c r="N55" s="134"/>
      <c r="O55" s="134"/>
      <c r="P55" s="134"/>
      <c r="Q55" s="134"/>
      <c r="R55" s="134"/>
      <c r="S55" s="136"/>
      <c r="T55" s="134"/>
      <c r="U55" s="134"/>
      <c r="V55" s="134"/>
      <c r="W55" s="134"/>
      <c r="X55" s="134"/>
      <c r="Y55" s="134"/>
      <c r="Z55" s="134"/>
      <c r="AA55" s="136"/>
    </row>
    <row r="56" spans="1:27" x14ac:dyDescent="0.3">
      <c r="A56" s="176"/>
      <c r="B56" s="134" t="s">
        <v>749</v>
      </c>
      <c r="C56" s="134" t="s">
        <v>2747</v>
      </c>
      <c r="D56" s="135">
        <v>287.52</v>
      </c>
      <c r="E56" s="134"/>
      <c r="F56" s="134"/>
      <c r="G56" s="135"/>
      <c r="H56" s="134">
        <v>421.7</v>
      </c>
      <c r="I56" s="150">
        <f>H56-$H$1</f>
        <v>148.55000000000001</v>
      </c>
      <c r="J56" s="139" t="s">
        <v>2314</v>
      </c>
      <c r="K56" s="135">
        <f>I56</f>
        <v>148.55000000000001</v>
      </c>
      <c r="L56" s="134">
        <v>25</v>
      </c>
      <c r="M56" s="137">
        <v>3.6000000000000001E-5</v>
      </c>
      <c r="N56" s="134"/>
      <c r="O56" s="134"/>
      <c r="P56" s="134"/>
      <c r="Q56" s="150">
        <f>$N$1*M56</f>
        <v>2.7002220257560677E-7</v>
      </c>
      <c r="R56" s="139" t="s">
        <v>2906</v>
      </c>
      <c r="S56" s="136">
        <f>Q56</f>
        <v>2.7002220257560677E-7</v>
      </c>
      <c r="T56" s="134"/>
      <c r="U56" s="134"/>
      <c r="V56" s="134"/>
      <c r="W56" s="134"/>
      <c r="X56" s="134"/>
      <c r="Y56" s="134"/>
      <c r="Z56" s="134"/>
      <c r="AA56" s="136"/>
    </row>
    <row r="57" spans="1:27" x14ac:dyDescent="0.3">
      <c r="A57" s="176"/>
      <c r="B57" s="134" t="s">
        <v>750</v>
      </c>
      <c r="C57" s="134"/>
      <c r="D57" s="135">
        <v>287.52</v>
      </c>
      <c r="E57" s="134"/>
      <c r="F57" s="134"/>
      <c r="G57" s="135"/>
      <c r="H57" s="134"/>
      <c r="I57" s="134"/>
      <c r="J57" s="134"/>
      <c r="K57" s="135"/>
      <c r="L57" s="134"/>
      <c r="M57" s="134"/>
      <c r="N57" s="134"/>
      <c r="O57" s="134"/>
      <c r="P57" s="134"/>
      <c r="Q57" s="134"/>
      <c r="R57" s="134"/>
      <c r="S57" s="136"/>
      <c r="T57" s="134"/>
      <c r="U57" s="134"/>
      <c r="V57" s="134"/>
      <c r="W57" s="134"/>
      <c r="X57" s="134"/>
      <c r="Y57" s="134"/>
      <c r="Z57" s="134"/>
      <c r="AA57" s="136"/>
    </row>
    <row r="58" spans="1:27" x14ac:dyDescent="0.3">
      <c r="A58" s="176"/>
      <c r="B58" s="134" t="s">
        <v>751</v>
      </c>
      <c r="C58" s="134"/>
      <c r="D58" s="135">
        <v>287.52</v>
      </c>
      <c r="E58" s="134"/>
      <c r="F58" s="134"/>
      <c r="G58" s="135"/>
      <c r="H58" s="134"/>
      <c r="I58" s="134"/>
      <c r="J58" s="134"/>
      <c r="K58" s="135"/>
      <c r="L58" s="134"/>
      <c r="M58" s="134"/>
      <c r="N58" s="134"/>
      <c r="O58" s="134"/>
      <c r="P58" s="134"/>
      <c r="Q58" s="134"/>
      <c r="R58" s="134"/>
      <c r="S58" s="136"/>
      <c r="T58" s="134"/>
      <c r="U58" s="134"/>
      <c r="V58" s="134"/>
      <c r="W58" s="134"/>
      <c r="X58" s="134"/>
      <c r="Y58" s="134"/>
      <c r="Z58" s="134"/>
      <c r="AA58" s="136"/>
    </row>
    <row r="59" spans="1:27" x14ac:dyDescent="0.3">
      <c r="A59" s="176"/>
      <c r="B59" s="134" t="s">
        <v>752</v>
      </c>
      <c r="C59" s="134"/>
      <c r="D59" s="135">
        <v>287.52</v>
      </c>
      <c r="E59" s="134"/>
      <c r="F59" s="134"/>
      <c r="G59" s="135"/>
      <c r="H59" s="134"/>
      <c r="I59" s="134"/>
      <c r="J59" s="134"/>
      <c r="K59" s="135"/>
      <c r="L59" s="134"/>
      <c r="M59" s="134"/>
      <c r="N59" s="134"/>
      <c r="O59" s="134"/>
      <c r="P59" s="134"/>
      <c r="Q59" s="134"/>
      <c r="R59" s="134"/>
      <c r="S59" s="136"/>
      <c r="T59" s="134"/>
      <c r="U59" s="134"/>
      <c r="V59" s="134"/>
      <c r="W59" s="134"/>
      <c r="X59" s="134"/>
      <c r="Y59" s="134"/>
      <c r="Z59" s="134"/>
      <c r="AA59" s="136"/>
    </row>
    <row r="60" spans="1:27" x14ac:dyDescent="0.3">
      <c r="A60" s="176"/>
      <c r="B60" s="134" t="s">
        <v>753</v>
      </c>
      <c r="C60" s="134"/>
      <c r="D60" s="135">
        <v>287.52</v>
      </c>
      <c r="E60" s="134"/>
      <c r="F60" s="134"/>
      <c r="G60" s="135"/>
      <c r="H60" s="134"/>
      <c r="I60" s="134"/>
      <c r="J60" s="134"/>
      <c r="K60" s="135"/>
      <c r="L60" s="134"/>
      <c r="M60" s="134"/>
      <c r="N60" s="134"/>
      <c r="O60" s="134"/>
      <c r="P60" s="134"/>
      <c r="Q60" s="134"/>
      <c r="R60" s="134"/>
      <c r="S60" s="136"/>
      <c r="T60" s="134"/>
      <c r="U60" s="134"/>
      <c r="V60" s="134"/>
      <c r="W60" s="134"/>
      <c r="X60" s="134"/>
      <c r="Y60" s="134"/>
      <c r="Z60" s="134"/>
      <c r="AA60" s="136"/>
    </row>
    <row r="61" spans="1:27" x14ac:dyDescent="0.3">
      <c r="A61" s="176"/>
      <c r="B61" s="134" t="s">
        <v>754</v>
      </c>
      <c r="C61" s="134"/>
      <c r="D61" s="135">
        <v>287.52</v>
      </c>
      <c r="E61" s="134"/>
      <c r="F61" s="134"/>
      <c r="G61" s="135"/>
      <c r="H61" s="134"/>
      <c r="I61" s="134"/>
      <c r="J61" s="134"/>
      <c r="K61" s="135"/>
      <c r="L61" s="134"/>
      <c r="M61" s="134">
        <f>EXP(36.021-1000*13.65/298.15)</f>
        <v>5.7638239323387462E-5</v>
      </c>
      <c r="N61" s="134"/>
      <c r="O61" s="134"/>
      <c r="P61" s="134"/>
      <c r="Q61" s="150">
        <f>$N$1*M61</f>
        <v>4.3232234263002869E-7</v>
      </c>
      <c r="R61" s="139" t="s">
        <v>2895</v>
      </c>
      <c r="S61" s="136">
        <f>Q61</f>
        <v>4.3232234263002869E-7</v>
      </c>
      <c r="T61" s="134"/>
      <c r="U61" s="134"/>
      <c r="V61" s="134"/>
      <c r="W61" s="134"/>
      <c r="X61" s="134"/>
      <c r="Y61" s="134"/>
      <c r="Z61" s="134"/>
      <c r="AA61" s="136"/>
    </row>
    <row r="62" spans="1:27" x14ac:dyDescent="0.3">
      <c r="A62" s="91"/>
      <c r="B62" s="83" t="s">
        <v>755</v>
      </c>
      <c r="C62" s="83" t="s">
        <v>2751</v>
      </c>
      <c r="D62" s="85">
        <v>287.52</v>
      </c>
      <c r="E62" s="83"/>
      <c r="F62" s="83"/>
      <c r="G62" s="85"/>
      <c r="H62" s="83"/>
      <c r="I62" s="83">
        <v>162</v>
      </c>
      <c r="J62" s="84" t="s">
        <v>2309</v>
      </c>
      <c r="K62" s="85"/>
      <c r="L62" s="83">
        <v>25</v>
      </c>
      <c r="M62" s="144"/>
      <c r="N62" s="83"/>
      <c r="O62" s="83"/>
      <c r="P62" s="83"/>
      <c r="Q62" s="231">
        <v>8.9999999999999999E-8</v>
      </c>
      <c r="R62" s="90" t="s">
        <v>3056</v>
      </c>
      <c r="S62" s="86"/>
      <c r="T62" s="83"/>
      <c r="U62" s="83"/>
      <c r="V62" s="83"/>
      <c r="W62" s="83"/>
      <c r="X62" s="83"/>
      <c r="Y62" s="83"/>
      <c r="Z62" s="83"/>
      <c r="AA62" s="86"/>
    </row>
    <row r="63" spans="1:27" x14ac:dyDescent="0.3">
      <c r="A63" s="59"/>
      <c r="B63" s="60"/>
      <c r="C63" s="60"/>
      <c r="D63" s="61">
        <v>287.52</v>
      </c>
      <c r="E63" s="60"/>
      <c r="F63" s="60"/>
      <c r="G63" s="61"/>
      <c r="H63" s="60"/>
      <c r="I63" s="60">
        <v>162</v>
      </c>
      <c r="J63" s="67" t="s">
        <v>3005</v>
      </c>
      <c r="K63" s="61"/>
      <c r="L63" s="60"/>
      <c r="M63" s="69"/>
      <c r="N63" s="60"/>
      <c r="O63" s="60"/>
      <c r="P63" s="60"/>
      <c r="Q63" s="60"/>
      <c r="R63" s="60"/>
      <c r="S63" s="63"/>
      <c r="T63" s="60"/>
      <c r="U63" s="60"/>
      <c r="V63" s="60"/>
      <c r="W63" s="60"/>
      <c r="X63" s="60"/>
      <c r="Y63" s="60"/>
      <c r="Z63" s="60"/>
      <c r="AA63" s="63"/>
    </row>
    <row r="64" spans="1:27" x14ac:dyDescent="0.3">
      <c r="A64" s="91"/>
      <c r="B64" s="83" t="s">
        <v>756</v>
      </c>
      <c r="C64" s="83" t="s">
        <v>2752</v>
      </c>
      <c r="D64" s="85">
        <v>321.95999999999998</v>
      </c>
      <c r="E64" s="83">
        <v>6.6</v>
      </c>
      <c r="F64" s="84" t="s">
        <v>2309</v>
      </c>
      <c r="G64" s="85"/>
      <c r="H64" s="83"/>
      <c r="I64" s="83">
        <v>188</v>
      </c>
      <c r="J64" s="84" t="s">
        <v>2309</v>
      </c>
      <c r="K64" s="85"/>
      <c r="L64" s="83">
        <v>25</v>
      </c>
      <c r="M64" s="83"/>
      <c r="N64" s="83"/>
      <c r="O64" s="83"/>
      <c r="P64" s="83"/>
      <c r="Q64" s="83">
        <v>4.8E-8</v>
      </c>
      <c r="R64" s="84" t="s">
        <v>2309</v>
      </c>
      <c r="S64" s="86">
        <f>Q66</f>
        <v>6.3474091340480155E-8</v>
      </c>
      <c r="T64" s="83"/>
      <c r="U64" s="83"/>
      <c r="V64" s="83"/>
      <c r="W64" s="232"/>
      <c r="X64" s="232"/>
      <c r="Y64" s="83">
        <v>6.3000000000000003E-4</v>
      </c>
      <c r="Z64" s="84" t="s">
        <v>2310</v>
      </c>
      <c r="AA64" s="86">
        <f>Y69</f>
        <v>5.2335386666666666E-4</v>
      </c>
    </row>
    <row r="65" spans="1:27" x14ac:dyDescent="0.3">
      <c r="A65" s="59"/>
      <c r="B65" s="60"/>
      <c r="C65" s="60"/>
      <c r="D65" s="61">
        <v>321.95999999999998</v>
      </c>
      <c r="E65" s="60">
        <v>6.6</v>
      </c>
      <c r="F65" s="67" t="s">
        <v>3005</v>
      </c>
      <c r="G65" s="61"/>
      <c r="H65" s="60"/>
      <c r="I65" s="60">
        <v>188</v>
      </c>
      <c r="J65" s="67" t="s">
        <v>3005</v>
      </c>
      <c r="K65" s="61"/>
      <c r="L65" s="60">
        <v>25</v>
      </c>
      <c r="M65" s="60"/>
      <c r="N65" s="60"/>
      <c r="O65" s="60"/>
      <c r="P65" s="60"/>
      <c r="Q65" s="60">
        <v>4.8E-8</v>
      </c>
      <c r="R65" s="67" t="s">
        <v>3005</v>
      </c>
      <c r="S65" s="63"/>
      <c r="T65" s="60"/>
      <c r="U65" s="60"/>
      <c r="V65" s="60"/>
      <c r="W65" s="213"/>
      <c r="X65" s="213"/>
      <c r="Y65" s="60">
        <v>6.3000000000000003E-4</v>
      </c>
      <c r="Z65" s="67" t="s">
        <v>3005</v>
      </c>
      <c r="AA65" s="63"/>
    </row>
    <row r="66" spans="1:27" x14ac:dyDescent="0.3">
      <c r="A66" s="59"/>
      <c r="B66" s="60"/>
      <c r="C66" s="60"/>
      <c r="D66" s="61">
        <v>321.95999999999998</v>
      </c>
      <c r="E66" s="60"/>
      <c r="F66" s="60"/>
      <c r="G66" s="61"/>
      <c r="H66" s="60"/>
      <c r="I66" s="60"/>
      <c r="J66" s="60"/>
      <c r="K66" s="61"/>
      <c r="L66" s="60">
        <v>25</v>
      </c>
      <c r="M66" s="60">
        <f>EXP(33.217-1000*13.386/298.15)</f>
        <v>8.4625162911092907E-6</v>
      </c>
      <c r="N66" s="60"/>
      <c r="O66" s="60"/>
      <c r="P66" s="60"/>
      <c r="Q66" s="68">
        <f>$N$1*M66</f>
        <v>6.3474091340480155E-8</v>
      </c>
      <c r="R66" s="67" t="s">
        <v>2895</v>
      </c>
      <c r="S66" s="63"/>
      <c r="T66" s="60">
        <v>1.4599999999999999E-9</v>
      </c>
      <c r="U66" s="62" t="s">
        <v>3052</v>
      </c>
      <c r="V66" s="60"/>
      <c r="W66" s="60"/>
      <c r="X66" s="60"/>
      <c r="Y66" s="60">
        <f>1000*$D65*T66</f>
        <v>4.7006159999999996E-4</v>
      </c>
      <c r="Z66" s="67" t="s">
        <v>3004</v>
      </c>
      <c r="AA66" s="63"/>
    </row>
    <row r="67" spans="1:27" x14ac:dyDescent="0.3">
      <c r="A67" s="59"/>
      <c r="B67" s="60"/>
      <c r="C67" s="60"/>
      <c r="D67" s="61">
        <v>321.95999999999998</v>
      </c>
      <c r="E67" s="60"/>
      <c r="F67" s="60"/>
      <c r="G67" s="61"/>
      <c r="H67" s="60"/>
      <c r="I67" s="60"/>
      <c r="J67" s="60"/>
      <c r="K67" s="61"/>
      <c r="L67" s="60">
        <v>25</v>
      </c>
      <c r="M67" s="65">
        <v>6.3999999999999997E-6</v>
      </c>
      <c r="N67" s="60"/>
      <c r="O67" s="60"/>
      <c r="P67" s="60"/>
      <c r="Q67" s="77">
        <f>$N$1*M67</f>
        <v>4.8003947124552314E-8</v>
      </c>
      <c r="R67" s="67" t="s">
        <v>2906</v>
      </c>
      <c r="S67" s="63"/>
      <c r="T67" s="60">
        <v>0.63</v>
      </c>
      <c r="U67" s="62" t="s">
        <v>3026</v>
      </c>
      <c r="V67" s="60"/>
      <c r="W67" s="60"/>
      <c r="X67" s="60"/>
      <c r="Y67" s="60">
        <f>T67/1000</f>
        <v>6.3000000000000003E-4</v>
      </c>
      <c r="Z67" s="67" t="s">
        <v>2896</v>
      </c>
      <c r="AA67" s="63"/>
    </row>
    <row r="68" spans="1:27" x14ac:dyDescent="0.3">
      <c r="A68" s="59"/>
      <c r="B68" s="60"/>
      <c r="C68" s="60"/>
      <c r="D68" s="61">
        <v>321.95999999999998</v>
      </c>
      <c r="E68" s="60"/>
      <c r="F68" s="60"/>
      <c r="G68" s="61"/>
      <c r="H68" s="60"/>
      <c r="I68" s="60"/>
      <c r="J68" s="60"/>
      <c r="K68" s="61"/>
      <c r="L68" s="60"/>
      <c r="M68" s="60"/>
      <c r="N68" s="60"/>
      <c r="O68" s="60"/>
      <c r="P68" s="60"/>
      <c r="Q68" s="60"/>
      <c r="R68" s="67"/>
      <c r="S68" s="63"/>
      <c r="T68" s="60">
        <v>0.47</v>
      </c>
      <c r="U68" s="62" t="s">
        <v>3026</v>
      </c>
      <c r="V68" s="60"/>
      <c r="W68" s="60"/>
      <c r="X68" s="60"/>
      <c r="Y68" s="60">
        <f>T68/1000</f>
        <v>4.6999999999999999E-4</v>
      </c>
      <c r="Z68" s="67" t="s">
        <v>2896</v>
      </c>
      <c r="AA68" s="63"/>
    </row>
    <row r="69" spans="1:27" ht="24" x14ac:dyDescent="0.3">
      <c r="A69" s="59"/>
      <c r="B69" s="60"/>
      <c r="C69" s="60"/>
      <c r="D69" s="61">
        <v>321.95999999999998</v>
      </c>
      <c r="E69" s="60"/>
      <c r="F69" s="60"/>
      <c r="G69" s="61"/>
      <c r="H69" s="60"/>
      <c r="I69" s="60"/>
      <c r="J69" s="60"/>
      <c r="K69" s="61"/>
      <c r="L69" s="60"/>
      <c r="M69" s="60"/>
      <c r="N69" s="60"/>
      <c r="O69" s="60"/>
      <c r="P69" s="60"/>
      <c r="Q69" s="60"/>
      <c r="R69" s="67"/>
      <c r="S69" s="63"/>
      <c r="T69" s="60"/>
      <c r="U69" s="60"/>
      <c r="V69" s="60"/>
      <c r="W69" s="213"/>
      <c r="X69" s="213"/>
      <c r="Y69" s="68">
        <f>AVERAGE(Y66:Y68)</f>
        <v>5.2335386666666666E-4</v>
      </c>
      <c r="Z69" s="70" t="s">
        <v>2897</v>
      </c>
      <c r="AA69" s="63"/>
    </row>
    <row r="70" spans="1:27" x14ac:dyDescent="0.3">
      <c r="A70" s="91"/>
      <c r="B70" s="83" t="s">
        <v>757</v>
      </c>
      <c r="C70" s="83" t="s">
        <v>2755</v>
      </c>
      <c r="D70" s="85">
        <v>321.95999999999998</v>
      </c>
      <c r="E70" s="83">
        <v>6.9</v>
      </c>
      <c r="F70" s="84" t="s">
        <v>2309</v>
      </c>
      <c r="G70" s="85"/>
      <c r="H70" s="83"/>
      <c r="I70" s="83">
        <v>172</v>
      </c>
      <c r="J70" s="84" t="s">
        <v>2309</v>
      </c>
      <c r="K70" s="85">
        <f>I72</f>
        <v>173.5</v>
      </c>
      <c r="L70" s="83">
        <v>25</v>
      </c>
      <c r="M70" s="144"/>
      <c r="N70" s="83"/>
      <c r="O70" s="83"/>
      <c r="P70" s="83"/>
      <c r="Q70" s="231">
        <v>7.4999999999999993E-9</v>
      </c>
      <c r="R70" s="90" t="s">
        <v>3056</v>
      </c>
      <c r="S70" s="86"/>
      <c r="T70" s="83"/>
      <c r="U70" s="83"/>
      <c r="V70" s="83"/>
      <c r="W70" s="83"/>
      <c r="X70" s="83"/>
      <c r="Y70" s="83">
        <v>4.2999999999999999E-4</v>
      </c>
      <c r="Z70" s="84" t="s">
        <v>2310</v>
      </c>
      <c r="AA70" s="86">
        <f>Y74</f>
        <v>5.2854138066387498E-4</v>
      </c>
    </row>
    <row r="71" spans="1:27" x14ac:dyDescent="0.3">
      <c r="A71" s="59"/>
      <c r="B71" s="60"/>
      <c r="C71" s="60"/>
      <c r="D71" s="61">
        <v>321.95999999999998</v>
      </c>
      <c r="E71" s="60">
        <v>6.9</v>
      </c>
      <c r="F71" s="67" t="s">
        <v>3005</v>
      </c>
      <c r="G71" s="61"/>
      <c r="H71" s="60"/>
      <c r="I71" s="60">
        <v>172</v>
      </c>
      <c r="J71" s="67" t="s">
        <v>3005</v>
      </c>
      <c r="K71" s="61"/>
      <c r="L71" s="60">
        <v>25</v>
      </c>
      <c r="M71" s="69"/>
      <c r="N71" s="60"/>
      <c r="O71" s="60"/>
      <c r="P71" s="60"/>
      <c r="Q71" s="229">
        <v>7.4999999999999993E-9</v>
      </c>
      <c r="R71" s="69" t="s">
        <v>3055</v>
      </c>
      <c r="S71" s="63"/>
      <c r="T71" s="60"/>
      <c r="U71" s="60"/>
      <c r="V71" s="60"/>
      <c r="W71" s="60"/>
      <c r="X71" s="60"/>
      <c r="Y71" s="60">
        <v>4.2999999999999999E-4</v>
      </c>
      <c r="Z71" s="67" t="s">
        <v>3005</v>
      </c>
      <c r="AA71" s="63"/>
    </row>
    <row r="72" spans="1:27" x14ac:dyDescent="0.3">
      <c r="A72" s="59"/>
      <c r="B72" s="60"/>
      <c r="C72" s="60"/>
      <c r="D72" s="61">
        <v>321.95999999999998</v>
      </c>
      <c r="E72" s="60"/>
      <c r="F72" s="60"/>
      <c r="G72" s="61"/>
      <c r="H72" s="60"/>
      <c r="I72" s="68">
        <f>AVERAGE(172,175)</f>
        <v>173.5</v>
      </c>
      <c r="J72" s="199" t="s">
        <v>2761</v>
      </c>
      <c r="K72" s="61"/>
      <c r="L72" s="60"/>
      <c r="M72" s="69"/>
      <c r="N72" s="60"/>
      <c r="O72" s="60"/>
      <c r="P72" s="60"/>
      <c r="Q72" s="60"/>
      <c r="R72" s="60"/>
      <c r="S72" s="63"/>
      <c r="T72" s="60">
        <v>4.3000000000000001E-7</v>
      </c>
      <c r="U72" s="67" t="s">
        <v>3048</v>
      </c>
      <c r="V72" s="60"/>
      <c r="W72" s="60"/>
      <c r="X72" s="60"/>
      <c r="Y72" s="60">
        <f>1000*T72</f>
        <v>4.2999999999999999E-4</v>
      </c>
      <c r="Z72" s="67" t="s">
        <v>2761</v>
      </c>
      <c r="AA72" s="63"/>
    </row>
    <row r="73" spans="1:27" x14ac:dyDescent="0.3">
      <c r="A73" s="59"/>
      <c r="B73" s="60"/>
      <c r="C73" s="60"/>
      <c r="D73" s="61">
        <v>321.95999999999998</v>
      </c>
      <c r="E73" s="60"/>
      <c r="F73" s="60"/>
      <c r="G73" s="61"/>
      <c r="H73" s="60"/>
      <c r="I73" s="60"/>
      <c r="J73" s="199"/>
      <c r="K73" s="61"/>
      <c r="L73" s="60"/>
      <c r="M73" s="69"/>
      <c r="N73" s="60"/>
      <c r="O73" s="60"/>
      <c r="P73" s="60"/>
      <c r="Q73" s="60"/>
      <c r="R73" s="60"/>
      <c r="S73" s="63"/>
      <c r="T73" s="60">
        <f>EXP(-4784/298.15-4.011)</f>
        <v>1.9477039425013975E-9</v>
      </c>
      <c r="U73" s="67" t="s">
        <v>3052</v>
      </c>
      <c r="V73" s="60"/>
      <c r="W73" s="60"/>
      <c r="X73" s="60"/>
      <c r="Y73" s="60">
        <f>1000*$D72*T73</f>
        <v>6.2708276132774992E-4</v>
      </c>
      <c r="Z73" s="67" t="s">
        <v>3068</v>
      </c>
      <c r="AA73" s="63"/>
    </row>
    <row r="74" spans="1:27" ht="24" x14ac:dyDescent="0.3">
      <c r="A74" s="59"/>
      <c r="B74" s="60"/>
      <c r="C74" s="60"/>
      <c r="D74" s="61">
        <v>321.95999999999998</v>
      </c>
      <c r="E74" s="60"/>
      <c r="F74" s="60"/>
      <c r="G74" s="61"/>
      <c r="H74" s="60"/>
      <c r="I74" s="60"/>
      <c r="J74" s="199"/>
      <c r="K74" s="61"/>
      <c r="L74" s="60"/>
      <c r="M74" s="69"/>
      <c r="N74" s="60"/>
      <c r="O74" s="60"/>
      <c r="P74" s="60"/>
      <c r="Q74" s="60"/>
      <c r="R74" s="60"/>
      <c r="S74" s="63"/>
      <c r="T74" s="60"/>
      <c r="U74" s="60"/>
      <c r="V74" s="60"/>
      <c r="W74" s="60"/>
      <c r="X74" s="60"/>
      <c r="Y74" s="68">
        <f>AVERAGE(Y72:Y73)</f>
        <v>5.2854138066387498E-4</v>
      </c>
      <c r="Z74" s="171" t="s">
        <v>2898</v>
      </c>
      <c r="AA74" s="63"/>
    </row>
    <row r="75" spans="1:27" x14ac:dyDescent="0.3">
      <c r="A75" s="91"/>
      <c r="B75" s="129" t="s">
        <v>758</v>
      </c>
      <c r="C75" s="129" t="s">
        <v>2754</v>
      </c>
      <c r="D75" s="182">
        <v>321.95999999999998</v>
      </c>
      <c r="E75" s="129">
        <v>6.39</v>
      </c>
      <c r="F75" s="84" t="s">
        <v>2309</v>
      </c>
      <c r="G75" s="182">
        <f>E77</f>
        <v>6.39</v>
      </c>
      <c r="H75" s="129"/>
      <c r="I75" s="129"/>
      <c r="J75" s="129"/>
      <c r="K75" s="182"/>
      <c r="L75" s="129"/>
      <c r="M75" s="144"/>
      <c r="N75" s="129"/>
      <c r="O75" s="129"/>
      <c r="P75" s="129"/>
      <c r="Q75" s="129"/>
      <c r="R75" s="129"/>
      <c r="S75" s="234"/>
      <c r="T75" s="129"/>
      <c r="U75" s="129"/>
      <c r="V75" s="129"/>
      <c r="W75" s="129"/>
      <c r="X75" s="129"/>
      <c r="Y75" s="129"/>
      <c r="Z75" s="129"/>
      <c r="AA75" s="234"/>
    </row>
    <row r="76" spans="1:27" x14ac:dyDescent="0.3">
      <c r="A76" s="59"/>
      <c r="B76" s="60"/>
      <c r="C76" s="60"/>
      <c r="D76" s="61">
        <v>321.95999999999998</v>
      </c>
      <c r="E76" s="60">
        <v>6.39</v>
      </c>
      <c r="F76" s="67" t="s">
        <v>3005</v>
      </c>
      <c r="G76" s="61"/>
      <c r="H76" s="60"/>
      <c r="I76" s="60"/>
      <c r="J76" s="60"/>
      <c r="K76" s="61"/>
      <c r="L76" s="60"/>
      <c r="M76" s="71"/>
      <c r="N76" s="60"/>
      <c r="O76" s="60"/>
      <c r="P76" s="60"/>
      <c r="Q76" s="60"/>
      <c r="R76" s="60"/>
      <c r="S76" s="63"/>
      <c r="T76" s="60"/>
      <c r="U76" s="60"/>
      <c r="V76" s="60"/>
      <c r="W76" s="60"/>
      <c r="X76" s="60"/>
      <c r="Y76" s="60"/>
      <c r="Z76" s="60"/>
      <c r="AA76" s="63"/>
    </row>
    <row r="77" spans="1:27" x14ac:dyDescent="0.3">
      <c r="A77" s="59"/>
      <c r="B77" s="60"/>
      <c r="C77" s="60"/>
      <c r="D77" s="61">
        <v>321.95999999999998</v>
      </c>
      <c r="E77" s="68">
        <v>6.39</v>
      </c>
      <c r="F77" s="67" t="s">
        <v>2887</v>
      </c>
      <c r="G77" s="61"/>
      <c r="H77" s="60"/>
      <c r="I77" s="60"/>
      <c r="J77" s="60"/>
      <c r="K77" s="61"/>
      <c r="L77" s="60"/>
      <c r="M77" s="71"/>
      <c r="N77" s="60"/>
      <c r="O77" s="60"/>
      <c r="P77" s="60"/>
      <c r="Q77" s="60"/>
      <c r="R77" s="60"/>
      <c r="S77" s="63"/>
      <c r="T77" s="60"/>
      <c r="U77" s="60"/>
      <c r="V77" s="60"/>
      <c r="W77" s="60"/>
      <c r="X77" s="60"/>
      <c r="Y77" s="60"/>
      <c r="Z77" s="60"/>
      <c r="AA77" s="63"/>
    </row>
    <row r="78" spans="1:27" x14ac:dyDescent="0.3">
      <c r="A78" s="176"/>
      <c r="B78" s="134" t="s">
        <v>759</v>
      </c>
      <c r="C78" s="134"/>
      <c r="D78" s="135">
        <v>321.95999999999998</v>
      </c>
      <c r="E78" s="134"/>
      <c r="F78" s="134"/>
      <c r="G78" s="135"/>
      <c r="H78" s="134"/>
      <c r="I78" s="134"/>
      <c r="J78" s="134"/>
      <c r="K78" s="135"/>
      <c r="L78" s="134"/>
      <c r="M78" s="134"/>
      <c r="N78" s="134"/>
      <c r="O78" s="134"/>
      <c r="P78" s="134"/>
      <c r="Q78" s="134"/>
      <c r="R78" s="134"/>
      <c r="S78" s="136"/>
      <c r="T78" s="134"/>
      <c r="U78" s="134"/>
      <c r="V78" s="134"/>
      <c r="W78" s="134"/>
      <c r="X78" s="134"/>
      <c r="Y78" s="134"/>
      <c r="Z78" s="134"/>
      <c r="AA78" s="136"/>
    </row>
    <row r="79" spans="1:27" x14ac:dyDescent="0.3">
      <c r="A79" s="176"/>
      <c r="B79" s="134" t="s">
        <v>760</v>
      </c>
      <c r="C79" s="134"/>
      <c r="D79" s="135">
        <v>321.95999999999998</v>
      </c>
      <c r="E79" s="134"/>
      <c r="F79" s="134"/>
      <c r="G79" s="135"/>
      <c r="H79" s="134"/>
      <c r="I79" s="134"/>
      <c r="J79" s="134"/>
      <c r="K79" s="135"/>
      <c r="L79" s="134"/>
      <c r="M79" s="134"/>
      <c r="N79" s="134"/>
      <c r="O79" s="134"/>
      <c r="P79" s="134"/>
      <c r="Q79" s="134"/>
      <c r="R79" s="134"/>
      <c r="S79" s="136"/>
      <c r="T79" s="134"/>
      <c r="U79" s="134"/>
      <c r="V79" s="134"/>
      <c r="W79" s="134"/>
      <c r="X79" s="134"/>
      <c r="Y79" s="134"/>
      <c r="Z79" s="134"/>
      <c r="AA79" s="136"/>
    </row>
    <row r="80" spans="1:27" x14ac:dyDescent="0.3">
      <c r="A80" s="176"/>
      <c r="B80" s="134" t="s">
        <v>761</v>
      </c>
      <c r="C80" s="134"/>
      <c r="D80" s="135">
        <v>321.95999999999998</v>
      </c>
      <c r="E80" s="134"/>
      <c r="F80" s="134"/>
      <c r="G80" s="135"/>
      <c r="H80" s="134"/>
      <c r="I80" s="134"/>
      <c r="J80" s="134"/>
      <c r="K80" s="135"/>
      <c r="L80" s="134">
        <v>25</v>
      </c>
      <c r="M80" s="134">
        <f>EXP(35.556-1000*14.481/298.15)</f>
        <v>2.2299932696103265E-6</v>
      </c>
      <c r="N80" s="134"/>
      <c r="O80" s="134"/>
      <c r="P80" s="134"/>
      <c r="Q80" s="150">
        <f>$N$1*M80</f>
        <v>1.6726324844137757E-8</v>
      </c>
      <c r="R80" s="139" t="s">
        <v>2895</v>
      </c>
      <c r="S80" s="136">
        <f>Q80</f>
        <v>1.6726324844137757E-8</v>
      </c>
      <c r="T80" s="134"/>
      <c r="U80" s="134"/>
      <c r="V80" s="134"/>
      <c r="W80" s="134"/>
      <c r="X80" s="134"/>
      <c r="Y80" s="134"/>
      <c r="Z80" s="134"/>
      <c r="AA80" s="136"/>
    </row>
    <row r="81" spans="1:27" x14ac:dyDescent="0.3">
      <c r="A81" s="176"/>
      <c r="B81" s="134" t="s">
        <v>762</v>
      </c>
      <c r="C81" s="134"/>
      <c r="D81" s="135">
        <v>321.95999999999998</v>
      </c>
      <c r="E81" s="134"/>
      <c r="F81" s="134"/>
      <c r="G81" s="135"/>
      <c r="H81" s="134"/>
      <c r="I81" s="134"/>
      <c r="J81" s="134"/>
      <c r="K81" s="135"/>
      <c r="L81" s="134"/>
      <c r="M81" s="134"/>
      <c r="N81" s="134"/>
      <c r="O81" s="134"/>
      <c r="P81" s="134"/>
      <c r="Q81" s="134"/>
      <c r="R81" s="134"/>
      <c r="S81" s="136"/>
      <c r="T81" s="134"/>
      <c r="U81" s="134"/>
      <c r="V81" s="134"/>
      <c r="W81" s="134"/>
      <c r="X81" s="134"/>
      <c r="Y81" s="134"/>
      <c r="Z81" s="134"/>
      <c r="AA81" s="136"/>
    </row>
    <row r="82" spans="1:27" ht="24" x14ac:dyDescent="0.3">
      <c r="A82" s="176"/>
      <c r="B82" s="134" t="s">
        <v>763</v>
      </c>
      <c r="C82" s="134" t="s">
        <v>2753</v>
      </c>
      <c r="D82" s="135">
        <v>321.95999999999998</v>
      </c>
      <c r="E82" s="134">
        <v>6.43</v>
      </c>
      <c r="F82" s="139" t="s">
        <v>2309</v>
      </c>
      <c r="G82" s="135"/>
      <c r="H82" s="134"/>
      <c r="I82" s="141">
        <v>194</v>
      </c>
      <c r="J82" s="143" t="s">
        <v>3050</v>
      </c>
      <c r="K82" s="135"/>
      <c r="L82" s="134">
        <v>25</v>
      </c>
      <c r="M82" s="134"/>
      <c r="N82" s="134"/>
      <c r="O82" s="134"/>
      <c r="P82" s="134"/>
      <c r="Q82" s="193">
        <v>6.3000000000000002E-9</v>
      </c>
      <c r="R82" s="194" t="s">
        <v>3057</v>
      </c>
      <c r="S82" s="136"/>
      <c r="T82" s="134"/>
      <c r="U82" s="134"/>
      <c r="V82" s="134"/>
      <c r="W82" s="134"/>
      <c r="X82" s="134"/>
      <c r="Y82" s="134"/>
      <c r="Z82" s="134"/>
      <c r="AA82" s="136"/>
    </row>
    <row r="83" spans="1:27" x14ac:dyDescent="0.3">
      <c r="A83" s="91"/>
      <c r="B83" s="83" t="s">
        <v>764</v>
      </c>
      <c r="C83" s="83" t="s">
        <v>2756</v>
      </c>
      <c r="D83" s="85">
        <v>321.95999999999998</v>
      </c>
      <c r="E83" s="83">
        <v>7.1</v>
      </c>
      <c r="F83" s="84" t="s">
        <v>2309</v>
      </c>
      <c r="G83" s="85">
        <f>E85</f>
        <v>6.29</v>
      </c>
      <c r="H83" s="83"/>
      <c r="I83" s="83">
        <v>219</v>
      </c>
      <c r="J83" s="84" t="s">
        <v>2309</v>
      </c>
      <c r="K83" s="85">
        <f>I85</f>
        <v>219.5</v>
      </c>
      <c r="L83" s="83">
        <v>25</v>
      </c>
      <c r="M83" s="83"/>
      <c r="N83" s="83"/>
      <c r="O83" s="83"/>
      <c r="P83" s="83"/>
      <c r="Q83" s="83">
        <v>5.2499999999999999E-9</v>
      </c>
      <c r="R83" s="233" t="s">
        <v>2309</v>
      </c>
      <c r="S83" s="86">
        <f>Q84</f>
        <v>4.5309350114016165E-8</v>
      </c>
      <c r="T83" s="83"/>
      <c r="U83" s="83"/>
      <c r="V83" s="83"/>
      <c r="W83" s="83"/>
      <c r="X83" s="83"/>
      <c r="Y83" s="83">
        <v>3.2000000000000003E-4</v>
      </c>
      <c r="Z83" s="84" t="s">
        <v>2310</v>
      </c>
      <c r="AA83" s="86">
        <f>Y85</f>
        <v>3.2000000000000003E-4</v>
      </c>
    </row>
    <row r="84" spans="1:27" x14ac:dyDescent="0.3">
      <c r="A84" s="59"/>
      <c r="B84" s="60"/>
      <c r="C84" s="60"/>
      <c r="D84" s="61">
        <v>321.95999999999998</v>
      </c>
      <c r="E84" s="60">
        <v>7.1</v>
      </c>
      <c r="F84" s="67" t="s">
        <v>3005</v>
      </c>
      <c r="G84" s="61"/>
      <c r="H84" s="60"/>
      <c r="I84" s="60">
        <v>219</v>
      </c>
      <c r="J84" s="67" t="s">
        <v>3005</v>
      </c>
      <c r="K84" s="61"/>
      <c r="L84" s="60"/>
      <c r="M84" s="60">
        <f>EXP(35.818-1000*14.262/298.15)</f>
        <v>6.0407499403604057E-6</v>
      </c>
      <c r="N84" s="60"/>
      <c r="O84" s="60"/>
      <c r="P84" s="60"/>
      <c r="Q84" s="68">
        <f>$N$1*M84</f>
        <v>4.5309350114016165E-8</v>
      </c>
      <c r="R84" s="67" t="s">
        <v>2895</v>
      </c>
      <c r="S84" s="63"/>
      <c r="T84" s="60"/>
      <c r="U84" s="60"/>
      <c r="V84" s="60"/>
      <c r="W84" s="60"/>
      <c r="X84" s="60"/>
      <c r="Y84" s="60">
        <v>3.2000000000000003E-4</v>
      </c>
      <c r="Z84" s="67" t="s">
        <v>3005</v>
      </c>
      <c r="AA84" s="63"/>
    </row>
    <row r="85" spans="1:27" x14ac:dyDescent="0.3">
      <c r="A85" s="59"/>
      <c r="B85" s="60"/>
      <c r="C85" s="60"/>
      <c r="D85" s="61">
        <v>321.95999999999998</v>
      </c>
      <c r="E85" s="68">
        <v>6.29</v>
      </c>
      <c r="F85" s="67" t="s">
        <v>2887</v>
      </c>
      <c r="G85" s="61"/>
      <c r="H85" s="60"/>
      <c r="I85" s="68">
        <f>AVERAGE(219,220)</f>
        <v>219.5</v>
      </c>
      <c r="J85" s="199" t="s">
        <v>2761</v>
      </c>
      <c r="K85" s="61"/>
      <c r="L85" s="60"/>
      <c r="M85" s="60"/>
      <c r="N85" s="60"/>
      <c r="O85" s="60"/>
      <c r="P85" s="60"/>
      <c r="Q85" s="60"/>
      <c r="R85" s="67"/>
      <c r="S85" s="63"/>
      <c r="T85" s="60">
        <v>3.2000000000000001E-7</v>
      </c>
      <c r="U85" s="67" t="s">
        <v>3048</v>
      </c>
      <c r="V85" s="60"/>
      <c r="W85" s="60"/>
      <c r="X85" s="60"/>
      <c r="Y85" s="68">
        <f>1000*T85</f>
        <v>3.2000000000000003E-4</v>
      </c>
      <c r="Z85" s="67" t="s">
        <v>2761</v>
      </c>
      <c r="AA85" s="63"/>
    </row>
    <row r="86" spans="1:27" ht="24" x14ac:dyDescent="0.3">
      <c r="A86" s="91"/>
      <c r="B86" s="83" t="s">
        <v>765</v>
      </c>
      <c r="C86" s="83" t="s">
        <v>2757</v>
      </c>
      <c r="D86" s="85">
        <v>321.95999999999998</v>
      </c>
      <c r="E86" s="83">
        <v>7.1</v>
      </c>
      <c r="F86" s="84" t="s">
        <v>3005</v>
      </c>
      <c r="G86" s="85">
        <f>E87</f>
        <v>6.3</v>
      </c>
      <c r="H86" s="83"/>
      <c r="I86" s="83">
        <v>194</v>
      </c>
      <c r="J86" s="84" t="s">
        <v>3005</v>
      </c>
      <c r="K86" s="85">
        <f>I87</f>
        <v>194</v>
      </c>
      <c r="L86" s="83">
        <v>25</v>
      </c>
      <c r="M86" s="196"/>
      <c r="N86" s="83"/>
      <c r="O86" s="83"/>
      <c r="P86" s="83"/>
      <c r="Q86" s="231">
        <v>5.9000000000000003E-11</v>
      </c>
      <c r="R86" s="246" t="s">
        <v>3058</v>
      </c>
      <c r="S86" s="86"/>
      <c r="T86" s="83"/>
      <c r="U86" s="83"/>
      <c r="V86" s="83"/>
      <c r="W86" s="83"/>
      <c r="X86" s="83"/>
      <c r="Y86" s="93">
        <v>3.5E-4</v>
      </c>
      <c r="Z86" s="90" t="s">
        <v>3073</v>
      </c>
      <c r="AA86" s="86"/>
    </row>
    <row r="87" spans="1:27" x14ac:dyDescent="0.3">
      <c r="A87" s="59"/>
      <c r="B87" s="60"/>
      <c r="C87" s="60"/>
      <c r="D87" s="61">
        <v>321.95999999999998</v>
      </c>
      <c r="E87" s="68">
        <v>6.3</v>
      </c>
      <c r="F87" s="67" t="s">
        <v>2887</v>
      </c>
      <c r="G87" s="61"/>
      <c r="H87" s="60"/>
      <c r="I87" s="68">
        <v>194</v>
      </c>
      <c r="J87" s="67" t="s">
        <v>2743</v>
      </c>
      <c r="K87" s="61"/>
      <c r="L87" s="60"/>
      <c r="M87" s="162"/>
      <c r="N87" s="60"/>
      <c r="O87" s="60"/>
      <c r="P87" s="60"/>
      <c r="Q87" s="60"/>
      <c r="R87" s="60"/>
      <c r="S87" s="63"/>
      <c r="T87" s="60"/>
      <c r="U87" s="60"/>
      <c r="V87" s="60"/>
      <c r="W87" s="60"/>
      <c r="X87" s="60"/>
      <c r="Y87" s="60"/>
      <c r="Z87" s="69"/>
      <c r="AA87" s="63"/>
    </row>
    <row r="88" spans="1:27" x14ac:dyDescent="0.3">
      <c r="A88" s="176"/>
      <c r="B88" s="134" t="s">
        <v>766</v>
      </c>
      <c r="C88" s="134"/>
      <c r="D88" s="135">
        <v>321.95999999999998</v>
      </c>
      <c r="E88" s="134"/>
      <c r="F88" s="134"/>
      <c r="G88" s="135"/>
      <c r="H88" s="134"/>
      <c r="I88" s="134"/>
      <c r="J88" s="134"/>
      <c r="K88" s="135"/>
      <c r="L88" s="134"/>
      <c r="M88" s="146"/>
      <c r="N88" s="134"/>
      <c r="O88" s="134"/>
      <c r="P88" s="134"/>
      <c r="Q88" s="134"/>
      <c r="R88" s="134"/>
      <c r="S88" s="136"/>
      <c r="T88" s="134"/>
      <c r="U88" s="134"/>
      <c r="V88" s="134"/>
      <c r="W88" s="134"/>
      <c r="X88" s="134"/>
      <c r="Y88" s="134"/>
      <c r="Z88" s="134"/>
      <c r="AA88" s="136"/>
    </row>
    <row r="89" spans="1:27" x14ac:dyDescent="0.3">
      <c r="A89" s="176"/>
      <c r="B89" s="134" t="s">
        <v>767</v>
      </c>
      <c r="C89" s="134"/>
      <c r="D89" s="135">
        <v>321.95999999999998</v>
      </c>
      <c r="E89" s="134">
        <v>6.39</v>
      </c>
      <c r="F89" s="139" t="s">
        <v>2309</v>
      </c>
      <c r="G89" s="135"/>
      <c r="H89" s="134"/>
      <c r="I89" s="134"/>
      <c r="J89" s="134"/>
      <c r="K89" s="135"/>
      <c r="L89" s="134"/>
      <c r="M89" s="146"/>
      <c r="N89" s="134"/>
      <c r="O89" s="134"/>
      <c r="P89" s="134"/>
      <c r="Q89" s="134"/>
      <c r="R89" s="134"/>
      <c r="S89" s="136"/>
      <c r="T89" s="134"/>
      <c r="U89" s="134"/>
      <c r="V89" s="134"/>
      <c r="W89" s="134"/>
      <c r="X89" s="134"/>
      <c r="Y89" s="134"/>
      <c r="Z89" s="134"/>
      <c r="AA89" s="136"/>
    </row>
    <row r="90" spans="1:27" ht="24" x14ac:dyDescent="0.3">
      <c r="A90" s="176"/>
      <c r="B90" s="134" t="s">
        <v>768</v>
      </c>
      <c r="C90" s="134" t="s">
        <v>2900</v>
      </c>
      <c r="D90" s="135">
        <v>321.95999999999998</v>
      </c>
      <c r="E90" s="134">
        <v>6.9</v>
      </c>
      <c r="F90" s="139" t="s">
        <v>2309</v>
      </c>
      <c r="G90" s="135"/>
      <c r="H90" s="134"/>
      <c r="I90" s="134">
        <v>172</v>
      </c>
      <c r="J90" s="139" t="s">
        <v>2309</v>
      </c>
      <c r="K90" s="135"/>
      <c r="L90" s="134">
        <v>25</v>
      </c>
      <c r="M90" s="146"/>
      <c r="N90" s="134"/>
      <c r="O90" s="134"/>
      <c r="P90" s="134"/>
      <c r="Q90" s="193">
        <v>7.4999999999999993E-9</v>
      </c>
      <c r="R90" s="194" t="s">
        <v>3059</v>
      </c>
      <c r="S90" s="136"/>
      <c r="T90" s="134"/>
      <c r="U90" s="134"/>
      <c r="V90" s="134"/>
      <c r="W90" s="134"/>
      <c r="X90" s="134"/>
      <c r="Y90" s="141">
        <v>4.2999999999999999E-4</v>
      </c>
      <c r="Z90" s="194" t="s">
        <v>3069</v>
      </c>
      <c r="AA90" s="136"/>
    </row>
    <row r="91" spans="1:27" x14ac:dyDescent="0.3">
      <c r="A91" s="176"/>
      <c r="B91" s="134" t="s">
        <v>769</v>
      </c>
      <c r="C91" s="134"/>
      <c r="D91" s="135">
        <v>321.95999999999998</v>
      </c>
      <c r="E91" s="134"/>
      <c r="F91" s="134"/>
      <c r="G91" s="135"/>
      <c r="H91" s="134"/>
      <c r="I91" s="134"/>
      <c r="J91" s="134"/>
      <c r="K91" s="135"/>
      <c r="L91" s="134"/>
      <c r="M91" s="146"/>
      <c r="N91" s="134"/>
      <c r="O91" s="134"/>
      <c r="P91" s="134"/>
      <c r="Q91" s="134"/>
      <c r="R91" s="134"/>
      <c r="S91" s="136"/>
      <c r="T91" s="134"/>
      <c r="U91" s="134"/>
      <c r="V91" s="134"/>
      <c r="W91" s="134"/>
      <c r="X91" s="134"/>
      <c r="Y91" s="134"/>
      <c r="Z91" s="134"/>
      <c r="AA91" s="136"/>
    </row>
    <row r="92" spans="1:27" x14ac:dyDescent="0.3">
      <c r="A92" s="176"/>
      <c r="B92" s="134" t="s">
        <v>770</v>
      </c>
      <c r="C92" s="134"/>
      <c r="D92" s="135">
        <v>321.95999999999998</v>
      </c>
      <c r="E92" s="134"/>
      <c r="F92" s="134"/>
      <c r="G92" s="135"/>
      <c r="H92" s="134"/>
      <c r="I92" s="134"/>
      <c r="J92" s="134"/>
      <c r="K92" s="135"/>
      <c r="L92" s="134"/>
      <c r="M92" s="146"/>
      <c r="N92" s="134"/>
      <c r="O92" s="134"/>
      <c r="P92" s="134"/>
      <c r="Q92" s="134"/>
      <c r="R92" s="134"/>
      <c r="S92" s="136"/>
      <c r="T92" s="134"/>
      <c r="U92" s="134"/>
      <c r="V92" s="134"/>
      <c r="W92" s="134"/>
      <c r="X92" s="134"/>
      <c r="Y92" s="134"/>
      <c r="Z92" s="134"/>
      <c r="AA92" s="136"/>
    </row>
    <row r="93" spans="1:27" ht="24" x14ac:dyDescent="0.3">
      <c r="A93" s="91"/>
      <c r="B93" s="83" t="s">
        <v>771</v>
      </c>
      <c r="C93" s="83" t="s">
        <v>2907</v>
      </c>
      <c r="D93" s="85">
        <v>321.95999999999998</v>
      </c>
      <c r="E93" s="83">
        <v>6.43</v>
      </c>
      <c r="F93" s="84" t="s">
        <v>2309</v>
      </c>
      <c r="G93" s="85">
        <f>E94</f>
        <v>6.43</v>
      </c>
      <c r="H93" s="83"/>
      <c r="I93" s="93">
        <v>194</v>
      </c>
      <c r="J93" s="90" t="s">
        <v>3050</v>
      </c>
      <c r="K93" s="85"/>
      <c r="L93" s="83">
        <v>25</v>
      </c>
      <c r="M93" s="144"/>
      <c r="N93" s="83"/>
      <c r="O93" s="83"/>
      <c r="P93" s="83"/>
      <c r="Q93" s="231">
        <v>6.3000000000000002E-9</v>
      </c>
      <c r="R93" s="228" t="s">
        <v>3060</v>
      </c>
      <c r="S93" s="86"/>
      <c r="T93" s="83"/>
      <c r="U93" s="83"/>
      <c r="V93" s="83"/>
      <c r="W93" s="83"/>
      <c r="X93" s="83"/>
      <c r="Y93" s="83"/>
      <c r="Z93" s="83"/>
      <c r="AA93" s="86"/>
    </row>
    <row r="94" spans="1:27" x14ac:dyDescent="0.3">
      <c r="A94" s="59"/>
      <c r="B94" s="60"/>
      <c r="C94" s="60"/>
      <c r="D94" s="61">
        <v>321.95999999999998</v>
      </c>
      <c r="E94" s="68">
        <v>6.43</v>
      </c>
      <c r="F94" s="67" t="s">
        <v>2887</v>
      </c>
      <c r="G94" s="61"/>
      <c r="H94" s="60"/>
      <c r="I94" s="60"/>
      <c r="J94" s="60"/>
      <c r="K94" s="61"/>
      <c r="L94" s="60"/>
      <c r="M94" s="72"/>
      <c r="N94" s="60"/>
      <c r="O94" s="60"/>
      <c r="P94" s="60"/>
      <c r="Q94" s="60"/>
      <c r="R94" s="60"/>
      <c r="S94" s="63"/>
      <c r="T94" s="60"/>
      <c r="U94" s="60"/>
      <c r="V94" s="60"/>
      <c r="W94" s="60"/>
      <c r="X94" s="60"/>
      <c r="Y94" s="60"/>
      <c r="Z94" s="60"/>
      <c r="AA94" s="63"/>
    </row>
    <row r="95" spans="1:27" x14ac:dyDescent="0.3">
      <c r="A95" s="176"/>
      <c r="B95" s="134" t="s">
        <v>772</v>
      </c>
      <c r="C95" s="134"/>
      <c r="D95" s="135">
        <v>321.95999999999998</v>
      </c>
      <c r="E95" s="134"/>
      <c r="F95" s="134"/>
      <c r="G95" s="135"/>
      <c r="H95" s="134"/>
      <c r="I95" s="134"/>
      <c r="J95" s="134"/>
      <c r="K95" s="135"/>
      <c r="L95" s="134"/>
      <c r="M95" s="146"/>
      <c r="N95" s="134"/>
      <c r="O95" s="134"/>
      <c r="P95" s="134"/>
      <c r="Q95" s="134"/>
      <c r="R95" s="134"/>
      <c r="S95" s="136"/>
      <c r="T95" s="134"/>
      <c r="U95" s="134"/>
      <c r="V95" s="134"/>
      <c r="W95" s="134"/>
      <c r="X95" s="134"/>
      <c r="Y95" s="134"/>
      <c r="Z95" s="134"/>
      <c r="AA95" s="136"/>
    </row>
    <row r="96" spans="1:27" x14ac:dyDescent="0.3">
      <c r="A96" s="176"/>
      <c r="B96" s="134" t="s">
        <v>773</v>
      </c>
      <c r="C96" s="134"/>
      <c r="D96" s="135">
        <v>321.95999999999998</v>
      </c>
      <c r="E96" s="134"/>
      <c r="F96" s="134"/>
      <c r="G96" s="135"/>
      <c r="H96" s="134"/>
      <c r="I96" s="134"/>
      <c r="J96" s="134"/>
      <c r="K96" s="135"/>
      <c r="L96" s="134"/>
      <c r="M96" s="146"/>
      <c r="N96" s="134"/>
      <c r="O96" s="134"/>
      <c r="P96" s="134"/>
      <c r="Q96" s="134"/>
      <c r="R96" s="134"/>
      <c r="S96" s="136"/>
      <c r="T96" s="134"/>
      <c r="U96" s="134"/>
      <c r="V96" s="134"/>
      <c r="W96" s="134"/>
      <c r="X96" s="134"/>
      <c r="Y96" s="134"/>
      <c r="Z96" s="134"/>
      <c r="AA96" s="136"/>
    </row>
    <row r="97" spans="1:27" x14ac:dyDescent="0.3">
      <c r="A97" s="176"/>
      <c r="B97" s="134" t="s">
        <v>774</v>
      </c>
      <c r="C97" s="134"/>
      <c r="D97" s="135">
        <v>321.95999999999998</v>
      </c>
      <c r="E97" s="134"/>
      <c r="F97" s="134"/>
      <c r="G97" s="135"/>
      <c r="H97" s="134"/>
      <c r="I97" s="134"/>
      <c r="J97" s="134"/>
      <c r="K97" s="135"/>
      <c r="L97" s="134"/>
      <c r="M97" s="146"/>
      <c r="N97" s="134"/>
      <c r="O97" s="134"/>
      <c r="P97" s="134"/>
      <c r="Q97" s="134"/>
      <c r="R97" s="134"/>
      <c r="S97" s="136"/>
      <c r="T97" s="134"/>
      <c r="U97" s="134"/>
      <c r="V97" s="134"/>
      <c r="W97" s="134"/>
      <c r="X97" s="134"/>
      <c r="Y97" s="134"/>
      <c r="Z97" s="134"/>
      <c r="AA97" s="136"/>
    </row>
    <row r="98" spans="1:27" ht="24" x14ac:dyDescent="0.3">
      <c r="A98" s="91"/>
      <c r="B98" s="83" t="s">
        <v>775</v>
      </c>
      <c r="C98" s="83" t="s">
        <v>2758</v>
      </c>
      <c r="D98" s="85">
        <v>321.95999999999998</v>
      </c>
      <c r="E98" s="144">
        <v>7.1</v>
      </c>
      <c r="F98" s="84" t="s">
        <v>2309</v>
      </c>
      <c r="G98" s="85">
        <f>E100</f>
        <v>6.39</v>
      </c>
      <c r="H98" s="83"/>
      <c r="I98" s="83">
        <v>219</v>
      </c>
      <c r="J98" s="84" t="s">
        <v>2309</v>
      </c>
      <c r="K98" s="85"/>
      <c r="L98" s="83">
        <v>25</v>
      </c>
      <c r="M98" s="144"/>
      <c r="N98" s="83"/>
      <c r="O98" s="83"/>
      <c r="P98" s="83"/>
      <c r="Q98" s="231">
        <v>5.2499999999999999E-9</v>
      </c>
      <c r="R98" s="228" t="s">
        <v>3061</v>
      </c>
      <c r="S98" s="86">
        <f>Q99</f>
        <v>2.4468718890566545E-8</v>
      </c>
      <c r="T98" s="83"/>
      <c r="U98" s="83"/>
      <c r="V98" s="83"/>
      <c r="W98" s="83"/>
      <c r="X98" s="83"/>
      <c r="Y98" s="93">
        <v>3.2000000000000003E-4</v>
      </c>
      <c r="Z98" s="228" t="s">
        <v>3070</v>
      </c>
      <c r="AA98" s="86"/>
    </row>
    <row r="99" spans="1:27" x14ac:dyDescent="0.3">
      <c r="A99" s="59"/>
      <c r="B99" s="60"/>
      <c r="C99" s="60"/>
      <c r="D99" s="61">
        <v>321.95999999999998</v>
      </c>
      <c r="E99" s="60">
        <v>6.92</v>
      </c>
      <c r="F99" s="67" t="s">
        <v>3005</v>
      </c>
      <c r="G99" s="61"/>
      <c r="H99" s="60"/>
      <c r="I99" s="60"/>
      <c r="J99" s="69"/>
      <c r="K99" s="61"/>
      <c r="L99" s="60"/>
      <c r="M99" s="72">
        <f>EXP(37.221-1000*14.864/298.15)</f>
        <v>3.2622275933541025E-6</v>
      </c>
      <c r="N99" s="60"/>
      <c r="O99" s="60"/>
      <c r="P99" s="60"/>
      <c r="Q99" s="68">
        <f>$N$1*M99</f>
        <v>2.4468718890566545E-8</v>
      </c>
      <c r="R99" s="67" t="s">
        <v>2895</v>
      </c>
      <c r="S99" s="63"/>
      <c r="T99" s="60"/>
      <c r="U99" s="60"/>
      <c r="V99" s="60"/>
      <c r="W99" s="60"/>
      <c r="X99" s="60"/>
      <c r="Y99" s="60">
        <v>6.1160000000000001E-4</v>
      </c>
      <c r="Z99" s="67" t="s">
        <v>3005</v>
      </c>
      <c r="AA99" s="63"/>
    </row>
    <row r="100" spans="1:27" x14ac:dyDescent="0.3">
      <c r="A100" s="59"/>
      <c r="B100" s="60"/>
      <c r="C100" s="60"/>
      <c r="D100" s="61">
        <v>321.95999999999998</v>
      </c>
      <c r="E100" s="68">
        <v>6.39</v>
      </c>
      <c r="F100" s="67" t="s">
        <v>2887</v>
      </c>
      <c r="G100" s="61"/>
      <c r="H100" s="60"/>
      <c r="I100" s="60"/>
      <c r="J100" s="69"/>
      <c r="K100" s="61"/>
      <c r="L100" s="60"/>
      <c r="M100" s="72"/>
      <c r="N100" s="60"/>
      <c r="O100" s="60"/>
      <c r="P100" s="60"/>
      <c r="Q100" s="60"/>
      <c r="R100" s="67"/>
      <c r="S100" s="63"/>
      <c r="T100" s="60"/>
      <c r="U100" s="60"/>
      <c r="V100" s="60"/>
      <c r="W100" s="60"/>
      <c r="X100" s="60"/>
      <c r="Y100" s="60"/>
      <c r="Z100" s="69"/>
      <c r="AA100" s="63"/>
    </row>
    <row r="101" spans="1:27" x14ac:dyDescent="0.3">
      <c r="A101" s="91"/>
      <c r="B101" s="83" t="s">
        <v>776</v>
      </c>
      <c r="C101" s="83" t="s">
        <v>2908</v>
      </c>
      <c r="D101" s="85">
        <v>321.95999999999998</v>
      </c>
      <c r="E101" s="83">
        <v>6.39</v>
      </c>
      <c r="F101" s="84" t="s">
        <v>2309</v>
      </c>
      <c r="G101" s="85">
        <f>E103</f>
        <v>6.39</v>
      </c>
      <c r="H101" s="83"/>
      <c r="I101" s="83"/>
      <c r="J101" s="83"/>
      <c r="K101" s="85"/>
      <c r="L101" s="83"/>
      <c r="M101" s="144"/>
      <c r="N101" s="83"/>
      <c r="O101" s="83"/>
      <c r="P101" s="83"/>
      <c r="Q101" s="83"/>
      <c r="R101" s="83"/>
      <c r="S101" s="86"/>
      <c r="T101" s="83"/>
      <c r="U101" s="83"/>
      <c r="V101" s="83"/>
      <c r="W101" s="83"/>
      <c r="X101" s="83"/>
      <c r="Y101" s="83">
        <v>2.47E-3</v>
      </c>
      <c r="Z101" s="84" t="s">
        <v>3005</v>
      </c>
      <c r="AA101" s="86"/>
    </row>
    <row r="102" spans="1:27" x14ac:dyDescent="0.3">
      <c r="A102" s="59"/>
      <c r="B102" s="60"/>
      <c r="C102" s="60"/>
      <c r="D102" s="61">
        <v>321.95999999999998</v>
      </c>
      <c r="E102" s="60">
        <v>6.39</v>
      </c>
      <c r="F102" s="67" t="s">
        <v>3005</v>
      </c>
      <c r="G102" s="61"/>
      <c r="H102" s="60"/>
      <c r="I102" s="60"/>
      <c r="J102" s="60"/>
      <c r="K102" s="61"/>
      <c r="L102" s="60"/>
      <c r="M102" s="72"/>
      <c r="N102" s="60"/>
      <c r="O102" s="60"/>
      <c r="P102" s="60"/>
      <c r="Q102" s="60"/>
      <c r="R102" s="60"/>
      <c r="S102" s="63"/>
      <c r="T102" s="60"/>
      <c r="U102" s="60"/>
      <c r="V102" s="60"/>
      <c r="W102" s="60"/>
      <c r="X102" s="60"/>
      <c r="Y102" s="60"/>
      <c r="Z102" s="60"/>
      <c r="AA102" s="63"/>
    </row>
    <row r="103" spans="1:27" x14ac:dyDescent="0.3">
      <c r="A103" s="59"/>
      <c r="B103" s="60"/>
      <c r="C103" s="60"/>
      <c r="D103" s="61">
        <v>321.95999999999998</v>
      </c>
      <c r="E103" s="68">
        <v>6.39</v>
      </c>
      <c r="F103" s="67" t="s">
        <v>2887</v>
      </c>
      <c r="G103" s="61"/>
      <c r="H103" s="60"/>
      <c r="I103" s="60"/>
      <c r="J103" s="60"/>
      <c r="K103" s="61"/>
      <c r="L103" s="60"/>
      <c r="M103" s="72"/>
      <c r="N103" s="60"/>
      <c r="O103" s="60"/>
      <c r="P103" s="60"/>
      <c r="Q103" s="60"/>
      <c r="R103" s="60"/>
      <c r="S103" s="63"/>
      <c r="T103" s="60"/>
      <c r="U103" s="60"/>
      <c r="V103" s="60"/>
      <c r="W103" s="60"/>
      <c r="X103" s="60"/>
      <c r="Y103" s="60"/>
      <c r="Z103" s="60"/>
      <c r="AA103" s="63"/>
    </row>
    <row r="104" spans="1:27" x14ac:dyDescent="0.3">
      <c r="A104" s="91"/>
      <c r="B104" s="83" t="s">
        <v>777</v>
      </c>
      <c r="C104" s="83" t="s">
        <v>2759</v>
      </c>
      <c r="D104" s="85">
        <v>321.95999999999998</v>
      </c>
      <c r="E104" s="83">
        <v>6.8</v>
      </c>
      <c r="F104" s="84" t="s">
        <v>2309</v>
      </c>
      <c r="G104" s="85">
        <f>E108</f>
        <v>6.5236829282963669</v>
      </c>
      <c r="H104" s="83"/>
      <c r="I104" s="83">
        <v>305</v>
      </c>
      <c r="J104" s="84" t="s">
        <v>2309</v>
      </c>
      <c r="K104" s="85"/>
      <c r="L104" s="83">
        <v>25</v>
      </c>
      <c r="M104" s="83"/>
      <c r="N104" s="83"/>
      <c r="O104" s="83"/>
      <c r="P104" s="83"/>
      <c r="Q104" s="83">
        <v>1.5E-9</v>
      </c>
      <c r="R104" s="84" t="s">
        <v>2309</v>
      </c>
      <c r="S104" s="86">
        <f>Q106</f>
        <v>1.5001233476422598E-9</v>
      </c>
      <c r="T104" s="83"/>
      <c r="U104" s="88"/>
      <c r="V104" s="83"/>
      <c r="W104" s="232"/>
      <c r="X104" s="232"/>
      <c r="Y104" s="254">
        <v>2.0000000000000001E-4</v>
      </c>
      <c r="Z104" s="84" t="s">
        <v>2310</v>
      </c>
      <c r="AA104" s="238">
        <f>Y106</f>
        <v>2.0000000000000001E-4</v>
      </c>
    </row>
    <row r="105" spans="1:27" x14ac:dyDescent="0.3">
      <c r="A105" s="59"/>
      <c r="B105" s="60"/>
      <c r="C105" s="60"/>
      <c r="D105" s="61">
        <v>321.95999999999998</v>
      </c>
      <c r="E105" s="60">
        <v>6.8</v>
      </c>
      <c r="F105" s="67" t="s">
        <v>3005</v>
      </c>
      <c r="G105" s="61"/>
      <c r="H105" s="60"/>
      <c r="I105" s="60">
        <v>305</v>
      </c>
      <c r="J105" s="67" t="s">
        <v>3005</v>
      </c>
      <c r="K105" s="61"/>
      <c r="L105" s="60">
        <v>25</v>
      </c>
      <c r="M105" s="72"/>
      <c r="N105" s="60"/>
      <c r="O105" s="60"/>
      <c r="P105" s="60"/>
      <c r="Q105" s="60">
        <v>1.5E-9</v>
      </c>
      <c r="R105" s="67" t="s">
        <v>3005</v>
      </c>
      <c r="S105" s="63"/>
      <c r="T105" s="60"/>
      <c r="U105" s="62"/>
      <c r="V105" s="60"/>
      <c r="W105" s="213"/>
      <c r="X105" s="213"/>
      <c r="Y105" s="214">
        <v>2.0000000000000001E-4</v>
      </c>
      <c r="Z105" s="67" t="s">
        <v>3005</v>
      </c>
      <c r="AA105" s="63"/>
    </row>
    <row r="106" spans="1:27" ht="24" x14ac:dyDescent="0.3">
      <c r="A106" s="59"/>
      <c r="B106" s="60"/>
      <c r="C106" s="60"/>
      <c r="D106" s="61">
        <v>321.95999999999998</v>
      </c>
      <c r="E106" s="212">
        <f>LOG(4240000)</f>
        <v>6.6273658565927329</v>
      </c>
      <c r="F106" s="67" t="s">
        <v>3049</v>
      </c>
      <c r="G106" s="61"/>
      <c r="H106" s="60"/>
      <c r="I106" s="60"/>
      <c r="J106" s="60"/>
      <c r="K106" s="61"/>
      <c r="L106" s="60">
        <v>25</v>
      </c>
      <c r="M106" s="207">
        <v>1.9999999999999999E-7</v>
      </c>
      <c r="N106" s="60"/>
      <c r="O106" s="60"/>
      <c r="P106" s="60"/>
      <c r="Q106" s="68">
        <f>$N$1*M106</f>
        <v>1.5001233476422598E-9</v>
      </c>
      <c r="R106" s="67" t="s">
        <v>2906</v>
      </c>
      <c r="S106" s="63"/>
      <c r="T106" s="60"/>
      <c r="U106" s="62"/>
      <c r="V106" s="60"/>
      <c r="W106" s="213"/>
      <c r="X106" s="213"/>
      <c r="Y106" s="235">
        <v>2.0000000000000001E-4</v>
      </c>
      <c r="Z106" s="70" t="s">
        <v>2899</v>
      </c>
      <c r="AA106" s="63"/>
    </row>
    <row r="107" spans="1:27" x14ac:dyDescent="0.3">
      <c r="A107" s="59"/>
      <c r="B107" s="60"/>
      <c r="C107" s="60"/>
      <c r="D107" s="61">
        <v>321.95999999999998</v>
      </c>
      <c r="E107" s="212">
        <v>6.42</v>
      </c>
      <c r="F107" s="67" t="s">
        <v>2887</v>
      </c>
      <c r="G107" s="61"/>
      <c r="H107" s="60"/>
      <c r="I107" s="60"/>
      <c r="J107" s="60"/>
      <c r="K107" s="61"/>
      <c r="L107" s="60"/>
      <c r="M107" s="72"/>
      <c r="N107" s="60"/>
      <c r="O107" s="60"/>
      <c r="P107" s="60"/>
      <c r="Q107" s="60"/>
      <c r="R107" s="67"/>
      <c r="S107" s="63"/>
      <c r="T107" s="60">
        <v>-10.220000000000001</v>
      </c>
      <c r="U107" s="62" t="s">
        <v>3030</v>
      </c>
      <c r="V107" s="60"/>
      <c r="W107" s="60"/>
      <c r="X107" s="60"/>
      <c r="Y107" s="77">
        <f>1000*$D107*10^T107</f>
        <v>1.9400008433249915E-5</v>
      </c>
      <c r="Z107" s="62" t="s">
        <v>3008</v>
      </c>
      <c r="AA107" s="63"/>
    </row>
    <row r="108" spans="1:27" ht="24" x14ac:dyDescent="0.3">
      <c r="A108" s="59"/>
      <c r="B108" s="60"/>
      <c r="C108" s="60"/>
      <c r="D108" s="61">
        <v>321.95999999999998</v>
      </c>
      <c r="E108" s="215">
        <f>AVERAGE(E106:E107)</f>
        <v>6.5236829282963669</v>
      </c>
      <c r="F108" s="70" t="s">
        <v>2886</v>
      </c>
      <c r="G108" s="61"/>
      <c r="H108" s="60"/>
      <c r="I108" s="60"/>
      <c r="J108" s="60"/>
      <c r="K108" s="61"/>
      <c r="L108" s="60"/>
      <c r="M108" s="72"/>
      <c r="N108" s="60"/>
      <c r="O108" s="60"/>
      <c r="P108" s="60"/>
      <c r="Q108" s="60"/>
      <c r="R108" s="67"/>
      <c r="S108" s="63"/>
      <c r="T108" s="60"/>
      <c r="U108" s="62"/>
      <c r="V108" s="60"/>
      <c r="W108" s="213"/>
      <c r="X108" s="213"/>
      <c r="Y108" s="214"/>
      <c r="Z108" s="67"/>
      <c r="AA108" s="63"/>
    </row>
    <row r="109" spans="1:27" ht="24" x14ac:dyDescent="0.3">
      <c r="A109" s="91"/>
      <c r="B109" s="83" t="s">
        <v>778</v>
      </c>
      <c r="C109" s="83" t="s">
        <v>2760</v>
      </c>
      <c r="D109" s="85">
        <v>356.4</v>
      </c>
      <c r="E109" s="83">
        <v>6.3</v>
      </c>
      <c r="F109" s="84" t="s">
        <v>2309</v>
      </c>
      <c r="G109" s="85">
        <f>E111</f>
        <v>6.3</v>
      </c>
      <c r="H109" s="83"/>
      <c r="I109" s="83">
        <v>220</v>
      </c>
      <c r="J109" s="84" t="s">
        <v>2309</v>
      </c>
      <c r="K109" s="85"/>
      <c r="L109" s="83">
        <v>25</v>
      </c>
      <c r="M109" s="144"/>
      <c r="N109" s="83"/>
      <c r="O109" s="83"/>
      <c r="P109" s="83"/>
      <c r="Q109" s="231">
        <v>5.6000000000000003E-10</v>
      </c>
      <c r="R109" s="228" t="s">
        <v>3062</v>
      </c>
      <c r="S109" s="86"/>
      <c r="T109" s="83"/>
      <c r="U109" s="83"/>
      <c r="V109" s="83"/>
      <c r="W109" s="83"/>
      <c r="X109" s="83"/>
      <c r="Y109" s="93">
        <v>1.2E-4</v>
      </c>
      <c r="Z109" s="228" t="s">
        <v>3071</v>
      </c>
      <c r="AA109" s="86"/>
    </row>
    <row r="110" spans="1:27" x14ac:dyDescent="0.3">
      <c r="A110" s="59"/>
      <c r="B110" s="60"/>
      <c r="C110" s="60"/>
      <c r="D110" s="61">
        <v>356.4</v>
      </c>
      <c r="E110" s="60">
        <v>6.3</v>
      </c>
      <c r="F110" s="67" t="s">
        <v>3005</v>
      </c>
      <c r="G110" s="61"/>
      <c r="H110" s="60"/>
      <c r="I110" s="60"/>
      <c r="J110" s="60"/>
      <c r="K110" s="61"/>
      <c r="L110" s="60"/>
      <c r="M110" s="72"/>
      <c r="N110" s="60"/>
      <c r="O110" s="60"/>
      <c r="P110" s="60"/>
      <c r="Q110" s="60"/>
      <c r="R110" s="60"/>
      <c r="S110" s="63"/>
      <c r="T110" s="60"/>
      <c r="U110" s="60"/>
      <c r="V110" s="60"/>
      <c r="W110" s="60"/>
      <c r="X110" s="60"/>
      <c r="Y110" s="60">
        <v>1.8320000000000001E-3</v>
      </c>
      <c r="Z110" s="67" t="s">
        <v>3005</v>
      </c>
      <c r="AA110" s="63"/>
    </row>
    <row r="111" spans="1:27" x14ac:dyDescent="0.3">
      <c r="A111" s="59"/>
      <c r="B111" s="60"/>
      <c r="C111" s="60"/>
      <c r="D111" s="61">
        <v>356.4</v>
      </c>
      <c r="E111" s="68">
        <v>6.3</v>
      </c>
      <c r="F111" s="67" t="s">
        <v>2887</v>
      </c>
      <c r="G111" s="61"/>
      <c r="H111" s="60"/>
      <c r="I111" s="60"/>
      <c r="J111" s="60"/>
      <c r="K111" s="61"/>
      <c r="L111" s="60"/>
      <c r="M111" s="72"/>
      <c r="N111" s="60"/>
      <c r="O111" s="60"/>
      <c r="P111" s="60"/>
      <c r="Q111" s="60"/>
      <c r="R111" s="60"/>
      <c r="S111" s="63"/>
      <c r="T111" s="60"/>
      <c r="U111" s="60"/>
      <c r="V111" s="60"/>
      <c r="W111" s="60"/>
      <c r="X111" s="60"/>
      <c r="Y111" s="60"/>
      <c r="Z111" s="69"/>
      <c r="AA111" s="63"/>
    </row>
    <row r="112" spans="1:27" x14ac:dyDescent="0.3">
      <c r="A112" s="91"/>
      <c r="B112" s="83" t="s">
        <v>779</v>
      </c>
      <c r="C112" s="83" t="s">
        <v>2909</v>
      </c>
      <c r="D112" s="85">
        <v>356.4</v>
      </c>
      <c r="E112" s="83">
        <v>6.74</v>
      </c>
      <c r="F112" s="84" t="s">
        <v>2309</v>
      </c>
      <c r="G112" s="85">
        <f>E114</f>
        <v>6.74</v>
      </c>
      <c r="H112" s="83"/>
      <c r="I112" s="83"/>
      <c r="J112" s="83"/>
      <c r="K112" s="85"/>
      <c r="L112" s="83"/>
      <c r="M112" s="144"/>
      <c r="N112" s="83"/>
      <c r="O112" s="83"/>
      <c r="P112" s="83"/>
      <c r="Q112" s="83"/>
      <c r="R112" s="83"/>
      <c r="S112" s="86"/>
      <c r="T112" s="83"/>
      <c r="U112" s="83"/>
      <c r="V112" s="83"/>
      <c r="W112" s="83"/>
      <c r="X112" s="83"/>
      <c r="Y112" s="83">
        <v>7.7139999999999999E-4</v>
      </c>
      <c r="Z112" s="84" t="s">
        <v>3005</v>
      </c>
      <c r="AA112" s="86"/>
    </row>
    <row r="113" spans="1:27" x14ac:dyDescent="0.3">
      <c r="A113" s="59"/>
      <c r="B113" s="60"/>
      <c r="C113" s="60"/>
      <c r="D113" s="61">
        <v>356.4</v>
      </c>
      <c r="E113" s="60">
        <v>6.74</v>
      </c>
      <c r="F113" s="67" t="s">
        <v>3005</v>
      </c>
      <c r="G113" s="61"/>
      <c r="H113" s="60"/>
      <c r="I113" s="60"/>
      <c r="J113" s="60"/>
      <c r="K113" s="61"/>
      <c r="L113" s="60"/>
      <c r="M113" s="72"/>
      <c r="N113" s="60"/>
      <c r="O113" s="60"/>
      <c r="P113" s="60"/>
      <c r="Q113" s="60"/>
      <c r="R113" s="60"/>
      <c r="S113" s="63"/>
      <c r="T113" s="60"/>
      <c r="U113" s="60"/>
      <c r="V113" s="60"/>
      <c r="W113" s="60"/>
      <c r="X113" s="60"/>
      <c r="Y113" s="60"/>
      <c r="Z113" s="60"/>
      <c r="AA113" s="63"/>
    </row>
    <row r="114" spans="1:27" x14ac:dyDescent="0.3">
      <c r="A114" s="59"/>
      <c r="B114" s="60"/>
      <c r="C114" s="60"/>
      <c r="D114" s="61">
        <v>356.4</v>
      </c>
      <c r="E114" s="68">
        <v>6.74</v>
      </c>
      <c r="F114" s="220" t="s">
        <v>2887</v>
      </c>
      <c r="G114" s="61"/>
      <c r="H114" s="60"/>
      <c r="I114" s="60"/>
      <c r="J114" s="60"/>
      <c r="K114" s="61"/>
      <c r="L114" s="60"/>
      <c r="M114" s="72"/>
      <c r="N114" s="60"/>
      <c r="O114" s="60"/>
      <c r="P114" s="60"/>
      <c r="Q114" s="60"/>
      <c r="R114" s="60"/>
      <c r="S114" s="63"/>
      <c r="T114" s="60"/>
      <c r="U114" s="60"/>
      <c r="V114" s="60"/>
      <c r="W114" s="60"/>
      <c r="X114" s="60"/>
      <c r="Y114" s="60"/>
      <c r="Z114" s="60"/>
      <c r="AA114" s="63"/>
    </row>
    <row r="115" spans="1:27" x14ac:dyDescent="0.3">
      <c r="A115" s="91"/>
      <c r="B115" s="83" t="s">
        <v>780</v>
      </c>
      <c r="C115" s="83"/>
      <c r="D115" s="85">
        <v>356.4</v>
      </c>
      <c r="E115" s="83">
        <v>6.24</v>
      </c>
      <c r="F115" s="84" t="s">
        <v>2309</v>
      </c>
      <c r="G115" s="85">
        <f>E116</f>
        <v>6.24</v>
      </c>
      <c r="H115" s="83"/>
      <c r="I115" s="83"/>
      <c r="J115" s="83"/>
      <c r="K115" s="85"/>
      <c r="L115" s="83"/>
      <c r="M115" s="144"/>
      <c r="N115" s="83"/>
      <c r="O115" s="83"/>
      <c r="P115" s="83"/>
      <c r="Q115" s="83"/>
      <c r="R115" s="83"/>
      <c r="S115" s="86"/>
      <c r="T115" s="83"/>
      <c r="U115" s="83"/>
      <c r="V115" s="83"/>
      <c r="W115" s="83"/>
      <c r="X115" s="83"/>
      <c r="Y115" s="83"/>
      <c r="Z115" s="83"/>
      <c r="AA115" s="86"/>
    </row>
    <row r="116" spans="1:27" x14ac:dyDescent="0.3">
      <c r="A116" s="59"/>
      <c r="B116" s="60"/>
      <c r="C116" s="60"/>
      <c r="D116" s="61">
        <v>356.4</v>
      </c>
      <c r="E116" s="68">
        <v>6.24</v>
      </c>
      <c r="F116" s="67" t="s">
        <v>2887</v>
      </c>
      <c r="G116" s="61"/>
      <c r="H116" s="60"/>
      <c r="I116" s="60"/>
      <c r="J116" s="60"/>
      <c r="K116" s="61"/>
      <c r="L116" s="60"/>
      <c r="M116" s="72"/>
      <c r="N116" s="60"/>
      <c r="O116" s="60"/>
      <c r="P116" s="60"/>
      <c r="Q116" s="60"/>
      <c r="R116" s="60"/>
      <c r="S116" s="63"/>
      <c r="T116" s="60"/>
      <c r="U116" s="60"/>
      <c r="V116" s="60"/>
      <c r="W116" s="60"/>
      <c r="X116" s="60"/>
      <c r="Y116" s="60"/>
      <c r="Z116" s="60"/>
      <c r="AA116" s="63"/>
    </row>
    <row r="117" spans="1:27" x14ac:dyDescent="0.3">
      <c r="A117" s="91"/>
      <c r="B117" s="83" t="s">
        <v>781</v>
      </c>
      <c r="C117" s="83"/>
      <c r="D117" s="85">
        <v>356.4</v>
      </c>
      <c r="E117" s="83">
        <v>6.4</v>
      </c>
      <c r="F117" s="84" t="s">
        <v>2309</v>
      </c>
      <c r="G117" s="85">
        <f>E118</f>
        <v>6.4</v>
      </c>
      <c r="H117" s="83"/>
      <c r="I117" s="83"/>
      <c r="J117" s="83"/>
      <c r="K117" s="85"/>
      <c r="L117" s="83"/>
      <c r="M117" s="144"/>
      <c r="N117" s="83"/>
      <c r="O117" s="83"/>
      <c r="P117" s="83"/>
      <c r="Q117" s="83"/>
      <c r="R117" s="83"/>
      <c r="S117" s="86"/>
      <c r="T117" s="83"/>
      <c r="U117" s="83"/>
      <c r="V117" s="83"/>
      <c r="W117" s="83"/>
      <c r="X117" s="83"/>
      <c r="Y117" s="83"/>
      <c r="Z117" s="83"/>
      <c r="AA117" s="86"/>
    </row>
    <row r="118" spans="1:27" x14ac:dyDescent="0.3">
      <c r="A118" s="59"/>
      <c r="B118" s="60"/>
      <c r="C118" s="60"/>
      <c r="D118" s="61">
        <v>356.4</v>
      </c>
      <c r="E118" s="68">
        <v>6.4</v>
      </c>
      <c r="F118" s="67" t="s">
        <v>2887</v>
      </c>
      <c r="G118" s="61"/>
      <c r="H118" s="60"/>
      <c r="I118" s="60"/>
      <c r="J118" s="60"/>
      <c r="K118" s="61"/>
      <c r="L118" s="60"/>
      <c r="M118" s="72"/>
      <c r="N118" s="60"/>
      <c r="O118" s="60"/>
      <c r="P118" s="60"/>
      <c r="Q118" s="60"/>
      <c r="R118" s="60"/>
      <c r="S118" s="63"/>
      <c r="T118" s="60"/>
      <c r="U118" s="60"/>
      <c r="V118" s="60"/>
      <c r="W118" s="60"/>
      <c r="X118" s="60"/>
      <c r="Y118" s="60"/>
      <c r="Z118" s="60"/>
      <c r="AA118" s="63"/>
    </row>
    <row r="119" spans="1:27" x14ac:dyDescent="0.3">
      <c r="A119" s="176"/>
      <c r="B119" s="134" t="s">
        <v>782</v>
      </c>
      <c r="C119" s="134"/>
      <c r="D119" s="135">
        <v>356.4</v>
      </c>
      <c r="E119" s="134"/>
      <c r="F119" s="134"/>
      <c r="G119" s="135"/>
      <c r="H119" s="134"/>
      <c r="I119" s="134"/>
      <c r="J119" s="134"/>
      <c r="K119" s="135"/>
      <c r="L119" s="134"/>
      <c r="M119" s="146"/>
      <c r="N119" s="134"/>
      <c r="O119" s="134"/>
      <c r="P119" s="134"/>
      <c r="Q119" s="134"/>
      <c r="R119" s="134"/>
      <c r="S119" s="136"/>
      <c r="T119" s="134"/>
      <c r="U119" s="134"/>
      <c r="V119" s="134"/>
      <c r="W119" s="134"/>
      <c r="X119" s="134"/>
      <c r="Y119" s="134"/>
      <c r="Z119" s="134"/>
      <c r="AA119" s="136"/>
    </row>
    <row r="120" spans="1:27" x14ac:dyDescent="0.3">
      <c r="A120" s="176"/>
      <c r="B120" s="134" t="s">
        <v>783</v>
      </c>
      <c r="C120" s="134"/>
      <c r="D120" s="135">
        <v>356.4</v>
      </c>
      <c r="E120" s="134"/>
      <c r="F120" s="134"/>
      <c r="G120" s="135"/>
      <c r="H120" s="134"/>
      <c r="I120" s="134"/>
      <c r="J120" s="134"/>
      <c r="K120" s="135"/>
      <c r="L120" s="134"/>
      <c r="M120" s="146"/>
      <c r="N120" s="134"/>
      <c r="O120" s="134"/>
      <c r="P120" s="134"/>
      <c r="Q120" s="134"/>
      <c r="R120" s="134"/>
      <c r="S120" s="136"/>
      <c r="T120" s="134"/>
      <c r="U120" s="134"/>
      <c r="V120" s="134"/>
      <c r="W120" s="134"/>
      <c r="X120" s="134"/>
      <c r="Y120" s="134"/>
      <c r="Z120" s="134"/>
      <c r="AA120" s="136"/>
    </row>
    <row r="121" spans="1:27" x14ac:dyDescent="0.3">
      <c r="A121" s="176"/>
      <c r="B121" s="134" t="s">
        <v>784</v>
      </c>
      <c r="C121" s="134"/>
      <c r="D121" s="135">
        <v>356.4</v>
      </c>
      <c r="E121" s="134"/>
      <c r="F121" s="134"/>
      <c r="G121" s="135"/>
      <c r="H121" s="134"/>
      <c r="I121" s="134"/>
      <c r="J121" s="134"/>
      <c r="K121" s="135"/>
      <c r="L121" s="134"/>
      <c r="M121" s="146"/>
      <c r="N121" s="134"/>
      <c r="O121" s="134"/>
      <c r="P121" s="134"/>
      <c r="Q121" s="134"/>
      <c r="R121" s="134"/>
      <c r="S121" s="136"/>
      <c r="T121" s="134"/>
      <c r="U121" s="134"/>
      <c r="V121" s="134"/>
      <c r="W121" s="134"/>
      <c r="X121" s="134"/>
      <c r="Y121" s="134"/>
      <c r="Z121" s="134"/>
      <c r="AA121" s="136"/>
    </row>
    <row r="122" spans="1:27" x14ac:dyDescent="0.3">
      <c r="A122" s="91"/>
      <c r="B122" s="83" t="s">
        <v>785</v>
      </c>
      <c r="C122" s="83" t="s">
        <v>2762</v>
      </c>
      <c r="D122" s="85">
        <v>356.4</v>
      </c>
      <c r="E122" s="83">
        <v>7.4</v>
      </c>
      <c r="F122" s="84" t="s">
        <v>2309</v>
      </c>
      <c r="G122" s="85"/>
      <c r="H122" s="83"/>
      <c r="I122" s="83">
        <v>195</v>
      </c>
      <c r="J122" s="84" t="s">
        <v>2309</v>
      </c>
      <c r="K122" s="85">
        <f>I124</f>
        <v>187.5</v>
      </c>
      <c r="L122" s="83">
        <v>25</v>
      </c>
      <c r="M122" s="144"/>
      <c r="N122" s="83"/>
      <c r="O122" s="83"/>
      <c r="P122" s="83"/>
      <c r="Q122" s="231">
        <v>6.6E-10</v>
      </c>
      <c r="R122" s="90" t="s">
        <v>3063</v>
      </c>
      <c r="S122" s="86"/>
      <c r="T122" s="83"/>
      <c r="U122" s="83"/>
      <c r="V122" s="83"/>
      <c r="W122" s="255"/>
      <c r="X122" s="255"/>
      <c r="Y122" s="83">
        <v>1.2E-4</v>
      </c>
      <c r="Z122" s="84" t="s">
        <v>2310</v>
      </c>
      <c r="AA122" s="86">
        <f>Y126</f>
        <v>1.4104207204452299E-4</v>
      </c>
    </row>
    <row r="123" spans="1:27" x14ac:dyDescent="0.3">
      <c r="A123" s="59"/>
      <c r="B123" s="60"/>
      <c r="C123" s="60"/>
      <c r="D123" s="61">
        <v>356.4</v>
      </c>
      <c r="E123" s="60">
        <v>7.4</v>
      </c>
      <c r="F123" s="67" t="s">
        <v>3005</v>
      </c>
      <c r="G123" s="61"/>
      <c r="H123" s="60"/>
      <c r="I123" s="60">
        <v>195</v>
      </c>
      <c r="J123" s="67" t="s">
        <v>3005</v>
      </c>
      <c r="K123" s="61"/>
      <c r="L123" s="60"/>
      <c r="M123" s="72"/>
      <c r="N123" s="60"/>
      <c r="O123" s="60"/>
      <c r="P123" s="60"/>
      <c r="Q123" s="60"/>
      <c r="R123" s="60"/>
      <c r="S123" s="63"/>
      <c r="T123" s="60"/>
      <c r="U123" s="60"/>
      <c r="V123" s="60"/>
      <c r="W123" s="221"/>
      <c r="X123" s="221"/>
      <c r="Y123" s="60">
        <v>1.2E-4</v>
      </c>
      <c r="Z123" s="67" t="s">
        <v>3005</v>
      </c>
      <c r="AA123" s="63"/>
    </row>
    <row r="124" spans="1:27" x14ac:dyDescent="0.3">
      <c r="A124" s="59"/>
      <c r="B124" s="60"/>
      <c r="C124" s="60"/>
      <c r="D124" s="61">
        <v>356.4</v>
      </c>
      <c r="E124" s="60"/>
      <c r="F124" s="60"/>
      <c r="G124" s="61"/>
      <c r="H124" s="60"/>
      <c r="I124" s="68">
        <f>AVERAGE(187,188)</f>
        <v>187.5</v>
      </c>
      <c r="J124" s="199" t="s">
        <v>2761</v>
      </c>
      <c r="K124" s="61"/>
      <c r="L124" s="60"/>
      <c r="M124" s="72"/>
      <c r="N124" s="60"/>
      <c r="O124" s="60"/>
      <c r="P124" s="60"/>
      <c r="Q124" s="60"/>
      <c r="R124" s="60"/>
      <c r="S124" s="63"/>
      <c r="T124" s="60">
        <v>1.1999999999999999E-7</v>
      </c>
      <c r="U124" s="67" t="s">
        <v>3048</v>
      </c>
      <c r="V124" s="60"/>
      <c r="W124" s="221"/>
      <c r="X124" s="221"/>
      <c r="Y124" s="60">
        <f>1000*T124</f>
        <v>1.1999999999999999E-4</v>
      </c>
      <c r="Z124" s="67" t="s">
        <v>2761</v>
      </c>
      <c r="AA124" s="63"/>
    </row>
    <row r="125" spans="1:27" x14ac:dyDescent="0.3">
      <c r="A125" s="59"/>
      <c r="B125" s="60"/>
      <c r="C125" s="60"/>
      <c r="D125" s="61">
        <v>356.4</v>
      </c>
      <c r="E125" s="60"/>
      <c r="F125" s="60"/>
      <c r="G125" s="61"/>
      <c r="H125" s="60"/>
      <c r="I125" s="68"/>
      <c r="J125" s="199"/>
      <c r="K125" s="61"/>
      <c r="L125" s="60"/>
      <c r="M125" s="72"/>
      <c r="N125" s="60"/>
      <c r="O125" s="60"/>
      <c r="P125" s="60"/>
      <c r="Q125" s="60"/>
      <c r="R125" s="60"/>
      <c r="S125" s="63"/>
      <c r="T125" s="60">
        <f>EXP(-5715/298.15-2.343)</f>
        <v>4.547815490713972E-10</v>
      </c>
      <c r="U125" s="67" t="s">
        <v>3052</v>
      </c>
      <c r="V125" s="60"/>
      <c r="W125" s="221"/>
      <c r="X125" s="221"/>
      <c r="Y125" s="60">
        <f>1000*$D124*T125</f>
        <v>1.6208414408904595E-4</v>
      </c>
      <c r="Z125" s="67" t="s">
        <v>3068</v>
      </c>
      <c r="AA125" s="63"/>
    </row>
    <row r="126" spans="1:27" ht="24" x14ac:dyDescent="0.3">
      <c r="A126" s="59"/>
      <c r="B126" s="60"/>
      <c r="C126" s="60"/>
      <c r="D126" s="61">
        <v>356.4</v>
      </c>
      <c r="E126" s="60"/>
      <c r="F126" s="60"/>
      <c r="G126" s="61"/>
      <c r="H126" s="60"/>
      <c r="I126" s="68"/>
      <c r="J126" s="199"/>
      <c r="K126" s="61"/>
      <c r="L126" s="60"/>
      <c r="M126" s="72"/>
      <c r="N126" s="60"/>
      <c r="O126" s="60"/>
      <c r="P126" s="60"/>
      <c r="Q126" s="60"/>
      <c r="R126" s="60"/>
      <c r="S126" s="63"/>
      <c r="T126" s="60"/>
      <c r="U126" s="60"/>
      <c r="V126" s="60"/>
      <c r="W126" s="221"/>
      <c r="X126" s="221"/>
      <c r="Y126" s="68">
        <f>AVERAGE(Y124:Y125)</f>
        <v>1.4104207204452299E-4</v>
      </c>
      <c r="Z126" s="70" t="s">
        <v>2898</v>
      </c>
      <c r="AA126" s="63"/>
    </row>
    <row r="127" spans="1:27" x14ac:dyDescent="0.3">
      <c r="A127" s="91"/>
      <c r="B127" s="83" t="s">
        <v>786</v>
      </c>
      <c r="C127" s="83" t="s">
        <v>2910</v>
      </c>
      <c r="D127" s="85">
        <v>356.4</v>
      </c>
      <c r="E127" s="83">
        <v>6.4</v>
      </c>
      <c r="F127" s="84" t="s">
        <v>2309</v>
      </c>
      <c r="G127" s="85">
        <f>E129</f>
        <v>6.53</v>
      </c>
      <c r="H127" s="83"/>
      <c r="I127" s="83"/>
      <c r="J127" s="83"/>
      <c r="K127" s="85"/>
      <c r="L127" s="83"/>
      <c r="M127" s="144"/>
      <c r="N127" s="83"/>
      <c r="O127" s="83"/>
      <c r="P127" s="83"/>
      <c r="Q127" s="83"/>
      <c r="R127" s="83"/>
      <c r="S127" s="86"/>
      <c r="T127" s="83"/>
      <c r="U127" s="83"/>
      <c r="V127" s="83"/>
      <c r="W127" s="83"/>
      <c r="X127" s="83"/>
      <c r="Y127" s="83"/>
      <c r="Z127" s="83"/>
      <c r="AA127" s="86"/>
    </row>
    <row r="128" spans="1:27" x14ac:dyDescent="0.3">
      <c r="A128" s="59"/>
      <c r="B128" s="60"/>
      <c r="C128" s="60"/>
      <c r="D128" s="61">
        <v>356.4</v>
      </c>
      <c r="E128" s="60">
        <v>6.53</v>
      </c>
      <c r="F128" s="67" t="s">
        <v>3005</v>
      </c>
      <c r="G128" s="61"/>
      <c r="H128" s="60"/>
      <c r="I128" s="60"/>
      <c r="J128" s="60"/>
      <c r="K128" s="61"/>
      <c r="L128" s="60"/>
      <c r="M128" s="72"/>
      <c r="N128" s="60"/>
      <c r="O128" s="60"/>
      <c r="P128" s="60"/>
      <c r="Q128" s="60"/>
      <c r="R128" s="60"/>
      <c r="S128" s="63"/>
      <c r="T128" s="60"/>
      <c r="U128" s="60"/>
      <c r="V128" s="60"/>
      <c r="W128" s="60"/>
      <c r="X128" s="60"/>
      <c r="Y128" s="60"/>
      <c r="Z128" s="60"/>
      <c r="AA128" s="63"/>
    </row>
    <row r="129" spans="1:27" x14ac:dyDescent="0.3">
      <c r="A129" s="59"/>
      <c r="B129" s="60"/>
      <c r="C129" s="60"/>
      <c r="D129" s="61">
        <v>356.4</v>
      </c>
      <c r="E129" s="68">
        <v>6.53</v>
      </c>
      <c r="F129" s="67" t="s">
        <v>2887</v>
      </c>
      <c r="G129" s="61"/>
      <c r="H129" s="60"/>
      <c r="I129" s="60"/>
      <c r="J129" s="60"/>
      <c r="K129" s="61"/>
      <c r="L129" s="60"/>
      <c r="M129" s="72"/>
      <c r="N129" s="60"/>
      <c r="O129" s="60"/>
      <c r="P129" s="60"/>
      <c r="Q129" s="60"/>
      <c r="R129" s="60"/>
      <c r="S129" s="63"/>
      <c r="T129" s="60"/>
      <c r="U129" s="60"/>
      <c r="V129" s="60"/>
      <c r="W129" s="60"/>
      <c r="X129" s="60"/>
      <c r="Y129" s="60"/>
      <c r="Z129" s="60"/>
      <c r="AA129" s="63"/>
    </row>
    <row r="130" spans="1:27" x14ac:dyDescent="0.3">
      <c r="A130" s="91"/>
      <c r="B130" s="83" t="s">
        <v>1792</v>
      </c>
      <c r="C130" s="243" t="s">
        <v>2763</v>
      </c>
      <c r="D130" s="85">
        <v>356.4</v>
      </c>
      <c r="E130" s="83">
        <v>6.64</v>
      </c>
      <c r="F130" s="84" t="s">
        <v>2309</v>
      </c>
      <c r="G130" s="85">
        <f>E132</f>
        <v>6.64</v>
      </c>
      <c r="H130" s="83"/>
      <c r="I130" s="83">
        <v>240</v>
      </c>
      <c r="J130" s="84" t="s">
        <v>2309</v>
      </c>
      <c r="K130" s="85"/>
      <c r="L130" s="83">
        <v>25</v>
      </c>
      <c r="M130" s="144"/>
      <c r="N130" s="83"/>
      <c r="O130" s="83"/>
      <c r="P130" s="83"/>
      <c r="Q130" s="231">
        <v>4.35E-10</v>
      </c>
      <c r="R130" s="90" t="s">
        <v>3063</v>
      </c>
      <c r="S130" s="86"/>
      <c r="T130" s="93"/>
      <c r="U130" s="93"/>
      <c r="V130" s="83"/>
      <c r="W130" s="83"/>
      <c r="X130" s="83"/>
      <c r="Y130" s="83"/>
      <c r="Z130" s="144"/>
      <c r="AA130" s="86"/>
    </row>
    <row r="131" spans="1:27" x14ac:dyDescent="0.3">
      <c r="A131" s="59"/>
      <c r="B131" s="60"/>
      <c r="C131" s="222"/>
      <c r="D131" s="61">
        <v>356.4</v>
      </c>
      <c r="E131" s="60">
        <v>6.64</v>
      </c>
      <c r="F131" s="67" t="s">
        <v>3005</v>
      </c>
      <c r="G131" s="61"/>
      <c r="H131" s="60"/>
      <c r="I131" s="60">
        <v>240</v>
      </c>
      <c r="J131" s="67" t="s">
        <v>3005</v>
      </c>
      <c r="K131" s="61"/>
      <c r="L131" s="60"/>
      <c r="M131" s="72"/>
      <c r="N131" s="60"/>
      <c r="O131" s="60"/>
      <c r="P131" s="60"/>
      <c r="Q131" s="60"/>
      <c r="R131" s="60"/>
      <c r="S131" s="63"/>
      <c r="T131" s="71"/>
      <c r="U131" s="71"/>
      <c r="V131" s="60"/>
      <c r="W131" s="60"/>
      <c r="X131" s="60"/>
      <c r="Y131" s="60"/>
      <c r="Z131" s="69"/>
      <c r="AA131" s="63"/>
    </row>
    <row r="132" spans="1:27" x14ac:dyDescent="0.3">
      <c r="A132" s="59"/>
      <c r="B132" s="60"/>
      <c r="C132" s="222"/>
      <c r="D132" s="61">
        <v>356.4</v>
      </c>
      <c r="E132" s="68">
        <v>6.64</v>
      </c>
      <c r="F132" s="67" t="s">
        <v>2887</v>
      </c>
      <c r="G132" s="61"/>
      <c r="H132" s="60"/>
      <c r="I132" s="60"/>
      <c r="J132" s="60"/>
      <c r="K132" s="61"/>
      <c r="L132" s="60"/>
      <c r="M132" s="72"/>
      <c r="N132" s="60"/>
      <c r="O132" s="60"/>
      <c r="P132" s="60"/>
      <c r="Q132" s="60"/>
      <c r="R132" s="60"/>
      <c r="S132" s="63"/>
      <c r="T132" s="71"/>
      <c r="U132" s="71"/>
      <c r="V132" s="60"/>
      <c r="W132" s="60"/>
      <c r="X132" s="60"/>
      <c r="Y132" s="60"/>
      <c r="Z132" s="69"/>
      <c r="AA132" s="63"/>
    </row>
    <row r="133" spans="1:27" x14ac:dyDescent="0.3">
      <c r="A133" s="176"/>
      <c r="B133" s="134" t="s">
        <v>787</v>
      </c>
      <c r="C133" s="134"/>
      <c r="D133" s="135">
        <v>356.4</v>
      </c>
      <c r="E133" s="134">
        <v>6.74</v>
      </c>
      <c r="F133" s="139" t="s">
        <v>2309</v>
      </c>
      <c r="G133" s="135"/>
      <c r="H133" s="134"/>
      <c r="I133" s="134"/>
      <c r="J133" s="134"/>
      <c r="K133" s="135"/>
      <c r="L133" s="134"/>
      <c r="M133" s="146"/>
      <c r="N133" s="134"/>
      <c r="O133" s="134"/>
      <c r="P133" s="134"/>
      <c r="Q133" s="134"/>
      <c r="R133" s="134"/>
      <c r="S133" s="136"/>
      <c r="T133" s="134"/>
      <c r="U133" s="134"/>
      <c r="V133" s="134"/>
      <c r="W133" s="134"/>
      <c r="X133" s="134"/>
      <c r="Y133" s="134"/>
      <c r="Z133" s="134"/>
      <c r="AA133" s="136"/>
    </row>
    <row r="134" spans="1:27" x14ac:dyDescent="0.3">
      <c r="A134" s="176"/>
      <c r="B134" s="134" t="s">
        <v>788</v>
      </c>
      <c r="C134" s="134"/>
      <c r="D134" s="135">
        <v>356.4</v>
      </c>
      <c r="E134" s="134"/>
      <c r="F134" s="134"/>
      <c r="G134" s="135"/>
      <c r="H134" s="134"/>
      <c r="I134" s="134"/>
      <c r="J134" s="134"/>
      <c r="K134" s="135"/>
      <c r="L134" s="134"/>
      <c r="M134" s="146"/>
      <c r="N134" s="134"/>
      <c r="O134" s="134"/>
      <c r="P134" s="134"/>
      <c r="Q134" s="134"/>
      <c r="R134" s="134"/>
      <c r="S134" s="136"/>
      <c r="T134" s="134"/>
      <c r="U134" s="134"/>
      <c r="V134" s="134"/>
      <c r="W134" s="134"/>
      <c r="X134" s="134"/>
      <c r="Y134" s="134"/>
      <c r="Z134" s="134"/>
      <c r="AA134" s="136"/>
    </row>
    <row r="135" spans="1:27" x14ac:dyDescent="0.3">
      <c r="A135" s="91"/>
      <c r="B135" s="83" t="s">
        <v>789</v>
      </c>
      <c r="C135" s="83" t="s">
        <v>2764</v>
      </c>
      <c r="D135" s="85">
        <v>356.4</v>
      </c>
      <c r="E135" s="83">
        <v>6.2</v>
      </c>
      <c r="F135" s="84" t="s">
        <v>2309</v>
      </c>
      <c r="G135" s="85">
        <f>E136</f>
        <v>6.2</v>
      </c>
      <c r="H135" s="83"/>
      <c r="I135" s="83">
        <v>206</v>
      </c>
      <c r="J135" s="84" t="s">
        <v>2309</v>
      </c>
      <c r="K135" s="85"/>
      <c r="L135" s="83">
        <v>25</v>
      </c>
      <c r="M135" s="144"/>
      <c r="N135" s="83"/>
      <c r="O135" s="83"/>
      <c r="P135" s="83"/>
      <c r="Q135" s="231">
        <v>5.8500000000000005E-10</v>
      </c>
      <c r="R135" s="90" t="s">
        <v>3063</v>
      </c>
      <c r="S135" s="86">
        <f>Q136</f>
        <v>5.7396950798756536E-9</v>
      </c>
      <c r="T135" s="83"/>
      <c r="U135" s="83"/>
      <c r="V135" s="83"/>
      <c r="W135" s="83"/>
      <c r="X135" s="83"/>
      <c r="Y135" s="83"/>
      <c r="Z135" s="83"/>
      <c r="AA135" s="86"/>
    </row>
    <row r="136" spans="1:27" x14ac:dyDescent="0.3">
      <c r="A136" s="59"/>
      <c r="B136" s="60"/>
      <c r="C136" s="60"/>
      <c r="D136" s="61">
        <v>356.4</v>
      </c>
      <c r="E136" s="68">
        <v>6.2</v>
      </c>
      <c r="F136" s="67" t="s">
        <v>2887</v>
      </c>
      <c r="G136" s="61"/>
      <c r="H136" s="60"/>
      <c r="I136" s="60">
        <v>206</v>
      </c>
      <c r="J136" s="67" t="s">
        <v>3005</v>
      </c>
      <c r="K136" s="61"/>
      <c r="L136" s="60">
        <v>25</v>
      </c>
      <c r="M136" s="72">
        <f>EXP(36.472-1000*15.073/298.15)</f>
        <v>7.6522975112636146E-7</v>
      </c>
      <c r="N136" s="60"/>
      <c r="O136" s="60"/>
      <c r="P136" s="60"/>
      <c r="Q136" s="68">
        <f>$N$1*M136</f>
        <v>5.7396950798756536E-9</v>
      </c>
      <c r="R136" s="67" t="s">
        <v>2895</v>
      </c>
      <c r="S136" s="63"/>
      <c r="T136" s="60"/>
      <c r="U136" s="60"/>
      <c r="V136" s="60"/>
      <c r="W136" s="60"/>
      <c r="X136" s="60"/>
      <c r="Y136" s="60"/>
      <c r="Z136" s="60"/>
      <c r="AA136" s="63"/>
    </row>
    <row r="137" spans="1:27" x14ac:dyDescent="0.3">
      <c r="A137" s="176"/>
      <c r="B137" s="134" t="s">
        <v>790</v>
      </c>
      <c r="C137" s="134"/>
      <c r="D137" s="135">
        <v>356.4</v>
      </c>
      <c r="E137" s="134"/>
      <c r="F137" s="134"/>
      <c r="G137" s="135"/>
      <c r="H137" s="134"/>
      <c r="I137" s="134"/>
      <c r="J137" s="134"/>
      <c r="K137" s="135"/>
      <c r="L137" s="134"/>
      <c r="M137" s="146"/>
      <c r="N137" s="134"/>
      <c r="O137" s="134"/>
      <c r="P137" s="134"/>
      <c r="Q137" s="134"/>
      <c r="R137" s="134"/>
      <c r="S137" s="136"/>
      <c r="T137" s="134"/>
      <c r="U137" s="134"/>
      <c r="V137" s="134"/>
      <c r="W137" s="134"/>
      <c r="X137" s="134"/>
      <c r="Y137" s="134"/>
      <c r="Z137" s="134"/>
      <c r="AA137" s="136"/>
    </row>
    <row r="138" spans="1:27" ht="24" x14ac:dyDescent="0.3">
      <c r="A138" s="176"/>
      <c r="B138" s="134" t="s">
        <v>791</v>
      </c>
      <c r="C138" s="134" t="s">
        <v>2766</v>
      </c>
      <c r="D138" s="135">
        <v>390.85</v>
      </c>
      <c r="E138" s="134"/>
      <c r="F138" s="134"/>
      <c r="G138" s="135"/>
      <c r="H138" s="134"/>
      <c r="I138" s="134">
        <v>273</v>
      </c>
      <c r="J138" s="139" t="s">
        <v>2309</v>
      </c>
      <c r="K138" s="135"/>
      <c r="L138" s="134">
        <v>25</v>
      </c>
      <c r="M138" s="146"/>
      <c r="N138" s="134"/>
      <c r="O138" s="134"/>
      <c r="P138" s="134"/>
      <c r="Q138" s="193">
        <v>3.83E-11</v>
      </c>
      <c r="R138" s="194" t="s">
        <v>3064</v>
      </c>
      <c r="S138" s="136"/>
      <c r="T138" s="141"/>
      <c r="U138" s="141"/>
      <c r="V138" s="137"/>
      <c r="W138" s="137"/>
      <c r="X138" s="137"/>
      <c r="Y138" s="256">
        <v>4.4000000000000002E-6</v>
      </c>
      <c r="Z138" s="194" t="s">
        <v>3072</v>
      </c>
      <c r="AA138" s="136"/>
    </row>
    <row r="139" spans="1:27" ht="24" x14ac:dyDescent="0.3">
      <c r="A139" s="176"/>
      <c r="B139" s="134" t="s">
        <v>792</v>
      </c>
      <c r="C139" s="134" t="s">
        <v>2768</v>
      </c>
      <c r="D139" s="135">
        <v>390.85</v>
      </c>
      <c r="E139" s="134"/>
      <c r="F139" s="134"/>
      <c r="G139" s="135"/>
      <c r="H139" s="134"/>
      <c r="I139" s="134">
        <v>250</v>
      </c>
      <c r="J139" s="139" t="s">
        <v>2309</v>
      </c>
      <c r="K139" s="135"/>
      <c r="L139" s="134">
        <v>25</v>
      </c>
      <c r="M139" s="146"/>
      <c r="N139" s="134"/>
      <c r="O139" s="134"/>
      <c r="P139" s="134"/>
      <c r="Q139" s="193">
        <v>4.4000000000000003E-11</v>
      </c>
      <c r="R139" s="257" t="s">
        <v>3065</v>
      </c>
      <c r="S139" s="136"/>
      <c r="T139" s="141"/>
      <c r="U139" s="141"/>
      <c r="V139" s="137"/>
      <c r="W139" s="137"/>
      <c r="X139" s="137"/>
      <c r="Y139" s="256">
        <v>3.9999999999999998E-6</v>
      </c>
      <c r="Z139" s="143" t="s">
        <v>3073</v>
      </c>
      <c r="AA139" s="136"/>
    </row>
    <row r="140" spans="1:27" x14ac:dyDescent="0.3">
      <c r="A140" s="176"/>
      <c r="B140" s="134" t="s">
        <v>793</v>
      </c>
      <c r="C140" s="134"/>
      <c r="D140" s="135">
        <v>390.85</v>
      </c>
      <c r="E140" s="134"/>
      <c r="F140" s="134"/>
      <c r="G140" s="135"/>
      <c r="H140" s="134"/>
      <c r="I140" s="134"/>
      <c r="J140" s="134"/>
      <c r="K140" s="135"/>
      <c r="L140" s="134">
        <v>25</v>
      </c>
      <c r="M140" s="146">
        <f>EXP(35.866-1000*15.459/298.15)</f>
        <v>1.1437994678276436E-7</v>
      </c>
      <c r="N140" s="134"/>
      <c r="O140" s="134"/>
      <c r="P140" s="134"/>
      <c r="Q140" s="150">
        <f>$N$1*M140</f>
        <v>8.5792014335452E-10</v>
      </c>
      <c r="R140" s="139" t="s">
        <v>2895</v>
      </c>
      <c r="S140" s="136">
        <f>Q140</f>
        <v>8.5792014335452E-10</v>
      </c>
      <c r="T140" s="134"/>
      <c r="U140" s="134"/>
      <c r="V140" s="134"/>
      <c r="W140" s="134"/>
      <c r="X140" s="134"/>
      <c r="Y140" s="239">
        <v>1.2300000000000001E-6</v>
      </c>
      <c r="Z140" s="139" t="s">
        <v>2903</v>
      </c>
      <c r="AA140" s="237">
        <f>Y140</f>
        <v>1.2300000000000001E-6</v>
      </c>
    </row>
    <row r="141" spans="1:27" x14ac:dyDescent="0.3">
      <c r="A141" s="91"/>
      <c r="B141" s="83" t="s">
        <v>794</v>
      </c>
      <c r="C141" s="83" t="s">
        <v>2767</v>
      </c>
      <c r="D141" s="85">
        <v>390.85</v>
      </c>
      <c r="E141" s="83">
        <v>7.8</v>
      </c>
      <c r="F141" s="84" t="s">
        <v>2309</v>
      </c>
      <c r="G141" s="85"/>
      <c r="H141" s="83"/>
      <c r="I141" s="83">
        <v>273</v>
      </c>
      <c r="J141" s="84" t="s">
        <v>3005</v>
      </c>
      <c r="K141" s="85">
        <f>I142</f>
        <v>260</v>
      </c>
      <c r="L141" s="83"/>
      <c r="M141" s="144"/>
      <c r="N141" s="83"/>
      <c r="O141" s="83"/>
      <c r="P141" s="83"/>
      <c r="Q141" s="83"/>
      <c r="R141" s="83"/>
      <c r="S141" s="86"/>
      <c r="T141" s="83"/>
      <c r="U141" s="83"/>
      <c r="V141" s="83"/>
      <c r="W141" s="232"/>
      <c r="X141" s="232"/>
      <c r="Y141" s="92">
        <v>4.4000000000000002E-6</v>
      </c>
      <c r="Z141" s="84" t="s">
        <v>3005</v>
      </c>
      <c r="AA141" s="238">
        <f>Y144</f>
        <v>5.7786034028017483E-6</v>
      </c>
    </row>
    <row r="142" spans="1:27" x14ac:dyDescent="0.3">
      <c r="A142" s="59"/>
      <c r="B142" s="60"/>
      <c r="C142" s="60"/>
      <c r="D142" s="61">
        <v>390.85</v>
      </c>
      <c r="E142" s="60">
        <v>7.8</v>
      </c>
      <c r="F142" s="67" t="s">
        <v>3005</v>
      </c>
      <c r="G142" s="61"/>
      <c r="H142" s="60"/>
      <c r="I142" s="68">
        <f>AVERAGE(259,261)</f>
        <v>260</v>
      </c>
      <c r="J142" s="199" t="s">
        <v>2761</v>
      </c>
      <c r="K142" s="61"/>
      <c r="L142" s="60"/>
      <c r="M142" s="72"/>
      <c r="N142" s="60"/>
      <c r="O142" s="60"/>
      <c r="P142" s="60"/>
      <c r="Q142" s="60"/>
      <c r="R142" s="60"/>
      <c r="S142" s="63"/>
      <c r="T142" s="65">
        <v>4.3999999999999997E-9</v>
      </c>
      <c r="U142" s="67" t="s">
        <v>3048</v>
      </c>
      <c r="V142" s="60"/>
      <c r="W142" s="221"/>
      <c r="X142" s="221"/>
      <c r="Y142" s="65">
        <f>1000*T142</f>
        <v>4.3999999999999994E-6</v>
      </c>
      <c r="Z142" s="67" t="s">
        <v>2761</v>
      </c>
      <c r="AA142" s="63"/>
    </row>
    <row r="143" spans="1:27" x14ac:dyDescent="0.3">
      <c r="A143" s="59"/>
      <c r="B143" s="60"/>
      <c r="C143" s="60"/>
      <c r="D143" s="61">
        <v>390.85</v>
      </c>
      <c r="E143" s="60"/>
      <c r="F143" s="60"/>
      <c r="G143" s="61"/>
      <c r="H143" s="60"/>
      <c r="I143" s="77"/>
      <c r="J143" s="199"/>
      <c r="K143" s="61"/>
      <c r="L143" s="60"/>
      <c r="M143" s="72"/>
      <c r="N143" s="60"/>
      <c r="O143" s="60"/>
      <c r="P143" s="60"/>
      <c r="Q143" s="60"/>
      <c r="R143" s="60"/>
      <c r="S143" s="63"/>
      <c r="T143" s="60">
        <f>EXP(-5470/298.15-6.377)</f>
        <v>1.8311901766927204E-11</v>
      </c>
      <c r="U143" s="67" t="s">
        <v>3052</v>
      </c>
      <c r="V143" s="60"/>
      <c r="W143" s="221"/>
      <c r="X143" s="221"/>
      <c r="Y143" s="60">
        <f>1000*$D142*T143</f>
        <v>7.1572068056034981E-6</v>
      </c>
      <c r="Z143" s="67" t="s">
        <v>3068</v>
      </c>
      <c r="AA143" s="63"/>
    </row>
    <row r="144" spans="1:27" ht="24" x14ac:dyDescent="0.3">
      <c r="A144" s="59"/>
      <c r="B144" s="60"/>
      <c r="C144" s="60"/>
      <c r="D144" s="61">
        <v>390.85</v>
      </c>
      <c r="E144" s="60"/>
      <c r="F144" s="60"/>
      <c r="G144" s="61"/>
      <c r="H144" s="60"/>
      <c r="I144" s="60"/>
      <c r="J144" s="199"/>
      <c r="K144" s="61"/>
      <c r="L144" s="60"/>
      <c r="M144" s="72"/>
      <c r="N144" s="60"/>
      <c r="O144" s="60"/>
      <c r="P144" s="60"/>
      <c r="Q144" s="60"/>
      <c r="R144" s="60"/>
      <c r="S144" s="63"/>
      <c r="T144" s="60"/>
      <c r="U144" s="60"/>
      <c r="V144" s="60"/>
      <c r="W144" s="213"/>
      <c r="X144" s="213"/>
      <c r="Y144" s="236">
        <f>AVERAGE(Y142:Y143)</f>
        <v>5.7786034028017483E-6</v>
      </c>
      <c r="Z144" s="70" t="s">
        <v>2898</v>
      </c>
      <c r="AA144" s="63"/>
    </row>
    <row r="145" spans="1:27" x14ac:dyDescent="0.3">
      <c r="A145" s="91"/>
      <c r="B145" s="83" t="s">
        <v>795</v>
      </c>
      <c r="C145" s="83" t="s">
        <v>2769</v>
      </c>
      <c r="D145" s="85">
        <v>390.85</v>
      </c>
      <c r="E145" s="83"/>
      <c r="F145" s="83"/>
      <c r="G145" s="85"/>
      <c r="H145" s="83"/>
      <c r="I145" s="83">
        <v>285</v>
      </c>
      <c r="J145" s="84" t="s">
        <v>2309</v>
      </c>
      <c r="K145" s="85"/>
      <c r="L145" s="83">
        <v>25</v>
      </c>
      <c r="M145" s="144"/>
      <c r="N145" s="83"/>
      <c r="O145" s="83"/>
      <c r="P145" s="83"/>
      <c r="Q145" s="231">
        <v>3.5999999999999998E-11</v>
      </c>
      <c r="R145" s="90" t="s">
        <v>3063</v>
      </c>
      <c r="S145" s="86"/>
      <c r="T145" s="83"/>
      <c r="U145" s="83"/>
      <c r="V145" s="83"/>
      <c r="W145" s="83"/>
      <c r="X145" s="83"/>
      <c r="Y145" s="83"/>
      <c r="Z145" s="83"/>
      <c r="AA145" s="86"/>
    </row>
    <row r="146" spans="1:27" x14ac:dyDescent="0.3">
      <c r="A146" s="59"/>
      <c r="B146" s="60"/>
      <c r="C146" s="60"/>
      <c r="D146" s="61">
        <v>390.85</v>
      </c>
      <c r="E146" s="60"/>
      <c r="F146" s="60"/>
      <c r="G146" s="61"/>
      <c r="H146" s="60"/>
      <c r="I146" s="60">
        <v>285</v>
      </c>
      <c r="J146" s="67" t="s">
        <v>3005</v>
      </c>
      <c r="K146" s="61"/>
      <c r="L146" s="60"/>
      <c r="M146" s="72"/>
      <c r="N146" s="60"/>
      <c r="O146" s="60"/>
      <c r="P146" s="60"/>
      <c r="Q146" s="60"/>
      <c r="R146" s="60"/>
      <c r="S146" s="63"/>
      <c r="T146" s="60"/>
      <c r="U146" s="60"/>
      <c r="V146" s="60"/>
      <c r="W146" s="60"/>
      <c r="X146" s="60"/>
      <c r="Y146" s="60"/>
      <c r="Z146" s="60"/>
      <c r="AA146" s="63"/>
    </row>
    <row r="147" spans="1:27" x14ac:dyDescent="0.3">
      <c r="A147" s="176"/>
      <c r="B147" s="134" t="s">
        <v>796</v>
      </c>
      <c r="C147" s="134"/>
      <c r="D147" s="135">
        <v>390.85</v>
      </c>
      <c r="E147" s="134"/>
      <c r="F147" s="134"/>
      <c r="G147" s="135"/>
      <c r="H147" s="134"/>
      <c r="I147" s="134"/>
      <c r="J147" s="134"/>
      <c r="K147" s="135"/>
      <c r="L147" s="134"/>
      <c r="M147" s="146"/>
      <c r="N147" s="134"/>
      <c r="O147" s="134"/>
      <c r="P147" s="134"/>
      <c r="Q147" s="134"/>
      <c r="R147" s="134"/>
      <c r="S147" s="136"/>
      <c r="T147" s="134"/>
      <c r="U147" s="134"/>
      <c r="V147" s="134"/>
      <c r="W147" s="134"/>
      <c r="X147" s="134"/>
      <c r="Y147" s="134"/>
      <c r="Z147" s="134"/>
      <c r="AA147" s="136"/>
    </row>
    <row r="148" spans="1:27" x14ac:dyDescent="0.3">
      <c r="A148" s="176"/>
      <c r="B148" s="134" t="s">
        <v>797</v>
      </c>
      <c r="C148" s="177" t="s">
        <v>2905</v>
      </c>
      <c r="D148" s="135">
        <v>390.85</v>
      </c>
      <c r="E148" s="134"/>
      <c r="F148" s="134"/>
      <c r="G148" s="135"/>
      <c r="H148" s="134"/>
      <c r="I148" s="134"/>
      <c r="J148" s="134"/>
      <c r="K148" s="135"/>
      <c r="L148" s="134"/>
      <c r="M148" s="146"/>
      <c r="N148" s="134"/>
      <c r="O148" s="134"/>
      <c r="P148" s="134"/>
      <c r="Q148" s="134"/>
      <c r="R148" s="134"/>
      <c r="S148" s="136"/>
      <c r="T148" s="141"/>
      <c r="U148" s="141"/>
      <c r="V148" s="134"/>
      <c r="W148" s="134"/>
      <c r="X148" s="134"/>
      <c r="Y148" s="134"/>
      <c r="Z148" s="226"/>
      <c r="AA148" s="136"/>
    </row>
    <row r="149" spans="1:27" ht="24" x14ac:dyDescent="0.3">
      <c r="A149" s="91"/>
      <c r="B149" s="83" t="s">
        <v>798</v>
      </c>
      <c r="C149" s="129" t="s">
        <v>2771</v>
      </c>
      <c r="D149" s="85">
        <v>390.85</v>
      </c>
      <c r="E149" s="83"/>
      <c r="F149" s="83"/>
      <c r="G149" s="85"/>
      <c r="H149" s="83"/>
      <c r="I149" s="93">
        <v>285</v>
      </c>
      <c r="J149" s="90" t="s">
        <v>3051</v>
      </c>
      <c r="K149" s="85"/>
      <c r="L149" s="83">
        <v>25</v>
      </c>
      <c r="M149" s="258"/>
      <c r="N149" s="83"/>
      <c r="O149" s="83"/>
      <c r="P149" s="83"/>
      <c r="Q149" s="231">
        <v>3.5999999999999998E-11</v>
      </c>
      <c r="R149" s="228" t="s">
        <v>3066</v>
      </c>
      <c r="S149" s="86"/>
      <c r="T149" s="93"/>
      <c r="U149" s="93"/>
      <c r="V149" s="83"/>
      <c r="W149" s="83"/>
      <c r="X149" s="83"/>
      <c r="Y149" s="83"/>
      <c r="Z149" s="241"/>
      <c r="AA149" s="86"/>
    </row>
    <row r="150" spans="1:27" x14ac:dyDescent="0.3">
      <c r="A150" s="59"/>
      <c r="B150" s="60"/>
      <c r="C150" s="77"/>
      <c r="D150" s="61">
        <v>390.85</v>
      </c>
      <c r="E150" s="60"/>
      <c r="F150" s="60"/>
      <c r="G150" s="61"/>
      <c r="H150" s="60"/>
      <c r="I150" s="60">
        <v>243</v>
      </c>
      <c r="J150" s="67" t="s">
        <v>3005</v>
      </c>
      <c r="K150" s="61"/>
      <c r="L150" s="60"/>
      <c r="M150" s="230"/>
      <c r="N150" s="60"/>
      <c r="O150" s="60"/>
      <c r="P150" s="60"/>
      <c r="Q150" s="60"/>
      <c r="R150" s="60"/>
      <c r="S150" s="63"/>
      <c r="T150" s="71"/>
      <c r="U150" s="71"/>
      <c r="V150" s="60"/>
      <c r="W150" s="60"/>
      <c r="X150" s="60"/>
      <c r="Y150" s="60"/>
      <c r="Z150" s="69"/>
      <c r="AA150" s="63"/>
    </row>
    <row r="151" spans="1:27" x14ac:dyDescent="0.3">
      <c r="A151" s="91"/>
      <c r="B151" s="83" t="s">
        <v>799</v>
      </c>
      <c r="C151" s="129" t="s">
        <v>2770</v>
      </c>
      <c r="D151" s="85">
        <v>390.85</v>
      </c>
      <c r="E151" s="83"/>
      <c r="F151" s="83"/>
      <c r="G151" s="85"/>
      <c r="H151" s="83"/>
      <c r="I151" s="83">
        <v>238</v>
      </c>
      <c r="J151" s="84" t="s">
        <v>2309</v>
      </c>
      <c r="K151" s="85"/>
      <c r="L151" s="83">
        <v>25</v>
      </c>
      <c r="M151" s="144"/>
      <c r="N151" s="83"/>
      <c r="O151" s="83"/>
      <c r="P151" s="83"/>
      <c r="Q151" s="231">
        <v>5.0999999999999998E-11</v>
      </c>
      <c r="R151" s="90" t="s">
        <v>3063</v>
      </c>
      <c r="S151" s="86"/>
      <c r="T151" s="83"/>
      <c r="U151" s="83"/>
      <c r="V151" s="83"/>
      <c r="W151" s="83"/>
      <c r="X151" s="83"/>
      <c r="Y151" s="83"/>
      <c r="Z151" s="83"/>
      <c r="AA151" s="86"/>
    </row>
    <row r="152" spans="1:27" x14ac:dyDescent="0.3">
      <c r="A152" s="59"/>
      <c r="B152" s="60"/>
      <c r="C152" s="77"/>
      <c r="D152" s="61">
        <v>390.85</v>
      </c>
      <c r="E152" s="60"/>
      <c r="F152" s="60"/>
      <c r="G152" s="61"/>
      <c r="H152" s="60"/>
      <c r="I152" s="60">
        <v>238</v>
      </c>
      <c r="J152" s="67" t="s">
        <v>3005</v>
      </c>
      <c r="K152" s="61"/>
      <c r="L152" s="60"/>
      <c r="M152" s="72"/>
      <c r="N152" s="60"/>
      <c r="O152" s="60"/>
      <c r="P152" s="60"/>
      <c r="Q152" s="60"/>
      <c r="R152" s="60"/>
      <c r="S152" s="63"/>
      <c r="T152" s="60"/>
      <c r="U152" s="60"/>
      <c r="V152" s="60"/>
      <c r="W152" s="60"/>
      <c r="X152" s="60"/>
      <c r="Y152" s="60"/>
      <c r="Z152" s="60"/>
      <c r="AA152" s="63"/>
    </row>
    <row r="153" spans="1:27" ht="24" x14ac:dyDescent="0.3">
      <c r="A153" s="176"/>
      <c r="B153" s="134" t="s">
        <v>800</v>
      </c>
      <c r="C153" s="177" t="s">
        <v>2765</v>
      </c>
      <c r="D153" s="135">
        <v>390.85</v>
      </c>
      <c r="E153" s="134"/>
      <c r="F153" s="134"/>
      <c r="G153" s="135"/>
      <c r="H153" s="134"/>
      <c r="I153" s="141">
        <v>238</v>
      </c>
      <c r="J153" s="143" t="s">
        <v>3051</v>
      </c>
      <c r="K153" s="135"/>
      <c r="L153" s="134">
        <v>25</v>
      </c>
      <c r="M153" s="146"/>
      <c r="N153" s="134"/>
      <c r="O153" s="134"/>
      <c r="P153" s="134"/>
      <c r="Q153" s="193">
        <v>5.0999999999999998E-11</v>
      </c>
      <c r="R153" s="194" t="s">
        <v>3067</v>
      </c>
      <c r="S153" s="136"/>
      <c r="T153" s="134"/>
      <c r="U153" s="134"/>
      <c r="V153" s="134"/>
      <c r="W153" s="134"/>
      <c r="X153" s="134"/>
      <c r="Y153" s="134"/>
      <c r="Z153" s="134"/>
      <c r="AA153" s="136"/>
    </row>
    <row r="154" spans="1:27" x14ac:dyDescent="0.3">
      <c r="A154" s="91"/>
      <c r="B154" s="83" t="s">
        <v>801</v>
      </c>
      <c r="C154" s="243" t="s">
        <v>805</v>
      </c>
      <c r="D154" s="85">
        <v>425.29</v>
      </c>
      <c r="E154" s="83">
        <v>8</v>
      </c>
      <c r="F154" s="84" t="s">
        <v>2309</v>
      </c>
      <c r="G154" s="85"/>
      <c r="H154" s="83"/>
      <c r="I154" s="83">
        <v>264</v>
      </c>
      <c r="J154" s="84" t="s">
        <v>2309</v>
      </c>
      <c r="K154" s="85">
        <f>I156</f>
        <v>264.5</v>
      </c>
      <c r="L154" s="83">
        <v>25</v>
      </c>
      <c r="M154" s="144"/>
      <c r="N154" s="83"/>
      <c r="O154" s="83"/>
      <c r="P154" s="83"/>
      <c r="Q154" s="231">
        <v>5.6000000000000004E-12</v>
      </c>
      <c r="R154" s="90" t="s">
        <v>3063</v>
      </c>
      <c r="S154" s="86"/>
      <c r="T154" s="92"/>
      <c r="U154" s="92"/>
      <c r="V154" s="92"/>
      <c r="W154" s="244"/>
      <c r="X154" s="244"/>
      <c r="Y154" s="92">
        <v>1.4100000000000001E-6</v>
      </c>
      <c r="Z154" s="84" t="s">
        <v>2310</v>
      </c>
      <c r="AA154" s="245">
        <f>Y158</f>
        <v>2.4753166366478506E-6</v>
      </c>
    </row>
    <row r="155" spans="1:27" x14ac:dyDescent="0.3">
      <c r="A155" s="59"/>
      <c r="B155" s="60"/>
      <c r="C155" s="222"/>
      <c r="D155" s="61">
        <v>425.29</v>
      </c>
      <c r="E155" s="60">
        <v>8.1999999999999993</v>
      </c>
      <c r="F155" s="67" t="s">
        <v>3005</v>
      </c>
      <c r="G155" s="61"/>
      <c r="H155" s="60"/>
      <c r="I155" s="60">
        <v>264</v>
      </c>
      <c r="J155" s="67" t="s">
        <v>3005</v>
      </c>
      <c r="K155" s="61"/>
      <c r="L155" s="60"/>
      <c r="M155" s="72"/>
      <c r="N155" s="60"/>
      <c r="O155" s="60"/>
      <c r="P155" s="60"/>
      <c r="Q155" s="60"/>
      <c r="R155" s="60"/>
      <c r="S155" s="63"/>
      <c r="T155" s="65"/>
      <c r="U155" s="65"/>
      <c r="V155" s="65"/>
      <c r="W155" s="223"/>
      <c r="X155" s="223"/>
      <c r="Y155" s="65">
        <v>2.3999999999999999E-6</v>
      </c>
      <c r="Z155" s="67" t="s">
        <v>3005</v>
      </c>
      <c r="AA155" s="63"/>
    </row>
    <row r="156" spans="1:27" x14ac:dyDescent="0.3">
      <c r="A156" s="59"/>
      <c r="B156" s="60"/>
      <c r="C156" s="222"/>
      <c r="D156" s="61">
        <v>425.29</v>
      </c>
      <c r="E156" s="60"/>
      <c r="F156" s="60"/>
      <c r="G156" s="61"/>
      <c r="H156" s="60"/>
      <c r="I156" s="68">
        <f>AVERAGE(264,265)</f>
        <v>264.5</v>
      </c>
      <c r="J156" s="199" t="s">
        <v>2761</v>
      </c>
      <c r="K156" s="61"/>
      <c r="L156" s="60"/>
      <c r="M156" s="72"/>
      <c r="N156" s="60"/>
      <c r="O156" s="60"/>
      <c r="P156" s="60"/>
      <c r="Q156" s="60"/>
      <c r="R156" s="60"/>
      <c r="S156" s="63"/>
      <c r="T156" s="65">
        <v>2.4E-9</v>
      </c>
      <c r="U156" s="67" t="s">
        <v>3048</v>
      </c>
      <c r="V156" s="60"/>
      <c r="W156" s="221"/>
      <c r="X156" s="221"/>
      <c r="Y156" s="65">
        <f>1000*T156</f>
        <v>2.3999999999999999E-6</v>
      </c>
      <c r="Z156" s="67" t="s">
        <v>2761</v>
      </c>
      <c r="AA156" s="63"/>
    </row>
    <row r="157" spans="1:27" x14ac:dyDescent="0.3">
      <c r="A157" s="59"/>
      <c r="B157" s="60"/>
      <c r="C157" s="222"/>
      <c r="D157" s="61">
        <v>425.29</v>
      </c>
      <c r="E157" s="60"/>
      <c r="F157" s="60"/>
      <c r="G157" s="61"/>
      <c r="H157" s="60"/>
      <c r="I157" s="60"/>
      <c r="J157" s="199"/>
      <c r="K157" s="61"/>
      <c r="L157" s="60"/>
      <c r="M157" s="72"/>
      <c r="N157" s="60"/>
      <c r="O157" s="60"/>
      <c r="P157" s="60"/>
      <c r="Q157" s="60"/>
      <c r="R157" s="60"/>
      <c r="S157" s="63"/>
      <c r="T157" s="60">
        <f>EXP(-5078/298.15-8.808)</f>
        <v>5.9973977128446509E-12</v>
      </c>
      <c r="U157" s="67" t="s">
        <v>3052</v>
      </c>
      <c r="V157" s="60"/>
      <c r="W157" s="221"/>
      <c r="X157" s="221"/>
      <c r="Y157" s="60">
        <f>1000*$D156*T157</f>
        <v>2.5506332732957014E-6</v>
      </c>
      <c r="Z157" s="67" t="s">
        <v>3068</v>
      </c>
      <c r="AA157" s="63"/>
    </row>
    <row r="158" spans="1:27" ht="24" x14ac:dyDescent="0.3">
      <c r="A158" s="59"/>
      <c r="B158" s="60"/>
      <c r="C158" s="222"/>
      <c r="D158" s="61">
        <v>425.29</v>
      </c>
      <c r="E158" s="60"/>
      <c r="F158" s="60"/>
      <c r="G158" s="61"/>
      <c r="H158" s="60"/>
      <c r="I158" s="60"/>
      <c r="J158" s="199"/>
      <c r="K158" s="61"/>
      <c r="L158" s="60"/>
      <c r="M158" s="72"/>
      <c r="N158" s="60"/>
      <c r="O158" s="60"/>
      <c r="P158" s="60"/>
      <c r="Q158" s="60"/>
      <c r="R158" s="60"/>
      <c r="S158" s="63"/>
      <c r="T158" s="65"/>
      <c r="U158" s="65"/>
      <c r="V158" s="65"/>
      <c r="W158" s="223"/>
      <c r="X158" s="223"/>
      <c r="Y158" s="236">
        <f>AVERAGE(Y156:Y157)</f>
        <v>2.4753166366478506E-6</v>
      </c>
      <c r="Z158" s="70" t="s">
        <v>2898</v>
      </c>
      <c r="AA158" s="63"/>
    </row>
    <row r="159" spans="1:27" x14ac:dyDescent="0.3">
      <c r="A159" s="176"/>
      <c r="B159" s="134" t="s">
        <v>802</v>
      </c>
      <c r="C159" s="240" t="s">
        <v>806</v>
      </c>
      <c r="D159" s="135">
        <v>425.29</v>
      </c>
      <c r="E159" s="134"/>
      <c r="F159" s="134"/>
      <c r="G159" s="135"/>
      <c r="H159" s="134"/>
      <c r="I159" s="134"/>
      <c r="J159" s="134"/>
      <c r="K159" s="135"/>
      <c r="L159" s="134">
        <v>25</v>
      </c>
      <c r="M159" s="146">
        <f>EXP(38.85-1000*17.341/298.15)</f>
        <v>4.10114762529355E-9</v>
      </c>
      <c r="N159" s="134"/>
      <c r="O159" s="134"/>
      <c r="P159" s="134"/>
      <c r="Q159" s="150">
        <f>$N$1*M159</f>
        <v>3.0761136524152322E-11</v>
      </c>
      <c r="R159" s="139" t="s">
        <v>2895</v>
      </c>
      <c r="S159" s="136">
        <f>Q159</f>
        <v>3.0761136524152322E-11</v>
      </c>
      <c r="T159" s="134"/>
      <c r="U159" s="134"/>
      <c r="V159" s="134"/>
      <c r="W159" s="134"/>
      <c r="X159" s="134"/>
      <c r="Y159" s="134"/>
      <c r="Z159" s="134"/>
      <c r="AA159" s="136"/>
    </row>
    <row r="160" spans="1:27" x14ac:dyDescent="0.3">
      <c r="A160" s="91"/>
      <c r="B160" s="83" t="s">
        <v>803</v>
      </c>
      <c r="C160" s="129" t="s">
        <v>804</v>
      </c>
      <c r="D160" s="85">
        <v>459.73</v>
      </c>
      <c r="E160" s="83">
        <v>8.1999999999999993</v>
      </c>
      <c r="F160" s="84" t="s">
        <v>2309</v>
      </c>
      <c r="G160" s="85"/>
      <c r="H160" s="83"/>
      <c r="I160" s="83">
        <v>330</v>
      </c>
      <c r="J160" s="241" t="s">
        <v>2310</v>
      </c>
      <c r="K160" s="85">
        <f>I162</f>
        <v>325.5</v>
      </c>
      <c r="L160" s="83">
        <v>25</v>
      </c>
      <c r="M160" s="242"/>
      <c r="N160" s="83"/>
      <c r="O160" s="83"/>
      <c r="P160" s="83"/>
      <c r="Q160" s="92">
        <v>8.2500000000000002E-13</v>
      </c>
      <c r="R160" s="241" t="s">
        <v>2310</v>
      </c>
      <c r="S160" s="86">
        <f>Q162</f>
        <v>1.5018489800093229E-12</v>
      </c>
      <c r="T160" s="92"/>
      <c r="U160" s="92"/>
      <c r="V160" s="92"/>
      <c r="W160" s="92"/>
      <c r="X160" s="92"/>
      <c r="Y160" s="92">
        <v>3.9999999999999998E-7</v>
      </c>
      <c r="Z160" s="84" t="s">
        <v>3006</v>
      </c>
      <c r="AA160" s="238">
        <f>Y166</f>
        <v>1.9399999999999999E-7</v>
      </c>
    </row>
    <row r="161" spans="1:27" x14ac:dyDescent="0.3">
      <c r="A161" s="224"/>
      <c r="B161" s="60"/>
      <c r="C161" s="77"/>
      <c r="D161" s="61">
        <v>459.73</v>
      </c>
      <c r="E161" s="60">
        <v>8.1999999999999993</v>
      </c>
      <c r="F161" s="67" t="s">
        <v>3005</v>
      </c>
      <c r="G161" s="61"/>
      <c r="H161" s="60"/>
      <c r="I161" s="60">
        <v>330</v>
      </c>
      <c r="J161" s="199" t="s">
        <v>3005</v>
      </c>
      <c r="K161" s="61"/>
      <c r="L161" s="60">
        <v>25</v>
      </c>
      <c r="M161" s="217"/>
      <c r="N161" s="60"/>
      <c r="O161" s="60"/>
      <c r="P161" s="60"/>
      <c r="Q161" s="65">
        <v>8.2500000000000002E-13</v>
      </c>
      <c r="R161" s="199" t="s">
        <v>3005</v>
      </c>
      <c r="S161" s="63"/>
      <c r="T161" s="65"/>
      <c r="U161" s="65"/>
      <c r="V161" s="65"/>
      <c r="W161" s="65"/>
      <c r="X161" s="65"/>
      <c r="Y161" s="65">
        <v>3.9999999999999998E-7</v>
      </c>
      <c r="Z161" s="67" t="s">
        <v>3005</v>
      </c>
      <c r="AA161" s="63"/>
    </row>
    <row r="162" spans="1:27" x14ac:dyDescent="0.3">
      <c r="A162" s="224"/>
      <c r="B162" s="60"/>
      <c r="C162" s="77"/>
      <c r="D162" s="61">
        <v>459.73</v>
      </c>
      <c r="E162" s="60"/>
      <c r="F162" s="60"/>
      <c r="G162" s="61"/>
      <c r="H162" s="60"/>
      <c r="I162" s="68">
        <v>325.5</v>
      </c>
      <c r="J162" s="199" t="s">
        <v>2761</v>
      </c>
      <c r="K162" s="61"/>
      <c r="L162" s="60">
        <v>25</v>
      </c>
      <c r="M162" s="65">
        <f>EXP(36.461-1000*17.529/298.15)</f>
        <v>2.0023006539692556E-10</v>
      </c>
      <c r="N162" s="60"/>
      <c r="O162" s="60"/>
      <c r="P162" s="60"/>
      <c r="Q162" s="68">
        <f>$N$1*M162</f>
        <v>1.5018489800093229E-12</v>
      </c>
      <c r="R162" s="67" t="s">
        <v>2895</v>
      </c>
      <c r="S162" s="63"/>
      <c r="T162" s="65"/>
      <c r="U162" s="65"/>
      <c r="V162" s="65"/>
      <c r="W162" s="65"/>
      <c r="X162" s="65"/>
      <c r="Y162" s="65">
        <f>1000*0.000000000000161*$D162</f>
        <v>7.4016529999999996E-8</v>
      </c>
      <c r="Z162" s="67" t="s">
        <v>3004</v>
      </c>
      <c r="AA162" s="63"/>
    </row>
    <row r="163" spans="1:27" x14ac:dyDescent="0.3">
      <c r="A163" s="224"/>
      <c r="B163" s="60"/>
      <c r="C163" s="77"/>
      <c r="D163" s="61">
        <v>459.73</v>
      </c>
      <c r="E163" s="60"/>
      <c r="F163" s="60"/>
      <c r="G163" s="61"/>
      <c r="H163" s="60"/>
      <c r="I163" s="60"/>
      <c r="J163" s="199"/>
      <c r="K163" s="61"/>
      <c r="L163" s="60">
        <v>25</v>
      </c>
      <c r="M163" s="65">
        <v>1.0999999999999999E-10</v>
      </c>
      <c r="N163" s="60"/>
      <c r="O163" s="60"/>
      <c r="P163" s="60"/>
      <c r="Q163" s="77">
        <f>$N$1*M163</f>
        <v>8.2506784120324287E-13</v>
      </c>
      <c r="R163" s="67" t="s">
        <v>2906</v>
      </c>
      <c r="S163" s="63"/>
      <c r="T163" s="65"/>
      <c r="U163" s="65"/>
      <c r="V163" s="65"/>
      <c r="W163" s="65"/>
      <c r="X163" s="65"/>
      <c r="Y163" s="65">
        <f>0.0000000004*1000</f>
        <v>4.0000000000000003E-7</v>
      </c>
      <c r="Z163" s="67" t="s">
        <v>2761</v>
      </c>
      <c r="AA163" s="63"/>
    </row>
    <row r="164" spans="1:27" x14ac:dyDescent="0.3">
      <c r="A164" s="224"/>
      <c r="B164" s="60"/>
      <c r="C164" s="77"/>
      <c r="D164" s="61">
        <v>459.73</v>
      </c>
      <c r="E164" s="60"/>
      <c r="F164" s="60"/>
      <c r="G164" s="61"/>
      <c r="H164" s="60"/>
      <c r="I164" s="60"/>
      <c r="J164" s="199"/>
      <c r="K164" s="61"/>
      <c r="L164" s="60"/>
      <c r="M164" s="217"/>
      <c r="N164" s="60"/>
      <c r="O164" s="60"/>
      <c r="P164" s="60"/>
      <c r="Q164" s="60"/>
      <c r="R164" s="67"/>
      <c r="S164" s="63"/>
      <c r="T164" s="65"/>
      <c r="U164" s="65"/>
      <c r="V164" s="65"/>
      <c r="W164" s="65"/>
      <c r="X164" s="65"/>
      <c r="Y164" s="65">
        <v>2.29E-7</v>
      </c>
      <c r="Z164" s="67" t="s">
        <v>2903</v>
      </c>
      <c r="AA164" s="63"/>
    </row>
    <row r="165" spans="1:27" x14ac:dyDescent="0.3">
      <c r="A165" s="224"/>
      <c r="B165" s="60"/>
      <c r="C165" s="77"/>
      <c r="D165" s="61">
        <v>459.73</v>
      </c>
      <c r="E165" s="60"/>
      <c r="F165" s="60"/>
      <c r="G165" s="61"/>
      <c r="H165" s="60"/>
      <c r="I165" s="60"/>
      <c r="J165" s="199"/>
      <c r="K165" s="61"/>
      <c r="L165" s="60"/>
      <c r="M165" s="217"/>
      <c r="N165" s="60"/>
      <c r="O165" s="60"/>
      <c r="P165" s="60"/>
      <c r="Q165" s="60"/>
      <c r="R165" s="67"/>
      <c r="S165" s="63"/>
      <c r="T165" s="65"/>
      <c r="U165" s="65"/>
      <c r="V165" s="65"/>
      <c r="W165" s="65"/>
      <c r="X165" s="65"/>
      <c r="Y165" s="65">
        <f>0.000074/1000</f>
        <v>7.4000000000000001E-8</v>
      </c>
      <c r="Z165" s="67" t="s">
        <v>2896</v>
      </c>
      <c r="AA165" s="63"/>
    </row>
    <row r="166" spans="1:27" ht="36" x14ac:dyDescent="0.3">
      <c r="A166" s="216"/>
      <c r="B166" s="60"/>
      <c r="C166" s="77"/>
      <c r="D166" s="61">
        <v>459.73</v>
      </c>
      <c r="E166" s="60"/>
      <c r="F166" s="60"/>
      <c r="G166" s="61"/>
      <c r="H166" s="60"/>
      <c r="I166" s="60"/>
      <c r="J166" s="199"/>
      <c r="K166" s="61"/>
      <c r="L166" s="60"/>
      <c r="M166" s="217"/>
      <c r="N166" s="60"/>
      <c r="O166" s="60"/>
      <c r="P166" s="60"/>
      <c r="Q166" s="60"/>
      <c r="R166" s="67"/>
      <c r="S166" s="63"/>
      <c r="T166" s="65"/>
      <c r="U166" s="65"/>
      <c r="V166" s="65"/>
      <c r="W166" s="65"/>
      <c r="X166" s="65"/>
      <c r="Y166" s="218">
        <f>ROUND(AVERAGE(Y162:Y165),9)</f>
        <v>1.9399999999999999E-7</v>
      </c>
      <c r="Z166" s="70" t="s">
        <v>2904</v>
      </c>
      <c r="AA166" s="219"/>
    </row>
    <row r="167" spans="1:27" ht="14.4" customHeight="1" x14ac:dyDescent="0.3">
      <c r="E167" s="21"/>
      <c r="F167" s="21"/>
    </row>
  </sheetData>
  <mergeCells count="4">
    <mergeCell ref="E2:G2"/>
    <mergeCell ref="H2:K2"/>
    <mergeCell ref="T2:AA2"/>
    <mergeCell ref="L2:S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4" x14ac:dyDescent="0.3"/>
  <cols>
    <col min="1" max="1" width="7.33203125" style="26" bestFit="1" customWidth="1"/>
    <col min="2" max="2" width="31.6640625" style="27" bestFit="1" customWidth="1"/>
    <col min="3" max="3" width="8.33203125" style="27" bestFit="1" customWidth="1"/>
    <col min="4" max="4" width="9.6640625" style="27" customWidth="1"/>
    <col min="5" max="5" width="9.109375" style="101"/>
    <col min="6" max="6" width="30.6640625" style="27" customWidth="1"/>
    <col min="7" max="7" width="9.88671875" style="27" bestFit="1" customWidth="1"/>
    <col min="8" max="8" width="9.109375" style="100" customWidth="1"/>
    <col min="9" max="9" width="9.109375" style="101" customWidth="1"/>
    <col min="10" max="10" width="25.44140625" style="27" customWidth="1"/>
    <col min="11" max="11" width="9.88671875" style="27" customWidth="1"/>
    <col min="12" max="12" width="7" style="27" bestFit="1" customWidth="1"/>
    <col min="13" max="13" width="10.33203125" style="100" customWidth="1"/>
    <col min="14" max="14" width="10.5546875" style="100" customWidth="1"/>
    <col min="15" max="15" width="9.6640625" style="100" customWidth="1"/>
    <col min="16" max="16" width="7" style="100" bestFit="1" customWidth="1"/>
    <col min="17" max="17" width="11.88671875" style="101" customWidth="1"/>
    <col min="18" max="18" width="20.109375" style="27" customWidth="1"/>
    <col min="19" max="19" width="10.109375" style="101" customWidth="1"/>
    <col min="20" max="20" width="11.33203125" style="105" customWidth="1"/>
    <col min="21" max="21" width="13.33203125" style="105" customWidth="1"/>
    <col min="22" max="22" width="10.6640625" style="105" bestFit="1" customWidth="1"/>
    <col min="23" max="23" width="9.109375" style="105" customWidth="1"/>
    <col min="24" max="24" width="7" style="105" bestFit="1" customWidth="1"/>
    <col min="25" max="25" width="15.5546875" style="101" customWidth="1"/>
    <col min="26" max="26" width="24.109375" style="27" customWidth="1"/>
    <col min="27" max="27" width="10.88671875" style="101" customWidth="1"/>
    <col min="28" max="28" width="9.109375" style="101"/>
  </cols>
  <sheetData>
    <row r="1" spans="1:28" x14ac:dyDescent="0.3">
      <c r="A1" s="102" t="s">
        <v>3028</v>
      </c>
      <c r="H1" s="105">
        <v>273.14999999999998</v>
      </c>
      <c r="M1" s="16" t="s">
        <v>3020</v>
      </c>
      <c r="N1" s="105">
        <f>1/133.32237</f>
        <v>7.5006167382112993E-3</v>
      </c>
      <c r="P1" s="106" t="s">
        <v>2893</v>
      </c>
      <c r="Q1" s="101">
        <v>8.3144597999999998</v>
      </c>
      <c r="R1" s="107" t="s">
        <v>2894</v>
      </c>
      <c r="T1" s="108"/>
      <c r="U1" s="108"/>
      <c r="V1" s="108"/>
      <c r="W1" s="108"/>
      <c r="X1" s="106" t="s">
        <v>2893</v>
      </c>
      <c r="Y1" s="101">
        <v>8.3144597999999998</v>
      </c>
      <c r="Z1" s="107" t="s">
        <v>2894</v>
      </c>
    </row>
    <row r="2" spans="1:28" ht="14.4" customHeight="1" x14ac:dyDescent="0.3">
      <c r="A2" s="39"/>
      <c r="B2" s="40"/>
      <c r="C2" s="40"/>
      <c r="D2" s="41"/>
      <c r="E2" s="432" t="s">
        <v>2311</v>
      </c>
      <c r="F2" s="425"/>
      <c r="G2" s="426"/>
      <c r="H2" s="427" t="s">
        <v>3002</v>
      </c>
      <c r="I2" s="428"/>
      <c r="J2" s="428"/>
      <c r="K2" s="429"/>
      <c r="L2" s="433" t="s">
        <v>3024</v>
      </c>
      <c r="M2" s="434"/>
      <c r="N2" s="434"/>
      <c r="O2" s="434"/>
      <c r="P2" s="434"/>
      <c r="Q2" s="434"/>
      <c r="R2" s="434"/>
      <c r="S2" s="435"/>
      <c r="T2" s="436" t="s">
        <v>2890</v>
      </c>
      <c r="U2" s="437"/>
      <c r="V2" s="437"/>
      <c r="W2" s="437"/>
      <c r="X2" s="437"/>
      <c r="Y2" s="437"/>
      <c r="Z2" s="437"/>
      <c r="AA2" s="438"/>
    </row>
    <row r="3" spans="1:28" ht="29.4" thickBot="1" x14ac:dyDescent="0.35">
      <c r="A3" s="42"/>
      <c r="B3" s="43" t="s">
        <v>420</v>
      </c>
      <c r="C3" s="43" t="s">
        <v>421</v>
      </c>
      <c r="D3" s="44" t="s">
        <v>2313</v>
      </c>
      <c r="E3" s="113" t="s">
        <v>3013</v>
      </c>
      <c r="F3" s="30" t="s">
        <v>2882</v>
      </c>
      <c r="G3" s="363" t="s">
        <v>2744</v>
      </c>
      <c r="H3" s="36" t="s">
        <v>3021</v>
      </c>
      <c r="I3" s="29" t="s">
        <v>3022</v>
      </c>
      <c r="J3" s="30" t="s">
        <v>2882</v>
      </c>
      <c r="K3" s="364" t="s">
        <v>2744</v>
      </c>
      <c r="L3" s="259" t="s">
        <v>2874</v>
      </c>
      <c r="M3" s="32" t="s">
        <v>3017</v>
      </c>
      <c r="N3" s="32" t="s">
        <v>3019</v>
      </c>
      <c r="O3" s="33" t="s">
        <v>3080</v>
      </c>
      <c r="P3" s="95" t="s">
        <v>3007</v>
      </c>
      <c r="Q3" s="94" t="s">
        <v>3023</v>
      </c>
      <c r="R3" s="30" t="s">
        <v>2882</v>
      </c>
      <c r="S3" s="260" t="s">
        <v>2744</v>
      </c>
      <c r="T3" s="312" t="s">
        <v>3032</v>
      </c>
      <c r="U3" s="32" t="s">
        <v>3031</v>
      </c>
      <c r="V3" s="32" t="s">
        <v>2892</v>
      </c>
      <c r="W3" s="33" t="s">
        <v>2891</v>
      </c>
      <c r="X3" s="95" t="s">
        <v>3007</v>
      </c>
      <c r="Y3" s="94" t="s">
        <v>3029</v>
      </c>
      <c r="Z3" s="33" t="s">
        <v>2882</v>
      </c>
      <c r="AA3" s="362" t="s">
        <v>2744</v>
      </c>
    </row>
    <row r="4" spans="1:28" s="99" customFormat="1" ht="15" customHeight="1" x14ac:dyDescent="0.3">
      <c r="A4" s="96"/>
      <c r="B4" s="97" t="s">
        <v>2960</v>
      </c>
      <c r="C4" s="97" t="s">
        <v>2964</v>
      </c>
      <c r="D4" s="98">
        <v>154.21199999999999</v>
      </c>
      <c r="E4" s="118">
        <v>3.92</v>
      </c>
      <c r="F4" s="119" t="s">
        <v>2309</v>
      </c>
      <c r="G4" s="120">
        <f>E6</f>
        <v>3.83</v>
      </c>
      <c r="H4" s="122"/>
      <c r="I4" s="97">
        <v>93.4</v>
      </c>
      <c r="J4" s="119" t="s">
        <v>2309</v>
      </c>
      <c r="K4" s="120">
        <f>I7</f>
        <v>93.850000000000023</v>
      </c>
      <c r="L4" s="261">
        <v>25</v>
      </c>
      <c r="M4" s="262"/>
      <c r="N4" s="262"/>
      <c r="O4" s="262"/>
      <c r="P4" s="262"/>
      <c r="Q4" s="262">
        <v>2.15E-3</v>
      </c>
      <c r="R4" s="263" t="s">
        <v>2889</v>
      </c>
      <c r="S4" s="116">
        <f>Q5</f>
        <v>2.0580509694856988E-3</v>
      </c>
      <c r="T4" s="122">
        <v>3.93</v>
      </c>
      <c r="U4" s="313" t="s">
        <v>3001</v>
      </c>
      <c r="V4" s="313"/>
      <c r="W4" s="313"/>
      <c r="X4" s="313"/>
      <c r="Y4" s="314">
        <v>3.9</v>
      </c>
      <c r="Z4" s="119" t="s">
        <v>2309</v>
      </c>
      <c r="AA4" s="315">
        <f>Y6</f>
        <v>3.93</v>
      </c>
      <c r="AB4" s="110"/>
    </row>
    <row r="5" spans="1:28" s="99" customFormat="1" ht="15" customHeight="1" x14ac:dyDescent="0.3">
      <c r="A5" s="96"/>
      <c r="B5" s="97"/>
      <c r="C5" s="97"/>
      <c r="D5" s="98">
        <v>154.21199999999999</v>
      </c>
      <c r="E5" s="115">
        <v>3.92</v>
      </c>
      <c r="F5" s="67" t="s">
        <v>3005</v>
      </c>
      <c r="G5" s="116"/>
      <c r="H5" s="122"/>
      <c r="I5" s="25">
        <v>93.4</v>
      </c>
      <c r="J5" s="67" t="s">
        <v>3005</v>
      </c>
      <c r="K5" s="116"/>
      <c r="L5" s="264"/>
      <c r="M5" s="262">
        <f>10^0.17</f>
        <v>1.4791083881682074</v>
      </c>
      <c r="N5" s="262">
        <f>$N$1*M5</f>
        <v>1.1094225133923193E-2</v>
      </c>
      <c r="O5" s="262">
        <f>AVERAGE(58.55,55.22,68.2)</f>
        <v>60.656666666666666</v>
      </c>
      <c r="P5" s="262">
        <f>K4</f>
        <v>93.850000000000023</v>
      </c>
      <c r="Q5" s="73">
        <f>N5*EXP(-O5*((P5+$H$1)/298.15-1)/$Q$1)</f>
        <v>2.0580509694856988E-3</v>
      </c>
      <c r="R5" s="263" t="s">
        <v>3075</v>
      </c>
      <c r="S5" s="116"/>
      <c r="T5" s="316"/>
      <c r="U5" s="317"/>
      <c r="V5" s="317"/>
      <c r="W5" s="317"/>
      <c r="X5" s="317"/>
      <c r="Y5" s="97">
        <v>3.9</v>
      </c>
      <c r="Z5" s="67" t="s">
        <v>3005</v>
      </c>
      <c r="AA5" s="315"/>
      <c r="AB5" s="110"/>
    </row>
    <row r="6" spans="1:28" s="99" customFormat="1" ht="15" customHeight="1" x14ac:dyDescent="0.3">
      <c r="A6" s="96"/>
      <c r="B6" s="97"/>
      <c r="C6" s="97"/>
      <c r="D6" s="98">
        <v>154.21199999999999</v>
      </c>
      <c r="E6" s="114">
        <v>3.83</v>
      </c>
      <c r="F6" s="117" t="s">
        <v>3239</v>
      </c>
      <c r="G6" s="116"/>
      <c r="H6" s="122"/>
      <c r="I6" s="15">
        <v>94.28</v>
      </c>
      <c r="J6" s="24" t="s">
        <v>3027</v>
      </c>
      <c r="K6" s="116"/>
      <c r="L6" s="264"/>
      <c r="M6" s="262"/>
      <c r="N6" s="262"/>
      <c r="O6" s="262"/>
      <c r="P6" s="262"/>
      <c r="Q6" s="262"/>
      <c r="R6" s="265"/>
      <c r="S6" s="116"/>
      <c r="T6" s="316"/>
      <c r="U6" s="317"/>
      <c r="V6" s="317"/>
      <c r="W6" s="317"/>
      <c r="X6" s="317"/>
      <c r="Y6" s="318">
        <v>3.93</v>
      </c>
      <c r="Z6" s="121" t="s">
        <v>3025</v>
      </c>
      <c r="AA6" s="315"/>
      <c r="AB6" s="110"/>
    </row>
    <row r="7" spans="1:28" s="99" customFormat="1" ht="15" customHeight="1" x14ac:dyDescent="0.3">
      <c r="A7" s="96"/>
      <c r="B7" s="97"/>
      <c r="C7" s="97"/>
      <c r="D7" s="98">
        <v>154.21199999999999</v>
      </c>
      <c r="E7" s="114"/>
      <c r="F7" s="117"/>
      <c r="G7" s="116"/>
      <c r="H7" s="122">
        <v>367</v>
      </c>
      <c r="I7" s="68">
        <f>H7-$H$1</f>
        <v>93.850000000000023</v>
      </c>
      <c r="J7" s="62" t="s">
        <v>2314</v>
      </c>
      <c r="K7" s="116"/>
      <c r="L7" s="264"/>
      <c r="M7" s="262"/>
      <c r="N7" s="262"/>
      <c r="O7" s="262"/>
      <c r="P7" s="262"/>
      <c r="Q7" s="262"/>
      <c r="R7" s="265"/>
      <c r="S7" s="116"/>
      <c r="T7" s="316"/>
      <c r="U7" s="317"/>
      <c r="V7" s="317"/>
      <c r="W7" s="317"/>
      <c r="X7" s="317"/>
      <c r="Y7" s="318"/>
      <c r="Z7" s="314"/>
      <c r="AA7" s="315"/>
      <c r="AB7" s="110"/>
    </row>
    <row r="8" spans="1:28" s="99" customFormat="1" ht="15" customHeight="1" x14ac:dyDescent="0.3">
      <c r="A8" s="247"/>
      <c r="B8" s="248" t="s">
        <v>2961</v>
      </c>
      <c r="C8" s="248" t="s">
        <v>2965</v>
      </c>
      <c r="D8" s="249">
        <v>152.196</v>
      </c>
      <c r="E8" s="250">
        <v>3.94</v>
      </c>
      <c r="F8" s="84" t="s">
        <v>2309</v>
      </c>
      <c r="G8" s="251"/>
      <c r="H8" s="252"/>
      <c r="I8" s="248">
        <v>92.5</v>
      </c>
      <c r="J8" s="84" t="s">
        <v>2309</v>
      </c>
      <c r="K8" s="253">
        <f>I11</f>
        <v>91.350000000000023</v>
      </c>
      <c r="L8" s="266">
        <v>25</v>
      </c>
      <c r="M8" s="267"/>
      <c r="N8" s="268"/>
      <c r="O8" s="268"/>
      <c r="P8" s="268"/>
      <c r="Q8" s="267">
        <v>6.6800000000000002E-3</v>
      </c>
      <c r="R8" s="269" t="s">
        <v>2889</v>
      </c>
      <c r="S8" s="253">
        <f>Q9</f>
        <v>1.0060352829112378E-2</v>
      </c>
      <c r="T8" s="252"/>
      <c r="U8" s="319"/>
      <c r="V8" s="319"/>
      <c r="W8" s="319"/>
      <c r="X8" s="319"/>
      <c r="Y8" s="248">
        <v>16.100000000000001</v>
      </c>
      <c r="Z8" s="84" t="s">
        <v>2309</v>
      </c>
      <c r="AA8" s="251"/>
      <c r="AB8" s="110"/>
    </row>
    <row r="9" spans="1:28" s="99" customFormat="1" ht="15" customHeight="1" x14ac:dyDescent="0.3">
      <c r="A9" s="96"/>
      <c r="B9" s="97"/>
      <c r="C9" s="97"/>
      <c r="D9" s="8">
        <v>152.196</v>
      </c>
      <c r="E9" s="115">
        <v>3.94</v>
      </c>
      <c r="F9" s="67" t="s">
        <v>3005</v>
      </c>
      <c r="G9" s="116"/>
      <c r="H9" s="122"/>
      <c r="I9" s="97">
        <v>92.5</v>
      </c>
      <c r="J9" s="67" t="s">
        <v>3005</v>
      </c>
      <c r="K9" s="116"/>
      <c r="L9" s="264"/>
      <c r="M9" s="262">
        <f>10^0.35</f>
        <v>2.2387211385683394</v>
      </c>
      <c r="N9" s="262">
        <f>$N$1*M9</f>
        <v>1.6791789244133146E-2</v>
      </c>
      <c r="O9" s="262">
        <v>19.14</v>
      </c>
      <c r="P9" s="262">
        <f>K8</f>
        <v>91.350000000000023</v>
      </c>
      <c r="Q9" s="73">
        <f>N9*EXP(-O9*((P9+$H$1)/298.15-1)/$Q$1)</f>
        <v>1.0060352829112378E-2</v>
      </c>
      <c r="R9" s="263" t="s">
        <v>3075</v>
      </c>
      <c r="S9" s="116"/>
      <c r="T9" s="316"/>
      <c r="U9" s="317"/>
      <c r="V9" s="317"/>
      <c r="W9" s="317"/>
      <c r="X9" s="317"/>
      <c r="Y9" s="320">
        <v>16.100000000000001</v>
      </c>
      <c r="Z9" s="67" t="s">
        <v>3005</v>
      </c>
      <c r="AA9" s="315"/>
      <c r="AB9" s="110"/>
    </row>
    <row r="10" spans="1:28" s="99" customFormat="1" ht="15" customHeight="1" x14ac:dyDescent="0.3">
      <c r="A10" s="96"/>
      <c r="B10" s="97"/>
      <c r="C10" s="97"/>
      <c r="D10" s="8">
        <v>152.196</v>
      </c>
      <c r="E10" s="115"/>
      <c r="F10" s="67"/>
      <c r="G10" s="116"/>
      <c r="H10" s="122"/>
      <c r="I10" s="15">
        <v>91.75</v>
      </c>
      <c r="J10" s="24" t="s">
        <v>3027</v>
      </c>
      <c r="K10" s="116"/>
      <c r="L10" s="264"/>
      <c r="M10" s="270"/>
      <c r="N10" s="270"/>
      <c r="O10" s="270"/>
      <c r="P10" s="270"/>
      <c r="Q10" s="262"/>
      <c r="R10" s="265"/>
      <c r="S10" s="116"/>
      <c r="T10" s="316"/>
      <c r="U10" s="317"/>
      <c r="V10" s="317"/>
      <c r="W10" s="317"/>
      <c r="X10" s="317"/>
      <c r="Y10" s="320"/>
      <c r="Z10" s="320"/>
      <c r="AA10" s="315"/>
      <c r="AB10" s="110"/>
    </row>
    <row r="11" spans="1:28" s="99" customFormat="1" ht="15" customHeight="1" x14ac:dyDescent="0.3">
      <c r="A11" s="96"/>
      <c r="B11" s="97"/>
      <c r="C11" s="97"/>
      <c r="D11" s="8">
        <v>152.196</v>
      </c>
      <c r="E11" s="115"/>
      <c r="F11" s="121"/>
      <c r="G11" s="116"/>
      <c r="H11" s="122">
        <f>AVERAGE(362.6,366.4)</f>
        <v>364.5</v>
      </c>
      <c r="I11" s="68">
        <f>H11-$H$1</f>
        <v>91.350000000000023</v>
      </c>
      <c r="J11" s="62" t="s">
        <v>2314</v>
      </c>
      <c r="K11" s="116"/>
      <c r="L11" s="264"/>
      <c r="M11" s="270"/>
      <c r="N11" s="270"/>
      <c r="O11" s="270"/>
      <c r="P11" s="270"/>
      <c r="Q11" s="262"/>
      <c r="R11" s="265"/>
      <c r="S11" s="116"/>
      <c r="T11" s="316"/>
      <c r="U11" s="317"/>
      <c r="V11" s="317"/>
      <c r="W11" s="317"/>
      <c r="X11" s="317"/>
      <c r="Y11" s="318"/>
      <c r="Z11" s="314"/>
      <c r="AA11" s="315"/>
      <c r="AB11" s="110"/>
    </row>
    <row r="12" spans="1:28" s="99" customFormat="1" ht="15" customHeight="1" x14ac:dyDescent="0.3">
      <c r="A12" s="247"/>
      <c r="B12" s="248" t="s">
        <v>2956</v>
      </c>
      <c r="C12" s="248" t="s">
        <v>2966</v>
      </c>
      <c r="D12" s="249">
        <v>178.23400000000001</v>
      </c>
      <c r="E12" s="250">
        <v>4.45</v>
      </c>
      <c r="F12" s="84" t="s">
        <v>2309</v>
      </c>
      <c r="G12" s="253">
        <f>E14</f>
        <v>4.68</v>
      </c>
      <c r="H12" s="252"/>
      <c r="I12" s="248">
        <v>215</v>
      </c>
      <c r="J12" s="84" t="s">
        <v>2309</v>
      </c>
      <c r="K12" s="253">
        <f>I15</f>
        <v>216.85000000000002</v>
      </c>
      <c r="L12" s="266">
        <v>25</v>
      </c>
      <c r="M12" s="267"/>
      <c r="N12" s="267"/>
      <c r="O12" s="267"/>
      <c r="P12" s="267"/>
      <c r="Q12" s="286">
        <v>6.5300000000000002E-6</v>
      </c>
      <c r="R12" s="269" t="s">
        <v>2889</v>
      </c>
      <c r="S12" s="253">
        <f>Q13</f>
        <v>6.0434198804491466E-6</v>
      </c>
      <c r="T12" s="252"/>
      <c r="U12" s="321"/>
      <c r="V12" s="321"/>
      <c r="W12" s="321"/>
      <c r="X12" s="321"/>
      <c r="Y12" s="322">
        <v>4.3400000000000001E-2</v>
      </c>
      <c r="Z12" s="84" t="s">
        <v>2309</v>
      </c>
      <c r="AA12" s="323">
        <f>Y14</f>
        <v>9.2999999999999999E-2</v>
      </c>
      <c r="AB12" s="110"/>
    </row>
    <row r="13" spans="1:28" s="99" customFormat="1" ht="15" customHeight="1" x14ac:dyDescent="0.3">
      <c r="A13" s="96"/>
      <c r="B13" s="97"/>
      <c r="C13" s="97"/>
      <c r="D13" s="8">
        <v>178.23400000000001</v>
      </c>
      <c r="E13" s="115">
        <v>4.45</v>
      </c>
      <c r="F13" s="67" t="s">
        <v>3005</v>
      </c>
      <c r="G13" s="116"/>
      <c r="H13" s="122"/>
      <c r="I13" s="97">
        <v>215</v>
      </c>
      <c r="J13" s="67" t="s">
        <v>3005</v>
      </c>
      <c r="K13" s="116"/>
      <c r="L13" s="264"/>
      <c r="M13" s="262">
        <f>10^-1.11</f>
        <v>7.7624711662869134E-2</v>
      </c>
      <c r="N13" s="262">
        <f>$N$1*M13</f>
        <v>5.8223321159734211E-4</v>
      </c>
      <c r="O13" s="262">
        <f>AVERAGE(60.07,58,59)</f>
        <v>59.023333333333333</v>
      </c>
      <c r="P13" s="262">
        <f>K12</f>
        <v>216.85000000000002</v>
      </c>
      <c r="Q13" s="73">
        <f>N13*EXP(-O13*((P13+$H$1)/298.15-1)/$Q$1)</f>
        <v>6.0434198804491466E-6</v>
      </c>
      <c r="R13" s="263" t="s">
        <v>3075</v>
      </c>
      <c r="S13" s="116"/>
      <c r="T13" s="316"/>
      <c r="U13" s="317"/>
      <c r="V13" s="317"/>
      <c r="W13" s="317"/>
      <c r="X13" s="317"/>
      <c r="Y13" s="97">
        <v>4.3400000000000001E-2</v>
      </c>
      <c r="Z13" s="67" t="s">
        <v>3005</v>
      </c>
      <c r="AA13" s="315"/>
      <c r="AB13" s="110"/>
    </row>
    <row r="14" spans="1:28" s="99" customFormat="1" ht="15" customHeight="1" x14ac:dyDescent="0.3">
      <c r="A14" s="96"/>
      <c r="B14" s="97"/>
      <c r="C14" s="97"/>
      <c r="D14" s="8">
        <v>178.23400000000001</v>
      </c>
      <c r="E14" s="114">
        <v>4.68</v>
      </c>
      <c r="F14" s="117" t="s">
        <v>2967</v>
      </c>
      <c r="G14" s="116"/>
      <c r="H14" s="122"/>
      <c r="I14" s="15">
        <v>216.6</v>
      </c>
      <c r="J14" s="24" t="s">
        <v>3027</v>
      </c>
      <c r="K14" s="116"/>
      <c r="L14" s="264"/>
      <c r="M14" s="262"/>
      <c r="N14" s="262"/>
      <c r="O14" s="262"/>
      <c r="P14" s="262"/>
      <c r="Q14" s="262"/>
      <c r="R14" s="265"/>
      <c r="S14" s="116"/>
      <c r="T14" s="122">
        <v>93</v>
      </c>
      <c r="U14" s="313" t="s">
        <v>3026</v>
      </c>
      <c r="V14" s="313"/>
      <c r="W14" s="313"/>
      <c r="X14" s="313"/>
      <c r="Y14" s="324">
        <f>T14/1000</f>
        <v>9.2999999999999999E-2</v>
      </c>
      <c r="Z14" s="121" t="s">
        <v>2968</v>
      </c>
      <c r="AA14" s="116"/>
      <c r="AB14" s="110"/>
    </row>
    <row r="15" spans="1:28" s="99" customFormat="1" ht="15" customHeight="1" x14ac:dyDescent="0.3">
      <c r="A15" s="96"/>
      <c r="B15" s="97"/>
      <c r="C15" s="97"/>
      <c r="D15" s="8">
        <v>178.23400000000001</v>
      </c>
      <c r="E15" s="114"/>
      <c r="F15" s="117"/>
      <c r="G15" s="116"/>
      <c r="H15" s="122">
        <v>490</v>
      </c>
      <c r="I15" s="68">
        <f>H15-$H$1</f>
        <v>216.85000000000002</v>
      </c>
      <c r="J15" s="62" t="s">
        <v>2314</v>
      </c>
      <c r="K15" s="116"/>
      <c r="L15" s="264"/>
      <c r="M15" s="262"/>
      <c r="N15" s="262"/>
      <c r="O15" s="262"/>
      <c r="P15" s="262"/>
      <c r="Q15" s="265"/>
      <c r="R15" s="265"/>
      <c r="S15" s="116"/>
      <c r="T15" s="316"/>
      <c r="U15" s="317"/>
      <c r="V15" s="317"/>
      <c r="W15" s="317"/>
      <c r="X15" s="317"/>
      <c r="Y15" s="325"/>
      <c r="Z15" s="314"/>
      <c r="AA15" s="315"/>
      <c r="AB15" s="110"/>
    </row>
    <row r="16" spans="1:28" s="99" customFormat="1" ht="15" customHeight="1" x14ac:dyDescent="0.3">
      <c r="A16" s="247"/>
      <c r="B16" s="248" t="s">
        <v>2915</v>
      </c>
      <c r="C16" s="248" t="s">
        <v>2921</v>
      </c>
      <c r="D16" s="249">
        <v>228.29400000000001</v>
      </c>
      <c r="E16" s="250">
        <v>5.76</v>
      </c>
      <c r="F16" s="84" t="s">
        <v>2309</v>
      </c>
      <c r="G16" s="253">
        <f>E18</f>
        <v>5.91</v>
      </c>
      <c r="H16" s="252"/>
      <c r="I16" s="287">
        <v>84</v>
      </c>
      <c r="J16" s="90" t="s">
        <v>2309</v>
      </c>
      <c r="K16" s="253">
        <f>I18</f>
        <v>158.85000000000002</v>
      </c>
      <c r="L16" s="266">
        <v>25</v>
      </c>
      <c r="M16" s="288"/>
      <c r="N16" s="288"/>
      <c r="O16" s="267"/>
      <c r="P16" s="267"/>
      <c r="Q16" s="289">
        <v>2.1E-7</v>
      </c>
      <c r="R16" s="84" t="s">
        <v>2309</v>
      </c>
      <c r="S16" s="290">
        <f>Q18</f>
        <v>2.1001726866991639E-7</v>
      </c>
      <c r="T16" s="252"/>
      <c r="U16" s="321"/>
      <c r="V16" s="321"/>
      <c r="W16" s="321"/>
      <c r="X16" s="321"/>
      <c r="Y16" s="326">
        <v>9.4000000000000004E-3</v>
      </c>
      <c r="Z16" s="84" t="s">
        <v>2309</v>
      </c>
      <c r="AA16" s="323">
        <f>Y18</f>
        <v>1.2999999999999999E-2</v>
      </c>
      <c r="AB16" s="110"/>
    </row>
    <row r="17" spans="1:27" x14ac:dyDescent="0.3">
      <c r="A17" s="39"/>
      <c r="B17" s="25"/>
      <c r="C17" s="25"/>
      <c r="D17" s="8">
        <v>228.29400000000001</v>
      </c>
      <c r="E17" s="115">
        <v>5.76</v>
      </c>
      <c r="F17" s="67" t="s">
        <v>3005</v>
      </c>
      <c r="G17" s="46"/>
      <c r="H17" s="122"/>
      <c r="I17" s="123">
        <v>84</v>
      </c>
      <c r="J17" s="69" t="s">
        <v>3005</v>
      </c>
      <c r="K17" s="46"/>
      <c r="L17" s="57">
        <v>25</v>
      </c>
      <c r="M17" s="271"/>
      <c r="N17" s="271"/>
      <c r="O17" s="271"/>
      <c r="P17" s="271"/>
      <c r="Q17" s="285">
        <v>2.1E-7</v>
      </c>
      <c r="R17" s="67" t="s">
        <v>3005</v>
      </c>
      <c r="S17" s="41"/>
      <c r="T17" s="327"/>
      <c r="U17" s="328"/>
      <c r="V17" s="328"/>
      <c r="W17" s="328"/>
      <c r="X17" s="328"/>
      <c r="Y17" s="97">
        <v>9.4000000000000004E-3</v>
      </c>
      <c r="Z17" s="67" t="s">
        <v>3005</v>
      </c>
      <c r="AA17" s="37"/>
    </row>
    <row r="18" spans="1:27" x14ac:dyDescent="0.3">
      <c r="A18" s="39"/>
      <c r="B18" s="25"/>
      <c r="C18" s="25"/>
      <c r="D18" s="8">
        <v>228.29400000000001</v>
      </c>
      <c r="E18" s="103">
        <v>5.91</v>
      </c>
      <c r="F18" s="117" t="s">
        <v>2967</v>
      </c>
      <c r="G18" s="46"/>
      <c r="H18" s="57">
        <v>432</v>
      </c>
      <c r="I18" s="68">
        <f>H18-$H$1</f>
        <v>158.85000000000002</v>
      </c>
      <c r="J18" s="62" t="s">
        <v>2314</v>
      </c>
      <c r="K18" s="46"/>
      <c r="L18" s="57"/>
      <c r="M18" s="272">
        <v>2.8E-5</v>
      </c>
      <c r="N18" s="271"/>
      <c r="O18" s="271"/>
      <c r="P18" s="271"/>
      <c r="Q18" s="284">
        <f>$N$1*M18</f>
        <v>2.1001726866991639E-7</v>
      </c>
      <c r="R18" s="283" t="s">
        <v>3076</v>
      </c>
      <c r="S18" s="41"/>
      <c r="T18" s="125">
        <v>13</v>
      </c>
      <c r="U18" s="329" t="s">
        <v>3026</v>
      </c>
      <c r="V18" s="329"/>
      <c r="W18" s="329"/>
      <c r="X18" s="329"/>
      <c r="Y18" s="324">
        <f>T18/1000</f>
        <v>1.2999999999999999E-2</v>
      </c>
      <c r="Z18" s="121" t="s">
        <v>2968</v>
      </c>
      <c r="AA18" s="41"/>
    </row>
    <row r="19" spans="1:27" ht="15" customHeight="1" x14ac:dyDescent="0.3">
      <c r="A19" s="79"/>
      <c r="B19" s="80" t="s">
        <v>2916</v>
      </c>
      <c r="C19" s="80" t="s">
        <v>2922</v>
      </c>
      <c r="D19" s="249">
        <v>252.316</v>
      </c>
      <c r="E19" s="293">
        <v>5.78</v>
      </c>
      <c r="F19" s="84" t="s">
        <v>2309</v>
      </c>
      <c r="G19" s="251"/>
      <c r="H19" s="293"/>
      <c r="I19" s="294">
        <v>168</v>
      </c>
      <c r="J19" s="84" t="s">
        <v>2309</v>
      </c>
      <c r="K19" s="253">
        <f>I21</f>
        <v>168</v>
      </c>
      <c r="L19" s="266">
        <v>25</v>
      </c>
      <c r="M19" s="295"/>
      <c r="N19" s="295"/>
      <c r="O19" s="296"/>
      <c r="P19" s="296"/>
      <c r="Q19" s="289">
        <v>4.9999999999999998E-7</v>
      </c>
      <c r="R19" s="84" t="s">
        <v>2309</v>
      </c>
      <c r="S19" s="297">
        <f>Q21</f>
        <v>6.3005180600974912E-9</v>
      </c>
      <c r="T19" s="330"/>
      <c r="U19" s="331"/>
      <c r="V19" s="331"/>
      <c r="W19" s="331"/>
      <c r="X19" s="331"/>
      <c r="Y19" s="80">
        <v>1.5E-3</v>
      </c>
      <c r="Z19" s="84" t="s">
        <v>2309</v>
      </c>
      <c r="AA19" s="251"/>
    </row>
    <row r="20" spans="1:27" x14ac:dyDescent="0.3">
      <c r="A20" s="39"/>
      <c r="B20" s="25"/>
      <c r="C20" s="25"/>
      <c r="D20" s="8">
        <v>252.316</v>
      </c>
      <c r="E20" s="57">
        <v>5.78</v>
      </c>
      <c r="F20" s="67" t="s">
        <v>3005</v>
      </c>
      <c r="G20" s="46"/>
      <c r="H20" s="57"/>
      <c r="I20" s="40">
        <v>168</v>
      </c>
      <c r="J20" s="67" t="s">
        <v>3005</v>
      </c>
      <c r="K20" s="46"/>
      <c r="L20" s="57">
        <v>25</v>
      </c>
      <c r="M20" s="276"/>
      <c r="N20" s="276"/>
      <c r="O20" s="276"/>
      <c r="P20" s="276"/>
      <c r="Q20" s="292">
        <v>4.9999999999999998E-7</v>
      </c>
      <c r="R20" s="67" t="s">
        <v>3005</v>
      </c>
      <c r="S20" s="41"/>
      <c r="T20" s="327"/>
      <c r="U20" s="332"/>
      <c r="V20" s="332"/>
      <c r="W20" s="332"/>
      <c r="X20" s="332"/>
      <c r="Y20" s="23">
        <v>1.5E-3</v>
      </c>
      <c r="Z20" s="67" t="s">
        <v>3005</v>
      </c>
      <c r="AA20" s="37"/>
    </row>
    <row r="21" spans="1:27" x14ac:dyDescent="0.3">
      <c r="A21" s="39"/>
      <c r="B21" s="25"/>
      <c r="C21" s="25"/>
      <c r="D21" s="8">
        <v>252.316</v>
      </c>
      <c r="E21" s="57"/>
      <c r="F21" s="117"/>
      <c r="G21" s="46"/>
      <c r="H21" s="57"/>
      <c r="I21" s="50">
        <v>168</v>
      </c>
      <c r="J21" s="24" t="s">
        <v>3027</v>
      </c>
      <c r="K21" s="46"/>
      <c r="L21" s="57"/>
      <c r="M21" s="275">
        <v>8.4E-7</v>
      </c>
      <c r="N21" s="276"/>
      <c r="O21" s="276"/>
      <c r="P21" s="276"/>
      <c r="Q21" s="284">
        <f>$N$1*M21</f>
        <v>6.3005180600974912E-9</v>
      </c>
      <c r="R21" s="291" t="s">
        <v>3074</v>
      </c>
      <c r="S21" s="41"/>
      <c r="T21" s="125"/>
      <c r="U21" s="332"/>
      <c r="V21" s="332"/>
      <c r="W21" s="332"/>
      <c r="X21" s="332"/>
      <c r="Y21" s="333"/>
      <c r="Z21" s="40"/>
      <c r="AA21" s="41"/>
    </row>
    <row r="22" spans="1:27" x14ac:dyDescent="0.3">
      <c r="A22" s="79"/>
      <c r="B22" s="80" t="s">
        <v>2917</v>
      </c>
      <c r="C22" s="80" t="s">
        <v>2923</v>
      </c>
      <c r="D22" s="249">
        <v>252.316</v>
      </c>
      <c r="E22" s="293">
        <v>6.11</v>
      </c>
      <c r="F22" s="84" t="s">
        <v>2309</v>
      </c>
      <c r="G22" s="82">
        <f>E24</f>
        <v>6.11</v>
      </c>
      <c r="H22" s="293"/>
      <c r="I22" s="128">
        <v>217</v>
      </c>
      <c r="J22" s="84" t="s">
        <v>2309</v>
      </c>
      <c r="K22" s="82">
        <f>I25</f>
        <v>216.85000000000002</v>
      </c>
      <c r="L22" s="293">
        <v>25</v>
      </c>
      <c r="M22" s="295"/>
      <c r="N22" s="295"/>
      <c r="O22" s="298"/>
      <c r="P22" s="298"/>
      <c r="Q22" s="299">
        <v>9.6500000000000008E-10</v>
      </c>
      <c r="R22" s="84" t="s">
        <v>2309</v>
      </c>
      <c r="S22" s="297">
        <f>Q24</f>
        <v>1.8526523343381907E-9</v>
      </c>
      <c r="T22" s="334"/>
      <c r="U22" s="321"/>
      <c r="V22" s="321"/>
      <c r="W22" s="321"/>
      <c r="X22" s="321"/>
      <c r="Y22" s="335">
        <v>8.0000000000000004E-4</v>
      </c>
      <c r="Z22" s="84" t="s">
        <v>2309</v>
      </c>
      <c r="AA22" s="336">
        <f>Y24</f>
        <v>1.09E-3</v>
      </c>
    </row>
    <row r="23" spans="1:27" x14ac:dyDescent="0.3">
      <c r="A23" s="39"/>
      <c r="B23" s="25"/>
      <c r="C23" s="25"/>
      <c r="D23" s="8">
        <v>252.316</v>
      </c>
      <c r="E23" s="57">
        <v>6.11</v>
      </c>
      <c r="F23" s="67" t="s">
        <v>3005</v>
      </c>
      <c r="G23" s="46"/>
      <c r="H23" s="57"/>
      <c r="I23" s="15">
        <v>217</v>
      </c>
      <c r="J23" s="67" t="s">
        <v>3005</v>
      </c>
      <c r="K23" s="46"/>
      <c r="L23" s="57">
        <v>25</v>
      </c>
      <c r="M23" s="271"/>
      <c r="N23" s="271"/>
      <c r="O23" s="271"/>
      <c r="P23" s="271"/>
      <c r="Q23" s="278">
        <v>9.6500000000000008E-10</v>
      </c>
      <c r="R23" s="67" t="s">
        <v>3005</v>
      </c>
      <c r="S23" s="41"/>
      <c r="T23" s="327"/>
      <c r="U23" s="328"/>
      <c r="V23" s="328"/>
      <c r="W23" s="328"/>
      <c r="X23" s="328"/>
      <c r="Y23" s="25">
        <v>8.0000000000000004E-4</v>
      </c>
      <c r="Z23" s="67" t="s">
        <v>3005</v>
      </c>
      <c r="AA23" s="37"/>
    </row>
    <row r="24" spans="1:27" x14ac:dyDescent="0.3">
      <c r="A24" s="39"/>
      <c r="B24" s="25"/>
      <c r="C24" s="25"/>
      <c r="D24" s="8">
        <v>252.316</v>
      </c>
      <c r="E24" s="103">
        <v>6.11</v>
      </c>
      <c r="F24" s="117" t="s">
        <v>2967</v>
      </c>
      <c r="G24" s="46"/>
      <c r="H24" s="57"/>
      <c r="I24" s="15">
        <v>217</v>
      </c>
      <c r="J24" s="24" t="s">
        <v>3027</v>
      </c>
      <c r="K24" s="46"/>
      <c r="L24" s="57"/>
      <c r="M24" s="275">
        <v>2.4699999999999998E-7</v>
      </c>
      <c r="N24" s="271"/>
      <c r="O24" s="271"/>
      <c r="P24" s="271"/>
      <c r="Q24" s="284">
        <f>$N$1*M24</f>
        <v>1.8526523343381907E-9</v>
      </c>
      <c r="R24" s="291" t="s">
        <v>3074</v>
      </c>
      <c r="S24" s="41"/>
      <c r="T24" s="125">
        <v>1.0900000000000001</v>
      </c>
      <c r="U24" s="313" t="s">
        <v>3026</v>
      </c>
      <c r="V24" s="329"/>
      <c r="W24" s="329"/>
      <c r="X24" s="329"/>
      <c r="Y24" s="324">
        <f>T24/1000</f>
        <v>1.09E-3</v>
      </c>
      <c r="Z24" s="121" t="s">
        <v>2968</v>
      </c>
      <c r="AA24" s="41"/>
    </row>
    <row r="25" spans="1:27" x14ac:dyDescent="0.3">
      <c r="A25" s="39"/>
      <c r="B25" s="25"/>
      <c r="C25" s="25"/>
      <c r="D25" s="8">
        <v>252.316</v>
      </c>
      <c r="E25" s="103"/>
      <c r="F25" s="117"/>
      <c r="G25" s="46"/>
      <c r="H25" s="57">
        <v>490</v>
      </c>
      <c r="I25" s="68">
        <f>H25-$H$1</f>
        <v>216.85000000000002</v>
      </c>
      <c r="J25" s="62" t="s">
        <v>2314</v>
      </c>
      <c r="K25" s="46"/>
      <c r="L25" s="57"/>
      <c r="M25" s="271"/>
      <c r="N25" s="271"/>
      <c r="O25" s="271"/>
      <c r="P25" s="271"/>
      <c r="Q25" s="273"/>
      <c r="R25" s="274"/>
      <c r="S25" s="41"/>
      <c r="T25" s="125"/>
      <c r="U25" s="329"/>
      <c r="V25" s="329"/>
      <c r="W25" s="329"/>
      <c r="X25" s="329"/>
      <c r="Y25" s="333"/>
      <c r="Z25" s="40"/>
      <c r="AA25" s="41"/>
    </row>
    <row r="26" spans="1:27" x14ac:dyDescent="0.3">
      <c r="A26" s="79"/>
      <c r="B26" s="80" t="s">
        <v>2918</v>
      </c>
      <c r="C26" s="80" t="s">
        <v>2924</v>
      </c>
      <c r="D26" s="249">
        <v>276.33800000000002</v>
      </c>
      <c r="E26" s="293">
        <v>6.63</v>
      </c>
      <c r="F26" s="300" t="s">
        <v>2889</v>
      </c>
      <c r="G26" s="301">
        <f>E27</f>
        <v>6.22</v>
      </c>
      <c r="H26" s="293"/>
      <c r="I26" s="128">
        <v>278</v>
      </c>
      <c r="J26" s="84" t="s">
        <v>3005</v>
      </c>
      <c r="K26" s="301">
        <f>I28</f>
        <v>279.85000000000002</v>
      </c>
      <c r="L26" s="302">
        <v>25</v>
      </c>
      <c r="M26" s="295"/>
      <c r="N26" s="295"/>
      <c r="O26" s="298"/>
      <c r="P26" s="298"/>
      <c r="Q26" s="299">
        <v>1E-10</v>
      </c>
      <c r="R26" s="84" t="s">
        <v>2309</v>
      </c>
      <c r="S26" s="297">
        <f>Q28</f>
        <v>7.028077883703988E-11</v>
      </c>
      <c r="T26" s="337"/>
      <c r="U26" s="321"/>
      <c r="V26" s="321"/>
      <c r="W26" s="321"/>
      <c r="X26" s="321"/>
      <c r="Y26" s="335">
        <v>2.5999999999999998E-4</v>
      </c>
      <c r="Z26" s="84" t="s">
        <v>3005</v>
      </c>
      <c r="AA26" s="338">
        <f>Y27</f>
        <v>1.3700000000000002E-4</v>
      </c>
    </row>
    <row r="27" spans="1:27" x14ac:dyDescent="0.3">
      <c r="A27" s="39"/>
      <c r="B27" s="25"/>
      <c r="C27" s="25"/>
      <c r="D27" s="8">
        <v>276.33800000000002</v>
      </c>
      <c r="E27" s="103">
        <v>6.22</v>
      </c>
      <c r="F27" s="117" t="s">
        <v>2967</v>
      </c>
      <c r="G27" s="46"/>
      <c r="H27" s="125"/>
      <c r="I27" s="97">
        <v>278</v>
      </c>
      <c r="J27" s="24" t="s">
        <v>3027</v>
      </c>
      <c r="K27" s="46"/>
      <c r="L27" s="57">
        <v>25</v>
      </c>
      <c r="M27" s="271"/>
      <c r="N27" s="271"/>
      <c r="O27" s="271"/>
      <c r="P27" s="271"/>
      <c r="Q27" s="278">
        <v>1E-10</v>
      </c>
      <c r="R27" s="67" t="s">
        <v>3005</v>
      </c>
      <c r="S27" s="41"/>
      <c r="T27" s="125">
        <v>0.13700000000000001</v>
      </c>
      <c r="U27" s="329" t="s">
        <v>3026</v>
      </c>
      <c r="V27" s="329"/>
      <c r="W27" s="329"/>
      <c r="X27" s="329"/>
      <c r="Y27" s="324">
        <f>T27/1000</f>
        <v>1.3700000000000002E-4</v>
      </c>
      <c r="Z27" s="121" t="s">
        <v>2968</v>
      </c>
      <c r="AA27" s="37"/>
    </row>
    <row r="28" spans="1:27" x14ac:dyDescent="0.3">
      <c r="A28" s="39"/>
      <c r="B28" s="25"/>
      <c r="C28" s="25"/>
      <c r="D28" s="8">
        <v>276.33800000000002</v>
      </c>
      <c r="E28" s="57"/>
      <c r="F28" s="117"/>
      <c r="G28" s="46"/>
      <c r="H28" s="57">
        <v>553</v>
      </c>
      <c r="I28" s="68">
        <f>H28-$H$1</f>
        <v>279.85000000000002</v>
      </c>
      <c r="J28" s="62" t="s">
        <v>2314</v>
      </c>
      <c r="K28" s="46"/>
      <c r="L28" s="57"/>
      <c r="M28" s="275">
        <v>9.3700000000000005E-9</v>
      </c>
      <c r="N28" s="271"/>
      <c r="O28" s="271"/>
      <c r="P28" s="271"/>
      <c r="Q28" s="284">
        <f>$N$1*M28</f>
        <v>7.028077883703988E-11</v>
      </c>
      <c r="R28" s="291" t="s">
        <v>3074</v>
      </c>
      <c r="S28" s="41"/>
      <c r="T28" s="125"/>
      <c r="U28" s="329"/>
      <c r="V28" s="329"/>
      <c r="W28" s="329"/>
      <c r="X28" s="329"/>
      <c r="Y28" s="314"/>
      <c r="Z28" s="121"/>
      <c r="AA28" s="41"/>
    </row>
    <row r="29" spans="1:27" x14ac:dyDescent="0.3">
      <c r="A29" s="79"/>
      <c r="B29" s="80" t="s">
        <v>2919</v>
      </c>
      <c r="C29" s="80" t="s">
        <v>2925</v>
      </c>
      <c r="D29" s="249">
        <v>252.316</v>
      </c>
      <c r="E29" s="293">
        <v>6.13</v>
      </c>
      <c r="F29" s="84" t="s">
        <v>2309</v>
      </c>
      <c r="G29" s="82">
        <f>E31</f>
        <v>6.13</v>
      </c>
      <c r="H29" s="293"/>
      <c r="I29" s="128">
        <v>176.5</v>
      </c>
      <c r="J29" s="84" t="s">
        <v>2309</v>
      </c>
      <c r="K29" s="82">
        <f>I32</f>
        <v>176.85000000000002</v>
      </c>
      <c r="L29" s="293">
        <v>25</v>
      </c>
      <c r="M29" s="296"/>
      <c r="N29" s="296"/>
      <c r="O29" s="296"/>
      <c r="P29" s="296"/>
      <c r="Q29" s="304">
        <v>5.4899999999999999E-9</v>
      </c>
      <c r="R29" s="84" t="s">
        <v>2309</v>
      </c>
      <c r="S29" s="301">
        <f>Q31</f>
        <v>1.0922895589638654E-8</v>
      </c>
      <c r="T29" s="337"/>
      <c r="U29" s="321"/>
      <c r="V29" s="321"/>
      <c r="W29" s="321"/>
      <c r="X29" s="321"/>
      <c r="Y29" s="335">
        <v>1.6199999999999999E-3</v>
      </c>
      <c r="Z29" s="84" t="s">
        <v>2309</v>
      </c>
      <c r="AA29" s="338">
        <f>Y31</f>
        <v>1.82E-3</v>
      </c>
    </row>
    <row r="30" spans="1:27" x14ac:dyDescent="0.3">
      <c r="A30" s="39"/>
      <c r="B30" s="25"/>
      <c r="C30" s="25"/>
      <c r="D30" s="8">
        <v>252.316</v>
      </c>
      <c r="E30" s="57">
        <v>6.13</v>
      </c>
      <c r="F30" s="67" t="s">
        <v>3005</v>
      </c>
      <c r="G30" s="46"/>
      <c r="H30" s="57"/>
      <c r="I30" s="15">
        <v>176.5</v>
      </c>
      <c r="J30" s="67" t="s">
        <v>3005</v>
      </c>
      <c r="K30" s="46"/>
      <c r="L30" s="57">
        <v>25</v>
      </c>
      <c r="M30" s="276"/>
      <c r="N30" s="276"/>
      <c r="O30" s="276"/>
      <c r="P30" s="276"/>
      <c r="Q30" s="278">
        <v>5.4899999999999999E-9</v>
      </c>
      <c r="R30" s="67" t="s">
        <v>3005</v>
      </c>
      <c r="S30" s="41"/>
      <c r="T30" s="327"/>
      <c r="U30" s="332"/>
      <c r="V30" s="332"/>
      <c r="W30" s="332"/>
      <c r="X30" s="332"/>
      <c r="Y30" s="25">
        <v>1.6199999999999999E-3</v>
      </c>
      <c r="Z30" s="67" t="s">
        <v>3005</v>
      </c>
      <c r="AA30" s="37"/>
    </row>
    <row r="31" spans="1:27" x14ac:dyDescent="0.3">
      <c r="A31" s="39"/>
      <c r="B31" s="25"/>
      <c r="C31" s="25"/>
      <c r="D31" s="8">
        <v>252.316</v>
      </c>
      <c r="E31" s="103">
        <v>6.13</v>
      </c>
      <c r="F31" s="117" t="s">
        <v>2967</v>
      </c>
      <c r="G31" s="46"/>
      <c r="H31" s="57"/>
      <c r="I31" s="15">
        <v>176.5</v>
      </c>
      <c r="J31" s="24" t="s">
        <v>3027</v>
      </c>
      <c r="K31" s="46"/>
      <c r="L31" s="57"/>
      <c r="M31" s="262">
        <f>10^-5.04</f>
        <v>9.1201083935590828E-6</v>
      </c>
      <c r="N31" s="262">
        <f>$N$1*M31</f>
        <v>6.8406437671030626E-8</v>
      </c>
      <c r="O31" s="276">
        <f>AVERAGE(21.77,38.13)</f>
        <v>29.950000000000003</v>
      </c>
      <c r="P31" s="262">
        <f>K29</f>
        <v>176.85000000000002</v>
      </c>
      <c r="Q31" s="73">
        <f>N31*EXP(-O31*((P31+$H$1)/298.15-1)/$Q$1)</f>
        <v>1.0922895589638654E-8</v>
      </c>
      <c r="R31" s="263" t="s">
        <v>3075</v>
      </c>
      <c r="S31" s="41"/>
      <c r="T31" s="125">
        <v>1.82</v>
      </c>
      <c r="U31" s="313" t="s">
        <v>3026</v>
      </c>
      <c r="V31" s="329"/>
      <c r="W31" s="329"/>
      <c r="X31" s="329"/>
      <c r="Y31" s="324">
        <f>T31/1000</f>
        <v>1.82E-3</v>
      </c>
      <c r="Z31" s="121" t="s">
        <v>2968</v>
      </c>
      <c r="AA31" s="41"/>
    </row>
    <row r="32" spans="1:27" x14ac:dyDescent="0.3">
      <c r="A32" s="39"/>
      <c r="B32" s="25"/>
      <c r="C32" s="25"/>
      <c r="D32" s="8">
        <v>252.316</v>
      </c>
      <c r="E32" s="103"/>
      <c r="F32" s="117"/>
      <c r="G32" s="46"/>
      <c r="H32" s="57">
        <v>450</v>
      </c>
      <c r="I32" s="68">
        <f>H32-$H$1</f>
        <v>176.85000000000002</v>
      </c>
      <c r="J32" s="62" t="s">
        <v>2314</v>
      </c>
      <c r="K32" s="46"/>
      <c r="L32" s="57"/>
      <c r="M32" s="271"/>
      <c r="N32" s="271"/>
      <c r="O32" s="271"/>
      <c r="P32" s="271"/>
      <c r="Q32" s="273"/>
      <c r="R32" s="274"/>
      <c r="S32" s="41"/>
      <c r="T32" s="125"/>
      <c r="U32" s="329"/>
      <c r="V32" s="329"/>
      <c r="W32" s="329"/>
      <c r="X32" s="329"/>
      <c r="Y32" s="333"/>
      <c r="Z32" s="40"/>
      <c r="AA32" s="41"/>
    </row>
    <row r="33" spans="1:32" x14ac:dyDescent="0.3">
      <c r="A33" s="79"/>
      <c r="B33" s="80" t="s">
        <v>2926</v>
      </c>
      <c r="C33" s="80" t="s">
        <v>2927</v>
      </c>
      <c r="D33" s="249">
        <v>228.29400000000001</v>
      </c>
      <c r="E33" s="293">
        <v>5.81</v>
      </c>
      <c r="F33" s="84" t="s">
        <v>2309</v>
      </c>
      <c r="G33" s="82">
        <f>E35</f>
        <v>5.81</v>
      </c>
      <c r="H33" s="293"/>
      <c r="I33" s="128">
        <v>258.2</v>
      </c>
      <c r="J33" s="84" t="s">
        <v>2309</v>
      </c>
      <c r="K33" s="82">
        <f>I36</f>
        <v>258.25</v>
      </c>
      <c r="L33" s="293">
        <v>25</v>
      </c>
      <c r="M33" s="296"/>
      <c r="N33" s="296"/>
      <c r="O33" s="296"/>
      <c r="P33" s="296"/>
      <c r="Q33" s="80">
        <v>6.2300000000000002E-9</v>
      </c>
      <c r="R33" s="84" t="s">
        <v>2309</v>
      </c>
      <c r="S33" s="301">
        <f>Q35</f>
        <v>9.4231685732746235E-9</v>
      </c>
      <c r="T33" s="252"/>
      <c r="U33" s="321"/>
      <c r="V33" s="321"/>
      <c r="W33" s="321"/>
      <c r="X33" s="321"/>
      <c r="Y33" s="335">
        <v>2E-3</v>
      </c>
      <c r="Z33" s="84" t="s">
        <v>2309</v>
      </c>
      <c r="AA33" s="339">
        <f>Y35</f>
        <v>1.5E-3</v>
      </c>
    </row>
    <row r="34" spans="1:32" x14ac:dyDescent="0.3">
      <c r="A34" s="39"/>
      <c r="B34" s="25"/>
      <c r="C34" s="25"/>
      <c r="D34" s="8">
        <v>228.29400000000001</v>
      </c>
      <c r="E34" s="57">
        <v>5.81</v>
      </c>
      <c r="F34" s="67" t="s">
        <v>3005</v>
      </c>
      <c r="G34" s="46"/>
      <c r="H34" s="57"/>
      <c r="I34" s="15">
        <v>258.2</v>
      </c>
      <c r="J34" s="67" t="s">
        <v>3005</v>
      </c>
      <c r="K34" s="124"/>
      <c r="L34" s="280">
        <v>25</v>
      </c>
      <c r="M34" s="276"/>
      <c r="N34" s="276"/>
      <c r="O34" s="276"/>
      <c r="P34" s="276"/>
      <c r="Q34" s="278">
        <v>6.2300000000000002E-9</v>
      </c>
      <c r="R34" s="67" t="s">
        <v>3005</v>
      </c>
      <c r="S34" s="41"/>
      <c r="T34" s="327"/>
      <c r="U34" s="328"/>
      <c r="V34" s="328"/>
      <c r="W34" s="328"/>
      <c r="X34" s="328"/>
      <c r="Y34" s="25">
        <v>2E-3</v>
      </c>
      <c r="Z34" s="67" t="s">
        <v>3005</v>
      </c>
      <c r="AA34" s="37"/>
    </row>
    <row r="35" spans="1:32" x14ac:dyDescent="0.3">
      <c r="A35" s="39"/>
      <c r="B35" s="25"/>
      <c r="C35" s="25"/>
      <c r="D35" s="8">
        <v>228.29400000000001</v>
      </c>
      <c r="E35" s="103">
        <v>5.81</v>
      </c>
      <c r="F35" s="117" t="s">
        <v>2967</v>
      </c>
      <c r="G35" s="46"/>
      <c r="H35" s="57"/>
      <c r="I35" s="77">
        <v>256.24200000000002</v>
      </c>
      <c r="J35" s="24" t="s">
        <v>3027</v>
      </c>
      <c r="K35" s="41"/>
      <c r="L35" s="279"/>
      <c r="M35" s="262">
        <f>10^-3.89</f>
        <v>1.2882495516931315E-4</v>
      </c>
      <c r="N35" s="262">
        <f>$N$1*M35</f>
        <v>9.6626661504227042E-7</v>
      </c>
      <c r="O35" s="276">
        <v>49.21</v>
      </c>
      <c r="P35" s="262">
        <f>K33</f>
        <v>258.25</v>
      </c>
      <c r="Q35" s="73">
        <f>N35*EXP(-O35*((P35+$H$1)/298.15-1)/$Q$1)</f>
        <v>9.4231685732746235E-9</v>
      </c>
      <c r="R35" s="263" t="s">
        <v>3075</v>
      </c>
      <c r="S35" s="41"/>
      <c r="T35" s="125">
        <v>1.5</v>
      </c>
      <c r="U35" s="313" t="s">
        <v>3026</v>
      </c>
      <c r="V35" s="329"/>
      <c r="W35" s="329"/>
      <c r="X35" s="329"/>
      <c r="Y35" s="324">
        <f>T35/1000</f>
        <v>1.5E-3</v>
      </c>
      <c r="Z35" s="121" t="s">
        <v>2968</v>
      </c>
      <c r="AA35" s="41"/>
    </row>
    <row r="36" spans="1:32" x14ac:dyDescent="0.3">
      <c r="A36" s="39"/>
      <c r="B36" s="25"/>
      <c r="C36" s="25"/>
      <c r="D36" s="8">
        <v>228.29400000000001</v>
      </c>
      <c r="E36" s="103"/>
      <c r="F36" s="117"/>
      <c r="G36" s="46"/>
      <c r="H36" s="57">
        <v>531.4</v>
      </c>
      <c r="I36" s="68">
        <f>H36-$H$1</f>
        <v>258.25</v>
      </c>
      <c r="J36" s="62" t="s">
        <v>2314</v>
      </c>
      <c r="K36" s="41"/>
      <c r="L36" s="279"/>
      <c r="M36" s="271"/>
      <c r="N36" s="271"/>
      <c r="O36" s="271"/>
      <c r="P36" s="271"/>
      <c r="Q36" s="273"/>
      <c r="R36" s="274"/>
      <c r="S36" s="41"/>
      <c r="T36" s="125"/>
      <c r="U36" s="329"/>
      <c r="V36" s="329"/>
      <c r="W36" s="329"/>
      <c r="X36" s="329"/>
      <c r="Y36" s="340"/>
      <c r="Z36" s="40"/>
      <c r="AA36" s="41"/>
    </row>
    <row r="37" spans="1:32" x14ac:dyDescent="0.3">
      <c r="A37" s="79"/>
      <c r="B37" s="80" t="s">
        <v>2928</v>
      </c>
      <c r="C37" s="80" t="s">
        <v>2929</v>
      </c>
      <c r="D37" s="249">
        <v>278.35399999999998</v>
      </c>
      <c r="E37" s="293">
        <v>6.75</v>
      </c>
      <c r="F37" s="305" t="s">
        <v>2889</v>
      </c>
      <c r="G37" s="251"/>
      <c r="H37" s="293"/>
      <c r="I37" s="128">
        <v>269.5</v>
      </c>
      <c r="J37" s="84" t="s">
        <v>2309</v>
      </c>
      <c r="K37" s="301">
        <f>I39</f>
        <v>271.05000000000007</v>
      </c>
      <c r="L37" s="302">
        <v>25</v>
      </c>
      <c r="M37" s="295"/>
      <c r="N37" s="298"/>
      <c r="O37" s="298"/>
      <c r="P37" s="298"/>
      <c r="Q37" s="80">
        <v>9.5499999999999991E-10</v>
      </c>
      <c r="R37" s="84" t="s">
        <v>2309</v>
      </c>
      <c r="S37" s="297">
        <f>Q39</f>
        <v>2.3026893386308688E-11</v>
      </c>
      <c r="T37" s="337"/>
      <c r="U37" s="341"/>
      <c r="V37" s="341"/>
      <c r="W37" s="341"/>
      <c r="X37" s="341"/>
      <c r="Y37" s="294">
        <v>1.0300000000000001E-3</v>
      </c>
      <c r="Z37" s="84" t="s">
        <v>2309</v>
      </c>
      <c r="AA37" s="339"/>
    </row>
    <row r="38" spans="1:32" x14ac:dyDescent="0.3">
      <c r="A38" s="39"/>
      <c r="B38" s="25"/>
      <c r="C38" s="25"/>
      <c r="D38" s="8">
        <v>278.35399999999998</v>
      </c>
      <c r="E38" s="57"/>
      <c r="F38" s="117"/>
      <c r="G38" s="46"/>
      <c r="H38" s="57"/>
      <c r="I38" s="15">
        <v>269.5</v>
      </c>
      <c r="J38" s="67" t="s">
        <v>3005</v>
      </c>
      <c r="K38" s="41"/>
      <c r="L38" s="125">
        <v>25</v>
      </c>
      <c r="M38" s="271"/>
      <c r="N38" s="271"/>
      <c r="O38" s="271"/>
      <c r="P38" s="271"/>
      <c r="Q38" s="278">
        <v>9.5499999999999991E-10</v>
      </c>
      <c r="R38" s="67" t="s">
        <v>3005</v>
      </c>
      <c r="S38" s="41"/>
      <c r="T38" s="327"/>
      <c r="U38" s="328"/>
      <c r="V38" s="328"/>
      <c r="W38" s="328"/>
      <c r="X38" s="328"/>
      <c r="Y38" s="25">
        <v>2.49E-3</v>
      </c>
      <c r="Z38" s="67" t="s">
        <v>3005</v>
      </c>
      <c r="AA38" s="37"/>
    </row>
    <row r="39" spans="1:32" x14ac:dyDescent="0.3">
      <c r="A39" s="39"/>
      <c r="B39" s="25"/>
      <c r="C39" s="25"/>
      <c r="D39" s="8">
        <v>278.35399999999998</v>
      </c>
      <c r="E39" s="57"/>
      <c r="F39" s="117"/>
      <c r="G39" s="46"/>
      <c r="H39" s="57">
        <v>544.20000000000005</v>
      </c>
      <c r="I39" s="68">
        <f>H39-$H$1</f>
        <v>271.05000000000007</v>
      </c>
      <c r="J39" s="62" t="s">
        <v>2314</v>
      </c>
      <c r="K39" s="41"/>
      <c r="L39" s="279"/>
      <c r="M39" s="275">
        <v>3.0699999999999999E-9</v>
      </c>
      <c r="N39" s="271"/>
      <c r="O39" s="271"/>
      <c r="P39" s="271"/>
      <c r="Q39" s="284">
        <f>$N$1*M39</f>
        <v>2.3026893386308688E-11</v>
      </c>
      <c r="R39" s="291" t="s">
        <v>3074</v>
      </c>
      <c r="S39" s="41"/>
      <c r="T39" s="125"/>
      <c r="U39" s="329"/>
      <c r="V39" s="329"/>
      <c r="W39" s="329"/>
      <c r="X39" s="329"/>
      <c r="Y39" s="333"/>
      <c r="Z39" s="40"/>
      <c r="AA39" s="41"/>
      <c r="AB39" s="27"/>
    </row>
    <row r="40" spans="1:32" x14ac:dyDescent="0.3">
      <c r="A40" s="79"/>
      <c r="B40" s="80" t="s">
        <v>2930</v>
      </c>
      <c r="C40" s="80" t="s">
        <v>2931</v>
      </c>
      <c r="D40" s="249">
        <v>256.34800000000001</v>
      </c>
      <c r="E40" s="293">
        <v>5.8</v>
      </c>
      <c r="F40" s="305" t="s">
        <v>2889</v>
      </c>
      <c r="G40" s="251"/>
      <c r="H40" s="293"/>
      <c r="I40" s="294">
        <v>122.5</v>
      </c>
      <c r="J40" s="84" t="s">
        <v>2309</v>
      </c>
      <c r="K40" s="301"/>
      <c r="L40" s="302"/>
      <c r="M40" s="295">
        <v>4.1499999999999999E-5</v>
      </c>
      <c r="N40" s="295"/>
      <c r="O40" s="298"/>
      <c r="P40" s="298"/>
      <c r="Q40" s="311"/>
      <c r="R40" s="307"/>
      <c r="S40" s="297"/>
      <c r="T40" s="342"/>
      <c r="U40" s="343"/>
      <c r="V40" s="343"/>
      <c r="W40" s="343"/>
      <c r="X40" s="343"/>
      <c r="Y40" s="294">
        <v>6.0999999999999999E-2</v>
      </c>
      <c r="Z40" s="84" t="s">
        <v>2309</v>
      </c>
      <c r="AA40" s="339">
        <f>Y42</f>
        <v>6.0999999999999999E-2</v>
      </c>
      <c r="AC40" s="99"/>
      <c r="AD40" s="99"/>
      <c r="AE40" s="99"/>
      <c r="AF40" s="99"/>
    </row>
    <row r="41" spans="1:32" x14ac:dyDescent="0.3">
      <c r="A41" s="39"/>
      <c r="B41" s="25"/>
      <c r="C41" s="25"/>
      <c r="D41" s="8">
        <v>256.34800000000001</v>
      </c>
      <c r="E41" s="57"/>
      <c r="F41" s="117"/>
      <c r="G41" s="46"/>
      <c r="H41" s="57"/>
      <c r="I41" s="40">
        <v>122.5</v>
      </c>
      <c r="J41" s="67" t="s">
        <v>3005</v>
      </c>
      <c r="K41" s="41"/>
      <c r="L41" s="279"/>
      <c r="M41" s="271"/>
      <c r="N41" s="271"/>
      <c r="O41" s="271"/>
      <c r="P41" s="271"/>
      <c r="Q41" s="278"/>
      <c r="R41" s="274"/>
      <c r="S41" s="281"/>
      <c r="T41" s="344"/>
      <c r="U41" s="345"/>
      <c r="V41" s="345"/>
      <c r="W41" s="345"/>
      <c r="X41" s="345"/>
      <c r="Y41" s="25">
        <v>6.0999999999999999E-2</v>
      </c>
      <c r="Z41" s="67" t="s">
        <v>3005</v>
      </c>
      <c r="AA41" s="37"/>
      <c r="AC41" s="99"/>
      <c r="AD41" s="99"/>
      <c r="AE41" s="99"/>
      <c r="AF41" s="99"/>
    </row>
    <row r="42" spans="1:32" x14ac:dyDescent="0.3">
      <c r="A42" s="39"/>
      <c r="B42" s="25"/>
      <c r="C42" s="25"/>
      <c r="D42" s="8">
        <v>256.34800000000001</v>
      </c>
      <c r="E42" s="57"/>
      <c r="F42" s="117"/>
      <c r="G42" s="46"/>
      <c r="H42" s="57"/>
      <c r="I42" s="15"/>
      <c r="J42" s="13"/>
      <c r="K42" s="41"/>
      <c r="L42" s="279"/>
      <c r="M42" s="271"/>
      <c r="N42" s="271"/>
      <c r="O42" s="271"/>
      <c r="P42" s="271"/>
      <c r="Q42" s="278"/>
      <c r="R42" s="274"/>
      <c r="S42" s="281"/>
      <c r="T42" s="346"/>
      <c r="U42" s="347"/>
      <c r="V42" s="347"/>
      <c r="W42" s="347"/>
      <c r="X42" s="347"/>
      <c r="Y42" s="58">
        <v>6.0999999999999999E-2</v>
      </c>
      <c r="Z42" s="121" t="s">
        <v>3025</v>
      </c>
      <c r="AA42" s="41"/>
      <c r="AB42" s="27"/>
      <c r="AC42" s="99"/>
      <c r="AD42" s="99"/>
      <c r="AE42" s="99"/>
      <c r="AF42" s="99"/>
    </row>
    <row r="43" spans="1:32" x14ac:dyDescent="0.3">
      <c r="A43" s="79"/>
      <c r="B43" s="80" t="s">
        <v>2932</v>
      </c>
      <c r="C43" s="80" t="s">
        <v>2933</v>
      </c>
      <c r="D43" s="249">
        <v>202.256</v>
      </c>
      <c r="E43" s="293">
        <v>5.16</v>
      </c>
      <c r="F43" s="305" t="s">
        <v>2889</v>
      </c>
      <c r="G43" s="82">
        <f>E48</f>
        <v>5.1557500000000003</v>
      </c>
      <c r="H43" s="293"/>
      <c r="I43" s="128">
        <v>107.8</v>
      </c>
      <c r="J43" s="84" t="s">
        <v>2309</v>
      </c>
      <c r="K43" s="308">
        <f>I46</f>
        <v>107.85000000000002</v>
      </c>
      <c r="L43" s="309">
        <v>25</v>
      </c>
      <c r="M43" s="296"/>
      <c r="N43" s="303"/>
      <c r="O43" s="296"/>
      <c r="P43" s="296"/>
      <c r="Q43" s="289">
        <v>9.2199999999999998E-6</v>
      </c>
      <c r="R43" s="84" t="s">
        <v>2309</v>
      </c>
      <c r="S43" s="301">
        <f>Q45</f>
        <v>8.4343968054273148E-6</v>
      </c>
      <c r="T43" s="337"/>
      <c r="U43" s="321"/>
      <c r="V43" s="321"/>
      <c r="W43" s="321"/>
      <c r="X43" s="321"/>
      <c r="Y43" s="335">
        <v>0.26</v>
      </c>
      <c r="Z43" s="84" t="s">
        <v>2309</v>
      </c>
      <c r="AA43" s="336">
        <f>Y45</f>
        <v>0.20699999999999999</v>
      </c>
      <c r="AC43" s="99"/>
      <c r="AD43" s="99"/>
      <c r="AE43" s="99"/>
      <c r="AF43" s="99"/>
    </row>
    <row r="44" spans="1:32" x14ac:dyDescent="0.3">
      <c r="A44" s="39"/>
      <c r="B44" s="25"/>
      <c r="C44" s="25"/>
      <c r="D44" s="8">
        <v>202.256</v>
      </c>
      <c r="E44" s="57">
        <v>5.1479999999999997</v>
      </c>
      <c r="F44" s="117" t="s">
        <v>2970</v>
      </c>
      <c r="G44" s="46"/>
      <c r="H44" s="57"/>
      <c r="I44" s="15">
        <v>107.8</v>
      </c>
      <c r="J44" s="67" t="s">
        <v>3005</v>
      </c>
      <c r="K44" s="124"/>
      <c r="L44" s="282">
        <v>25</v>
      </c>
      <c r="M44" s="276"/>
      <c r="N44" s="276"/>
      <c r="O44" s="276"/>
      <c r="P44" s="276"/>
      <c r="Q44" s="292">
        <v>9.2199999999999998E-6</v>
      </c>
      <c r="R44" s="67" t="s">
        <v>3005</v>
      </c>
      <c r="S44" s="41"/>
      <c r="T44" s="327"/>
      <c r="U44" s="328"/>
      <c r="V44" s="328"/>
      <c r="W44" s="328"/>
      <c r="X44" s="328"/>
      <c r="Y44" s="25">
        <v>0.26</v>
      </c>
      <c r="Z44" s="67" t="s">
        <v>3005</v>
      </c>
      <c r="AA44" s="37"/>
      <c r="AF44" s="99"/>
    </row>
    <row r="45" spans="1:32" x14ac:dyDescent="0.3">
      <c r="A45" s="39"/>
      <c r="B45" s="25"/>
      <c r="C45" s="40"/>
      <c r="D45" s="8">
        <v>202.256</v>
      </c>
      <c r="E45" s="57">
        <v>5.23</v>
      </c>
      <c r="F45" s="117" t="s">
        <v>2969</v>
      </c>
      <c r="G45" s="46"/>
      <c r="H45" s="57"/>
      <c r="I45" s="15">
        <v>107.76</v>
      </c>
      <c r="J45" s="24" t="s">
        <v>3027</v>
      </c>
      <c r="K45" s="124"/>
      <c r="L45" s="282"/>
      <c r="M45" s="262">
        <f>10^-2.24</f>
        <v>5.7543993733715649E-3</v>
      </c>
      <c r="N45" s="262">
        <f>$N$1*M45</f>
        <v>4.3161544258263372E-5</v>
      </c>
      <c r="O45" s="276">
        <v>48.85</v>
      </c>
      <c r="P45" s="262">
        <f>K43</f>
        <v>107.85000000000002</v>
      </c>
      <c r="Q45" s="73">
        <f>N45*EXP(-O45*((P45+$H$1)/298.15-1)/$Q$1)</f>
        <v>8.4343968054273148E-6</v>
      </c>
      <c r="R45" s="263" t="s">
        <v>3075</v>
      </c>
      <c r="S45" s="41"/>
      <c r="T45" s="125">
        <v>207</v>
      </c>
      <c r="U45" s="313" t="s">
        <v>3026</v>
      </c>
      <c r="V45" s="329"/>
      <c r="W45" s="329"/>
      <c r="X45" s="329"/>
      <c r="Y45" s="324">
        <f>T45/1000</f>
        <v>0.20699999999999999</v>
      </c>
      <c r="Z45" s="121" t="s">
        <v>2968</v>
      </c>
      <c r="AA45" s="41"/>
      <c r="AB45" s="27"/>
      <c r="AF45" s="99"/>
    </row>
    <row r="46" spans="1:32" x14ac:dyDescent="0.3">
      <c r="A46" s="39"/>
      <c r="B46" s="25"/>
      <c r="C46" s="40"/>
      <c r="D46" s="8">
        <v>202.256</v>
      </c>
      <c r="E46" s="57">
        <v>5.1550000000000002</v>
      </c>
      <c r="F46" s="117" t="s">
        <v>2967</v>
      </c>
      <c r="G46" s="46"/>
      <c r="H46" s="57">
        <v>381</v>
      </c>
      <c r="I46" s="68">
        <f>H46-$H$1</f>
        <v>107.85000000000002</v>
      </c>
      <c r="J46" s="62" t="s">
        <v>2314</v>
      </c>
      <c r="K46" s="124"/>
      <c r="L46" s="282"/>
      <c r="M46" s="276"/>
      <c r="N46" s="276"/>
      <c r="O46" s="276"/>
      <c r="P46" s="276"/>
      <c r="Q46" s="278"/>
      <c r="R46" s="274"/>
      <c r="S46" s="41"/>
      <c r="T46" s="125"/>
      <c r="U46" s="329"/>
      <c r="V46" s="329"/>
      <c r="W46" s="329"/>
      <c r="X46" s="329"/>
      <c r="Y46" s="333"/>
      <c r="Z46" s="40"/>
      <c r="AA46" s="41"/>
      <c r="AB46" s="27"/>
      <c r="AF46" s="99"/>
    </row>
    <row r="47" spans="1:32" x14ac:dyDescent="0.3">
      <c r="A47" s="39"/>
      <c r="B47" s="25"/>
      <c r="C47" s="40"/>
      <c r="D47" s="8">
        <v>202.256</v>
      </c>
      <c r="E47" s="57">
        <v>5.09</v>
      </c>
      <c r="F47" s="117" t="s">
        <v>3237</v>
      </c>
      <c r="G47" s="46"/>
      <c r="H47" s="57"/>
      <c r="I47" s="50"/>
      <c r="J47" s="24"/>
      <c r="K47" s="124"/>
      <c r="L47" s="282"/>
      <c r="M47" s="276"/>
      <c r="N47" s="276"/>
      <c r="O47" s="276"/>
      <c r="P47" s="276"/>
      <c r="Q47" s="278"/>
      <c r="R47" s="274"/>
      <c r="S47" s="41"/>
      <c r="T47" s="125"/>
      <c r="U47" s="329"/>
      <c r="V47" s="329"/>
      <c r="W47" s="329"/>
      <c r="X47" s="329"/>
      <c r="Y47" s="333"/>
      <c r="Z47" s="40"/>
      <c r="AA47" s="41"/>
      <c r="AB47" s="27"/>
    </row>
    <row r="48" spans="1:32" ht="36" x14ac:dyDescent="0.3">
      <c r="A48" s="39"/>
      <c r="B48" s="25"/>
      <c r="C48" s="40"/>
      <c r="D48" s="8">
        <v>202.256</v>
      </c>
      <c r="E48" s="57">
        <f>AVERAGE(E44:E47)</f>
        <v>5.1557500000000003</v>
      </c>
      <c r="F48" s="414" t="s">
        <v>3236</v>
      </c>
      <c r="G48" s="46"/>
      <c r="H48" s="57"/>
      <c r="I48" s="15"/>
      <c r="J48" s="24"/>
      <c r="K48" s="124"/>
      <c r="L48" s="282"/>
      <c r="M48" s="276"/>
      <c r="N48" s="276"/>
      <c r="O48" s="276"/>
      <c r="P48" s="276"/>
      <c r="Q48" s="278"/>
      <c r="R48" s="274"/>
      <c r="S48" s="41"/>
      <c r="T48" s="125"/>
      <c r="U48" s="329"/>
      <c r="V48" s="329"/>
      <c r="W48" s="329"/>
      <c r="X48" s="329"/>
      <c r="Y48" s="333"/>
      <c r="Z48" s="40"/>
      <c r="AA48" s="41"/>
      <c r="AB48" s="27"/>
    </row>
    <row r="49" spans="1:28" x14ac:dyDescent="0.3">
      <c r="A49" s="39"/>
      <c r="B49" s="25"/>
      <c r="C49" s="40"/>
      <c r="D49" s="8">
        <v>202.256</v>
      </c>
      <c r="E49" s="57"/>
      <c r="F49" s="117"/>
      <c r="G49" s="46"/>
      <c r="H49" s="57"/>
      <c r="I49" s="15"/>
      <c r="J49" s="24"/>
      <c r="K49" s="124"/>
      <c r="L49" s="282"/>
      <c r="M49" s="276"/>
      <c r="N49" s="276"/>
      <c r="O49" s="276"/>
      <c r="P49" s="276"/>
      <c r="Q49" s="278"/>
      <c r="R49" s="274"/>
      <c r="S49" s="41"/>
      <c r="T49" s="125"/>
      <c r="U49" s="329"/>
      <c r="V49" s="329"/>
      <c r="W49" s="329"/>
      <c r="X49" s="329"/>
      <c r="Y49" s="333"/>
      <c r="Z49" s="40"/>
      <c r="AA49" s="41"/>
      <c r="AB49" s="27"/>
    </row>
    <row r="50" spans="1:28" x14ac:dyDescent="0.3">
      <c r="A50" s="79"/>
      <c r="B50" s="80" t="s">
        <v>2934</v>
      </c>
      <c r="C50" s="80" t="s">
        <v>2935</v>
      </c>
      <c r="D50" s="249">
        <v>276.33800000000002</v>
      </c>
      <c r="E50" s="310" t="s">
        <v>2312</v>
      </c>
      <c r="F50" s="305"/>
      <c r="G50" s="82"/>
      <c r="H50" s="293"/>
      <c r="I50" s="128">
        <v>163.6</v>
      </c>
      <c r="J50" s="84" t="s">
        <v>2309</v>
      </c>
      <c r="K50" s="308">
        <f>I53</f>
        <v>163.20000000000005</v>
      </c>
      <c r="L50" s="309"/>
      <c r="M50" s="295">
        <v>6.4399999999999994E-8</v>
      </c>
      <c r="N50" s="296"/>
      <c r="O50" s="296"/>
      <c r="P50" s="296"/>
      <c r="Q50" s="306">
        <f>$N$1*M50</f>
        <v>4.830397179408076E-10</v>
      </c>
      <c r="R50" s="307" t="s">
        <v>3074</v>
      </c>
      <c r="S50" s="297">
        <f>Q50</f>
        <v>4.830397179408076E-10</v>
      </c>
      <c r="T50" s="342"/>
      <c r="U50" s="343"/>
      <c r="V50" s="343"/>
      <c r="W50" s="343"/>
      <c r="X50" s="343"/>
      <c r="Y50" s="80">
        <v>1.9000000000000001E-4</v>
      </c>
      <c r="Z50" s="84" t="s">
        <v>2309</v>
      </c>
      <c r="AA50" s="251"/>
    </row>
    <row r="51" spans="1:28" x14ac:dyDescent="0.3">
      <c r="A51" s="39"/>
      <c r="B51" s="25"/>
      <c r="C51" s="25"/>
      <c r="D51" s="8">
        <v>276.33800000000002</v>
      </c>
      <c r="E51" s="57"/>
      <c r="F51" s="117"/>
      <c r="G51" s="46"/>
      <c r="H51" s="57"/>
      <c r="I51" s="15">
        <v>163.6</v>
      </c>
      <c r="J51" s="67" t="s">
        <v>3005</v>
      </c>
      <c r="K51" s="124"/>
      <c r="L51" s="282"/>
      <c r="M51" s="275"/>
      <c r="N51" s="276"/>
      <c r="O51" s="276"/>
      <c r="P51" s="276"/>
      <c r="Q51" s="292"/>
      <c r="R51" s="291"/>
      <c r="S51" s="281"/>
      <c r="T51" s="346"/>
      <c r="U51" s="347"/>
      <c r="V51" s="347"/>
      <c r="W51" s="347"/>
      <c r="X51" s="347"/>
      <c r="Y51" s="340">
        <v>1.9000000000000001E-4</v>
      </c>
      <c r="Z51" s="67" t="s">
        <v>3005</v>
      </c>
      <c r="AA51" s="41"/>
    </row>
    <row r="52" spans="1:28" x14ac:dyDescent="0.3">
      <c r="A52" s="39"/>
      <c r="B52" s="25"/>
      <c r="C52" s="25"/>
      <c r="D52" s="8">
        <v>276.33800000000002</v>
      </c>
      <c r="E52" s="57"/>
      <c r="F52" s="117"/>
      <c r="G52" s="46"/>
      <c r="H52" s="57"/>
      <c r="I52" s="15">
        <v>163.6</v>
      </c>
      <c r="J52" s="24" t="s">
        <v>3027</v>
      </c>
      <c r="K52" s="124"/>
      <c r="L52" s="282"/>
      <c r="M52" s="276"/>
      <c r="N52" s="276"/>
      <c r="O52" s="276"/>
      <c r="P52" s="276"/>
      <c r="Q52" s="278"/>
      <c r="R52" s="274"/>
      <c r="S52" s="41"/>
      <c r="T52" s="125"/>
      <c r="U52" s="329"/>
      <c r="V52" s="329"/>
      <c r="W52" s="329"/>
      <c r="X52" s="329"/>
      <c r="Y52" s="333"/>
      <c r="Z52" s="40"/>
      <c r="AA52" s="41"/>
    </row>
    <row r="53" spans="1:28" x14ac:dyDescent="0.3">
      <c r="A53" s="39"/>
      <c r="B53" s="25"/>
      <c r="C53" s="25"/>
      <c r="D53" s="8">
        <v>276.33800000000002</v>
      </c>
      <c r="E53" s="57"/>
      <c r="F53" s="117"/>
      <c r="G53" s="46"/>
      <c r="H53" s="57">
        <f>AVERAGE(435,437.7)</f>
        <v>436.35</v>
      </c>
      <c r="I53" s="68">
        <f>H53-$H$1</f>
        <v>163.20000000000005</v>
      </c>
      <c r="J53" s="62" t="s">
        <v>2314</v>
      </c>
      <c r="K53" s="124"/>
      <c r="L53" s="282"/>
      <c r="M53" s="276"/>
      <c r="N53" s="276"/>
      <c r="O53" s="276"/>
      <c r="P53" s="276"/>
      <c r="Q53" s="278"/>
      <c r="R53" s="274"/>
      <c r="S53" s="41"/>
      <c r="T53" s="125"/>
      <c r="U53" s="329"/>
      <c r="V53" s="329"/>
      <c r="W53" s="329"/>
      <c r="X53" s="329"/>
      <c r="Y53" s="333"/>
      <c r="Z53" s="40"/>
      <c r="AA53" s="41"/>
    </row>
    <row r="54" spans="1:28" x14ac:dyDescent="0.3">
      <c r="A54" s="79"/>
      <c r="B54" s="80" t="s">
        <v>2936</v>
      </c>
      <c r="C54" s="80" t="s">
        <v>2937</v>
      </c>
      <c r="D54" s="249">
        <v>268.35899999999998</v>
      </c>
      <c r="E54" s="293">
        <v>6.42</v>
      </c>
      <c r="F54" s="305" t="s">
        <v>2889</v>
      </c>
      <c r="G54" s="251" t="s">
        <v>2312</v>
      </c>
      <c r="H54" s="293"/>
      <c r="I54" s="128">
        <v>180</v>
      </c>
      <c r="J54" s="84" t="s">
        <v>2309</v>
      </c>
      <c r="K54" s="301">
        <f>I56</f>
        <v>169.25</v>
      </c>
      <c r="L54" s="302">
        <v>25</v>
      </c>
      <c r="M54" s="295"/>
      <c r="N54" s="295"/>
      <c r="O54" s="298"/>
      <c r="P54" s="298"/>
      <c r="Q54" s="295">
        <v>4.3000000000000001E-8</v>
      </c>
      <c r="R54" s="84" t="s">
        <v>2309</v>
      </c>
      <c r="S54" s="297"/>
      <c r="T54" s="337"/>
      <c r="U54" s="341"/>
      <c r="V54" s="341"/>
      <c r="W54" s="341"/>
      <c r="X54" s="341"/>
      <c r="Y54" s="294">
        <v>2.8999999999999998E-3</v>
      </c>
      <c r="Z54" s="84" t="s">
        <v>2309</v>
      </c>
      <c r="AA54" s="339">
        <f>Y56</f>
        <v>2.8999999999999998E-3</v>
      </c>
    </row>
    <row r="55" spans="1:28" x14ac:dyDescent="0.3">
      <c r="A55" s="39"/>
      <c r="B55" s="25"/>
      <c r="C55" s="25"/>
      <c r="D55" s="8">
        <v>268.35899999999998</v>
      </c>
      <c r="E55" s="57"/>
      <c r="F55" s="117"/>
      <c r="G55" s="46"/>
      <c r="H55" s="57"/>
      <c r="I55" s="15">
        <v>180</v>
      </c>
      <c r="J55" s="67" t="s">
        <v>3005</v>
      </c>
      <c r="K55" s="41"/>
      <c r="L55" s="279">
        <v>25</v>
      </c>
      <c r="M55" s="271"/>
      <c r="N55" s="271"/>
      <c r="O55" s="271"/>
      <c r="P55" s="271"/>
      <c r="Q55" s="292">
        <v>4.3000000000000001E-8</v>
      </c>
      <c r="R55" s="67" t="s">
        <v>3005</v>
      </c>
      <c r="S55" s="41"/>
      <c r="T55" s="327"/>
      <c r="U55" s="328"/>
      <c r="V55" s="328"/>
      <c r="W55" s="328"/>
      <c r="X55" s="328"/>
      <c r="Y55" s="25">
        <v>2.8999999999999998E-3</v>
      </c>
      <c r="Z55" s="67" t="s">
        <v>3005</v>
      </c>
      <c r="AA55" s="37"/>
    </row>
    <row r="56" spans="1:28" x14ac:dyDescent="0.3">
      <c r="A56" s="39"/>
      <c r="B56" s="25"/>
      <c r="C56" s="25"/>
      <c r="D56" s="8">
        <v>268.35899999999998</v>
      </c>
      <c r="E56" s="57"/>
      <c r="F56" s="117"/>
      <c r="G56" s="46"/>
      <c r="H56" s="57">
        <v>442.4</v>
      </c>
      <c r="I56" s="68">
        <f>H56-$H$1</f>
        <v>169.25</v>
      </c>
      <c r="J56" s="62" t="s">
        <v>2314</v>
      </c>
      <c r="K56" s="41"/>
      <c r="L56" s="279"/>
      <c r="M56" s="275"/>
      <c r="N56" s="271"/>
      <c r="O56" s="271"/>
      <c r="P56" s="271"/>
      <c r="Q56" s="292"/>
      <c r="R56" s="274"/>
      <c r="S56" s="41"/>
      <c r="T56" s="125"/>
      <c r="U56" s="329"/>
      <c r="V56" s="329"/>
      <c r="W56" s="329"/>
      <c r="X56" s="329"/>
      <c r="Y56" s="348">
        <v>2.8999999999999998E-3</v>
      </c>
      <c r="Z56" s="121" t="s">
        <v>3025</v>
      </c>
      <c r="AA56" s="41"/>
      <c r="AB56" s="27"/>
    </row>
    <row r="57" spans="1:28" x14ac:dyDescent="0.3">
      <c r="A57" s="79"/>
      <c r="B57" s="80" t="s">
        <v>2958</v>
      </c>
      <c r="C57" s="80" t="s">
        <v>2959</v>
      </c>
      <c r="D57" s="249">
        <v>178.23400000000001</v>
      </c>
      <c r="E57" s="293">
        <v>4.46</v>
      </c>
      <c r="F57" s="305" t="s">
        <v>2889</v>
      </c>
      <c r="G57" s="82">
        <f>E62</f>
        <v>4.5114999999999998</v>
      </c>
      <c r="H57" s="293"/>
      <c r="I57" s="80">
        <v>99.2</v>
      </c>
      <c r="J57" s="84" t="s">
        <v>2309</v>
      </c>
      <c r="K57" s="301">
        <f>I62</f>
        <v>98.850000000000023</v>
      </c>
      <c r="L57" s="302">
        <v>25</v>
      </c>
      <c r="M57" s="295"/>
      <c r="N57" s="298"/>
      <c r="O57" s="298"/>
      <c r="P57" s="298"/>
      <c r="Q57" s="311">
        <v>1.21E-4</v>
      </c>
      <c r="R57" s="84" t="s">
        <v>3005</v>
      </c>
      <c r="S57" s="297">
        <f>Q58</f>
        <v>1.2075992948520191E-4</v>
      </c>
      <c r="T57" s="337"/>
      <c r="U57" s="321"/>
      <c r="V57" s="321"/>
      <c r="W57" s="321"/>
      <c r="X57" s="321"/>
      <c r="Y57" s="294">
        <v>1.1499999999999999</v>
      </c>
      <c r="Z57" s="84" t="s">
        <v>2309</v>
      </c>
      <c r="AA57" s="339">
        <f>Y59</f>
        <v>0.82299999999999995</v>
      </c>
    </row>
    <row r="58" spans="1:28" x14ac:dyDescent="0.3">
      <c r="A58" s="39"/>
      <c r="B58" s="25"/>
      <c r="C58" s="25"/>
      <c r="D58" s="8">
        <v>178.23400000000001</v>
      </c>
      <c r="E58" s="57">
        <v>4.3739999999999997</v>
      </c>
      <c r="F58" s="117" t="s">
        <v>2970</v>
      </c>
      <c r="G58" s="46"/>
      <c r="H58" s="57"/>
      <c r="I58" s="25">
        <v>99.2</v>
      </c>
      <c r="J58" s="67" t="s">
        <v>3005</v>
      </c>
      <c r="K58" s="41"/>
      <c r="L58" s="279"/>
      <c r="M58" s="271">
        <v>1.61E-2</v>
      </c>
      <c r="N58" s="271"/>
      <c r="O58" s="271"/>
      <c r="P58" s="271"/>
      <c r="Q58" s="284">
        <f>$N$1*M58</f>
        <v>1.2075992948520191E-4</v>
      </c>
      <c r="R58" s="283" t="s">
        <v>3076</v>
      </c>
      <c r="S58" s="277"/>
      <c r="T58" s="327"/>
      <c r="U58" s="328"/>
      <c r="V58" s="328"/>
      <c r="W58" s="328"/>
      <c r="X58" s="328"/>
      <c r="Y58" s="25">
        <v>1.1499999999999999</v>
      </c>
      <c r="Z58" s="67" t="s">
        <v>3005</v>
      </c>
      <c r="AA58" s="37"/>
    </row>
    <row r="59" spans="1:28" x14ac:dyDescent="0.3">
      <c r="A59" s="39"/>
      <c r="B59" s="25"/>
      <c r="C59" s="25"/>
      <c r="D59" s="8">
        <v>178.23400000000001</v>
      </c>
      <c r="E59" s="57">
        <v>4.5620000000000003</v>
      </c>
      <c r="F59" s="117" t="s">
        <v>2969</v>
      </c>
      <c r="G59" s="46"/>
      <c r="H59" s="57"/>
      <c r="I59" s="15">
        <v>99.35</v>
      </c>
      <c r="J59" s="24" t="s">
        <v>3027</v>
      </c>
      <c r="K59" s="41"/>
      <c r="L59" s="279"/>
      <c r="M59" s="271"/>
      <c r="N59" s="271"/>
      <c r="O59" s="271"/>
      <c r="P59" s="271"/>
      <c r="Q59" s="292"/>
      <c r="R59" s="283"/>
      <c r="S59" s="41"/>
      <c r="T59" s="125">
        <v>823</v>
      </c>
      <c r="U59" s="313" t="s">
        <v>3026</v>
      </c>
      <c r="V59" s="329"/>
      <c r="W59" s="329"/>
      <c r="X59" s="329"/>
      <c r="Y59" s="324">
        <f>T59/1000</f>
        <v>0.82299999999999995</v>
      </c>
      <c r="Z59" s="121" t="s">
        <v>2968</v>
      </c>
      <c r="AA59" s="41"/>
      <c r="AB59" s="27"/>
    </row>
    <row r="60" spans="1:28" x14ac:dyDescent="0.3">
      <c r="A60" s="39"/>
      <c r="B60" s="25"/>
      <c r="C60" s="25"/>
      <c r="D60" s="8">
        <v>178.23400000000001</v>
      </c>
      <c r="E60" s="57">
        <v>4.57</v>
      </c>
      <c r="F60" s="117" t="s">
        <v>2967</v>
      </c>
      <c r="G60" s="46"/>
      <c r="H60" s="57"/>
      <c r="I60" s="15"/>
      <c r="J60" s="24"/>
      <c r="K60" s="41"/>
      <c r="L60" s="279"/>
      <c r="M60" s="271"/>
      <c r="N60" s="271"/>
      <c r="O60" s="271"/>
      <c r="P60" s="271"/>
      <c r="Q60" s="292"/>
      <c r="R60" s="283"/>
      <c r="S60" s="41"/>
      <c r="T60" s="125"/>
      <c r="U60" s="313"/>
      <c r="V60" s="329"/>
      <c r="W60" s="329"/>
      <c r="X60" s="329"/>
      <c r="Y60" s="324"/>
      <c r="Z60" s="121"/>
      <c r="AA60" s="41"/>
      <c r="AB60" s="27"/>
    </row>
    <row r="61" spans="1:28" x14ac:dyDescent="0.3">
      <c r="A61" s="39"/>
      <c r="B61" s="25"/>
      <c r="C61" s="25"/>
      <c r="D61" s="8">
        <v>178.23400000000001</v>
      </c>
      <c r="E61" s="57">
        <v>4.54</v>
      </c>
      <c r="F61" s="117" t="s">
        <v>3237</v>
      </c>
      <c r="G61" s="46"/>
      <c r="H61" s="57"/>
      <c r="I61" s="15"/>
      <c r="J61" s="24"/>
      <c r="K61" s="41"/>
      <c r="L61" s="279"/>
      <c r="M61" s="271"/>
      <c r="N61" s="271"/>
      <c r="O61" s="271"/>
      <c r="P61" s="271"/>
      <c r="Q61" s="292"/>
      <c r="R61" s="283"/>
      <c r="S61" s="41"/>
      <c r="T61" s="125"/>
      <c r="U61" s="313"/>
      <c r="V61" s="329"/>
      <c r="W61" s="329"/>
      <c r="X61" s="329"/>
      <c r="Y61" s="324"/>
      <c r="Z61" s="121"/>
      <c r="AA61" s="41"/>
      <c r="AB61" s="27"/>
    </row>
    <row r="62" spans="1:28" ht="36" x14ac:dyDescent="0.3">
      <c r="A62" s="39"/>
      <c r="B62" s="25"/>
      <c r="C62" s="25"/>
      <c r="D62" s="8">
        <v>178.23400000000001</v>
      </c>
      <c r="E62" s="57">
        <f>AVERAGE(E58:E61)</f>
        <v>4.5114999999999998</v>
      </c>
      <c r="F62" s="414" t="s">
        <v>3238</v>
      </c>
      <c r="G62" s="46"/>
      <c r="H62" s="57">
        <v>372</v>
      </c>
      <c r="I62" s="68">
        <f>H62-$H$1</f>
        <v>98.850000000000023</v>
      </c>
      <c r="J62" s="62" t="s">
        <v>2314</v>
      </c>
      <c r="K62" s="41"/>
      <c r="L62" s="279"/>
      <c r="M62" s="271"/>
      <c r="N62" s="271"/>
      <c r="O62" s="271"/>
      <c r="P62" s="271"/>
      <c r="Q62" s="274"/>
      <c r="R62" s="274"/>
      <c r="S62" s="41"/>
      <c r="T62" s="125"/>
      <c r="U62" s="329"/>
      <c r="V62" s="329"/>
      <c r="W62" s="329"/>
      <c r="X62" s="329"/>
      <c r="Y62" s="340"/>
      <c r="Z62" s="40"/>
      <c r="AA62" s="41"/>
      <c r="AB62" s="27"/>
    </row>
    <row r="63" spans="1:28" x14ac:dyDescent="0.3">
      <c r="A63" s="79"/>
      <c r="B63" s="80" t="s">
        <v>2938</v>
      </c>
      <c r="C63" s="80" t="s">
        <v>2939</v>
      </c>
      <c r="D63" s="249">
        <v>202.256</v>
      </c>
      <c r="E63" s="293">
        <v>4.88</v>
      </c>
      <c r="F63" s="305" t="s">
        <v>2889</v>
      </c>
      <c r="G63" s="82"/>
      <c r="H63" s="293"/>
      <c r="I63" s="128">
        <v>151.19999999999999</v>
      </c>
      <c r="J63" s="84" t="s">
        <v>2309</v>
      </c>
      <c r="K63" s="301">
        <f>I66</f>
        <v>150.85000000000002</v>
      </c>
      <c r="L63" s="302">
        <v>25</v>
      </c>
      <c r="M63" s="295"/>
      <c r="N63" s="298"/>
      <c r="O63" s="298"/>
      <c r="P63" s="298"/>
      <c r="Q63" s="289">
        <v>4.5000000000000001E-6</v>
      </c>
      <c r="R63" s="84" t="s">
        <v>2309</v>
      </c>
      <c r="S63" s="297">
        <f>Q65</f>
        <v>4.5003700429267791E-6</v>
      </c>
      <c r="T63" s="337"/>
      <c r="U63" s="341"/>
      <c r="V63" s="341"/>
      <c r="W63" s="341"/>
      <c r="X63" s="341"/>
      <c r="Y63" s="294">
        <v>0.13500000000000001</v>
      </c>
      <c r="Z63" s="84" t="s">
        <v>2309</v>
      </c>
      <c r="AA63" s="339">
        <f>Y65</f>
        <v>0.13500000000000001</v>
      </c>
    </row>
    <row r="64" spans="1:28" x14ac:dyDescent="0.3">
      <c r="A64" s="39"/>
      <c r="B64" s="25"/>
      <c r="C64" s="25"/>
      <c r="D64" s="8">
        <v>202.256</v>
      </c>
      <c r="E64" s="57"/>
      <c r="F64" s="117"/>
      <c r="G64" s="46"/>
      <c r="H64" s="57"/>
      <c r="I64" s="15">
        <v>151.19999999999999</v>
      </c>
      <c r="J64" s="67" t="s">
        <v>3005</v>
      </c>
      <c r="K64" s="41"/>
      <c r="L64" s="279">
        <v>25</v>
      </c>
      <c r="M64" s="271"/>
      <c r="N64" s="271"/>
      <c r="O64" s="271"/>
      <c r="P64" s="271"/>
      <c r="Q64" s="292">
        <v>4.5000000000000001E-6</v>
      </c>
      <c r="R64" s="67" t="s">
        <v>3005</v>
      </c>
      <c r="S64" s="41"/>
      <c r="T64" s="327"/>
      <c r="U64" s="328"/>
      <c r="V64" s="328"/>
      <c r="W64" s="328"/>
      <c r="X64" s="328"/>
      <c r="Y64" s="25">
        <v>0.13500000000000001</v>
      </c>
      <c r="Z64" s="67" t="s">
        <v>3005</v>
      </c>
      <c r="AA64" s="37"/>
    </row>
    <row r="65" spans="1:28" x14ac:dyDescent="0.3">
      <c r="A65" s="39"/>
      <c r="B65" s="25"/>
      <c r="C65" s="25"/>
      <c r="D65" s="8">
        <v>202.256</v>
      </c>
      <c r="E65" s="57"/>
      <c r="F65" s="117"/>
      <c r="G65" s="46"/>
      <c r="H65" s="57"/>
      <c r="I65" s="15">
        <v>152.91</v>
      </c>
      <c r="J65" s="24" t="s">
        <v>3027</v>
      </c>
      <c r="K65" s="41"/>
      <c r="L65" s="279"/>
      <c r="M65" s="275">
        <v>5.9999999999999995E-4</v>
      </c>
      <c r="N65" s="271"/>
      <c r="O65" s="271"/>
      <c r="P65" s="271"/>
      <c r="Q65" s="284">
        <f>$N$1*M65</f>
        <v>4.5003700429267791E-6</v>
      </c>
      <c r="R65" s="283" t="s">
        <v>3076</v>
      </c>
      <c r="S65" s="41"/>
      <c r="T65" s="125"/>
      <c r="U65" s="329"/>
      <c r="V65" s="329"/>
      <c r="W65" s="329"/>
      <c r="X65" s="329"/>
      <c r="Y65" s="58">
        <v>0.13500000000000001</v>
      </c>
      <c r="Z65" s="121" t="s">
        <v>3025</v>
      </c>
      <c r="AA65" s="41"/>
      <c r="AB65" s="27"/>
    </row>
    <row r="66" spans="1:28" x14ac:dyDescent="0.3">
      <c r="A66" s="39"/>
      <c r="B66" s="25"/>
      <c r="C66" s="25"/>
      <c r="D66" s="8">
        <v>202.256</v>
      </c>
      <c r="E66" s="57"/>
      <c r="F66" s="117"/>
      <c r="G66" s="46"/>
      <c r="H66" s="57">
        <v>424</v>
      </c>
      <c r="I66" s="68">
        <f>H66-$H$1</f>
        <v>150.85000000000002</v>
      </c>
      <c r="J66" s="62" t="s">
        <v>2314</v>
      </c>
      <c r="K66" s="41"/>
      <c r="L66" s="279"/>
      <c r="M66" s="271"/>
      <c r="N66" s="271"/>
      <c r="O66" s="271"/>
      <c r="P66" s="271"/>
      <c r="Q66" s="273"/>
      <c r="R66" s="274"/>
      <c r="S66" s="41"/>
      <c r="T66" s="125"/>
      <c r="U66" s="329"/>
      <c r="V66" s="329"/>
      <c r="W66" s="329"/>
      <c r="X66" s="329"/>
      <c r="Y66" s="333"/>
      <c r="Z66" s="40"/>
      <c r="AA66" s="41"/>
      <c r="AB66" s="27"/>
    </row>
    <row r="67" spans="1:28" x14ac:dyDescent="0.3">
      <c r="E67" s="27"/>
      <c r="M67" s="111"/>
      <c r="N67" s="111"/>
      <c r="O67" s="111"/>
      <c r="P67" s="111"/>
      <c r="Q67" s="112"/>
      <c r="R67" s="112"/>
    </row>
    <row r="68" spans="1:28" ht="14.4" customHeight="1" x14ac:dyDescent="0.3">
      <c r="E68" s="109"/>
      <c r="F68" s="109"/>
      <c r="G68" s="109"/>
      <c r="H68" s="104"/>
      <c r="L68" s="106" t="s">
        <v>3077</v>
      </c>
      <c r="M68" s="108" t="s">
        <v>3079</v>
      </c>
    </row>
    <row r="69" spans="1:28" x14ac:dyDescent="0.3">
      <c r="E69" s="27"/>
      <c r="M69" s="108" t="s">
        <v>3078</v>
      </c>
    </row>
  </sheetData>
  <mergeCells count="4">
    <mergeCell ref="H2:K2"/>
    <mergeCell ref="E2:G2"/>
    <mergeCell ref="L2:S2"/>
    <mergeCell ref="T2:AA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/>
  </sheetViews>
  <sheetFormatPr defaultRowHeight="14.4" x14ac:dyDescent="0.3"/>
  <cols>
    <col min="1" max="1" width="6.88671875" bestFit="1" customWidth="1"/>
    <col min="2" max="2" width="36" bestFit="1" customWidth="1"/>
    <col min="3" max="3" width="10.6640625" customWidth="1"/>
    <col min="4" max="7" width="9.6640625" customWidth="1"/>
  </cols>
  <sheetData>
    <row r="1" spans="1:7" x14ac:dyDescent="0.3">
      <c r="A1" s="9" t="s">
        <v>3113</v>
      </c>
    </row>
    <row r="2" spans="1:7" ht="15" thickBot="1" x14ac:dyDescent="0.35"/>
    <row r="3" spans="1:7" ht="28.8" x14ac:dyDescent="0.3">
      <c r="A3" s="397"/>
      <c r="B3" s="398" t="s">
        <v>420</v>
      </c>
      <c r="C3" s="399" t="s">
        <v>421</v>
      </c>
      <c r="D3" s="399" t="s">
        <v>3013</v>
      </c>
      <c r="E3" s="400" t="s">
        <v>3007</v>
      </c>
      <c r="F3" s="400" t="s">
        <v>3111</v>
      </c>
      <c r="G3" s="401" t="s">
        <v>3112</v>
      </c>
    </row>
    <row r="4" spans="1:7" ht="15" thickBot="1" x14ac:dyDescent="0.35">
      <c r="A4" s="42"/>
      <c r="B4" s="174"/>
      <c r="C4" s="402"/>
      <c r="D4" s="402"/>
      <c r="E4" s="29" t="s">
        <v>3000</v>
      </c>
      <c r="F4" s="29" t="s">
        <v>3105</v>
      </c>
      <c r="G4" s="38" t="s">
        <v>3001</v>
      </c>
    </row>
    <row r="5" spans="1:7" x14ac:dyDescent="0.3">
      <c r="A5" s="397"/>
      <c r="B5" s="403" t="s">
        <v>0</v>
      </c>
      <c r="C5" s="404" t="s">
        <v>1</v>
      </c>
      <c r="D5" s="405">
        <f>IF(ISNUMBER(INDEX(PCBs!$G$4:$G$475,MATCH($B5,PCBs!$B$4:$B$475,0))),INDEX(PCBs!$G$4:$G$475,MATCH($B5,PCBs!$B$4:$B$475,0)),"---")</f>
        <v>4.008</v>
      </c>
      <c r="E5" s="405">
        <f>IF(ISNUMBER(INDEX(PCBs!$K$4:$K$475,MATCH($B5,PCBs!$B$4:$B$475,0))),INDEX(PCBs!$K$4:$K$475,MATCH($B5,PCBs!$B$4:$B$475,0)),"---")</f>
        <v>69.850000000000023</v>
      </c>
      <c r="F5" s="405" t="str">
        <f>IF(ISNUMBER(INDEX(PCBs!$S$4:$S$475,MATCH($B5,PCBs!$B$4:$B$475,0))),INDEX(PCBs!$S$4:$S$475,MATCH($B5,PCBs!$B$4:$B$475,0)),"---")</f>
        <v>---</v>
      </c>
      <c r="G5" s="406" t="str">
        <f>IF(ISNUMBER(INDEX(PCBs!$AA$4:$AA$475,MATCH($B5,PCBs!$B$4:$B$475,0))),INDEX(PCBs!$AA$4:$AA$475,MATCH($B5,PCBs!$B$4:$B$475,0)),"---")</f>
        <v>---</v>
      </c>
    </row>
    <row r="6" spans="1:7" x14ac:dyDescent="0.3">
      <c r="A6" s="39" t="s">
        <v>2317</v>
      </c>
      <c r="B6" s="25" t="s">
        <v>2</v>
      </c>
      <c r="C6" s="45" t="s">
        <v>3</v>
      </c>
      <c r="D6" s="15">
        <f>IF(ISNUMBER(INDEX(PCBs!$G$4:$G$475,MATCH($B6,PCBs!$B$4:$B$475,0))),INDEX(PCBs!$G$4:$G$475,MATCH($B6,PCBs!$B$4:$B$475,0)),"---")</f>
        <v>4.6304999999999996</v>
      </c>
      <c r="E6" s="15">
        <f>IF(ISNUMBER(INDEX(PCBs!$K$4:$K$475,MATCH($B6,PCBs!$B$4:$B$475,0))),INDEX(PCBs!$K$4:$K$475,MATCH($B6,PCBs!$B$4:$B$475,0)),"---")</f>
        <v>32.150000000000034</v>
      </c>
      <c r="F6" s="15" t="str">
        <f>IF(ISNUMBER(INDEX(PCBs!$S$4:$S$475,MATCH($B6,PCBs!$B$4:$B$475,0))),INDEX(PCBs!$S$4:$S$475,MATCH($B6,PCBs!$B$4:$B$475,0)),"---")</f>
        <v>---</v>
      </c>
      <c r="G6" s="37" t="str">
        <f>IF(ISNUMBER(INDEX(PCBs!$AA$4:$AA$475,MATCH($B6,PCBs!$B$4:$B$475,0))),INDEX(PCBs!$AA$4:$AA$475,MATCH($B6,PCBs!$B$4:$B$475,0)),"---")</f>
        <v>---</v>
      </c>
    </row>
    <row r="7" spans="1:7" x14ac:dyDescent="0.3">
      <c r="A7" s="39" t="s">
        <v>2318</v>
      </c>
      <c r="B7" s="25" t="s">
        <v>4</v>
      </c>
      <c r="C7" s="45" t="s">
        <v>5</v>
      </c>
      <c r="D7" s="15" t="str">
        <f>IF(ISNUMBER(INDEX(PCBs!$G$4:$G$475,MATCH($B7,PCBs!$B$4:$B$475,0))),INDEX(PCBs!$G$4:$G$475,MATCH($B7,PCBs!$B$4:$B$475,0)),"---")</f>
        <v>---</v>
      </c>
      <c r="E7" s="15">
        <f>IF(ISNUMBER(INDEX(PCBs!$K$4:$K$475,MATCH($B7,PCBs!$B$4:$B$475,0))),INDEX(PCBs!$K$4:$K$475,MATCH($B7,PCBs!$B$4:$B$475,0)),"---")</f>
        <v>17</v>
      </c>
      <c r="F7" s="15" t="str">
        <f>IF(ISNUMBER(INDEX(PCBs!$S$4:$S$475,MATCH($B7,PCBs!$B$4:$B$475,0))),INDEX(PCBs!$S$4:$S$475,MATCH($B7,PCBs!$B$4:$B$475,0)),"---")</f>
        <v>---</v>
      </c>
      <c r="G7" s="37" t="str">
        <f>IF(ISNUMBER(INDEX(PCBs!$AA$4:$AA$475,MATCH($B7,PCBs!$B$4:$B$475,0))),INDEX(PCBs!$AA$4:$AA$475,MATCH($B7,PCBs!$B$4:$B$475,0)),"---")</f>
        <v>---</v>
      </c>
    </row>
    <row r="8" spans="1:7" x14ac:dyDescent="0.3">
      <c r="A8" s="39" t="s">
        <v>2319</v>
      </c>
      <c r="B8" s="25" t="s">
        <v>6</v>
      </c>
      <c r="C8" s="45" t="s">
        <v>7</v>
      </c>
      <c r="D8" s="15" t="str">
        <f>IF(ISNUMBER(INDEX(PCBs!$G$4:$G$475,MATCH($B8,PCBs!$B$4:$B$475,0))),INDEX(PCBs!$G$4:$G$475,MATCH($B8,PCBs!$B$4:$B$475,0)),"---")</f>
        <v>---</v>
      </c>
      <c r="E8" s="15">
        <f>IF(ISNUMBER(INDEX(PCBs!$K$4:$K$475,MATCH($B8,PCBs!$B$4:$B$475,0))),INDEX(PCBs!$K$4:$K$475,MATCH($B8,PCBs!$B$4:$B$475,0)),"---")</f>
        <v>78.400000000000006</v>
      </c>
      <c r="F8" s="15">
        <f>IF(ISNUMBER(INDEX(PCBs!$S$4:$S$475,MATCH($B8,PCBs!$B$4:$B$475,0))),INDEX(PCBs!$S$4:$S$475,MATCH($B8,PCBs!$B$4:$B$475,0)),"---")</f>
        <v>1.5463782638490727E-3</v>
      </c>
      <c r="G8" s="37">
        <f>IF(ISNUMBER(INDEX(PCBs!$AA$4:$AA$475,MATCH($B8,PCBs!$B$4:$B$475,0))),INDEX(PCBs!$AA$4:$AA$475,MATCH($B8,PCBs!$B$4:$B$475,0)),"---")</f>
        <v>1.4219086026996306</v>
      </c>
    </row>
    <row r="9" spans="1:7" x14ac:dyDescent="0.3">
      <c r="A9" s="39" t="s">
        <v>2320</v>
      </c>
      <c r="B9" s="25" t="s">
        <v>8</v>
      </c>
      <c r="C9" s="45" t="s">
        <v>9</v>
      </c>
      <c r="D9" s="15">
        <f>IF(ISNUMBER(INDEX(PCBs!$G$4:$G$475,MATCH($B9,PCBs!$B$4:$B$475,0))),INDEX(PCBs!$G$4:$G$475,MATCH($B9,PCBs!$B$4:$B$475,0)),"---")</f>
        <v>4.9649999999999999</v>
      </c>
      <c r="E9" s="15">
        <f>IF(ISNUMBER(INDEX(PCBs!$K$4:$K$475,MATCH($B9,PCBs!$B$4:$B$475,0))),INDEX(PCBs!$K$4:$K$475,MATCH($B9,PCBs!$B$4:$B$475,0)),"---")</f>
        <v>61</v>
      </c>
      <c r="F9" s="15" t="str">
        <f>IF(ISNUMBER(INDEX(PCBs!$S$4:$S$475,MATCH($B9,PCBs!$B$4:$B$475,0))),INDEX(PCBs!$S$4:$S$475,MATCH($B9,PCBs!$B$4:$B$475,0)),"---")</f>
        <v>---</v>
      </c>
      <c r="G9" s="37" t="str">
        <f>IF(ISNUMBER(INDEX(PCBs!$AA$4:$AA$475,MATCH($B9,PCBs!$B$4:$B$475,0))),INDEX(PCBs!$AA$4:$AA$475,MATCH($B9,PCBs!$B$4:$B$475,0)),"---")</f>
        <v>---</v>
      </c>
    </row>
    <row r="10" spans="1:7" x14ac:dyDescent="0.3">
      <c r="A10" s="39" t="s">
        <v>2321</v>
      </c>
      <c r="B10" s="25" t="s">
        <v>10</v>
      </c>
      <c r="C10" s="45" t="s">
        <v>11</v>
      </c>
      <c r="D10" s="15" t="str">
        <f>IF(ISNUMBER(INDEX(PCBs!$G$4:$G$475,MATCH($B10,PCBs!$B$4:$B$475,0))),INDEX(PCBs!$G$4:$G$475,MATCH($B10,PCBs!$B$4:$B$475,0)),"---")</f>
        <v>---</v>
      </c>
      <c r="E10" s="15" t="str">
        <f>IF(ISNUMBER(INDEX(PCBs!$K$4:$K$475,MATCH($B10,PCBs!$B$4:$B$475,0))),INDEX(PCBs!$K$4:$K$475,MATCH($B10,PCBs!$B$4:$B$475,0)),"---")</f>
        <v>---</v>
      </c>
      <c r="F10" s="15" t="str">
        <f>IF(ISNUMBER(INDEX(PCBs!$S$4:$S$475,MATCH($B10,PCBs!$B$4:$B$475,0))),INDEX(PCBs!$S$4:$S$475,MATCH($B10,PCBs!$B$4:$B$475,0)),"---")</f>
        <v>---</v>
      </c>
      <c r="G10" s="37" t="str">
        <f>IF(ISNUMBER(INDEX(PCBs!$AA$4:$AA$475,MATCH($B10,PCBs!$B$4:$B$475,0))),INDEX(PCBs!$AA$4:$AA$475,MATCH($B10,PCBs!$B$4:$B$475,0)),"---")</f>
        <v>---</v>
      </c>
    </row>
    <row r="11" spans="1:7" x14ac:dyDescent="0.3">
      <c r="A11" s="39" t="s">
        <v>2322</v>
      </c>
      <c r="B11" s="25" t="s">
        <v>12</v>
      </c>
      <c r="C11" s="45" t="s">
        <v>13</v>
      </c>
      <c r="D11" s="15" t="str">
        <f>IF(ISNUMBER(INDEX(PCBs!$G$4:$G$475,MATCH($B11,PCBs!$B$4:$B$475,0))),INDEX(PCBs!$G$4:$G$475,MATCH($B11,PCBs!$B$4:$B$475,0)),"---")</f>
        <v>---</v>
      </c>
      <c r="E11" s="15" t="str">
        <f>IF(ISNUMBER(INDEX(PCBs!$K$4:$K$475,MATCH($B11,PCBs!$B$4:$B$475,0))),INDEX(PCBs!$K$4:$K$475,MATCH($B11,PCBs!$B$4:$B$475,0)),"---")</f>
        <v>---</v>
      </c>
      <c r="F11" s="15" t="str">
        <f>IF(ISNUMBER(INDEX(PCBs!$S$4:$S$475,MATCH($B11,PCBs!$B$4:$B$475,0))),INDEX(PCBs!$S$4:$S$475,MATCH($B11,PCBs!$B$4:$B$475,0)),"---")</f>
        <v>---</v>
      </c>
      <c r="G11" s="37" t="str">
        <f>IF(ISNUMBER(INDEX(PCBs!$AA$4:$AA$475,MATCH($B11,PCBs!$B$4:$B$475,0))),INDEX(PCBs!$AA$4:$AA$475,MATCH($B11,PCBs!$B$4:$B$475,0)),"---")</f>
        <v>---</v>
      </c>
    </row>
    <row r="12" spans="1:7" x14ac:dyDescent="0.3">
      <c r="A12" s="39" t="s">
        <v>2323</v>
      </c>
      <c r="B12" s="25" t="s">
        <v>14</v>
      </c>
      <c r="C12" s="45" t="s">
        <v>15</v>
      </c>
      <c r="D12" s="15" t="str">
        <f>IF(ISNUMBER(INDEX(PCBs!$G$4:$G$475,MATCH($B12,PCBs!$B$4:$B$475,0))),INDEX(PCBs!$G$4:$G$475,MATCH($B12,PCBs!$B$4:$B$475,0)),"---")</f>
        <v>---</v>
      </c>
      <c r="E12" s="15" t="str">
        <f>IF(ISNUMBER(INDEX(PCBs!$K$4:$K$475,MATCH($B12,PCBs!$B$4:$B$475,0))),INDEX(PCBs!$K$4:$K$475,MATCH($B12,PCBs!$B$4:$B$475,0)),"---")</f>
        <v>---</v>
      </c>
      <c r="F12" s="15" t="str">
        <f>IF(ISNUMBER(INDEX(PCBs!$S$4:$S$475,MATCH($B12,PCBs!$B$4:$B$475,0))),INDEX(PCBs!$S$4:$S$475,MATCH($B12,PCBs!$B$4:$B$475,0)),"---")</f>
        <v>---</v>
      </c>
      <c r="G12" s="37" t="str">
        <f>IF(ISNUMBER(INDEX(PCBs!$AA$4:$AA$475,MATCH($B12,PCBs!$B$4:$B$475,0))),INDEX(PCBs!$AA$4:$AA$475,MATCH($B12,PCBs!$B$4:$B$475,0)),"---")</f>
        <v>---</v>
      </c>
    </row>
    <row r="13" spans="1:7" x14ac:dyDescent="0.3">
      <c r="A13" s="39" t="s">
        <v>2324</v>
      </c>
      <c r="B13" s="25" t="s">
        <v>16</v>
      </c>
      <c r="C13" s="45" t="s">
        <v>17</v>
      </c>
      <c r="D13" s="15">
        <f>IF(ISNUMBER(INDEX(PCBs!$G$4:$G$475,MATCH($B13,PCBs!$B$4:$B$475,0))),INDEX(PCBs!$G$4:$G$475,MATCH($B13,PCBs!$B$4:$B$475,0)),"---")</f>
        <v>5.58</v>
      </c>
      <c r="E13" s="15">
        <f>IF(ISNUMBER(INDEX(PCBs!$K$4:$K$475,MATCH($B13,PCBs!$B$4:$B$475,0))),INDEX(PCBs!$K$4:$K$475,MATCH($B13,PCBs!$B$4:$B$475,0)),"---")</f>
        <v>43</v>
      </c>
      <c r="F13" s="15">
        <f>IF(ISNUMBER(INDEX(PCBs!$S$4:$S$475,MATCH($B13,PCBs!$B$4:$B$475,0))),INDEX(PCBs!$S$4:$S$475,MATCH($B13,PCBs!$B$4:$B$475,0)),"---")</f>
        <v>6.1447321290450754E-4</v>
      </c>
      <c r="G13" s="37">
        <f>IF(ISNUMBER(INDEX(PCBs!$AA$4:$AA$475,MATCH($B13,PCBs!$B$4:$B$475,0))),INDEX(PCBs!$AA$4:$AA$475,MATCH($B13,PCBs!$B$4:$B$475,0)),"---")</f>
        <v>1.0488424390575157</v>
      </c>
    </row>
    <row r="14" spans="1:7" x14ac:dyDescent="0.3">
      <c r="A14" s="39" t="s">
        <v>2325</v>
      </c>
      <c r="B14" s="25" t="s">
        <v>18</v>
      </c>
      <c r="C14" s="45" t="s">
        <v>19</v>
      </c>
      <c r="D14" s="15" t="str">
        <f>IF(ISNUMBER(INDEX(PCBs!$G$4:$G$475,MATCH($B14,PCBs!$B$4:$B$475,0))),INDEX(PCBs!$G$4:$G$475,MATCH($B14,PCBs!$B$4:$B$475,0)),"---")</f>
        <v>---</v>
      </c>
      <c r="E14" s="15" t="str">
        <f>IF(ISNUMBER(INDEX(PCBs!$K$4:$K$475,MATCH($B14,PCBs!$B$4:$B$475,0))),INDEX(PCBs!$K$4:$K$475,MATCH($B14,PCBs!$B$4:$B$475,0)),"---")</f>
        <v>---</v>
      </c>
      <c r="F14" s="15" t="str">
        <f>IF(ISNUMBER(INDEX(PCBs!$S$4:$S$475,MATCH($B14,PCBs!$B$4:$B$475,0))),INDEX(PCBs!$S$4:$S$475,MATCH($B14,PCBs!$B$4:$B$475,0)),"---")</f>
        <v>---</v>
      </c>
      <c r="G14" s="37" t="str">
        <f>IF(ISNUMBER(INDEX(PCBs!$AA$4:$AA$475,MATCH($B14,PCBs!$B$4:$B$475,0))),INDEX(PCBs!$AA$4:$AA$475,MATCH($B14,PCBs!$B$4:$B$475,0)),"---")</f>
        <v>---</v>
      </c>
    </row>
    <row r="15" spans="1:7" x14ac:dyDescent="0.3">
      <c r="A15" s="39" t="s">
        <v>2326</v>
      </c>
      <c r="B15" s="25" t="s">
        <v>20</v>
      </c>
      <c r="C15" s="45" t="s">
        <v>21</v>
      </c>
      <c r="D15" s="15">
        <f>IF(ISNUMBER(INDEX(PCBs!$G$4:$G$475,MATCH($B15,PCBs!$B$4:$B$475,0))),INDEX(PCBs!$G$4:$G$475,MATCH($B15,PCBs!$B$4:$B$475,0)),"---")</f>
        <v>4.9820000000000002</v>
      </c>
      <c r="E15" s="15">
        <f>IF(ISNUMBER(INDEX(PCBs!$K$4:$K$475,MATCH($B15,PCBs!$B$4:$B$475,0))),INDEX(PCBs!$K$4:$K$475,MATCH($B15,PCBs!$B$4:$B$475,0)),"---")</f>
        <v>34.75</v>
      </c>
      <c r="F15" s="15" t="str">
        <f>IF(ISNUMBER(INDEX(PCBs!$S$4:$S$475,MATCH($B15,PCBs!$B$4:$B$475,0))),INDEX(PCBs!$S$4:$S$475,MATCH($B15,PCBs!$B$4:$B$475,0)),"---")</f>
        <v>---</v>
      </c>
      <c r="G15" s="37" t="str">
        <f>IF(ISNUMBER(INDEX(PCBs!$AA$4:$AA$475,MATCH($B15,PCBs!$B$4:$B$475,0))),INDEX(PCBs!$AA$4:$AA$475,MATCH($B15,PCBs!$B$4:$B$475,0)),"---")</f>
        <v>---</v>
      </c>
    </row>
    <row r="16" spans="1:7" x14ac:dyDescent="0.3">
      <c r="A16" s="39" t="s">
        <v>2327</v>
      </c>
      <c r="B16" s="25" t="s">
        <v>22</v>
      </c>
      <c r="C16" s="45" t="s">
        <v>23</v>
      </c>
      <c r="D16" s="15" t="str">
        <f>IF(ISNUMBER(INDEX(PCBs!$G$4:$G$475,MATCH($B16,PCBs!$B$4:$B$475,0))),INDEX(PCBs!$G$4:$G$475,MATCH($B16,PCBs!$B$4:$B$475,0)),"---")</f>
        <v>---</v>
      </c>
      <c r="E16" s="15">
        <f>IF(ISNUMBER(INDEX(PCBs!$K$4:$K$475,MATCH($B16,PCBs!$B$4:$B$475,0))),INDEX(PCBs!$K$4:$K$475,MATCH($B16,PCBs!$B$4:$B$475,0)),"---")</f>
        <v>29</v>
      </c>
      <c r="F16" s="15" t="str">
        <f>IF(ISNUMBER(INDEX(PCBs!$S$4:$S$475,MATCH($B16,PCBs!$B$4:$B$475,0))),INDEX(PCBs!$S$4:$S$475,MATCH($B16,PCBs!$B$4:$B$475,0)),"---")</f>
        <v>---</v>
      </c>
      <c r="G16" s="37" t="str">
        <f>IF(ISNUMBER(INDEX(PCBs!$AA$4:$AA$475,MATCH($B16,PCBs!$B$4:$B$475,0))),INDEX(PCBs!$AA$4:$AA$475,MATCH($B16,PCBs!$B$4:$B$475,0)),"---")</f>
        <v>---</v>
      </c>
    </row>
    <row r="17" spans="1:7" x14ac:dyDescent="0.3">
      <c r="A17" s="39" t="s">
        <v>2328</v>
      </c>
      <c r="B17" s="25" t="s">
        <v>24</v>
      </c>
      <c r="C17" s="45" t="s">
        <v>25</v>
      </c>
      <c r="D17" s="15" t="str">
        <f>IF(ISNUMBER(INDEX(PCBs!$G$4:$G$475,MATCH($B17,PCBs!$B$4:$B$475,0))),INDEX(PCBs!$G$4:$G$475,MATCH($B17,PCBs!$B$4:$B$475,0)),"---")</f>
        <v>---</v>
      </c>
      <c r="E17" s="15">
        <f>IF(ISNUMBER(INDEX(PCBs!$K$4:$K$475,MATCH($B17,PCBs!$B$4:$B$475,0))),INDEX(PCBs!$K$4:$K$475,MATCH($B17,PCBs!$B$4:$B$475,0)),"---")</f>
        <v>49.5</v>
      </c>
      <c r="F17" s="15" t="str">
        <f>IF(ISNUMBER(INDEX(PCBs!$S$4:$S$475,MATCH($B17,PCBs!$B$4:$B$475,0))),INDEX(PCBs!$S$4:$S$475,MATCH($B17,PCBs!$B$4:$B$475,0)),"---")</f>
        <v>---</v>
      </c>
      <c r="G17" s="37" t="str">
        <f>IF(ISNUMBER(INDEX(PCBs!$AA$4:$AA$475,MATCH($B17,PCBs!$B$4:$B$475,0))),INDEX(PCBs!$AA$4:$AA$475,MATCH($B17,PCBs!$B$4:$B$475,0)),"---")</f>
        <v>---</v>
      </c>
    </row>
    <row r="18" spans="1:7" x14ac:dyDescent="0.3">
      <c r="A18" s="39" t="s">
        <v>2329</v>
      </c>
      <c r="B18" s="25" t="s">
        <v>26</v>
      </c>
      <c r="C18" s="45" t="s">
        <v>27</v>
      </c>
      <c r="D18" s="15" t="str">
        <f>IF(ISNUMBER(INDEX(PCBs!$G$4:$G$475,MATCH($B18,PCBs!$B$4:$B$475,0))),INDEX(PCBs!$G$4:$G$475,MATCH($B18,PCBs!$B$4:$B$475,0)),"---")</f>
        <v>---</v>
      </c>
      <c r="E18" s="15" t="str">
        <f>IF(ISNUMBER(INDEX(PCBs!$K$4:$K$475,MATCH($B18,PCBs!$B$4:$B$475,0))),INDEX(PCBs!$K$4:$K$475,MATCH($B18,PCBs!$B$4:$B$475,0)),"---")</f>
        <v>---</v>
      </c>
      <c r="F18" s="15" t="str">
        <f>IF(ISNUMBER(INDEX(PCBs!$S$4:$S$475,MATCH($B18,PCBs!$B$4:$B$475,0))),INDEX(PCBs!$S$4:$S$475,MATCH($B18,PCBs!$B$4:$B$475,0)),"---")</f>
        <v>---</v>
      </c>
      <c r="G18" s="37" t="str">
        <f>IF(ISNUMBER(INDEX(PCBs!$AA$4:$AA$475,MATCH($B18,PCBs!$B$4:$B$475,0))),INDEX(PCBs!$AA$4:$AA$475,MATCH($B18,PCBs!$B$4:$B$475,0)),"---")</f>
        <v>---</v>
      </c>
    </row>
    <row r="19" spans="1:7" x14ac:dyDescent="0.3">
      <c r="A19" s="39" t="s">
        <v>2330</v>
      </c>
      <c r="B19" s="25" t="s">
        <v>28</v>
      </c>
      <c r="C19" s="45" t="s">
        <v>29</v>
      </c>
      <c r="D19" s="15" t="str">
        <f>IF(ISNUMBER(INDEX(PCBs!$G$4:$G$475,MATCH($B19,PCBs!$B$4:$B$475,0))),INDEX(PCBs!$G$4:$G$475,MATCH($B19,PCBs!$B$4:$B$475,0)),"---")</f>
        <v>---</v>
      </c>
      <c r="E19" s="15" t="str">
        <f>IF(ISNUMBER(INDEX(PCBs!$K$4:$K$475,MATCH($B19,PCBs!$B$4:$B$475,0))),INDEX(PCBs!$K$4:$K$475,MATCH($B19,PCBs!$B$4:$B$475,0)),"---")</f>
        <v>---</v>
      </c>
      <c r="F19" s="15" t="str">
        <f>IF(ISNUMBER(INDEX(PCBs!$S$4:$S$475,MATCH($B19,PCBs!$B$4:$B$475,0))),INDEX(PCBs!$S$4:$S$475,MATCH($B19,PCBs!$B$4:$B$475,0)),"---")</f>
        <v>---</v>
      </c>
      <c r="G19" s="37" t="str">
        <f>IF(ISNUMBER(INDEX(PCBs!$AA$4:$AA$475,MATCH($B19,PCBs!$B$4:$B$475,0))),INDEX(PCBs!$AA$4:$AA$475,MATCH($B19,PCBs!$B$4:$B$475,0)),"---")</f>
        <v>---</v>
      </c>
    </row>
    <row r="20" spans="1:7" x14ac:dyDescent="0.3">
      <c r="A20" s="39" t="s">
        <v>2331</v>
      </c>
      <c r="B20" s="25" t="s">
        <v>30</v>
      </c>
      <c r="C20" s="45" t="s">
        <v>31</v>
      </c>
      <c r="D20" s="15" t="str">
        <f>IF(ISNUMBER(INDEX(PCBs!$G$4:$G$475,MATCH($B20,PCBs!$B$4:$B$475,0))),INDEX(PCBs!$G$4:$G$475,MATCH($B20,PCBs!$B$4:$B$475,0)),"---")</f>
        <v>---</v>
      </c>
      <c r="E20" s="15">
        <f>IF(ISNUMBER(INDEX(PCBs!$K$4:$K$475,MATCH($B20,PCBs!$B$4:$B$475,0))),INDEX(PCBs!$K$4:$K$475,MATCH($B20,PCBs!$B$4:$B$475,0)),"---")</f>
        <v>149.35000000000002</v>
      </c>
      <c r="F20" s="15">
        <f>IF(ISNUMBER(INDEX(PCBs!$S$4:$S$475,MATCH($B20,PCBs!$B$4:$B$475,0))),INDEX(PCBs!$S$4:$S$475,MATCH($B20,PCBs!$B$4:$B$475,0)),"---")</f>
        <v>2.6615009346943004E-5</v>
      </c>
      <c r="G20" s="37">
        <f>IF(ISNUMBER(INDEX(PCBs!$AA$4:$AA$475,MATCH($B20,PCBs!$B$4:$B$475,0))),INDEX(PCBs!$AA$4:$AA$475,MATCH($B20,PCBs!$B$4:$B$475,0)),"---")</f>
        <v>6.7220110635384744E-2</v>
      </c>
    </row>
    <row r="21" spans="1:7" x14ac:dyDescent="0.3">
      <c r="A21" s="39" t="s">
        <v>2332</v>
      </c>
      <c r="B21" s="25" t="s">
        <v>32</v>
      </c>
      <c r="C21" s="45" t="s">
        <v>33</v>
      </c>
      <c r="D21" s="15" t="str">
        <f>IF(ISNUMBER(INDEX(PCBs!$G$4:$G$475,MATCH($B21,PCBs!$B$4:$B$475,0))),INDEX(PCBs!$G$4:$G$475,MATCH($B21,PCBs!$B$4:$B$475,0)),"---")</f>
        <v>---</v>
      </c>
      <c r="E21" s="15" t="str">
        <f>IF(ISNUMBER(INDEX(PCBs!$K$4:$K$475,MATCH($B21,PCBs!$B$4:$B$475,0))),INDEX(PCBs!$K$4:$K$475,MATCH($B21,PCBs!$B$4:$B$475,0)),"---")</f>
        <v>---</v>
      </c>
      <c r="F21" s="15" t="str">
        <f>IF(ISNUMBER(INDEX(PCBs!$S$4:$S$475,MATCH($B21,PCBs!$B$4:$B$475,0))),INDEX(PCBs!$S$4:$S$475,MATCH($B21,PCBs!$B$4:$B$475,0)),"---")</f>
        <v>---</v>
      </c>
      <c r="G21" s="37" t="str">
        <f>IF(ISNUMBER(INDEX(PCBs!$AA$4:$AA$475,MATCH($B21,PCBs!$B$4:$B$475,0))),INDEX(PCBs!$AA$4:$AA$475,MATCH($B21,PCBs!$B$4:$B$475,0)),"---")</f>
        <v>---</v>
      </c>
    </row>
    <row r="22" spans="1:7" x14ac:dyDescent="0.3">
      <c r="A22" s="39" t="s">
        <v>2333</v>
      </c>
      <c r="B22" s="25" t="s">
        <v>34</v>
      </c>
      <c r="C22" s="45" t="s">
        <v>35</v>
      </c>
      <c r="D22" s="15" t="str">
        <f>IF(ISNUMBER(INDEX(PCBs!$G$4:$G$475,MATCH($B22,PCBs!$B$4:$B$475,0))),INDEX(PCBs!$G$4:$G$475,MATCH($B22,PCBs!$B$4:$B$475,0)),"---")</f>
        <v>---</v>
      </c>
      <c r="E22" s="15" t="str">
        <f>IF(ISNUMBER(INDEX(PCBs!$K$4:$K$475,MATCH($B22,PCBs!$B$4:$B$475,0))),INDEX(PCBs!$K$4:$K$475,MATCH($B22,PCBs!$B$4:$B$475,0)),"---")</f>
        <v>---</v>
      </c>
      <c r="F22" s="15" t="str">
        <f>IF(ISNUMBER(INDEX(PCBs!$S$4:$S$475,MATCH($B22,PCBs!$B$4:$B$475,0))),INDEX(PCBs!$S$4:$S$475,MATCH($B22,PCBs!$B$4:$B$475,0)),"---")</f>
        <v>---</v>
      </c>
      <c r="G22" s="37" t="str">
        <f>IF(ISNUMBER(INDEX(PCBs!$AA$4:$AA$475,MATCH($B22,PCBs!$B$4:$B$475,0))),INDEX(PCBs!$AA$4:$AA$475,MATCH($B22,PCBs!$B$4:$B$475,0)),"---")</f>
        <v>---</v>
      </c>
    </row>
    <row r="23" spans="1:7" x14ac:dyDescent="0.3">
      <c r="A23" s="39" t="s">
        <v>2334</v>
      </c>
      <c r="B23" s="25" t="s">
        <v>36</v>
      </c>
      <c r="C23" s="45" t="s">
        <v>37</v>
      </c>
      <c r="D23" s="15" t="str">
        <f>IF(ISNUMBER(INDEX(PCBs!$G$4:$G$475,MATCH($B23,PCBs!$B$4:$B$475,0))),INDEX(PCBs!$G$4:$G$475,MATCH($B23,PCBs!$B$4:$B$475,0)),"---")</f>
        <v>---</v>
      </c>
      <c r="E23" s="15">
        <f>IF(ISNUMBER(INDEX(PCBs!$K$4:$K$475,MATCH($B23,PCBs!$B$4:$B$475,0))),INDEX(PCBs!$K$4:$K$475,MATCH($B23,PCBs!$B$4:$B$475,0)),"---")</f>
        <v>44</v>
      </c>
      <c r="F23" s="15" t="str">
        <f>IF(ISNUMBER(INDEX(PCBs!$S$4:$S$475,MATCH($B23,PCBs!$B$4:$B$475,0))),INDEX(PCBs!$S$4:$S$475,MATCH($B23,PCBs!$B$4:$B$475,0)),"---")</f>
        <v>---</v>
      </c>
      <c r="G23" s="37" t="str">
        <f>IF(ISNUMBER(INDEX(PCBs!$AA$4:$AA$475,MATCH($B23,PCBs!$B$4:$B$475,0))),INDEX(PCBs!$AA$4:$AA$475,MATCH($B23,PCBs!$B$4:$B$475,0)),"---")</f>
        <v>---</v>
      </c>
    </row>
    <row r="24" spans="1:7" x14ac:dyDescent="0.3">
      <c r="A24" s="39" t="s">
        <v>2335</v>
      </c>
      <c r="B24" s="25" t="s">
        <v>38</v>
      </c>
      <c r="C24" s="45" t="s">
        <v>39</v>
      </c>
      <c r="D24" s="15" t="str">
        <f>IF(ISNUMBER(INDEX(PCBs!$G$4:$G$475,MATCH($B24,PCBs!$B$4:$B$475,0))),INDEX(PCBs!$G$4:$G$475,MATCH($B24,PCBs!$B$4:$B$475,0)),"---")</f>
        <v>---</v>
      </c>
      <c r="E24" s="15" t="str">
        <f>IF(ISNUMBER(INDEX(PCBs!$K$4:$K$475,MATCH($B24,PCBs!$B$4:$B$475,0))),INDEX(PCBs!$K$4:$K$475,MATCH($B24,PCBs!$B$4:$B$475,0)),"---")</f>
        <v>---</v>
      </c>
      <c r="F24" s="15" t="str">
        <f>IF(ISNUMBER(INDEX(PCBs!$S$4:$S$475,MATCH($B24,PCBs!$B$4:$B$475,0))),INDEX(PCBs!$S$4:$S$475,MATCH($B24,PCBs!$B$4:$B$475,0)),"---")</f>
        <v>---</v>
      </c>
      <c r="G24" s="37" t="str">
        <f>IF(ISNUMBER(INDEX(PCBs!$AA$4:$AA$475,MATCH($B24,PCBs!$B$4:$B$475,0))),INDEX(PCBs!$AA$4:$AA$475,MATCH($B24,PCBs!$B$4:$B$475,0)),"---")</f>
        <v>---</v>
      </c>
    </row>
    <row r="25" spans="1:7" x14ac:dyDescent="0.3">
      <c r="A25" s="39" t="s">
        <v>2336</v>
      </c>
      <c r="B25" s="25" t="s">
        <v>40</v>
      </c>
      <c r="C25" s="45" t="s">
        <v>41</v>
      </c>
      <c r="D25" s="15" t="str">
        <f>IF(ISNUMBER(INDEX(PCBs!$G$4:$G$475,MATCH($B25,PCBs!$B$4:$B$475,0))),INDEX(PCBs!$G$4:$G$475,MATCH($B25,PCBs!$B$4:$B$475,0)),"---")</f>
        <v>---</v>
      </c>
      <c r="E25" s="15" t="str">
        <f>IF(ISNUMBER(INDEX(PCBs!$K$4:$K$475,MATCH($B25,PCBs!$B$4:$B$475,0))),INDEX(PCBs!$K$4:$K$475,MATCH($B25,PCBs!$B$4:$B$475,0)),"---")</f>
        <v>---</v>
      </c>
      <c r="F25" s="15" t="str">
        <f>IF(ISNUMBER(INDEX(PCBs!$S$4:$S$475,MATCH($B25,PCBs!$B$4:$B$475,0))),INDEX(PCBs!$S$4:$S$475,MATCH($B25,PCBs!$B$4:$B$475,0)),"---")</f>
        <v>---</v>
      </c>
      <c r="G25" s="37" t="str">
        <f>IF(ISNUMBER(INDEX(PCBs!$AA$4:$AA$475,MATCH($B25,PCBs!$B$4:$B$475,0))),INDEX(PCBs!$AA$4:$AA$475,MATCH($B25,PCBs!$B$4:$B$475,0)),"---")</f>
        <v>---</v>
      </c>
    </row>
    <row r="26" spans="1:7" x14ac:dyDescent="0.3">
      <c r="A26" s="39" t="s">
        <v>2337</v>
      </c>
      <c r="B26" s="25" t="s">
        <v>42</v>
      </c>
      <c r="C26" s="45" t="s">
        <v>43</v>
      </c>
      <c r="D26" s="15">
        <f>IF(ISNUMBER(INDEX(PCBs!$G$4:$G$475,MATCH($B26,PCBs!$B$4:$B$475,0))),INDEX(PCBs!$G$4:$G$475,MATCH($B26,PCBs!$B$4:$B$475,0)),"---")</f>
        <v>5.86</v>
      </c>
      <c r="E26" s="15" t="str">
        <f>IF(ISNUMBER(INDEX(PCBs!$K$4:$K$475,MATCH($B26,PCBs!$B$4:$B$475,0))),INDEX(PCBs!$K$4:$K$475,MATCH($B26,PCBs!$B$4:$B$475,0)),"---")</f>
        <v>---</v>
      </c>
      <c r="F26" s="15" t="str">
        <f>IF(ISNUMBER(INDEX(PCBs!$S$4:$S$475,MATCH($B26,PCBs!$B$4:$B$475,0))),INDEX(PCBs!$S$4:$S$475,MATCH($B26,PCBs!$B$4:$B$475,0)),"---")</f>
        <v>---</v>
      </c>
      <c r="G26" s="37" t="str">
        <f>IF(ISNUMBER(INDEX(PCBs!$AA$4:$AA$475,MATCH($B26,PCBs!$B$4:$B$475,0))),INDEX(PCBs!$AA$4:$AA$475,MATCH($B26,PCBs!$B$4:$B$475,0)),"---")</f>
        <v>---</v>
      </c>
    </row>
    <row r="27" spans="1:7" x14ac:dyDescent="0.3">
      <c r="A27" s="39" t="s">
        <v>2338</v>
      </c>
      <c r="B27" s="25" t="s">
        <v>44</v>
      </c>
      <c r="C27" s="45" t="s">
        <v>45</v>
      </c>
      <c r="D27" s="15" t="str">
        <f>IF(ISNUMBER(INDEX(PCBs!$G$4:$G$475,MATCH($B27,PCBs!$B$4:$B$475,0))),INDEX(PCBs!$G$4:$G$475,MATCH($B27,PCBs!$B$4:$B$475,0)),"---")</f>
        <v>---</v>
      </c>
      <c r="E27" s="15">
        <f>IF(ISNUMBER(INDEX(PCBs!$K$4:$K$475,MATCH($B27,PCBs!$B$4:$B$475,0))),INDEX(PCBs!$K$4:$K$475,MATCH($B27,PCBs!$B$4:$B$475,0)),"---")</f>
        <v>69</v>
      </c>
      <c r="F27" s="15" t="str">
        <f>IF(ISNUMBER(INDEX(PCBs!$S$4:$S$475,MATCH($B27,PCBs!$B$4:$B$475,0))),INDEX(PCBs!$S$4:$S$475,MATCH($B27,PCBs!$B$4:$B$475,0)),"---")</f>
        <v>---</v>
      </c>
      <c r="G27" s="37" t="str">
        <f>IF(ISNUMBER(INDEX(PCBs!$AA$4:$AA$475,MATCH($B27,PCBs!$B$4:$B$475,0))),INDEX(PCBs!$AA$4:$AA$475,MATCH($B27,PCBs!$B$4:$B$475,0)),"---")</f>
        <v>---</v>
      </c>
    </row>
    <row r="28" spans="1:7" x14ac:dyDescent="0.3">
      <c r="A28" s="39" t="s">
        <v>2339</v>
      </c>
      <c r="B28" s="25" t="s">
        <v>46</v>
      </c>
      <c r="C28" s="45" t="s">
        <v>47</v>
      </c>
      <c r="D28" s="15" t="str">
        <f>IF(ISNUMBER(INDEX(PCBs!$G$4:$G$475,MATCH($B28,PCBs!$B$4:$B$475,0))),INDEX(PCBs!$G$4:$G$475,MATCH($B28,PCBs!$B$4:$B$475,0)),"---")</f>
        <v>---</v>
      </c>
      <c r="E28" s="15" t="str">
        <f>IF(ISNUMBER(INDEX(PCBs!$K$4:$K$475,MATCH($B28,PCBs!$B$4:$B$475,0))),INDEX(PCBs!$K$4:$K$475,MATCH($B28,PCBs!$B$4:$B$475,0)),"---")</f>
        <v>---</v>
      </c>
      <c r="F28" s="15" t="str">
        <f>IF(ISNUMBER(INDEX(PCBs!$S$4:$S$475,MATCH($B28,PCBs!$B$4:$B$475,0))),INDEX(PCBs!$S$4:$S$475,MATCH($B28,PCBs!$B$4:$B$475,0)),"---")</f>
        <v>---</v>
      </c>
      <c r="G28" s="37" t="str">
        <f>IF(ISNUMBER(INDEX(PCBs!$AA$4:$AA$475,MATCH($B28,PCBs!$B$4:$B$475,0))),INDEX(PCBs!$AA$4:$AA$475,MATCH($B28,PCBs!$B$4:$B$475,0)),"---")</f>
        <v>---</v>
      </c>
    </row>
    <row r="29" spans="1:7" x14ac:dyDescent="0.3">
      <c r="A29" s="39" t="s">
        <v>2340</v>
      </c>
      <c r="B29" s="25" t="s">
        <v>48</v>
      </c>
      <c r="C29" s="45" t="s">
        <v>49</v>
      </c>
      <c r="D29" s="15" t="str">
        <f>IF(ISNUMBER(INDEX(PCBs!$G$4:$G$475,MATCH($B29,PCBs!$B$4:$B$475,0))),INDEX(PCBs!$G$4:$G$475,MATCH($B29,PCBs!$B$4:$B$475,0)),"---")</f>
        <v>---</v>
      </c>
      <c r="E29" s="15">
        <f>IF(ISNUMBER(INDEX(PCBs!$K$4:$K$475,MATCH($B29,PCBs!$B$4:$B$475,0))),INDEX(PCBs!$K$4:$K$475,MATCH($B29,PCBs!$B$4:$B$475,0)),"---")</f>
        <v>49</v>
      </c>
      <c r="F29" s="15" t="str">
        <f>IF(ISNUMBER(INDEX(PCBs!$S$4:$S$475,MATCH($B29,PCBs!$B$4:$B$475,0))),INDEX(PCBs!$S$4:$S$475,MATCH($B29,PCBs!$B$4:$B$475,0)),"---")</f>
        <v>---</v>
      </c>
      <c r="G29" s="37" t="str">
        <f>IF(ISNUMBER(INDEX(PCBs!$AA$4:$AA$475,MATCH($B29,PCBs!$B$4:$B$475,0))),INDEX(PCBs!$AA$4:$AA$475,MATCH($B29,PCBs!$B$4:$B$475,0)),"---")</f>
        <v>---</v>
      </c>
    </row>
    <row r="30" spans="1:7" x14ac:dyDescent="0.3">
      <c r="A30" s="39" t="s">
        <v>2341</v>
      </c>
      <c r="B30" s="25" t="s">
        <v>50</v>
      </c>
      <c r="C30" s="45" t="s">
        <v>51</v>
      </c>
      <c r="D30" s="15" t="str">
        <f>IF(ISNUMBER(INDEX(PCBs!$G$4:$G$475,MATCH($B30,PCBs!$B$4:$B$475,0))),INDEX(PCBs!$G$4:$G$475,MATCH($B30,PCBs!$B$4:$B$475,0)),"---")</f>
        <v>---</v>
      </c>
      <c r="E30" s="15" t="str">
        <f>IF(ISNUMBER(INDEX(PCBs!$K$4:$K$475,MATCH($B30,PCBs!$B$4:$B$475,0))),INDEX(PCBs!$K$4:$K$475,MATCH($B30,PCBs!$B$4:$B$475,0)),"---")</f>
        <v>---</v>
      </c>
      <c r="F30" s="15" t="str">
        <f>IF(ISNUMBER(INDEX(PCBs!$S$4:$S$475,MATCH($B30,PCBs!$B$4:$B$475,0))),INDEX(PCBs!$S$4:$S$475,MATCH($B30,PCBs!$B$4:$B$475,0)),"---")</f>
        <v>---</v>
      </c>
      <c r="G30" s="37" t="str">
        <f>IF(ISNUMBER(INDEX(PCBs!$AA$4:$AA$475,MATCH($B30,PCBs!$B$4:$B$475,0))),INDEX(PCBs!$AA$4:$AA$475,MATCH($B30,PCBs!$B$4:$B$475,0)),"---")</f>
        <v>---</v>
      </c>
    </row>
    <row r="31" spans="1:7" x14ac:dyDescent="0.3">
      <c r="A31" s="39" t="s">
        <v>2342</v>
      </c>
      <c r="B31" s="25" t="s">
        <v>52</v>
      </c>
      <c r="C31" s="45" t="s">
        <v>53</v>
      </c>
      <c r="D31" s="15" t="str">
        <f>IF(ISNUMBER(INDEX(PCBs!$G$4:$G$475,MATCH($B31,PCBs!$B$4:$B$475,0))),INDEX(PCBs!$G$4:$G$475,MATCH($B31,PCBs!$B$4:$B$475,0)),"---")</f>
        <v>---</v>
      </c>
      <c r="E31" s="15">
        <f>IF(ISNUMBER(INDEX(PCBs!$K$4:$K$475,MATCH($B31,PCBs!$B$4:$B$475,0))),INDEX(PCBs!$K$4:$K$475,MATCH($B31,PCBs!$B$4:$B$475,0)),"---")</f>
        <v>40</v>
      </c>
      <c r="F31" s="15" t="str">
        <f>IF(ISNUMBER(INDEX(PCBs!$S$4:$S$475,MATCH($B31,PCBs!$B$4:$B$475,0))),INDEX(PCBs!$S$4:$S$475,MATCH($B31,PCBs!$B$4:$B$475,0)),"---")</f>
        <v>---</v>
      </c>
      <c r="G31" s="37" t="str">
        <f>IF(ISNUMBER(INDEX(PCBs!$AA$4:$AA$475,MATCH($B31,PCBs!$B$4:$B$475,0))),INDEX(PCBs!$AA$4:$AA$475,MATCH($B31,PCBs!$B$4:$B$475,0)),"---")</f>
        <v>---</v>
      </c>
    </row>
    <row r="32" spans="1:7" x14ac:dyDescent="0.3">
      <c r="A32" s="39" t="s">
        <v>2343</v>
      </c>
      <c r="B32" s="25" t="s">
        <v>54</v>
      </c>
      <c r="C32" s="45" t="s">
        <v>55</v>
      </c>
      <c r="D32" s="15" t="str">
        <f>IF(ISNUMBER(INDEX(PCBs!$G$4:$G$475,MATCH($B32,PCBs!$B$4:$B$475,0))),INDEX(PCBs!$G$4:$G$475,MATCH($B32,PCBs!$B$4:$B$475,0)),"---")</f>
        <v>---</v>
      </c>
      <c r="E32" s="15" t="str">
        <f>IF(ISNUMBER(INDEX(PCBs!$K$4:$K$475,MATCH($B32,PCBs!$B$4:$B$475,0))),INDEX(PCBs!$K$4:$K$475,MATCH($B32,PCBs!$B$4:$B$475,0)),"---")</f>
        <v>---</v>
      </c>
      <c r="F32" s="15" t="str">
        <f>IF(ISNUMBER(INDEX(PCBs!$S$4:$S$475,MATCH($B32,PCBs!$B$4:$B$475,0))),INDEX(PCBs!$S$4:$S$475,MATCH($B32,PCBs!$B$4:$B$475,0)),"---")</f>
        <v>---</v>
      </c>
      <c r="G32" s="37" t="str">
        <f>IF(ISNUMBER(INDEX(PCBs!$AA$4:$AA$475,MATCH($B32,PCBs!$B$4:$B$475,0))),INDEX(PCBs!$AA$4:$AA$475,MATCH($B32,PCBs!$B$4:$B$475,0)),"---")</f>
        <v>---</v>
      </c>
    </row>
    <row r="33" spans="1:7" x14ac:dyDescent="0.3">
      <c r="A33" s="39" t="s">
        <v>2344</v>
      </c>
      <c r="B33" s="25" t="s">
        <v>56</v>
      </c>
      <c r="C33" s="45" t="s">
        <v>57</v>
      </c>
      <c r="D33" s="15" t="str">
        <f>IF(ISNUMBER(INDEX(PCBs!$G$4:$G$475,MATCH($B33,PCBs!$B$4:$B$475,0))),INDEX(PCBs!$G$4:$G$475,MATCH($B33,PCBs!$B$4:$B$475,0)),"---")</f>
        <v>---</v>
      </c>
      <c r="E33" s="15">
        <f>IF(ISNUMBER(INDEX(PCBs!$K$4:$K$475,MATCH($B33,PCBs!$B$4:$B$475,0))),INDEX(PCBs!$K$4:$K$475,MATCH($B33,PCBs!$B$4:$B$475,0)),"---")</f>
        <v>57</v>
      </c>
      <c r="F33" s="15">
        <f>IF(ISNUMBER(INDEX(PCBs!$S$4:$S$475,MATCH($B33,PCBs!$B$4:$B$475,0))),INDEX(PCBs!$S$4:$S$475,MATCH($B33,PCBs!$B$4:$B$475,0)),"---")</f>
        <v>8.5339884567296693E-5</v>
      </c>
      <c r="G33" s="37">
        <f>IF(ISNUMBER(INDEX(PCBs!$AA$4:$AA$475,MATCH($B33,PCBs!$B$4:$B$475,0))),INDEX(PCBs!$AA$4:$AA$475,MATCH($B33,PCBs!$B$4:$B$475,0)),"---")</f>
        <v>0.12624702171634888</v>
      </c>
    </row>
    <row r="34" spans="1:7" x14ac:dyDescent="0.3">
      <c r="A34" s="39" t="s">
        <v>2345</v>
      </c>
      <c r="B34" s="25" t="s">
        <v>58</v>
      </c>
      <c r="C34" s="45" t="s">
        <v>59</v>
      </c>
      <c r="D34" s="15">
        <f>IF(ISNUMBER(INDEX(PCBs!$G$4:$G$475,MATCH($B34,PCBs!$B$4:$B$475,0))),INDEX(PCBs!$G$4:$G$475,MATCH($B34,PCBs!$B$4:$B$475,0)),"---")</f>
        <v>5.9009999999999998</v>
      </c>
      <c r="E34" s="15">
        <f>IF(ISNUMBER(INDEX(PCBs!$K$4:$K$475,MATCH($B34,PCBs!$B$4:$B$475,0))),INDEX(PCBs!$K$4:$K$475,MATCH($B34,PCBs!$B$4:$B$475,0)),"---")</f>
        <v>76.350000000000023</v>
      </c>
      <c r="F34" s="15">
        <f>IF(ISNUMBER(INDEX(PCBs!$S$4:$S$475,MATCH($B34,PCBs!$B$4:$B$475,0))),INDEX(PCBs!$S$4:$S$475,MATCH($B34,PCBs!$B$4:$B$475,0)),"---")</f>
        <v>8.6805860948204527E-5</v>
      </c>
      <c r="G34" s="37">
        <f>IF(ISNUMBER(INDEX(PCBs!$AA$4:$AA$475,MATCH($B34,PCBs!$B$4:$B$475,0))),INDEX(PCBs!$AA$4:$AA$475,MATCH($B34,PCBs!$B$4:$B$475,0)),"---")</f>
        <v>0.12411083847730046</v>
      </c>
    </row>
    <row r="35" spans="1:7" x14ac:dyDescent="0.3">
      <c r="A35" s="39" t="s">
        <v>2346</v>
      </c>
      <c r="B35" s="25" t="s">
        <v>60</v>
      </c>
      <c r="C35" s="45" t="s">
        <v>61</v>
      </c>
      <c r="D35" s="15">
        <f>IF(ISNUMBER(INDEX(PCBs!$G$4:$G$475,MATCH($B35,PCBs!$B$4:$B$475,0))),INDEX(PCBs!$G$4:$G$475,MATCH($B35,PCBs!$B$4:$B$475,0)),"---")</f>
        <v>5.7110000000000003</v>
      </c>
      <c r="E35" s="15">
        <f>IF(ISNUMBER(INDEX(PCBs!$K$4:$K$475,MATCH($B35,PCBs!$B$4:$B$475,0))),INDEX(PCBs!$K$4:$K$475,MATCH($B35,PCBs!$B$4:$B$475,0)),"---")</f>
        <v>61.150000000000034</v>
      </c>
      <c r="F35" s="15" t="str">
        <f>IF(ISNUMBER(INDEX(PCBs!$S$4:$S$475,MATCH($B35,PCBs!$B$4:$B$475,0))),INDEX(PCBs!$S$4:$S$475,MATCH($B35,PCBs!$B$4:$B$475,0)),"---")</f>
        <v>---</v>
      </c>
      <c r="G35" s="37" t="str">
        <f>IF(ISNUMBER(INDEX(PCBs!$AA$4:$AA$475,MATCH($B35,PCBs!$B$4:$B$475,0))),INDEX(PCBs!$AA$4:$AA$475,MATCH($B35,PCBs!$B$4:$B$475,0)),"---")</f>
        <v>---</v>
      </c>
    </row>
    <row r="36" spans="1:7" x14ac:dyDescent="0.3">
      <c r="A36" s="39" t="s">
        <v>2347</v>
      </c>
      <c r="B36" s="25" t="s">
        <v>62</v>
      </c>
      <c r="C36" s="45" t="s">
        <v>63</v>
      </c>
      <c r="D36" s="15" t="str">
        <f>IF(ISNUMBER(INDEX(PCBs!$G$4:$G$475,MATCH($B36,PCBs!$B$4:$B$475,0))),INDEX(PCBs!$G$4:$G$475,MATCH($B36,PCBs!$B$4:$B$475,0)),"---")</f>
        <v>---</v>
      </c>
      <c r="E36" s="15">
        <f>IF(ISNUMBER(INDEX(PCBs!$K$4:$K$475,MATCH($B36,PCBs!$B$4:$B$475,0))),INDEX(PCBs!$K$4:$K$475,MATCH($B36,PCBs!$B$4:$B$475,0)),"---")</f>
        <v>67</v>
      </c>
      <c r="F36" s="15">
        <f>IF(ISNUMBER(INDEX(PCBs!$S$4:$S$475,MATCH($B36,PCBs!$B$4:$B$475,0))),INDEX(PCBs!$S$4:$S$475,MATCH($B36,PCBs!$B$4:$B$475,0)),"---")</f>
        <v>6.9669751655077549E-5</v>
      </c>
      <c r="G36" s="37">
        <f>IF(ISNUMBER(INDEX(PCBs!$AA$4:$AA$475,MATCH($B36,PCBs!$B$4:$B$475,0))),INDEX(PCBs!$AA$4:$AA$475,MATCH($B36,PCBs!$B$4:$B$475,0)),"---")</f>
        <v>8.506306168105629E-2</v>
      </c>
    </row>
    <row r="37" spans="1:7" x14ac:dyDescent="0.3">
      <c r="A37" s="39" t="s">
        <v>2348</v>
      </c>
      <c r="B37" s="25" t="s">
        <v>64</v>
      </c>
      <c r="C37" s="45" t="s">
        <v>65</v>
      </c>
      <c r="D37" s="15" t="str">
        <f>IF(ISNUMBER(INDEX(PCBs!$G$4:$G$475,MATCH($B37,PCBs!$B$4:$B$475,0))),INDEX(PCBs!$G$4:$G$475,MATCH($B37,PCBs!$B$4:$B$475,0)),"---")</f>
        <v>---</v>
      </c>
      <c r="E37" s="15" t="str">
        <f>IF(ISNUMBER(INDEX(PCBs!$K$4:$K$475,MATCH($B37,PCBs!$B$4:$B$475,0))),INDEX(PCBs!$K$4:$K$475,MATCH($B37,PCBs!$B$4:$B$475,0)),"---")</f>
        <v>---</v>
      </c>
      <c r="F37" s="15" t="str">
        <f>IF(ISNUMBER(INDEX(PCBs!$S$4:$S$475,MATCH($B37,PCBs!$B$4:$B$475,0))),INDEX(PCBs!$S$4:$S$475,MATCH($B37,PCBs!$B$4:$B$475,0)),"---")</f>
        <v>---</v>
      </c>
      <c r="G37" s="37" t="str">
        <f>IF(ISNUMBER(INDEX(PCBs!$AA$4:$AA$475,MATCH($B37,PCBs!$B$4:$B$475,0))),INDEX(PCBs!$AA$4:$AA$475,MATCH($B37,PCBs!$B$4:$B$475,0)),"---")</f>
        <v>---</v>
      </c>
    </row>
    <row r="38" spans="1:7" x14ac:dyDescent="0.3">
      <c r="A38" s="39" t="s">
        <v>2349</v>
      </c>
      <c r="B38" s="25" t="s">
        <v>66</v>
      </c>
      <c r="C38" s="45" t="s">
        <v>67</v>
      </c>
      <c r="D38" s="15">
        <f>IF(ISNUMBER(INDEX(PCBs!$G$4:$G$475,MATCH($B38,PCBs!$B$4:$B$475,0))),INDEX(PCBs!$G$4:$G$475,MATCH($B38,PCBs!$B$4:$B$475,0)),"---")</f>
        <v>5.8719999999999999</v>
      </c>
      <c r="E38" s="15">
        <f>IF(ISNUMBER(INDEX(PCBs!$K$4:$K$475,MATCH($B38,PCBs!$B$4:$B$475,0))),INDEX(PCBs!$K$4:$K$475,MATCH($B38,PCBs!$B$4:$B$475,0)),"---")</f>
        <v>60</v>
      </c>
      <c r="F38" s="15" t="str">
        <f>IF(ISNUMBER(INDEX(PCBs!$S$4:$S$475,MATCH($B38,PCBs!$B$4:$B$475,0))),INDEX(PCBs!$S$4:$S$475,MATCH($B38,PCBs!$B$4:$B$475,0)),"---")</f>
        <v>---</v>
      </c>
      <c r="G38" s="37" t="str">
        <f>IF(ISNUMBER(INDEX(PCBs!$AA$4:$AA$475,MATCH($B38,PCBs!$B$4:$B$475,0))),INDEX(PCBs!$AA$4:$AA$475,MATCH($B38,PCBs!$B$4:$B$475,0)),"---")</f>
        <v>---</v>
      </c>
    </row>
    <row r="39" spans="1:7" x14ac:dyDescent="0.3">
      <c r="A39" s="39" t="s">
        <v>2350</v>
      </c>
      <c r="B39" s="25" t="s">
        <v>68</v>
      </c>
      <c r="C39" s="45" t="s">
        <v>69</v>
      </c>
      <c r="D39" s="15" t="str">
        <f>IF(ISNUMBER(INDEX(PCBs!$G$4:$G$475,MATCH($B39,PCBs!$B$4:$B$475,0))),INDEX(PCBs!$G$4:$G$475,MATCH($B39,PCBs!$B$4:$B$475,0)),"---")</f>
        <v>---</v>
      </c>
      <c r="E39" s="15" t="str">
        <f>IF(ISNUMBER(INDEX(PCBs!$K$4:$K$475,MATCH($B39,PCBs!$B$4:$B$475,0))),INDEX(PCBs!$K$4:$K$475,MATCH($B39,PCBs!$B$4:$B$475,0)),"---")</f>
        <v>---</v>
      </c>
      <c r="F39" s="15" t="str">
        <f>IF(ISNUMBER(INDEX(PCBs!$S$4:$S$475,MATCH($B39,PCBs!$B$4:$B$475,0))),INDEX(PCBs!$S$4:$S$475,MATCH($B39,PCBs!$B$4:$B$475,0)),"---")</f>
        <v>---</v>
      </c>
      <c r="G39" s="37" t="str">
        <f>IF(ISNUMBER(INDEX(PCBs!$AA$4:$AA$475,MATCH($B39,PCBs!$B$4:$B$475,0))),INDEX(PCBs!$AA$4:$AA$475,MATCH($B39,PCBs!$B$4:$B$475,0)),"---")</f>
        <v>---</v>
      </c>
    </row>
    <row r="40" spans="1:7" x14ac:dyDescent="0.3">
      <c r="A40" s="39" t="s">
        <v>2351</v>
      </c>
      <c r="B40" s="25" t="s">
        <v>70</v>
      </c>
      <c r="C40" s="45" t="s">
        <v>71</v>
      </c>
      <c r="D40" s="15" t="str">
        <f>IF(ISNUMBER(INDEX(PCBs!$G$4:$G$475,MATCH($B40,PCBs!$B$4:$B$475,0))),INDEX(PCBs!$G$4:$G$475,MATCH($B40,PCBs!$B$4:$B$475,0)),"---")</f>
        <v>---</v>
      </c>
      <c r="E40" s="15" t="str">
        <f>IF(ISNUMBER(INDEX(PCBs!$K$4:$K$475,MATCH($B40,PCBs!$B$4:$B$475,0))),INDEX(PCBs!$K$4:$K$475,MATCH($B40,PCBs!$B$4:$B$475,0)),"---")</f>
        <v>---</v>
      </c>
      <c r="F40" s="15" t="str">
        <f>IF(ISNUMBER(INDEX(PCBs!$S$4:$S$475,MATCH($B40,PCBs!$B$4:$B$475,0))),INDEX(PCBs!$S$4:$S$475,MATCH($B40,PCBs!$B$4:$B$475,0)),"---")</f>
        <v>---</v>
      </c>
      <c r="G40" s="37" t="str">
        <f>IF(ISNUMBER(INDEX(PCBs!$AA$4:$AA$475,MATCH($B40,PCBs!$B$4:$B$475,0))),INDEX(PCBs!$AA$4:$AA$475,MATCH($B40,PCBs!$B$4:$B$475,0)),"---")</f>
        <v>---</v>
      </c>
    </row>
    <row r="41" spans="1:7" x14ac:dyDescent="0.3">
      <c r="A41" s="39" t="s">
        <v>2352</v>
      </c>
      <c r="B41" s="25" t="s">
        <v>72</v>
      </c>
      <c r="C41" s="45" t="s">
        <v>73</v>
      </c>
      <c r="D41" s="15" t="str">
        <f>IF(ISNUMBER(INDEX(PCBs!$G$4:$G$475,MATCH($B41,PCBs!$B$4:$B$475,0))),INDEX(PCBs!$G$4:$G$475,MATCH($B41,PCBs!$B$4:$B$475,0)),"---")</f>
        <v>---</v>
      </c>
      <c r="E41" s="15" t="str">
        <f>IF(ISNUMBER(INDEX(PCBs!$K$4:$K$475,MATCH($B41,PCBs!$B$4:$B$475,0))),INDEX(PCBs!$K$4:$K$475,MATCH($B41,PCBs!$B$4:$B$475,0)),"---")</f>
        <v>---</v>
      </c>
      <c r="F41" s="15" t="str">
        <f>IF(ISNUMBER(INDEX(PCBs!$S$4:$S$475,MATCH($B41,PCBs!$B$4:$B$475,0))),INDEX(PCBs!$S$4:$S$475,MATCH($B41,PCBs!$B$4:$B$475,0)),"---")</f>
        <v>---</v>
      </c>
      <c r="G41" s="37" t="str">
        <f>IF(ISNUMBER(INDEX(PCBs!$AA$4:$AA$475,MATCH($B41,PCBs!$B$4:$B$475,0))),INDEX(PCBs!$AA$4:$AA$475,MATCH($B41,PCBs!$B$4:$B$475,0)),"---")</f>
        <v>---</v>
      </c>
    </row>
    <row r="42" spans="1:7" x14ac:dyDescent="0.3">
      <c r="A42" s="39" t="s">
        <v>2353</v>
      </c>
      <c r="B42" s="25" t="s">
        <v>74</v>
      </c>
      <c r="C42" s="45" t="s">
        <v>75</v>
      </c>
      <c r="D42" s="15" t="str">
        <f>IF(ISNUMBER(INDEX(PCBs!$G$4:$G$475,MATCH($B42,PCBs!$B$4:$B$475,0))),INDEX(PCBs!$G$4:$G$475,MATCH($B42,PCBs!$B$4:$B$475,0)),"---")</f>
        <v>---</v>
      </c>
      <c r="E42" s="15" t="str">
        <f>IF(ISNUMBER(INDEX(PCBs!$K$4:$K$475,MATCH($B42,PCBs!$B$4:$B$475,0))),INDEX(PCBs!$K$4:$K$475,MATCH($B42,PCBs!$B$4:$B$475,0)),"---")</f>
        <v>---</v>
      </c>
      <c r="F42" s="15" t="str">
        <f>IF(ISNUMBER(INDEX(PCBs!$S$4:$S$475,MATCH($B42,PCBs!$B$4:$B$475,0))),INDEX(PCBs!$S$4:$S$475,MATCH($B42,PCBs!$B$4:$B$475,0)),"---")</f>
        <v>---</v>
      </c>
      <c r="G42" s="37" t="str">
        <f>IF(ISNUMBER(INDEX(PCBs!$AA$4:$AA$475,MATCH($B42,PCBs!$B$4:$B$475,0))),INDEX(PCBs!$AA$4:$AA$475,MATCH($B42,PCBs!$B$4:$B$475,0)),"---")</f>
        <v>---</v>
      </c>
    </row>
    <row r="43" spans="1:7" x14ac:dyDescent="0.3">
      <c r="A43" s="39" t="s">
        <v>2354</v>
      </c>
      <c r="B43" s="25" t="s">
        <v>76</v>
      </c>
      <c r="C43" s="45" t="s">
        <v>77</v>
      </c>
      <c r="D43" s="15" t="str">
        <f>IF(ISNUMBER(INDEX(PCBs!$G$4:$G$475,MATCH($B43,PCBs!$B$4:$B$475,0))),INDEX(PCBs!$G$4:$G$475,MATCH($B43,PCBs!$B$4:$B$475,0)),"---")</f>
        <v>---</v>
      </c>
      <c r="E43" s="15" t="str">
        <f>IF(ISNUMBER(INDEX(PCBs!$K$4:$K$475,MATCH($B43,PCBs!$B$4:$B$475,0))),INDEX(PCBs!$K$4:$K$475,MATCH($B43,PCBs!$B$4:$B$475,0)),"---")</f>
        <v>---</v>
      </c>
      <c r="F43" s="15" t="str">
        <f>IF(ISNUMBER(INDEX(PCBs!$S$4:$S$475,MATCH($B43,PCBs!$B$4:$B$475,0))),INDEX(PCBs!$S$4:$S$475,MATCH($B43,PCBs!$B$4:$B$475,0)),"---")</f>
        <v>---</v>
      </c>
      <c r="G43" s="37" t="str">
        <f>IF(ISNUMBER(INDEX(PCBs!$AA$4:$AA$475,MATCH($B43,PCBs!$B$4:$B$475,0))),INDEX(PCBs!$AA$4:$AA$475,MATCH($B43,PCBs!$B$4:$B$475,0)),"---")</f>
        <v>---</v>
      </c>
    </row>
    <row r="44" spans="1:7" x14ac:dyDescent="0.3">
      <c r="A44" s="39" t="s">
        <v>2355</v>
      </c>
      <c r="B44" s="25" t="s">
        <v>78</v>
      </c>
      <c r="C44" s="45" t="s">
        <v>79</v>
      </c>
      <c r="D44" s="15" t="str">
        <f>IF(ISNUMBER(INDEX(PCBs!$G$4:$G$475,MATCH($B44,PCBs!$B$4:$B$475,0))),INDEX(PCBs!$G$4:$G$475,MATCH($B44,PCBs!$B$4:$B$475,0)),"---")</f>
        <v>---</v>
      </c>
      <c r="E44" s="15" t="str">
        <f>IF(ISNUMBER(INDEX(PCBs!$K$4:$K$475,MATCH($B44,PCBs!$B$4:$B$475,0))),INDEX(PCBs!$K$4:$K$475,MATCH($B44,PCBs!$B$4:$B$475,0)),"---")</f>
        <v>---</v>
      </c>
      <c r="F44" s="15" t="str">
        <f>IF(ISNUMBER(INDEX(PCBs!$S$4:$S$475,MATCH($B44,PCBs!$B$4:$B$475,0))),INDEX(PCBs!$S$4:$S$475,MATCH($B44,PCBs!$B$4:$B$475,0)),"---")</f>
        <v>---</v>
      </c>
      <c r="G44" s="37" t="str">
        <f>IF(ISNUMBER(INDEX(PCBs!$AA$4:$AA$475,MATCH($B44,PCBs!$B$4:$B$475,0))),INDEX(PCBs!$AA$4:$AA$475,MATCH($B44,PCBs!$B$4:$B$475,0)),"---")</f>
        <v>---</v>
      </c>
    </row>
    <row r="45" spans="1:7" x14ac:dyDescent="0.3">
      <c r="A45" s="39" t="s">
        <v>2356</v>
      </c>
      <c r="B45" s="25" t="s">
        <v>80</v>
      </c>
      <c r="C45" s="45" t="s">
        <v>81</v>
      </c>
      <c r="D45" s="15">
        <f>IF(ISNUMBER(INDEX(PCBs!$G$4:$G$475,MATCH($B45,PCBs!$B$4:$B$475,0))),INDEX(PCBs!$G$4:$G$475,MATCH($B45,PCBs!$B$4:$B$475,0)),"---")</f>
        <v>6.1779999999999999</v>
      </c>
      <c r="E45" s="15">
        <f>IF(ISNUMBER(INDEX(PCBs!$K$4:$K$475,MATCH($B45,PCBs!$B$4:$B$475,0))),INDEX(PCBs!$K$4:$K$475,MATCH($B45,PCBs!$B$4:$B$475,0)),"---")</f>
        <v>121</v>
      </c>
      <c r="F45" s="15" t="str">
        <f>IF(ISNUMBER(INDEX(PCBs!$S$4:$S$475,MATCH($B45,PCBs!$B$4:$B$475,0))),INDEX(PCBs!$S$4:$S$475,MATCH($B45,PCBs!$B$4:$B$475,0)),"---")</f>
        <v>---</v>
      </c>
      <c r="G45" s="37" t="str">
        <f>IF(ISNUMBER(INDEX(PCBs!$AA$4:$AA$475,MATCH($B45,PCBs!$B$4:$B$475,0))),INDEX(PCBs!$AA$4:$AA$475,MATCH($B45,PCBs!$B$4:$B$475,0)),"---")</f>
        <v>---</v>
      </c>
    </row>
    <row r="46" spans="1:7" x14ac:dyDescent="0.3">
      <c r="A46" s="39" t="s">
        <v>2357</v>
      </c>
      <c r="B46" s="25" t="s">
        <v>82</v>
      </c>
      <c r="C46" s="45" t="s">
        <v>83</v>
      </c>
      <c r="D46" s="15" t="str">
        <f>IF(ISNUMBER(INDEX(PCBs!$G$4:$G$475,MATCH($B46,PCBs!$B$4:$B$475,0))),INDEX(PCBs!$G$4:$G$475,MATCH($B46,PCBs!$B$4:$B$475,0)),"---")</f>
        <v>---</v>
      </c>
      <c r="E46" s="15" t="str">
        <f>IF(ISNUMBER(INDEX(PCBs!$K$4:$K$475,MATCH($B46,PCBs!$B$4:$B$475,0))),INDEX(PCBs!$K$4:$K$475,MATCH($B46,PCBs!$B$4:$B$475,0)),"---")</f>
        <v>---</v>
      </c>
      <c r="F46" s="15" t="str">
        <f>IF(ISNUMBER(INDEX(PCBs!$S$4:$S$475,MATCH($B46,PCBs!$B$4:$B$475,0))),INDEX(PCBs!$S$4:$S$475,MATCH($B46,PCBs!$B$4:$B$475,0)),"---")</f>
        <v>---</v>
      </c>
      <c r="G46" s="37" t="str">
        <f>IF(ISNUMBER(INDEX(PCBs!$AA$4:$AA$475,MATCH($B46,PCBs!$B$4:$B$475,0))),INDEX(PCBs!$AA$4:$AA$475,MATCH($B46,PCBs!$B$4:$B$475,0)),"---")</f>
        <v>---</v>
      </c>
    </row>
    <row r="47" spans="1:7" x14ac:dyDescent="0.3">
      <c r="A47" s="39" t="s">
        <v>2358</v>
      </c>
      <c r="B47" s="25" t="s">
        <v>84</v>
      </c>
      <c r="C47" s="45" t="s">
        <v>85</v>
      </c>
      <c r="D47" s="15" t="str">
        <f>IF(ISNUMBER(INDEX(PCBs!$G$4:$G$475,MATCH($B47,PCBs!$B$4:$B$475,0))),INDEX(PCBs!$G$4:$G$475,MATCH($B47,PCBs!$B$4:$B$475,0)),"---")</f>
        <v>---</v>
      </c>
      <c r="E47" s="15" t="str">
        <f>IF(ISNUMBER(INDEX(PCBs!$K$4:$K$475,MATCH($B47,PCBs!$B$4:$B$475,0))),INDEX(PCBs!$K$4:$K$475,MATCH($B47,PCBs!$B$4:$B$475,0)),"---")</f>
        <v>---</v>
      </c>
      <c r="F47" s="15" t="str">
        <f>IF(ISNUMBER(INDEX(PCBs!$S$4:$S$475,MATCH($B47,PCBs!$B$4:$B$475,0))),INDEX(PCBs!$S$4:$S$475,MATCH($B47,PCBs!$B$4:$B$475,0)),"---")</f>
        <v>---</v>
      </c>
      <c r="G47" s="37" t="str">
        <f>IF(ISNUMBER(INDEX(PCBs!$AA$4:$AA$475,MATCH($B47,PCBs!$B$4:$B$475,0))),INDEX(PCBs!$AA$4:$AA$475,MATCH($B47,PCBs!$B$4:$B$475,0)),"---")</f>
        <v>---</v>
      </c>
    </row>
    <row r="48" spans="1:7" x14ac:dyDescent="0.3">
      <c r="A48" s="39" t="s">
        <v>2359</v>
      </c>
      <c r="B48" s="25" t="s">
        <v>86</v>
      </c>
      <c r="C48" s="45" t="s">
        <v>87</v>
      </c>
      <c r="D48" s="15" t="str">
        <f>IF(ISNUMBER(INDEX(PCBs!$G$4:$G$475,MATCH($B48,PCBs!$B$4:$B$475,0))),INDEX(PCBs!$G$4:$G$475,MATCH($B48,PCBs!$B$4:$B$475,0)),"---")</f>
        <v>---</v>
      </c>
      <c r="E48" s="15" t="str">
        <f>IF(ISNUMBER(INDEX(PCBs!$K$4:$K$475,MATCH($B48,PCBs!$B$4:$B$475,0))),INDEX(PCBs!$K$4:$K$475,MATCH($B48,PCBs!$B$4:$B$475,0)),"---")</f>
        <v>---</v>
      </c>
      <c r="F48" s="15" t="str">
        <f>IF(ISNUMBER(INDEX(PCBs!$S$4:$S$475,MATCH($B48,PCBs!$B$4:$B$475,0))),INDEX(PCBs!$S$4:$S$475,MATCH($B48,PCBs!$B$4:$B$475,0)),"---")</f>
        <v>---</v>
      </c>
      <c r="G48" s="37" t="str">
        <f>IF(ISNUMBER(INDEX(PCBs!$AA$4:$AA$475,MATCH($B48,PCBs!$B$4:$B$475,0))),INDEX(PCBs!$AA$4:$AA$475,MATCH($B48,PCBs!$B$4:$B$475,0)),"---")</f>
        <v>---</v>
      </c>
    </row>
    <row r="49" spans="1:7" x14ac:dyDescent="0.3">
      <c r="A49" s="39" t="s">
        <v>2360</v>
      </c>
      <c r="B49" s="25" t="s">
        <v>88</v>
      </c>
      <c r="C49" s="45" t="s">
        <v>89</v>
      </c>
      <c r="D49" s="15" t="str">
        <f>IF(ISNUMBER(INDEX(PCBs!$G$4:$G$475,MATCH($B49,PCBs!$B$4:$B$475,0))),INDEX(PCBs!$G$4:$G$475,MATCH($B49,PCBs!$B$4:$B$475,0)),"---")</f>
        <v>---</v>
      </c>
      <c r="E49" s="15">
        <f>IF(ISNUMBER(INDEX(PCBs!$K$4:$K$475,MATCH($B49,PCBs!$B$4:$B$475,0))),INDEX(PCBs!$K$4:$K$475,MATCH($B49,PCBs!$B$4:$B$475,0)),"---")</f>
        <v>47</v>
      </c>
      <c r="F49" s="15" t="str">
        <f>IF(ISNUMBER(INDEX(PCBs!$S$4:$S$475,MATCH($B49,PCBs!$B$4:$B$475,0))),INDEX(PCBs!$S$4:$S$475,MATCH($B49,PCBs!$B$4:$B$475,0)),"---")</f>
        <v>---</v>
      </c>
      <c r="G49" s="37" t="str">
        <f>IF(ISNUMBER(INDEX(PCBs!$AA$4:$AA$475,MATCH($B49,PCBs!$B$4:$B$475,0))),INDEX(PCBs!$AA$4:$AA$475,MATCH($B49,PCBs!$B$4:$B$475,0)),"---")</f>
        <v>---</v>
      </c>
    </row>
    <row r="50" spans="1:7" x14ac:dyDescent="0.3">
      <c r="A50" s="39" t="s">
        <v>2361</v>
      </c>
      <c r="B50" s="25" t="s">
        <v>90</v>
      </c>
      <c r="C50" s="45" t="s">
        <v>91</v>
      </c>
      <c r="D50" s="15" t="str">
        <f>IF(ISNUMBER(INDEX(PCBs!$G$4:$G$475,MATCH($B50,PCBs!$B$4:$B$475,0))),INDEX(PCBs!$G$4:$G$475,MATCH($B50,PCBs!$B$4:$B$475,0)),"---")</f>
        <v>---</v>
      </c>
      <c r="E50" s="15" t="str">
        <f>IF(ISNUMBER(INDEX(PCBs!$K$4:$K$475,MATCH($B50,PCBs!$B$4:$B$475,0))),INDEX(PCBs!$K$4:$K$475,MATCH($B50,PCBs!$B$4:$B$475,0)),"---")</f>
        <v>---</v>
      </c>
      <c r="F50" s="15" t="str">
        <f>IF(ISNUMBER(INDEX(PCBs!$S$4:$S$475,MATCH($B50,PCBs!$B$4:$B$475,0))),INDEX(PCBs!$S$4:$S$475,MATCH($B50,PCBs!$B$4:$B$475,0)),"---")</f>
        <v>---</v>
      </c>
      <c r="G50" s="37" t="str">
        <f>IF(ISNUMBER(INDEX(PCBs!$AA$4:$AA$475,MATCH($B50,PCBs!$B$4:$B$475,0))),INDEX(PCBs!$AA$4:$AA$475,MATCH($B50,PCBs!$B$4:$B$475,0)),"---")</f>
        <v>---</v>
      </c>
    </row>
    <row r="51" spans="1:7" x14ac:dyDescent="0.3">
      <c r="A51" s="39" t="s">
        <v>2362</v>
      </c>
      <c r="B51" s="25" t="s">
        <v>92</v>
      </c>
      <c r="C51" s="45" t="s">
        <v>93</v>
      </c>
      <c r="D51" s="15" t="str">
        <f>IF(ISNUMBER(INDEX(PCBs!$G$4:$G$475,MATCH($B51,PCBs!$B$4:$B$475,0))),INDEX(PCBs!$G$4:$G$475,MATCH($B51,PCBs!$B$4:$B$475,0)),"---")</f>
        <v>---</v>
      </c>
      <c r="E51" s="15" t="str">
        <f>IF(ISNUMBER(INDEX(PCBs!$K$4:$K$475,MATCH($B51,PCBs!$B$4:$B$475,0))),INDEX(PCBs!$K$4:$K$475,MATCH($B51,PCBs!$B$4:$B$475,0)),"---")</f>
        <v>---</v>
      </c>
      <c r="F51" s="15" t="str">
        <f>IF(ISNUMBER(INDEX(PCBs!$S$4:$S$475,MATCH($B51,PCBs!$B$4:$B$475,0))),INDEX(PCBs!$S$4:$S$475,MATCH($B51,PCBs!$B$4:$B$475,0)),"---")</f>
        <v>---</v>
      </c>
      <c r="G51" s="37" t="str">
        <f>IF(ISNUMBER(INDEX(PCBs!$AA$4:$AA$475,MATCH($B51,PCBs!$B$4:$B$475,0))),INDEX(PCBs!$AA$4:$AA$475,MATCH($B51,PCBs!$B$4:$B$475,0)),"---")</f>
        <v>---</v>
      </c>
    </row>
    <row r="52" spans="1:7" x14ac:dyDescent="0.3">
      <c r="A52" s="39" t="s">
        <v>2363</v>
      </c>
      <c r="B52" s="25" t="s">
        <v>94</v>
      </c>
      <c r="C52" s="45" t="s">
        <v>95</v>
      </c>
      <c r="D52" s="15" t="str">
        <f>IF(ISNUMBER(INDEX(PCBs!$G$4:$G$475,MATCH($B52,PCBs!$B$4:$B$475,0))),INDEX(PCBs!$G$4:$G$475,MATCH($B52,PCBs!$B$4:$B$475,0)),"---")</f>
        <v>---</v>
      </c>
      <c r="E52" s="15">
        <f>IF(ISNUMBER(INDEX(PCBs!$K$4:$K$475,MATCH($B52,PCBs!$B$4:$B$475,0))),INDEX(PCBs!$K$4:$K$475,MATCH($B52,PCBs!$B$4:$B$475,0)),"---")</f>
        <v>83</v>
      </c>
      <c r="F52" s="15" t="str">
        <f>IF(ISNUMBER(INDEX(PCBs!$S$4:$S$475,MATCH($B52,PCBs!$B$4:$B$475,0))),INDEX(PCBs!$S$4:$S$475,MATCH($B52,PCBs!$B$4:$B$475,0)),"---")</f>
        <v>---</v>
      </c>
      <c r="G52" s="37" t="str">
        <f>IF(ISNUMBER(INDEX(PCBs!$AA$4:$AA$475,MATCH($B52,PCBs!$B$4:$B$475,0))),INDEX(PCBs!$AA$4:$AA$475,MATCH($B52,PCBs!$B$4:$B$475,0)),"---")</f>
        <v>---</v>
      </c>
    </row>
    <row r="53" spans="1:7" x14ac:dyDescent="0.3">
      <c r="A53" s="39" t="s">
        <v>2364</v>
      </c>
      <c r="B53" s="25" t="s">
        <v>96</v>
      </c>
      <c r="C53" s="45" t="s">
        <v>97</v>
      </c>
      <c r="D53" s="15" t="str">
        <f>IF(ISNUMBER(INDEX(PCBs!$G$4:$G$475,MATCH($B53,PCBs!$B$4:$B$475,0))),INDEX(PCBs!$G$4:$G$475,MATCH($B53,PCBs!$B$4:$B$475,0)),"---")</f>
        <v>---</v>
      </c>
      <c r="E53" s="15" t="str">
        <f>IF(ISNUMBER(INDEX(PCBs!$K$4:$K$475,MATCH($B53,PCBs!$B$4:$B$475,0))),INDEX(PCBs!$K$4:$K$475,MATCH($B53,PCBs!$B$4:$B$475,0)),"---")</f>
        <v>---</v>
      </c>
      <c r="F53" s="15" t="str">
        <f>IF(ISNUMBER(INDEX(PCBs!$S$4:$S$475,MATCH($B53,PCBs!$B$4:$B$475,0))),INDEX(PCBs!$S$4:$S$475,MATCH($B53,PCBs!$B$4:$B$475,0)),"---")</f>
        <v>---</v>
      </c>
      <c r="G53" s="37" t="str">
        <f>IF(ISNUMBER(INDEX(PCBs!$AA$4:$AA$475,MATCH($B53,PCBs!$B$4:$B$475,0))),INDEX(PCBs!$AA$4:$AA$475,MATCH($B53,PCBs!$B$4:$B$475,0)),"---")</f>
        <v>---</v>
      </c>
    </row>
    <row r="54" spans="1:7" x14ac:dyDescent="0.3">
      <c r="A54" s="39" t="s">
        <v>2365</v>
      </c>
      <c r="B54" s="25" t="s">
        <v>98</v>
      </c>
      <c r="C54" s="45" t="s">
        <v>99</v>
      </c>
      <c r="D54" s="15">
        <f>IF(ISNUMBER(INDEX(PCBs!$G$4:$G$475,MATCH($B54,PCBs!$B$4:$B$475,0))),INDEX(PCBs!$G$4:$G$475,MATCH($B54,PCBs!$B$4:$B$475,0)),"---")</f>
        <v>6.3609999999999998</v>
      </c>
      <c r="E54" s="15">
        <f>IF(ISNUMBER(INDEX(PCBs!$K$4:$K$475,MATCH($B54,PCBs!$B$4:$B$475,0))),INDEX(PCBs!$K$4:$K$475,MATCH($B54,PCBs!$B$4:$B$475,0)),"---")</f>
        <v>65.950000000000045</v>
      </c>
      <c r="F54" s="15" t="str">
        <f>IF(ISNUMBER(INDEX(PCBs!$S$4:$S$475,MATCH($B54,PCBs!$B$4:$B$475,0))),INDEX(PCBs!$S$4:$S$475,MATCH($B54,PCBs!$B$4:$B$475,0)),"---")</f>
        <v>---</v>
      </c>
      <c r="G54" s="37" t="str">
        <f>IF(ISNUMBER(INDEX(PCBs!$AA$4:$AA$475,MATCH($B54,PCBs!$B$4:$B$475,0))),INDEX(PCBs!$AA$4:$AA$475,MATCH($B54,PCBs!$B$4:$B$475,0)),"---")</f>
        <v>---</v>
      </c>
    </row>
    <row r="55" spans="1:7" x14ac:dyDescent="0.3">
      <c r="A55" s="39" t="s">
        <v>2366</v>
      </c>
      <c r="B55" s="25" t="s">
        <v>100</v>
      </c>
      <c r="C55" s="45" t="s">
        <v>101</v>
      </c>
      <c r="D55" s="15" t="str">
        <f>IF(ISNUMBER(INDEX(PCBs!$G$4:$G$475,MATCH($B55,PCBs!$B$4:$B$475,0))),INDEX(PCBs!$G$4:$G$475,MATCH($B55,PCBs!$B$4:$B$475,0)),"---")</f>
        <v>---</v>
      </c>
      <c r="E55" s="15" t="str">
        <f>IF(ISNUMBER(INDEX(PCBs!$K$4:$K$475,MATCH($B55,PCBs!$B$4:$B$475,0))),INDEX(PCBs!$K$4:$K$475,MATCH($B55,PCBs!$B$4:$B$475,0)),"---")</f>
        <v>---</v>
      </c>
      <c r="F55" s="15" t="str">
        <f>IF(ISNUMBER(INDEX(PCBs!$S$4:$S$475,MATCH($B55,PCBs!$B$4:$B$475,0))),INDEX(PCBs!$S$4:$S$475,MATCH($B55,PCBs!$B$4:$B$475,0)),"---")</f>
        <v>---</v>
      </c>
      <c r="G55" s="37" t="str">
        <f>IF(ISNUMBER(INDEX(PCBs!$AA$4:$AA$475,MATCH($B55,PCBs!$B$4:$B$475,0))),INDEX(PCBs!$AA$4:$AA$475,MATCH($B55,PCBs!$B$4:$B$475,0)),"---")</f>
        <v>---</v>
      </c>
    </row>
    <row r="56" spans="1:7" x14ac:dyDescent="0.3">
      <c r="A56" s="39" t="s">
        <v>2367</v>
      </c>
      <c r="B56" s="25" t="s">
        <v>102</v>
      </c>
      <c r="C56" s="45" t="s">
        <v>103</v>
      </c>
      <c r="D56" s="15" t="str">
        <f>IF(ISNUMBER(INDEX(PCBs!$G$4:$G$475,MATCH($B56,PCBs!$B$4:$B$475,0))),INDEX(PCBs!$G$4:$G$475,MATCH($B56,PCBs!$B$4:$B$475,0)),"---")</f>
        <v>---</v>
      </c>
      <c r="E56" s="15" t="str">
        <f>IF(ISNUMBER(INDEX(PCBs!$K$4:$K$475,MATCH($B56,PCBs!$B$4:$B$475,0))),INDEX(PCBs!$K$4:$K$475,MATCH($B56,PCBs!$B$4:$B$475,0)),"---")</f>
        <v>---</v>
      </c>
      <c r="F56" s="15" t="str">
        <f>IF(ISNUMBER(INDEX(PCBs!$S$4:$S$475,MATCH($B56,PCBs!$B$4:$B$475,0))),INDEX(PCBs!$S$4:$S$475,MATCH($B56,PCBs!$B$4:$B$475,0)),"---")</f>
        <v>---</v>
      </c>
      <c r="G56" s="37" t="str">
        <f>IF(ISNUMBER(INDEX(PCBs!$AA$4:$AA$475,MATCH($B56,PCBs!$B$4:$B$475,0))),INDEX(PCBs!$AA$4:$AA$475,MATCH($B56,PCBs!$B$4:$B$475,0)),"---")</f>
        <v>---</v>
      </c>
    </row>
    <row r="57" spans="1:7" x14ac:dyDescent="0.3">
      <c r="A57" s="39" t="s">
        <v>2368</v>
      </c>
      <c r="B57" s="25" t="s">
        <v>104</v>
      </c>
      <c r="C57" s="45" t="s">
        <v>105</v>
      </c>
      <c r="D57" s="15">
        <f>IF(ISNUMBER(INDEX(PCBs!$G$4:$G$475,MATCH($B57,PCBs!$B$4:$B$475,0))),INDEX(PCBs!$G$4:$G$475,MATCH($B57,PCBs!$B$4:$B$475,0)),"---")</f>
        <v>5.62</v>
      </c>
      <c r="E57" s="15">
        <f>IF(ISNUMBER(INDEX(PCBs!$K$4:$K$475,MATCH($B57,PCBs!$B$4:$B$475,0))),INDEX(PCBs!$K$4:$K$475,MATCH($B57,PCBs!$B$4:$B$475,0)),"---")</f>
        <v>87</v>
      </c>
      <c r="F57" s="15">
        <f>IF(ISNUMBER(INDEX(PCBs!$S$4:$S$475,MATCH($B57,PCBs!$B$4:$B$475,0))),INDEX(PCBs!$S$4:$S$475,MATCH($B57,PCBs!$B$4:$B$475,0)),"---")</f>
        <v>2.5372416341833036E-5</v>
      </c>
      <c r="G57" s="37">
        <f>IF(ISNUMBER(INDEX(PCBs!$AA$4:$AA$475,MATCH($B57,PCBs!$B$4:$B$475,0))),INDEX(PCBs!$AA$4:$AA$475,MATCH($B57,PCBs!$B$4:$B$475,0)),"---")</f>
        <v>6.2864046597783871E-2</v>
      </c>
    </row>
    <row r="58" spans="1:7" x14ac:dyDescent="0.3">
      <c r="A58" s="39" t="s">
        <v>2369</v>
      </c>
      <c r="B58" s="25" t="s">
        <v>106</v>
      </c>
      <c r="C58" s="45" t="s">
        <v>107</v>
      </c>
      <c r="D58" s="15" t="str">
        <f>IF(ISNUMBER(INDEX(PCBs!$G$4:$G$475,MATCH($B58,PCBs!$B$4:$B$475,0))),INDEX(PCBs!$G$4:$G$475,MATCH($B58,PCBs!$B$4:$B$475,0)),"---")</f>
        <v>---</v>
      </c>
      <c r="E58" s="15">
        <f>IF(ISNUMBER(INDEX(PCBs!$K$4:$K$475,MATCH($B58,PCBs!$B$4:$B$475,0))),INDEX(PCBs!$K$4:$K$475,MATCH($B58,PCBs!$B$4:$B$475,0)),"---")</f>
        <v>103</v>
      </c>
      <c r="F58" s="15" t="str">
        <f>IF(ISNUMBER(INDEX(PCBs!$S$4:$S$475,MATCH($B58,PCBs!$B$4:$B$475,0))),INDEX(PCBs!$S$4:$S$475,MATCH($B58,PCBs!$B$4:$B$475,0)),"---")</f>
        <v>---</v>
      </c>
      <c r="G58" s="37" t="str">
        <f>IF(ISNUMBER(INDEX(PCBs!$AA$4:$AA$475,MATCH($B58,PCBs!$B$4:$B$475,0))),INDEX(PCBs!$AA$4:$AA$475,MATCH($B58,PCBs!$B$4:$B$475,0)),"---")</f>
        <v>---</v>
      </c>
    </row>
    <row r="59" spans="1:7" x14ac:dyDescent="0.3">
      <c r="A59" s="39" t="s">
        <v>2370</v>
      </c>
      <c r="B59" s="25" t="s">
        <v>108</v>
      </c>
      <c r="C59" s="45" t="s">
        <v>109</v>
      </c>
      <c r="D59" s="15">
        <f>IF(ISNUMBER(INDEX(PCBs!$G$4:$G$475,MATCH($B59,PCBs!$B$4:$B$475,0))),INDEX(PCBs!$G$4:$G$475,MATCH($B59,PCBs!$B$4:$B$475,0)),"---")</f>
        <v>5.9930000000000003</v>
      </c>
      <c r="E59" s="15">
        <f>IF(ISNUMBER(INDEX(PCBs!$K$4:$K$475,MATCH($B59,PCBs!$B$4:$B$475,0))),INDEX(PCBs!$K$4:$K$475,MATCH($B59,PCBs!$B$4:$B$475,0)),"---")</f>
        <v>198</v>
      </c>
      <c r="F59" s="15" t="str">
        <f>IF(ISNUMBER(INDEX(PCBs!$S$4:$S$475,MATCH($B59,PCBs!$B$4:$B$475,0))),INDEX(PCBs!$S$4:$S$475,MATCH($B59,PCBs!$B$4:$B$475,0)),"---")</f>
        <v>---</v>
      </c>
      <c r="G59" s="37" t="str">
        <f>IF(ISNUMBER(INDEX(PCBs!$AA$4:$AA$475,MATCH($B59,PCBs!$B$4:$B$475,0))),INDEX(PCBs!$AA$4:$AA$475,MATCH($B59,PCBs!$B$4:$B$475,0)),"---")</f>
        <v>---</v>
      </c>
    </row>
    <row r="60" spans="1:7" x14ac:dyDescent="0.3">
      <c r="A60" s="39" t="s">
        <v>2371</v>
      </c>
      <c r="B60" s="25" t="s">
        <v>110</v>
      </c>
      <c r="C60" s="45" t="s">
        <v>111</v>
      </c>
      <c r="D60" s="15" t="str">
        <f>IF(ISNUMBER(INDEX(PCBs!$G$4:$G$475,MATCH($B60,PCBs!$B$4:$B$475,0))),INDEX(PCBs!$G$4:$G$475,MATCH($B60,PCBs!$B$4:$B$475,0)),"---")</f>
        <v>---</v>
      </c>
      <c r="E60" s="15" t="str">
        <f>IF(ISNUMBER(INDEX(PCBs!$K$4:$K$475,MATCH($B60,PCBs!$B$4:$B$475,0))),INDEX(PCBs!$K$4:$K$475,MATCH($B60,PCBs!$B$4:$B$475,0)),"---")</f>
        <v>---</v>
      </c>
      <c r="F60" s="15" t="str">
        <f>IF(ISNUMBER(INDEX(PCBs!$S$4:$S$475,MATCH($B60,PCBs!$B$4:$B$475,0))),INDEX(PCBs!$S$4:$S$475,MATCH($B60,PCBs!$B$4:$B$475,0)),"---")</f>
        <v>---</v>
      </c>
      <c r="G60" s="37" t="str">
        <f>IF(ISNUMBER(INDEX(PCBs!$AA$4:$AA$475,MATCH($B60,PCBs!$B$4:$B$475,0))),INDEX(PCBs!$AA$4:$AA$475,MATCH($B60,PCBs!$B$4:$B$475,0)),"---")</f>
        <v>---</v>
      </c>
    </row>
    <row r="61" spans="1:7" x14ac:dyDescent="0.3">
      <c r="A61" s="39" t="s">
        <v>2372</v>
      </c>
      <c r="B61" s="25" t="s">
        <v>112</v>
      </c>
      <c r="C61" s="45" t="s">
        <v>113</v>
      </c>
      <c r="D61" s="15" t="str">
        <f>IF(ISNUMBER(INDEX(PCBs!$G$4:$G$475,MATCH($B61,PCBs!$B$4:$B$475,0))),INDEX(PCBs!$G$4:$G$475,MATCH($B61,PCBs!$B$4:$B$475,0)),"---")</f>
        <v>---</v>
      </c>
      <c r="E61" s="15" t="str">
        <f>IF(ISNUMBER(INDEX(PCBs!$K$4:$K$475,MATCH($B61,PCBs!$B$4:$B$475,0))),INDEX(PCBs!$K$4:$K$475,MATCH($B61,PCBs!$B$4:$B$475,0)),"---")</f>
        <v>---</v>
      </c>
      <c r="F61" s="15" t="str">
        <f>IF(ISNUMBER(INDEX(PCBs!$S$4:$S$475,MATCH($B61,PCBs!$B$4:$B$475,0))),INDEX(PCBs!$S$4:$S$475,MATCH($B61,PCBs!$B$4:$B$475,0)),"---")</f>
        <v>---</v>
      </c>
      <c r="G61" s="37" t="str">
        <f>IF(ISNUMBER(INDEX(PCBs!$AA$4:$AA$475,MATCH($B61,PCBs!$B$4:$B$475,0))),INDEX(PCBs!$AA$4:$AA$475,MATCH($B61,PCBs!$B$4:$B$475,0)),"---")</f>
        <v>---</v>
      </c>
    </row>
    <row r="62" spans="1:7" x14ac:dyDescent="0.3">
      <c r="A62" s="39" t="s">
        <v>2373</v>
      </c>
      <c r="B62" s="25" t="s">
        <v>114</v>
      </c>
      <c r="C62" s="45" t="s">
        <v>115</v>
      </c>
      <c r="D62" s="15" t="str">
        <f>IF(ISNUMBER(INDEX(PCBs!$G$4:$G$475,MATCH($B62,PCBs!$B$4:$B$475,0))),INDEX(PCBs!$G$4:$G$475,MATCH($B62,PCBs!$B$4:$B$475,0)),"---")</f>
        <v>---</v>
      </c>
      <c r="E62" s="15" t="str">
        <f>IF(ISNUMBER(INDEX(PCBs!$K$4:$K$475,MATCH($B62,PCBs!$B$4:$B$475,0))),INDEX(PCBs!$K$4:$K$475,MATCH($B62,PCBs!$B$4:$B$475,0)),"---")</f>
        <v>---</v>
      </c>
      <c r="F62" s="15" t="str">
        <f>IF(ISNUMBER(INDEX(PCBs!$S$4:$S$475,MATCH($B62,PCBs!$B$4:$B$475,0))),INDEX(PCBs!$S$4:$S$475,MATCH($B62,PCBs!$B$4:$B$475,0)),"---")</f>
        <v>---</v>
      </c>
      <c r="G62" s="37" t="str">
        <f>IF(ISNUMBER(INDEX(PCBs!$AA$4:$AA$475,MATCH($B62,PCBs!$B$4:$B$475,0))),INDEX(PCBs!$AA$4:$AA$475,MATCH($B62,PCBs!$B$4:$B$475,0)),"---")</f>
        <v>---</v>
      </c>
    </row>
    <row r="63" spans="1:7" x14ac:dyDescent="0.3">
      <c r="A63" s="39" t="s">
        <v>2374</v>
      </c>
      <c r="B63" s="25" t="s">
        <v>116</v>
      </c>
      <c r="C63" s="45" t="s">
        <v>117</v>
      </c>
      <c r="D63" s="15" t="str">
        <f>IF(ISNUMBER(INDEX(PCBs!$G$4:$G$475,MATCH($B63,PCBs!$B$4:$B$475,0))),INDEX(PCBs!$G$4:$G$475,MATCH($B63,PCBs!$B$4:$B$475,0)),"---")</f>
        <v>---</v>
      </c>
      <c r="E63" s="15" t="str">
        <f>IF(ISNUMBER(INDEX(PCBs!$K$4:$K$475,MATCH($B63,PCBs!$B$4:$B$475,0))),INDEX(PCBs!$K$4:$K$475,MATCH($B63,PCBs!$B$4:$B$475,0)),"---")</f>
        <v>---</v>
      </c>
      <c r="F63" s="15" t="str">
        <f>IF(ISNUMBER(INDEX(PCBs!$S$4:$S$475,MATCH($B63,PCBs!$B$4:$B$475,0))),INDEX(PCBs!$S$4:$S$475,MATCH($B63,PCBs!$B$4:$B$475,0)),"---")</f>
        <v>---</v>
      </c>
      <c r="G63" s="37" t="str">
        <f>IF(ISNUMBER(INDEX(PCBs!$AA$4:$AA$475,MATCH($B63,PCBs!$B$4:$B$475,0))),INDEX(PCBs!$AA$4:$AA$475,MATCH($B63,PCBs!$B$4:$B$475,0)),"---")</f>
        <v>---</v>
      </c>
    </row>
    <row r="64" spans="1:7" x14ac:dyDescent="0.3">
      <c r="A64" s="39" t="s">
        <v>2375</v>
      </c>
      <c r="B64" s="25" t="s">
        <v>118</v>
      </c>
      <c r="C64" s="45" t="s">
        <v>119</v>
      </c>
      <c r="D64" s="15" t="str">
        <f>IF(ISNUMBER(INDEX(PCBs!$G$4:$G$475,MATCH($B64,PCBs!$B$4:$B$475,0))),INDEX(PCBs!$G$4:$G$475,MATCH($B64,PCBs!$B$4:$B$475,0)),"---")</f>
        <v>---</v>
      </c>
      <c r="E64" s="15" t="str">
        <f>IF(ISNUMBER(INDEX(PCBs!$K$4:$K$475,MATCH($B64,PCBs!$B$4:$B$475,0))),INDEX(PCBs!$K$4:$K$475,MATCH($B64,PCBs!$B$4:$B$475,0)),"---")</f>
        <v>---</v>
      </c>
      <c r="F64" s="15" t="str">
        <f>IF(ISNUMBER(INDEX(PCBs!$S$4:$S$475,MATCH($B64,PCBs!$B$4:$B$475,0))),INDEX(PCBs!$S$4:$S$475,MATCH($B64,PCBs!$B$4:$B$475,0)),"---")</f>
        <v>---</v>
      </c>
      <c r="G64" s="37" t="str">
        <f>IF(ISNUMBER(INDEX(PCBs!$AA$4:$AA$475,MATCH($B64,PCBs!$B$4:$B$475,0))),INDEX(PCBs!$AA$4:$AA$475,MATCH($B64,PCBs!$B$4:$B$475,0)),"---")</f>
        <v>---</v>
      </c>
    </row>
    <row r="65" spans="1:7" x14ac:dyDescent="0.3">
      <c r="A65" s="39" t="s">
        <v>2376</v>
      </c>
      <c r="B65" s="25" t="s">
        <v>120</v>
      </c>
      <c r="C65" s="45" t="s">
        <v>121</v>
      </c>
      <c r="D65" s="15" t="str">
        <f>IF(ISNUMBER(INDEX(PCBs!$G$4:$G$475,MATCH($B65,PCBs!$B$4:$B$475,0))),INDEX(PCBs!$G$4:$G$475,MATCH($B65,PCBs!$B$4:$B$475,0)),"---")</f>
        <v>---</v>
      </c>
      <c r="E65" s="15" t="str">
        <f>IF(ISNUMBER(INDEX(PCBs!$K$4:$K$475,MATCH($B65,PCBs!$B$4:$B$475,0))),INDEX(PCBs!$K$4:$K$475,MATCH($B65,PCBs!$B$4:$B$475,0)),"---")</f>
        <v>---</v>
      </c>
      <c r="F65" s="15" t="str">
        <f>IF(ISNUMBER(INDEX(PCBs!$S$4:$S$475,MATCH($B65,PCBs!$B$4:$B$475,0))),INDEX(PCBs!$S$4:$S$475,MATCH($B65,PCBs!$B$4:$B$475,0)),"---")</f>
        <v>---</v>
      </c>
      <c r="G65" s="37" t="str">
        <f>IF(ISNUMBER(INDEX(PCBs!$AA$4:$AA$475,MATCH($B65,PCBs!$B$4:$B$475,0))),INDEX(PCBs!$AA$4:$AA$475,MATCH($B65,PCBs!$B$4:$B$475,0)),"---")</f>
        <v>---</v>
      </c>
    </row>
    <row r="66" spans="1:7" x14ac:dyDescent="0.3">
      <c r="A66" s="39" t="s">
        <v>2377</v>
      </c>
      <c r="B66" s="25" t="s">
        <v>122</v>
      </c>
      <c r="C66" s="45" t="s">
        <v>123</v>
      </c>
      <c r="D66" s="15">
        <f>IF(ISNUMBER(INDEX(PCBs!$G$4:$G$475,MATCH($B66,PCBs!$B$4:$B$475,0))),INDEX(PCBs!$G$4:$G$475,MATCH($B66,PCBs!$B$4:$B$475,0)),"---")</f>
        <v>6.4079999999999995</v>
      </c>
      <c r="E66" s="15">
        <f>IF(ISNUMBER(INDEX(PCBs!$K$4:$K$475,MATCH($B66,PCBs!$B$4:$B$475,0))),INDEX(PCBs!$K$4:$K$475,MATCH($B66,PCBs!$B$4:$B$475,0)),"---")</f>
        <v>90.75</v>
      </c>
      <c r="F66" s="15">
        <f>IF(ISNUMBER(INDEX(PCBs!$S$4:$S$475,MATCH($B66,PCBs!$B$4:$B$475,0))),INDEX(PCBs!$S$4:$S$475,MATCH($B66,PCBs!$B$4:$B$475,0)),"---")</f>
        <v>8.6924179879987858E-6</v>
      </c>
      <c r="G66" s="37">
        <f>IF(ISNUMBER(INDEX(PCBs!$AA$4:$AA$475,MATCH($B66,PCBs!$B$4:$B$475,0))),INDEX(PCBs!$AA$4:$AA$475,MATCH($B66,PCBs!$B$4:$B$475,0)),"---")</f>
        <v>1.695521715482947E-2</v>
      </c>
    </row>
    <row r="67" spans="1:7" x14ac:dyDescent="0.3">
      <c r="A67" s="39" t="s">
        <v>2378</v>
      </c>
      <c r="B67" s="25" t="s">
        <v>124</v>
      </c>
      <c r="C67" s="45" t="s">
        <v>125</v>
      </c>
      <c r="D67" s="15" t="str">
        <f>IF(ISNUMBER(INDEX(PCBs!$G$4:$G$475,MATCH($B67,PCBs!$B$4:$B$475,0))),INDEX(PCBs!$G$4:$G$475,MATCH($B67,PCBs!$B$4:$B$475,0)),"---")</f>
        <v>---</v>
      </c>
      <c r="E67" s="15" t="str">
        <f>IF(ISNUMBER(INDEX(PCBs!$K$4:$K$475,MATCH($B67,PCBs!$B$4:$B$475,0))),INDEX(PCBs!$K$4:$K$475,MATCH($B67,PCBs!$B$4:$B$475,0)),"---")</f>
        <v>---</v>
      </c>
      <c r="F67" s="15" t="str">
        <f>IF(ISNUMBER(INDEX(PCBs!$S$4:$S$475,MATCH($B67,PCBs!$B$4:$B$475,0))),INDEX(PCBs!$S$4:$S$475,MATCH($B67,PCBs!$B$4:$B$475,0)),"---")</f>
        <v>---</v>
      </c>
      <c r="G67" s="37" t="str">
        <f>IF(ISNUMBER(INDEX(PCBs!$AA$4:$AA$475,MATCH($B67,PCBs!$B$4:$B$475,0))),INDEX(PCBs!$AA$4:$AA$475,MATCH($B67,PCBs!$B$4:$B$475,0)),"---")</f>
        <v>---</v>
      </c>
    </row>
    <row r="68" spans="1:7" x14ac:dyDescent="0.3">
      <c r="A68" s="39" t="s">
        <v>2379</v>
      </c>
      <c r="B68" s="25" t="s">
        <v>126</v>
      </c>
      <c r="C68" s="45" t="s">
        <v>127</v>
      </c>
      <c r="D68" s="15" t="str">
        <f>IF(ISNUMBER(INDEX(PCBs!$G$4:$G$475,MATCH($B68,PCBs!$B$4:$B$475,0))),INDEX(PCBs!$G$4:$G$475,MATCH($B68,PCBs!$B$4:$B$475,0)),"---")</f>
        <v>---</v>
      </c>
      <c r="E68" s="15" t="str">
        <f>IF(ISNUMBER(INDEX(PCBs!$K$4:$K$475,MATCH($B68,PCBs!$B$4:$B$475,0))),INDEX(PCBs!$K$4:$K$475,MATCH($B68,PCBs!$B$4:$B$475,0)),"---")</f>
        <v>---</v>
      </c>
      <c r="F68" s="15" t="str">
        <f>IF(ISNUMBER(INDEX(PCBs!$S$4:$S$475,MATCH($B68,PCBs!$B$4:$B$475,0))),INDEX(PCBs!$S$4:$S$475,MATCH($B68,PCBs!$B$4:$B$475,0)),"---")</f>
        <v>---</v>
      </c>
      <c r="G68" s="37" t="str">
        <f>IF(ISNUMBER(INDEX(PCBs!$AA$4:$AA$475,MATCH($B68,PCBs!$B$4:$B$475,0))),INDEX(PCBs!$AA$4:$AA$475,MATCH($B68,PCBs!$B$4:$B$475,0)),"---")</f>
        <v>---</v>
      </c>
    </row>
    <row r="69" spans="1:7" x14ac:dyDescent="0.3">
      <c r="A69" s="39" t="s">
        <v>2380</v>
      </c>
      <c r="B69" s="25" t="s">
        <v>128</v>
      </c>
      <c r="C69" s="45" t="s">
        <v>129</v>
      </c>
      <c r="D69" s="15" t="str">
        <f>IF(ISNUMBER(INDEX(PCBs!$G$4:$G$475,MATCH($B69,PCBs!$B$4:$B$475,0))),INDEX(PCBs!$G$4:$G$475,MATCH($B69,PCBs!$B$4:$B$475,0)),"---")</f>
        <v>---</v>
      </c>
      <c r="E69" s="15" t="str">
        <f>IF(ISNUMBER(INDEX(PCBs!$K$4:$K$475,MATCH($B69,PCBs!$B$4:$B$475,0))),INDEX(PCBs!$K$4:$K$475,MATCH($B69,PCBs!$B$4:$B$475,0)),"---")</f>
        <v>---</v>
      </c>
      <c r="F69" s="15" t="str">
        <f>IF(ISNUMBER(INDEX(PCBs!$S$4:$S$475,MATCH($B69,PCBs!$B$4:$B$475,0))),INDEX(PCBs!$S$4:$S$475,MATCH($B69,PCBs!$B$4:$B$475,0)),"---")</f>
        <v>---</v>
      </c>
      <c r="G69" s="37" t="str">
        <f>IF(ISNUMBER(INDEX(PCBs!$AA$4:$AA$475,MATCH($B69,PCBs!$B$4:$B$475,0))),INDEX(PCBs!$AA$4:$AA$475,MATCH($B69,PCBs!$B$4:$B$475,0)),"---")</f>
        <v>---</v>
      </c>
    </row>
    <row r="70" spans="1:7" x14ac:dyDescent="0.3">
      <c r="A70" s="39" t="s">
        <v>2381</v>
      </c>
      <c r="B70" s="25" t="s">
        <v>130</v>
      </c>
      <c r="C70" s="45" t="s">
        <v>131</v>
      </c>
      <c r="D70" s="15" t="str">
        <f>IF(ISNUMBER(INDEX(PCBs!$G$4:$G$475,MATCH($B70,PCBs!$B$4:$B$475,0))),INDEX(PCBs!$G$4:$G$475,MATCH($B70,PCBs!$B$4:$B$475,0)),"---")</f>
        <v>---</v>
      </c>
      <c r="E70" s="15" t="str">
        <f>IF(ISNUMBER(INDEX(PCBs!$K$4:$K$475,MATCH($B70,PCBs!$B$4:$B$475,0))),INDEX(PCBs!$K$4:$K$475,MATCH($B70,PCBs!$B$4:$B$475,0)),"---")</f>
        <v>---</v>
      </c>
      <c r="F70" s="15" t="str">
        <f>IF(ISNUMBER(INDEX(PCBs!$S$4:$S$475,MATCH($B70,PCBs!$B$4:$B$475,0))),INDEX(PCBs!$S$4:$S$475,MATCH($B70,PCBs!$B$4:$B$475,0)),"---")</f>
        <v>---</v>
      </c>
      <c r="G70" s="37" t="str">
        <f>IF(ISNUMBER(INDEX(PCBs!$AA$4:$AA$475,MATCH($B70,PCBs!$B$4:$B$475,0))),INDEX(PCBs!$AA$4:$AA$475,MATCH($B70,PCBs!$B$4:$B$475,0)),"---")</f>
        <v>---</v>
      </c>
    </row>
    <row r="71" spans="1:7" x14ac:dyDescent="0.3">
      <c r="A71" s="39" t="s">
        <v>2382</v>
      </c>
      <c r="B71" s="25" t="s">
        <v>132</v>
      </c>
      <c r="C71" s="45" t="s">
        <v>133</v>
      </c>
      <c r="D71" s="15" t="str">
        <f>IF(ISNUMBER(INDEX(PCBs!$G$4:$G$475,MATCH($B71,PCBs!$B$4:$B$475,0))),INDEX(PCBs!$G$4:$G$475,MATCH($B71,PCBs!$B$4:$B$475,0)),"---")</f>
        <v>---</v>
      </c>
      <c r="E71" s="15">
        <f>IF(ISNUMBER(INDEX(PCBs!$K$4:$K$475,MATCH($B71,PCBs!$B$4:$B$475,0))),INDEX(PCBs!$K$4:$K$475,MATCH($B71,PCBs!$B$4:$B$475,0)),"---")</f>
        <v>128</v>
      </c>
      <c r="F71" s="15" t="str">
        <f>IF(ISNUMBER(INDEX(PCBs!$S$4:$S$475,MATCH($B71,PCBs!$B$4:$B$475,0))),INDEX(PCBs!$S$4:$S$475,MATCH($B71,PCBs!$B$4:$B$475,0)),"---")</f>
        <v>---</v>
      </c>
      <c r="G71" s="37" t="str">
        <f>IF(ISNUMBER(INDEX(PCBs!$AA$4:$AA$475,MATCH($B71,PCBs!$B$4:$B$475,0))),INDEX(PCBs!$AA$4:$AA$475,MATCH($B71,PCBs!$B$4:$B$475,0)),"---")</f>
        <v>---</v>
      </c>
    </row>
    <row r="72" spans="1:7" x14ac:dyDescent="0.3">
      <c r="A72" s="39" t="s">
        <v>2383</v>
      </c>
      <c r="B72" s="25" t="s">
        <v>134</v>
      </c>
      <c r="C72" s="45" t="s">
        <v>135</v>
      </c>
      <c r="D72" s="15" t="str">
        <f>IF(ISNUMBER(INDEX(PCBs!$G$4:$G$475,MATCH($B72,PCBs!$B$4:$B$475,0))),INDEX(PCBs!$G$4:$G$475,MATCH($B72,PCBs!$B$4:$B$475,0)),"---")</f>
        <v>---</v>
      </c>
      <c r="E72" s="15" t="str">
        <f>IF(ISNUMBER(INDEX(PCBs!$K$4:$K$475,MATCH($B72,PCBs!$B$4:$B$475,0))),INDEX(PCBs!$K$4:$K$475,MATCH($B72,PCBs!$B$4:$B$475,0)),"---")</f>
        <v>---</v>
      </c>
      <c r="F72" s="15" t="str">
        <f>IF(ISNUMBER(INDEX(PCBs!$S$4:$S$475,MATCH($B72,PCBs!$B$4:$B$475,0))),INDEX(PCBs!$S$4:$S$475,MATCH($B72,PCBs!$B$4:$B$475,0)),"---")</f>
        <v>---</v>
      </c>
      <c r="G72" s="37" t="str">
        <f>IF(ISNUMBER(INDEX(PCBs!$AA$4:$AA$475,MATCH($B72,PCBs!$B$4:$B$475,0))),INDEX(PCBs!$AA$4:$AA$475,MATCH($B72,PCBs!$B$4:$B$475,0)),"---")</f>
        <v>---</v>
      </c>
    </row>
    <row r="73" spans="1:7" x14ac:dyDescent="0.3">
      <c r="A73" s="39" t="s">
        <v>2384</v>
      </c>
      <c r="B73" s="25" t="s">
        <v>136</v>
      </c>
      <c r="C73" s="45" t="s">
        <v>137</v>
      </c>
      <c r="D73" s="15" t="str">
        <f>IF(ISNUMBER(INDEX(PCBs!$G$4:$G$475,MATCH($B73,PCBs!$B$4:$B$475,0))),INDEX(PCBs!$G$4:$G$475,MATCH($B73,PCBs!$B$4:$B$475,0)),"---")</f>
        <v>---</v>
      </c>
      <c r="E73" s="15" t="str">
        <f>IF(ISNUMBER(INDEX(PCBs!$K$4:$K$475,MATCH($B73,PCBs!$B$4:$B$475,0))),INDEX(PCBs!$K$4:$K$475,MATCH($B73,PCBs!$B$4:$B$475,0)),"---")</f>
        <v>---</v>
      </c>
      <c r="F73" s="15" t="str">
        <f>IF(ISNUMBER(INDEX(PCBs!$S$4:$S$475,MATCH($B73,PCBs!$B$4:$B$475,0))),INDEX(PCBs!$S$4:$S$475,MATCH($B73,PCBs!$B$4:$B$475,0)),"---")</f>
        <v>---</v>
      </c>
      <c r="G73" s="37" t="str">
        <f>IF(ISNUMBER(INDEX(PCBs!$AA$4:$AA$475,MATCH($B73,PCBs!$B$4:$B$475,0))),INDEX(PCBs!$AA$4:$AA$475,MATCH($B73,PCBs!$B$4:$B$475,0)),"---")</f>
        <v>---</v>
      </c>
    </row>
    <row r="74" spans="1:7" x14ac:dyDescent="0.3">
      <c r="A74" s="39" t="s">
        <v>2385</v>
      </c>
      <c r="B74" s="25" t="s">
        <v>138</v>
      </c>
      <c r="C74" s="45" t="s">
        <v>139</v>
      </c>
      <c r="D74" s="15" t="str">
        <f>IF(ISNUMBER(INDEX(PCBs!$G$4:$G$475,MATCH($B74,PCBs!$B$4:$B$475,0))),INDEX(PCBs!$G$4:$G$475,MATCH($B74,PCBs!$B$4:$B$475,0)),"---")</f>
        <v>---</v>
      </c>
      <c r="E74" s="15" t="str">
        <f>IF(ISNUMBER(INDEX(PCBs!$K$4:$K$475,MATCH($B74,PCBs!$B$4:$B$475,0))),INDEX(PCBs!$K$4:$K$475,MATCH($B74,PCBs!$B$4:$B$475,0)),"---")</f>
        <v>---</v>
      </c>
      <c r="F74" s="15" t="str">
        <f>IF(ISNUMBER(INDEX(PCBs!$S$4:$S$475,MATCH($B74,PCBs!$B$4:$B$475,0))),INDEX(PCBs!$S$4:$S$475,MATCH($B74,PCBs!$B$4:$B$475,0)),"---")</f>
        <v>---</v>
      </c>
      <c r="G74" s="37" t="str">
        <f>IF(ISNUMBER(INDEX(PCBs!$AA$4:$AA$475,MATCH($B74,PCBs!$B$4:$B$475,0))),INDEX(PCBs!$AA$4:$AA$475,MATCH($B74,PCBs!$B$4:$B$475,0)),"---")</f>
        <v>---</v>
      </c>
    </row>
    <row r="75" spans="1:7" x14ac:dyDescent="0.3">
      <c r="A75" s="39" t="s">
        <v>2386</v>
      </c>
      <c r="B75" s="25" t="s">
        <v>140</v>
      </c>
      <c r="C75" s="45" t="s">
        <v>141</v>
      </c>
      <c r="D75" s="15" t="str">
        <f>IF(ISNUMBER(INDEX(PCBs!$G$4:$G$475,MATCH($B75,PCBs!$B$4:$B$475,0))),INDEX(PCBs!$G$4:$G$475,MATCH($B75,PCBs!$B$4:$B$475,0)),"---")</f>
        <v>---</v>
      </c>
      <c r="E75" s="15">
        <f>IF(ISNUMBER(INDEX(PCBs!$K$4:$K$475,MATCH($B75,PCBs!$B$4:$B$475,0))),INDEX(PCBs!$K$4:$K$475,MATCH($B75,PCBs!$B$4:$B$475,0)),"---")</f>
        <v>104</v>
      </c>
      <c r="F75" s="15" t="str">
        <f>IF(ISNUMBER(INDEX(PCBs!$S$4:$S$475,MATCH($B75,PCBs!$B$4:$B$475,0))),INDEX(PCBs!$S$4:$S$475,MATCH($B75,PCBs!$B$4:$B$475,0)),"---")</f>
        <v>---</v>
      </c>
      <c r="G75" s="37" t="str">
        <f>IF(ISNUMBER(INDEX(PCBs!$AA$4:$AA$475,MATCH($B75,PCBs!$B$4:$B$475,0))),INDEX(PCBs!$AA$4:$AA$475,MATCH($B75,PCBs!$B$4:$B$475,0)),"---")</f>
        <v>---</v>
      </c>
    </row>
    <row r="76" spans="1:7" x14ac:dyDescent="0.3">
      <c r="A76" s="39" t="s">
        <v>2387</v>
      </c>
      <c r="B76" s="25" t="s">
        <v>142</v>
      </c>
      <c r="C76" s="45" t="s">
        <v>143</v>
      </c>
      <c r="D76" s="15" t="str">
        <f>IF(ISNUMBER(INDEX(PCBs!$G$4:$G$475,MATCH($B76,PCBs!$B$4:$B$475,0))),INDEX(PCBs!$G$4:$G$475,MATCH($B76,PCBs!$B$4:$B$475,0)),"---")</f>
        <v>---</v>
      </c>
      <c r="E76" s="15" t="str">
        <f>IF(ISNUMBER(INDEX(PCBs!$K$4:$K$475,MATCH($B76,PCBs!$B$4:$B$475,0))),INDEX(PCBs!$K$4:$K$475,MATCH($B76,PCBs!$B$4:$B$475,0)),"---")</f>
        <v>---</v>
      </c>
      <c r="F76" s="15" t="str">
        <f>IF(ISNUMBER(INDEX(PCBs!$S$4:$S$475,MATCH($B76,PCBs!$B$4:$B$475,0))),INDEX(PCBs!$S$4:$S$475,MATCH($B76,PCBs!$B$4:$B$475,0)),"---")</f>
        <v>---</v>
      </c>
      <c r="G76" s="37" t="str">
        <f>IF(ISNUMBER(INDEX(PCBs!$AA$4:$AA$475,MATCH($B76,PCBs!$B$4:$B$475,0))),INDEX(PCBs!$AA$4:$AA$475,MATCH($B76,PCBs!$B$4:$B$475,0)),"---")</f>
        <v>---</v>
      </c>
    </row>
    <row r="77" spans="1:7" x14ac:dyDescent="0.3">
      <c r="A77" s="39" t="s">
        <v>2388</v>
      </c>
      <c r="B77" s="25" t="s">
        <v>144</v>
      </c>
      <c r="C77" s="45" t="s">
        <v>145</v>
      </c>
      <c r="D77" s="15" t="str">
        <f>IF(ISNUMBER(INDEX(PCBs!$G$4:$G$475,MATCH($B77,PCBs!$B$4:$B$475,0))),INDEX(PCBs!$G$4:$G$475,MATCH($B77,PCBs!$B$4:$B$475,0)),"---")</f>
        <v>---</v>
      </c>
      <c r="E77" s="15" t="str">
        <f>IF(ISNUMBER(INDEX(PCBs!$K$4:$K$475,MATCH($B77,PCBs!$B$4:$B$475,0))),INDEX(PCBs!$K$4:$K$475,MATCH($B77,PCBs!$B$4:$B$475,0)),"---")</f>
        <v>---</v>
      </c>
      <c r="F77" s="15" t="str">
        <f>IF(ISNUMBER(INDEX(PCBs!$S$4:$S$475,MATCH($B77,PCBs!$B$4:$B$475,0))),INDEX(PCBs!$S$4:$S$475,MATCH($B77,PCBs!$B$4:$B$475,0)),"---")</f>
        <v>---</v>
      </c>
      <c r="G77" s="37" t="str">
        <f>IF(ISNUMBER(INDEX(PCBs!$AA$4:$AA$475,MATCH($B77,PCBs!$B$4:$B$475,0))),INDEX(PCBs!$AA$4:$AA$475,MATCH($B77,PCBs!$B$4:$B$475,0)),"---")</f>
        <v>---</v>
      </c>
    </row>
    <row r="78" spans="1:7" x14ac:dyDescent="0.3">
      <c r="A78" s="39" t="s">
        <v>2389</v>
      </c>
      <c r="B78" s="25" t="s">
        <v>146</v>
      </c>
      <c r="C78" s="45" t="s">
        <v>147</v>
      </c>
      <c r="D78" s="15" t="str">
        <f>IF(ISNUMBER(INDEX(PCBs!$G$4:$G$475,MATCH($B78,PCBs!$B$4:$B$475,0))),INDEX(PCBs!$G$4:$G$475,MATCH($B78,PCBs!$B$4:$B$475,0)),"---")</f>
        <v>---</v>
      </c>
      <c r="E78" s="15" t="str">
        <f>IF(ISNUMBER(INDEX(PCBs!$K$4:$K$475,MATCH($B78,PCBs!$B$4:$B$475,0))),INDEX(PCBs!$K$4:$K$475,MATCH($B78,PCBs!$B$4:$B$475,0)),"---")</f>
        <v>---</v>
      </c>
      <c r="F78" s="15" t="str">
        <f>IF(ISNUMBER(INDEX(PCBs!$S$4:$S$475,MATCH($B78,PCBs!$B$4:$B$475,0))),INDEX(PCBs!$S$4:$S$475,MATCH($B78,PCBs!$B$4:$B$475,0)),"---")</f>
        <v>---</v>
      </c>
      <c r="G78" s="37" t="str">
        <f>IF(ISNUMBER(INDEX(PCBs!$AA$4:$AA$475,MATCH($B78,PCBs!$B$4:$B$475,0))),INDEX(PCBs!$AA$4:$AA$475,MATCH($B78,PCBs!$B$4:$B$475,0)),"---")</f>
        <v>---</v>
      </c>
    </row>
    <row r="79" spans="1:7" x14ac:dyDescent="0.3">
      <c r="A79" s="39" t="s">
        <v>2390</v>
      </c>
      <c r="B79" s="25" t="s">
        <v>148</v>
      </c>
      <c r="C79" s="45" t="s">
        <v>149</v>
      </c>
      <c r="D79" s="15" t="str">
        <f>IF(ISNUMBER(INDEX(PCBs!$G$4:$G$475,MATCH($B79,PCBs!$B$4:$B$475,0))),INDEX(PCBs!$G$4:$G$475,MATCH($B79,PCBs!$B$4:$B$475,0)),"---")</f>
        <v>---</v>
      </c>
      <c r="E79" s="15" t="str">
        <f>IF(ISNUMBER(INDEX(PCBs!$K$4:$K$475,MATCH($B79,PCBs!$B$4:$B$475,0))),INDEX(PCBs!$K$4:$K$475,MATCH($B79,PCBs!$B$4:$B$475,0)),"---")</f>
        <v>---</v>
      </c>
      <c r="F79" s="15" t="str">
        <f>IF(ISNUMBER(INDEX(PCBs!$S$4:$S$475,MATCH($B79,PCBs!$B$4:$B$475,0))),INDEX(PCBs!$S$4:$S$475,MATCH($B79,PCBs!$B$4:$B$475,0)),"---")</f>
        <v>---</v>
      </c>
      <c r="G79" s="37" t="str">
        <f>IF(ISNUMBER(INDEX(PCBs!$AA$4:$AA$475,MATCH($B79,PCBs!$B$4:$B$475,0))),INDEX(PCBs!$AA$4:$AA$475,MATCH($B79,PCBs!$B$4:$B$475,0)),"---")</f>
        <v>---</v>
      </c>
    </row>
    <row r="80" spans="1:7" x14ac:dyDescent="0.3">
      <c r="A80" s="39" t="s">
        <v>2391</v>
      </c>
      <c r="B80" s="25" t="s">
        <v>150</v>
      </c>
      <c r="C80" s="45" t="s">
        <v>151</v>
      </c>
      <c r="D80" s="15" t="str">
        <f>IF(ISNUMBER(INDEX(PCBs!$G$4:$G$475,MATCH($B80,PCBs!$B$4:$B$475,0))),INDEX(PCBs!$G$4:$G$475,MATCH($B80,PCBs!$B$4:$B$475,0)),"---")</f>
        <v>---</v>
      </c>
      <c r="E80" s="15" t="str">
        <f>IF(ISNUMBER(INDEX(PCBs!$K$4:$K$475,MATCH($B80,PCBs!$B$4:$B$475,0))),INDEX(PCBs!$K$4:$K$475,MATCH($B80,PCBs!$B$4:$B$475,0)),"---")</f>
        <v>---</v>
      </c>
      <c r="F80" s="15" t="str">
        <f>IF(ISNUMBER(INDEX(PCBs!$S$4:$S$475,MATCH($B80,PCBs!$B$4:$B$475,0))),INDEX(PCBs!$S$4:$S$475,MATCH($B80,PCBs!$B$4:$B$475,0)),"---")</f>
        <v>---</v>
      </c>
      <c r="G80" s="37" t="str">
        <f>IF(ISNUMBER(INDEX(PCBs!$AA$4:$AA$475,MATCH($B80,PCBs!$B$4:$B$475,0))),INDEX(PCBs!$AA$4:$AA$475,MATCH($B80,PCBs!$B$4:$B$475,0)),"---")</f>
        <v>---</v>
      </c>
    </row>
    <row r="81" spans="1:7" x14ac:dyDescent="0.3">
      <c r="A81" s="39" t="s">
        <v>2392</v>
      </c>
      <c r="B81" s="25" t="s">
        <v>152</v>
      </c>
      <c r="C81" s="45" t="s">
        <v>153</v>
      </c>
      <c r="D81" s="15" t="str">
        <f>IF(ISNUMBER(INDEX(PCBs!$G$4:$G$475,MATCH($B81,PCBs!$B$4:$B$475,0))),INDEX(PCBs!$G$4:$G$475,MATCH($B81,PCBs!$B$4:$B$475,0)),"---")</f>
        <v>---</v>
      </c>
      <c r="E81" s="15" t="str">
        <f>IF(ISNUMBER(INDEX(PCBs!$K$4:$K$475,MATCH($B81,PCBs!$B$4:$B$475,0))),INDEX(PCBs!$K$4:$K$475,MATCH($B81,PCBs!$B$4:$B$475,0)),"---")</f>
        <v>---</v>
      </c>
      <c r="F81" s="15" t="str">
        <f>IF(ISNUMBER(INDEX(PCBs!$S$4:$S$475,MATCH($B81,PCBs!$B$4:$B$475,0))),INDEX(PCBs!$S$4:$S$475,MATCH($B81,PCBs!$B$4:$B$475,0)),"---")</f>
        <v>---</v>
      </c>
      <c r="G81" s="37" t="str">
        <f>IF(ISNUMBER(INDEX(PCBs!$AA$4:$AA$475,MATCH($B81,PCBs!$B$4:$B$475,0))),INDEX(PCBs!$AA$4:$AA$475,MATCH($B81,PCBs!$B$4:$B$475,0)),"---")</f>
        <v>---</v>
      </c>
    </row>
    <row r="82" spans="1:7" x14ac:dyDescent="0.3">
      <c r="A82" s="39" t="s">
        <v>2393</v>
      </c>
      <c r="B82" s="25" t="s">
        <v>154</v>
      </c>
      <c r="C82" s="45" t="s">
        <v>155</v>
      </c>
      <c r="D82" s="15">
        <f>IF(ISNUMBER(INDEX(PCBs!$G$4:$G$475,MATCH($B82,PCBs!$B$4:$B$475,0))),INDEX(PCBs!$G$4:$G$475,MATCH($B82,PCBs!$B$4:$B$475,0)),"---")</f>
        <v>6.76</v>
      </c>
      <c r="E82" s="15">
        <f>IF(ISNUMBER(INDEX(PCBs!$K$4:$K$475,MATCH($B82,PCBs!$B$4:$B$475,0))),INDEX(PCBs!$K$4:$K$475,MATCH($B82,PCBs!$B$4:$B$475,0)),"---")</f>
        <v>179.9</v>
      </c>
      <c r="F82" s="15" t="str">
        <f>IF(ISNUMBER(INDEX(PCBs!$S$4:$S$475,MATCH($B82,PCBs!$B$4:$B$475,0))),INDEX(PCBs!$S$4:$S$475,MATCH($B82,PCBs!$B$4:$B$475,0)),"---")</f>
        <v>---</v>
      </c>
      <c r="G82" s="37" t="str">
        <f>IF(ISNUMBER(INDEX(PCBs!$AA$4:$AA$475,MATCH($B82,PCBs!$B$4:$B$475,0))),INDEX(PCBs!$AA$4:$AA$475,MATCH($B82,PCBs!$B$4:$B$475,0)),"---")</f>
        <v>---</v>
      </c>
    </row>
    <row r="83" spans="1:7" x14ac:dyDescent="0.3">
      <c r="A83" s="39" t="s">
        <v>2394</v>
      </c>
      <c r="B83" s="25" t="s">
        <v>156</v>
      </c>
      <c r="C83" s="45" t="s">
        <v>157</v>
      </c>
      <c r="D83" s="15" t="str">
        <f>IF(ISNUMBER(INDEX(PCBs!$G$4:$G$475,MATCH($B83,PCBs!$B$4:$B$475,0))),INDEX(PCBs!$G$4:$G$475,MATCH($B83,PCBs!$B$4:$B$475,0)),"---")</f>
        <v>---</v>
      </c>
      <c r="E83" s="15" t="str">
        <f>IF(ISNUMBER(INDEX(PCBs!$K$4:$K$475,MATCH($B83,PCBs!$B$4:$B$475,0))),INDEX(PCBs!$K$4:$K$475,MATCH($B83,PCBs!$B$4:$B$475,0)),"---")</f>
        <v>---</v>
      </c>
      <c r="F83" s="15" t="str">
        <f>IF(ISNUMBER(INDEX(PCBs!$S$4:$S$475,MATCH($B83,PCBs!$B$4:$B$475,0))),INDEX(PCBs!$S$4:$S$475,MATCH($B83,PCBs!$B$4:$B$475,0)),"---")</f>
        <v>---</v>
      </c>
      <c r="G83" s="37" t="str">
        <f>IF(ISNUMBER(INDEX(PCBs!$AA$4:$AA$475,MATCH($B83,PCBs!$B$4:$B$475,0))),INDEX(PCBs!$AA$4:$AA$475,MATCH($B83,PCBs!$B$4:$B$475,0)),"---")</f>
        <v>---</v>
      </c>
    </row>
    <row r="84" spans="1:7" x14ac:dyDescent="0.3">
      <c r="A84" s="39" t="s">
        <v>2395</v>
      </c>
      <c r="B84" s="25" t="s">
        <v>158</v>
      </c>
      <c r="C84" s="45" t="s">
        <v>159</v>
      </c>
      <c r="D84" s="15" t="str">
        <f>IF(ISNUMBER(INDEX(PCBs!$G$4:$G$475,MATCH($B84,PCBs!$B$4:$B$475,0))),INDEX(PCBs!$G$4:$G$475,MATCH($B84,PCBs!$B$4:$B$475,0)),"---")</f>
        <v>---</v>
      </c>
      <c r="E84" s="15" t="str">
        <f>IF(ISNUMBER(INDEX(PCBs!$K$4:$K$475,MATCH($B84,PCBs!$B$4:$B$475,0))),INDEX(PCBs!$K$4:$K$475,MATCH($B84,PCBs!$B$4:$B$475,0)),"---")</f>
        <v>---</v>
      </c>
      <c r="F84" s="15" t="str">
        <f>IF(ISNUMBER(INDEX(PCBs!$S$4:$S$475,MATCH($B84,PCBs!$B$4:$B$475,0))),INDEX(PCBs!$S$4:$S$475,MATCH($B84,PCBs!$B$4:$B$475,0)),"---")</f>
        <v>---</v>
      </c>
      <c r="G84" s="37" t="str">
        <f>IF(ISNUMBER(INDEX(PCBs!$AA$4:$AA$475,MATCH($B84,PCBs!$B$4:$B$475,0))),INDEX(PCBs!$AA$4:$AA$475,MATCH($B84,PCBs!$B$4:$B$475,0)),"---")</f>
        <v>---</v>
      </c>
    </row>
    <row r="85" spans="1:7" x14ac:dyDescent="0.3">
      <c r="A85" s="39" t="s">
        <v>2396</v>
      </c>
      <c r="B85" s="25" t="s">
        <v>160</v>
      </c>
      <c r="C85" s="45" t="s">
        <v>161</v>
      </c>
      <c r="D85" s="15" t="str">
        <f>IF(ISNUMBER(INDEX(PCBs!$G$4:$G$475,MATCH($B85,PCBs!$B$4:$B$475,0))),INDEX(PCBs!$G$4:$G$475,MATCH($B85,PCBs!$B$4:$B$475,0)),"---")</f>
        <v>---</v>
      </c>
      <c r="E85" s="15" t="str">
        <f>IF(ISNUMBER(INDEX(PCBs!$K$4:$K$475,MATCH($B85,PCBs!$B$4:$B$475,0))),INDEX(PCBs!$K$4:$K$475,MATCH($B85,PCBs!$B$4:$B$475,0)),"---")</f>
        <v>---</v>
      </c>
      <c r="F85" s="15" t="str">
        <f>IF(ISNUMBER(INDEX(PCBs!$S$4:$S$475,MATCH($B85,PCBs!$B$4:$B$475,0))),INDEX(PCBs!$S$4:$S$475,MATCH($B85,PCBs!$B$4:$B$475,0)),"---")</f>
        <v>---</v>
      </c>
      <c r="G85" s="37" t="str">
        <f>IF(ISNUMBER(INDEX(PCBs!$AA$4:$AA$475,MATCH($B85,PCBs!$B$4:$B$475,0))),INDEX(PCBs!$AA$4:$AA$475,MATCH($B85,PCBs!$B$4:$B$475,0)),"---")</f>
        <v>---</v>
      </c>
    </row>
    <row r="86" spans="1:7" x14ac:dyDescent="0.3">
      <c r="A86" s="39" t="s">
        <v>2397</v>
      </c>
      <c r="B86" s="25" t="s">
        <v>162</v>
      </c>
      <c r="C86" s="45" t="s">
        <v>163</v>
      </c>
      <c r="D86" s="15" t="str">
        <f>IF(ISNUMBER(INDEX(PCBs!$G$4:$G$475,MATCH($B86,PCBs!$B$4:$B$475,0))),INDEX(PCBs!$G$4:$G$475,MATCH($B86,PCBs!$B$4:$B$475,0)),"---")</f>
        <v>---</v>
      </c>
      <c r="E86" s="15" t="str">
        <f>IF(ISNUMBER(INDEX(PCBs!$K$4:$K$475,MATCH($B86,PCBs!$B$4:$B$475,0))),INDEX(PCBs!$K$4:$K$475,MATCH($B86,PCBs!$B$4:$B$475,0)),"---")</f>
        <v>---</v>
      </c>
      <c r="F86" s="15" t="str">
        <f>IF(ISNUMBER(INDEX(PCBs!$S$4:$S$475,MATCH($B86,PCBs!$B$4:$B$475,0))),INDEX(PCBs!$S$4:$S$475,MATCH($B86,PCBs!$B$4:$B$475,0)),"---")</f>
        <v>---</v>
      </c>
      <c r="G86" s="37" t="str">
        <f>IF(ISNUMBER(INDEX(PCBs!$AA$4:$AA$475,MATCH($B86,PCBs!$B$4:$B$475,0))),INDEX(PCBs!$AA$4:$AA$475,MATCH($B86,PCBs!$B$4:$B$475,0)),"---")</f>
        <v>---</v>
      </c>
    </row>
    <row r="87" spans="1:7" x14ac:dyDescent="0.3">
      <c r="A87" s="39" t="s">
        <v>2398</v>
      </c>
      <c r="B87" s="25" t="s">
        <v>164</v>
      </c>
      <c r="C87" s="45" t="s">
        <v>165</v>
      </c>
      <c r="D87" s="15" t="str">
        <f>IF(ISNUMBER(INDEX(PCBs!$G$4:$G$475,MATCH($B87,PCBs!$B$4:$B$475,0))),INDEX(PCBs!$G$4:$G$475,MATCH($B87,PCBs!$B$4:$B$475,0)),"---")</f>
        <v>---</v>
      </c>
      <c r="E87" s="15">
        <f>IF(ISNUMBER(INDEX(PCBs!$K$4:$K$475,MATCH($B87,PCBs!$B$4:$B$475,0))),INDEX(PCBs!$K$4:$K$475,MATCH($B87,PCBs!$B$4:$B$475,0)),"---")</f>
        <v>119</v>
      </c>
      <c r="F87" s="15" t="str">
        <f>IF(ISNUMBER(INDEX(PCBs!$S$4:$S$475,MATCH($B87,PCBs!$B$4:$B$475,0))),INDEX(PCBs!$S$4:$S$475,MATCH($B87,PCBs!$B$4:$B$475,0)),"---")</f>
        <v>---</v>
      </c>
      <c r="G87" s="37" t="str">
        <f>IF(ISNUMBER(INDEX(PCBs!$AA$4:$AA$475,MATCH($B87,PCBs!$B$4:$B$475,0))),INDEX(PCBs!$AA$4:$AA$475,MATCH($B87,PCBs!$B$4:$B$475,0)),"---")</f>
        <v>---</v>
      </c>
    </row>
    <row r="88" spans="1:7" x14ac:dyDescent="0.3">
      <c r="A88" s="39" t="s">
        <v>2399</v>
      </c>
      <c r="B88" s="25" t="s">
        <v>166</v>
      </c>
      <c r="C88" s="45" t="s">
        <v>167</v>
      </c>
      <c r="D88" s="15" t="str">
        <f>IF(ISNUMBER(INDEX(PCBs!$G$4:$G$475,MATCH($B88,PCBs!$B$4:$B$475,0))),INDEX(PCBs!$G$4:$G$475,MATCH($B88,PCBs!$B$4:$B$475,0)),"---")</f>
        <v>---</v>
      </c>
      <c r="E88" s="15" t="str">
        <f>IF(ISNUMBER(INDEX(PCBs!$K$4:$K$475,MATCH($B88,PCBs!$B$4:$B$475,0))),INDEX(PCBs!$K$4:$K$475,MATCH($B88,PCBs!$B$4:$B$475,0)),"---")</f>
        <v>---</v>
      </c>
      <c r="F88" s="15" t="str">
        <f>IF(ISNUMBER(INDEX(PCBs!$S$4:$S$475,MATCH($B88,PCBs!$B$4:$B$475,0))),INDEX(PCBs!$S$4:$S$475,MATCH($B88,PCBs!$B$4:$B$475,0)),"---")</f>
        <v>---</v>
      </c>
      <c r="G88" s="37" t="str">
        <f>IF(ISNUMBER(INDEX(PCBs!$AA$4:$AA$475,MATCH($B88,PCBs!$B$4:$B$475,0))),INDEX(PCBs!$AA$4:$AA$475,MATCH($B88,PCBs!$B$4:$B$475,0)),"---")</f>
        <v>---</v>
      </c>
    </row>
    <row r="89" spans="1:7" x14ac:dyDescent="0.3">
      <c r="A89" s="39" t="s">
        <v>2400</v>
      </c>
      <c r="B89" s="25" t="s">
        <v>168</v>
      </c>
      <c r="C89" s="45" t="s">
        <v>169</v>
      </c>
      <c r="D89" s="15" t="str">
        <f>IF(ISNUMBER(INDEX(PCBs!$G$4:$G$475,MATCH($B89,PCBs!$B$4:$B$475,0))),INDEX(PCBs!$G$4:$G$475,MATCH($B89,PCBs!$B$4:$B$475,0)),"---")</f>
        <v>---</v>
      </c>
      <c r="E89" s="15" t="str">
        <f>IF(ISNUMBER(INDEX(PCBs!$K$4:$K$475,MATCH($B89,PCBs!$B$4:$B$475,0))),INDEX(PCBs!$K$4:$K$475,MATCH($B89,PCBs!$B$4:$B$475,0)),"---")</f>
        <v>---</v>
      </c>
      <c r="F89" s="15" t="str">
        <f>IF(ISNUMBER(INDEX(PCBs!$S$4:$S$475,MATCH($B89,PCBs!$B$4:$B$475,0))),INDEX(PCBs!$S$4:$S$475,MATCH($B89,PCBs!$B$4:$B$475,0)),"---")</f>
        <v>---</v>
      </c>
      <c r="G89" s="37" t="str">
        <f>IF(ISNUMBER(INDEX(PCBs!$AA$4:$AA$475,MATCH($B89,PCBs!$B$4:$B$475,0))),INDEX(PCBs!$AA$4:$AA$475,MATCH($B89,PCBs!$B$4:$B$475,0)),"---")</f>
        <v>---</v>
      </c>
    </row>
    <row r="90" spans="1:7" x14ac:dyDescent="0.3">
      <c r="A90" s="39" t="s">
        <v>2401</v>
      </c>
      <c r="B90" s="25" t="s">
        <v>170</v>
      </c>
      <c r="C90" s="45" t="s">
        <v>171</v>
      </c>
      <c r="D90" s="15" t="str">
        <f>IF(ISNUMBER(INDEX(PCBs!$G$4:$G$475,MATCH($B90,PCBs!$B$4:$B$475,0))),INDEX(PCBs!$G$4:$G$475,MATCH($B90,PCBs!$B$4:$B$475,0)),"---")</f>
        <v>---</v>
      </c>
      <c r="E90" s="15" t="str">
        <f>IF(ISNUMBER(INDEX(PCBs!$K$4:$K$475,MATCH($B90,PCBs!$B$4:$B$475,0))),INDEX(PCBs!$K$4:$K$475,MATCH($B90,PCBs!$B$4:$B$475,0)),"---")</f>
        <v>---</v>
      </c>
      <c r="F90" s="15" t="str">
        <f>IF(ISNUMBER(INDEX(PCBs!$S$4:$S$475,MATCH($B90,PCBs!$B$4:$B$475,0))),INDEX(PCBs!$S$4:$S$475,MATCH($B90,PCBs!$B$4:$B$475,0)),"---")</f>
        <v>---</v>
      </c>
      <c r="G90" s="37" t="str">
        <f>IF(ISNUMBER(INDEX(PCBs!$AA$4:$AA$475,MATCH($B90,PCBs!$B$4:$B$475,0))),INDEX(PCBs!$AA$4:$AA$475,MATCH($B90,PCBs!$B$4:$B$475,0)),"---")</f>
        <v>---</v>
      </c>
    </row>
    <row r="91" spans="1:7" x14ac:dyDescent="0.3">
      <c r="A91" s="39" t="s">
        <v>2402</v>
      </c>
      <c r="B91" s="25" t="s">
        <v>172</v>
      </c>
      <c r="C91" s="45" t="s">
        <v>173</v>
      </c>
      <c r="D91" s="15" t="str">
        <f>IF(ISNUMBER(INDEX(PCBs!$G$4:$G$475,MATCH($B91,PCBs!$B$4:$B$475,0))),INDEX(PCBs!$G$4:$G$475,MATCH($B91,PCBs!$B$4:$B$475,0)),"---")</f>
        <v>---</v>
      </c>
      <c r="E91" s="15">
        <f>IF(ISNUMBER(INDEX(PCBs!$K$4:$K$475,MATCH($B91,PCBs!$B$4:$B$475,0))),INDEX(PCBs!$K$4:$K$475,MATCH($B91,PCBs!$B$4:$B$475,0)),"---")</f>
        <v>100</v>
      </c>
      <c r="F91" s="15" t="str">
        <f>IF(ISNUMBER(INDEX(PCBs!$S$4:$S$475,MATCH($B91,PCBs!$B$4:$B$475,0))),INDEX(PCBs!$S$4:$S$475,MATCH($B91,PCBs!$B$4:$B$475,0)),"---")</f>
        <v>---</v>
      </c>
      <c r="G91" s="37" t="str">
        <f>IF(ISNUMBER(INDEX(PCBs!$AA$4:$AA$475,MATCH($B91,PCBs!$B$4:$B$475,0))),INDEX(PCBs!$AA$4:$AA$475,MATCH($B91,PCBs!$B$4:$B$475,0)),"---")</f>
        <v>---</v>
      </c>
    </row>
    <row r="92" spans="1:7" x14ac:dyDescent="0.3">
      <c r="A92" s="39" t="s">
        <v>2403</v>
      </c>
      <c r="B92" s="25" t="s">
        <v>174</v>
      </c>
      <c r="C92" s="45" t="s">
        <v>175</v>
      </c>
      <c r="D92" s="15" t="str">
        <f>IF(ISNUMBER(INDEX(PCBs!$G$4:$G$475,MATCH($B92,PCBs!$B$4:$B$475,0))),INDEX(PCBs!$G$4:$G$475,MATCH($B92,PCBs!$B$4:$B$475,0)),"---")</f>
        <v>---</v>
      </c>
      <c r="E92" s="15">
        <f>IF(ISNUMBER(INDEX(PCBs!$K$4:$K$475,MATCH($B92,PCBs!$B$4:$B$475,0))),INDEX(PCBs!$K$4:$K$475,MATCH($B92,PCBs!$B$4:$B$475,0)),"---")</f>
        <v>112</v>
      </c>
      <c r="F92" s="15" t="str">
        <f>IF(ISNUMBER(INDEX(PCBs!$S$4:$S$475,MATCH($B92,PCBs!$B$4:$B$475,0))),INDEX(PCBs!$S$4:$S$475,MATCH($B92,PCBs!$B$4:$B$475,0)),"---")</f>
        <v>---</v>
      </c>
      <c r="G92" s="37" t="str">
        <f>IF(ISNUMBER(INDEX(PCBs!$AA$4:$AA$475,MATCH($B92,PCBs!$B$4:$B$475,0))),INDEX(PCBs!$AA$4:$AA$475,MATCH($B92,PCBs!$B$4:$B$475,0)),"---")</f>
        <v>---</v>
      </c>
    </row>
    <row r="93" spans="1:7" x14ac:dyDescent="0.3">
      <c r="A93" s="39" t="s">
        <v>2404</v>
      </c>
      <c r="B93" s="25" t="s">
        <v>176</v>
      </c>
      <c r="C93" s="45" t="s">
        <v>177</v>
      </c>
      <c r="D93" s="15" t="str">
        <f>IF(ISNUMBER(INDEX(PCBs!$G$4:$G$475,MATCH($B93,PCBs!$B$4:$B$475,0))),INDEX(PCBs!$G$4:$G$475,MATCH($B93,PCBs!$B$4:$B$475,0)),"---")</f>
        <v>---</v>
      </c>
      <c r="E93" s="15">
        <f>IF(ISNUMBER(INDEX(PCBs!$K$4:$K$475,MATCH($B93,PCBs!$B$4:$B$475,0))),INDEX(PCBs!$K$4:$K$475,MATCH($B93,PCBs!$B$4:$B$475,0)),"---")</f>
        <v>100</v>
      </c>
      <c r="F93" s="15" t="str">
        <f>IF(ISNUMBER(INDEX(PCBs!$S$4:$S$475,MATCH($B93,PCBs!$B$4:$B$475,0))),INDEX(PCBs!$S$4:$S$475,MATCH($B93,PCBs!$B$4:$B$475,0)),"---")</f>
        <v>---</v>
      </c>
      <c r="G93" s="37" t="str">
        <f>IF(ISNUMBER(INDEX(PCBs!$AA$4:$AA$475,MATCH($B93,PCBs!$B$4:$B$475,0))),INDEX(PCBs!$AA$4:$AA$475,MATCH($B93,PCBs!$B$4:$B$475,0)),"---")</f>
        <v>---</v>
      </c>
    </row>
    <row r="94" spans="1:7" x14ac:dyDescent="0.3">
      <c r="A94" s="39" t="s">
        <v>2405</v>
      </c>
      <c r="B94" s="25" t="s">
        <v>178</v>
      </c>
      <c r="C94" s="45" t="s">
        <v>179</v>
      </c>
      <c r="D94" s="15" t="str">
        <f>IF(ISNUMBER(INDEX(PCBs!$G$4:$G$475,MATCH($B94,PCBs!$B$4:$B$475,0))),INDEX(PCBs!$G$4:$G$475,MATCH($B94,PCBs!$B$4:$B$475,0)),"---")</f>
        <v>---</v>
      </c>
      <c r="E94" s="15" t="str">
        <f>IF(ISNUMBER(INDEX(PCBs!$K$4:$K$475,MATCH($B94,PCBs!$B$4:$B$475,0))),INDEX(PCBs!$K$4:$K$475,MATCH($B94,PCBs!$B$4:$B$475,0)),"---")</f>
        <v>---</v>
      </c>
      <c r="F94" s="15" t="str">
        <f>IF(ISNUMBER(INDEX(PCBs!$S$4:$S$475,MATCH($B94,PCBs!$B$4:$B$475,0))),INDEX(PCBs!$S$4:$S$475,MATCH($B94,PCBs!$B$4:$B$475,0)),"---")</f>
        <v>---</v>
      </c>
      <c r="G94" s="37" t="str">
        <f>IF(ISNUMBER(INDEX(PCBs!$AA$4:$AA$475,MATCH($B94,PCBs!$B$4:$B$475,0))),INDEX(PCBs!$AA$4:$AA$475,MATCH($B94,PCBs!$B$4:$B$475,0)),"---")</f>
        <v>---</v>
      </c>
    </row>
    <row r="95" spans="1:7" x14ac:dyDescent="0.3">
      <c r="A95" s="39" t="s">
        <v>2406</v>
      </c>
      <c r="B95" s="25" t="s">
        <v>180</v>
      </c>
      <c r="C95" s="45" t="s">
        <v>181</v>
      </c>
      <c r="D95" s="15" t="str">
        <f>IF(ISNUMBER(INDEX(PCBs!$G$4:$G$475,MATCH($B95,PCBs!$B$4:$B$475,0))),INDEX(PCBs!$G$4:$G$475,MATCH($B95,PCBs!$B$4:$B$475,0)),"---")</f>
        <v>---</v>
      </c>
      <c r="E95" s="15" t="str">
        <f>IF(ISNUMBER(INDEX(PCBs!$K$4:$K$475,MATCH($B95,PCBs!$B$4:$B$475,0))),INDEX(PCBs!$K$4:$K$475,MATCH($B95,PCBs!$B$4:$B$475,0)),"---")</f>
        <v>---</v>
      </c>
      <c r="F95" s="15" t="str">
        <f>IF(ISNUMBER(INDEX(PCBs!$S$4:$S$475,MATCH($B95,PCBs!$B$4:$B$475,0))),INDEX(PCBs!$S$4:$S$475,MATCH($B95,PCBs!$B$4:$B$475,0)),"---")</f>
        <v>---</v>
      </c>
      <c r="G95" s="37" t="str">
        <f>IF(ISNUMBER(INDEX(PCBs!$AA$4:$AA$475,MATCH($B95,PCBs!$B$4:$B$475,0))),INDEX(PCBs!$AA$4:$AA$475,MATCH($B95,PCBs!$B$4:$B$475,0)),"---")</f>
        <v>---</v>
      </c>
    </row>
    <row r="96" spans="1:7" x14ac:dyDescent="0.3">
      <c r="A96" s="39" t="s">
        <v>2407</v>
      </c>
      <c r="B96" s="25" t="s">
        <v>182</v>
      </c>
      <c r="C96" s="45" t="s">
        <v>183</v>
      </c>
      <c r="D96" s="15" t="str">
        <f>IF(ISNUMBER(INDEX(PCBs!$G$4:$G$475,MATCH($B96,PCBs!$B$4:$B$475,0))),INDEX(PCBs!$G$4:$G$475,MATCH($B96,PCBs!$B$4:$B$475,0)),"---")</f>
        <v>---</v>
      </c>
      <c r="E96" s="15" t="str">
        <f>IF(ISNUMBER(INDEX(PCBs!$K$4:$K$475,MATCH($B96,PCBs!$B$4:$B$475,0))),INDEX(PCBs!$K$4:$K$475,MATCH($B96,PCBs!$B$4:$B$475,0)),"---")</f>
        <v>---</v>
      </c>
      <c r="F96" s="15" t="str">
        <f>IF(ISNUMBER(INDEX(PCBs!$S$4:$S$475,MATCH($B96,PCBs!$B$4:$B$475,0))),INDEX(PCBs!$S$4:$S$475,MATCH($B96,PCBs!$B$4:$B$475,0)),"---")</f>
        <v>---</v>
      </c>
      <c r="G96" s="37" t="str">
        <f>IF(ISNUMBER(INDEX(PCBs!$AA$4:$AA$475,MATCH($B96,PCBs!$B$4:$B$475,0))),INDEX(PCBs!$AA$4:$AA$475,MATCH($B96,PCBs!$B$4:$B$475,0)),"---")</f>
        <v>---</v>
      </c>
    </row>
    <row r="97" spans="1:7" x14ac:dyDescent="0.3">
      <c r="A97" s="39" t="s">
        <v>2408</v>
      </c>
      <c r="B97" s="25" t="s">
        <v>184</v>
      </c>
      <c r="C97" s="45" t="s">
        <v>185</v>
      </c>
      <c r="D97" s="15" t="str">
        <f>IF(ISNUMBER(INDEX(PCBs!$G$4:$G$475,MATCH($B97,PCBs!$B$4:$B$475,0))),INDEX(PCBs!$G$4:$G$475,MATCH($B97,PCBs!$B$4:$B$475,0)),"---")</f>
        <v>---</v>
      </c>
      <c r="E97" s="15" t="str">
        <f>IF(ISNUMBER(INDEX(PCBs!$K$4:$K$475,MATCH($B97,PCBs!$B$4:$B$475,0))),INDEX(PCBs!$K$4:$K$475,MATCH($B97,PCBs!$B$4:$B$475,0)),"---")</f>
        <v>---</v>
      </c>
      <c r="F97" s="15" t="str">
        <f>IF(ISNUMBER(INDEX(PCBs!$S$4:$S$475,MATCH($B97,PCBs!$B$4:$B$475,0))),INDEX(PCBs!$S$4:$S$475,MATCH($B97,PCBs!$B$4:$B$475,0)),"---")</f>
        <v>---</v>
      </c>
      <c r="G97" s="37" t="str">
        <f>IF(ISNUMBER(INDEX(PCBs!$AA$4:$AA$475,MATCH($B97,PCBs!$B$4:$B$475,0))),INDEX(PCBs!$AA$4:$AA$475,MATCH($B97,PCBs!$B$4:$B$475,0)),"---")</f>
        <v>---</v>
      </c>
    </row>
    <row r="98" spans="1:7" x14ac:dyDescent="0.3">
      <c r="A98" s="39" t="s">
        <v>2409</v>
      </c>
      <c r="B98" s="25" t="s">
        <v>186</v>
      </c>
      <c r="C98" s="45" t="s">
        <v>187</v>
      </c>
      <c r="D98" s="15" t="str">
        <f>IF(ISNUMBER(INDEX(PCBs!$G$4:$G$475,MATCH($B98,PCBs!$B$4:$B$475,0))),INDEX(PCBs!$G$4:$G$475,MATCH($B98,PCBs!$B$4:$B$475,0)),"---")</f>
        <v>---</v>
      </c>
      <c r="E98" s="15" t="str">
        <f>IF(ISNUMBER(INDEX(PCBs!$K$4:$K$475,MATCH($B98,PCBs!$B$4:$B$475,0))),INDEX(PCBs!$K$4:$K$475,MATCH($B98,PCBs!$B$4:$B$475,0)),"---")</f>
        <v>---</v>
      </c>
      <c r="F98" s="15" t="str">
        <f>IF(ISNUMBER(INDEX(PCBs!$S$4:$S$475,MATCH($B98,PCBs!$B$4:$B$475,0))),INDEX(PCBs!$S$4:$S$475,MATCH($B98,PCBs!$B$4:$B$475,0)),"---")</f>
        <v>---</v>
      </c>
      <c r="G98" s="37" t="str">
        <f>IF(ISNUMBER(INDEX(PCBs!$AA$4:$AA$475,MATCH($B98,PCBs!$B$4:$B$475,0))),INDEX(PCBs!$AA$4:$AA$475,MATCH($B98,PCBs!$B$4:$B$475,0)),"---")</f>
        <v>---</v>
      </c>
    </row>
    <row r="99" spans="1:7" x14ac:dyDescent="0.3">
      <c r="A99" s="39" t="s">
        <v>2410</v>
      </c>
      <c r="B99" s="25" t="s">
        <v>188</v>
      </c>
      <c r="C99" s="45" t="s">
        <v>189</v>
      </c>
      <c r="D99" s="15" t="str">
        <f>IF(ISNUMBER(INDEX(PCBs!$G$4:$G$475,MATCH($B99,PCBs!$B$4:$B$475,0))),INDEX(PCBs!$G$4:$G$475,MATCH($B99,PCBs!$B$4:$B$475,0)),"---")</f>
        <v>---</v>
      </c>
      <c r="E99" s="15" t="str">
        <f>IF(ISNUMBER(INDEX(PCBs!$K$4:$K$475,MATCH($B99,PCBs!$B$4:$B$475,0))),INDEX(PCBs!$K$4:$K$475,MATCH($B99,PCBs!$B$4:$B$475,0)),"---")</f>
        <v>---</v>
      </c>
      <c r="F99" s="15" t="str">
        <f>IF(ISNUMBER(INDEX(PCBs!$S$4:$S$475,MATCH($B99,PCBs!$B$4:$B$475,0))),INDEX(PCBs!$S$4:$S$475,MATCH($B99,PCBs!$B$4:$B$475,0)),"---")</f>
        <v>---</v>
      </c>
      <c r="G99" s="37" t="str">
        <f>IF(ISNUMBER(INDEX(PCBs!$AA$4:$AA$475,MATCH($B99,PCBs!$B$4:$B$475,0))),INDEX(PCBs!$AA$4:$AA$475,MATCH($B99,PCBs!$B$4:$B$475,0)),"---")</f>
        <v>---</v>
      </c>
    </row>
    <row r="100" spans="1:7" x14ac:dyDescent="0.3">
      <c r="A100" s="39" t="s">
        <v>2411</v>
      </c>
      <c r="B100" s="25" t="s">
        <v>190</v>
      </c>
      <c r="C100" s="45" t="s">
        <v>191</v>
      </c>
      <c r="D100" s="15" t="str">
        <f>IF(ISNUMBER(INDEX(PCBs!$G$4:$G$475,MATCH($B100,PCBs!$B$4:$B$475,0))),INDEX(PCBs!$G$4:$G$475,MATCH($B100,PCBs!$B$4:$B$475,0)),"---")</f>
        <v>---</v>
      </c>
      <c r="E100" s="15" t="str">
        <f>IF(ISNUMBER(INDEX(PCBs!$K$4:$K$475,MATCH($B100,PCBs!$B$4:$B$475,0))),INDEX(PCBs!$K$4:$K$475,MATCH($B100,PCBs!$B$4:$B$475,0)),"---")</f>
        <v>---</v>
      </c>
      <c r="F100" s="15" t="str">
        <f>IF(ISNUMBER(INDEX(PCBs!$S$4:$S$475,MATCH($B100,PCBs!$B$4:$B$475,0))),INDEX(PCBs!$S$4:$S$475,MATCH($B100,PCBs!$B$4:$B$475,0)),"---")</f>
        <v>---</v>
      </c>
      <c r="G100" s="37" t="str">
        <f>IF(ISNUMBER(INDEX(PCBs!$AA$4:$AA$475,MATCH($B100,PCBs!$B$4:$B$475,0))),INDEX(PCBs!$AA$4:$AA$475,MATCH($B100,PCBs!$B$4:$B$475,0)),"---")</f>
        <v>---</v>
      </c>
    </row>
    <row r="101" spans="1:7" x14ac:dyDescent="0.3">
      <c r="A101" s="39" t="s">
        <v>2412</v>
      </c>
      <c r="B101" s="25" t="s">
        <v>192</v>
      </c>
      <c r="C101" s="45" t="s">
        <v>193</v>
      </c>
      <c r="D101" s="15" t="str">
        <f>IF(ISNUMBER(INDEX(PCBs!$G$4:$G$475,MATCH($B101,PCBs!$B$4:$B$475,0))),INDEX(PCBs!$G$4:$G$475,MATCH($B101,PCBs!$B$4:$B$475,0)),"---")</f>
        <v>---</v>
      </c>
      <c r="E101" s="15" t="str">
        <f>IF(ISNUMBER(INDEX(PCBs!$K$4:$K$475,MATCH($B101,PCBs!$B$4:$B$475,0))),INDEX(PCBs!$K$4:$K$475,MATCH($B101,PCBs!$B$4:$B$475,0)),"---")</f>
        <v>---</v>
      </c>
      <c r="F101" s="15" t="str">
        <f>IF(ISNUMBER(INDEX(PCBs!$S$4:$S$475,MATCH($B101,PCBs!$B$4:$B$475,0))),INDEX(PCBs!$S$4:$S$475,MATCH($B101,PCBs!$B$4:$B$475,0)),"---")</f>
        <v>---</v>
      </c>
      <c r="G101" s="37" t="str">
        <f>IF(ISNUMBER(INDEX(PCBs!$AA$4:$AA$475,MATCH($B101,PCBs!$B$4:$B$475,0))),INDEX(PCBs!$AA$4:$AA$475,MATCH($B101,PCBs!$B$4:$B$475,0)),"---")</f>
        <v>---</v>
      </c>
    </row>
    <row r="102" spans="1:7" x14ac:dyDescent="0.3">
      <c r="A102" s="39" t="s">
        <v>2413</v>
      </c>
      <c r="B102" s="25" t="s">
        <v>194</v>
      </c>
      <c r="C102" s="45" t="s">
        <v>195</v>
      </c>
      <c r="D102" s="15" t="str">
        <f>IF(ISNUMBER(INDEX(PCBs!$G$4:$G$475,MATCH($B102,PCBs!$B$4:$B$475,0))),INDEX(PCBs!$G$4:$G$475,MATCH($B102,PCBs!$B$4:$B$475,0)),"---")</f>
        <v>---</v>
      </c>
      <c r="E102" s="15" t="str">
        <f>IF(ISNUMBER(INDEX(PCBs!$K$4:$K$475,MATCH($B102,PCBs!$B$4:$B$475,0))),INDEX(PCBs!$K$4:$K$475,MATCH($B102,PCBs!$B$4:$B$475,0)),"---")</f>
        <v>---</v>
      </c>
      <c r="F102" s="15" t="str">
        <f>IF(ISNUMBER(INDEX(PCBs!$S$4:$S$475,MATCH($B102,PCBs!$B$4:$B$475,0))),INDEX(PCBs!$S$4:$S$475,MATCH($B102,PCBs!$B$4:$B$475,0)),"---")</f>
        <v>---</v>
      </c>
      <c r="G102" s="37" t="str">
        <f>IF(ISNUMBER(INDEX(PCBs!$AA$4:$AA$475,MATCH($B102,PCBs!$B$4:$B$475,0))),INDEX(PCBs!$AA$4:$AA$475,MATCH($B102,PCBs!$B$4:$B$475,0)),"---")</f>
        <v>---</v>
      </c>
    </row>
    <row r="103" spans="1:7" x14ac:dyDescent="0.3">
      <c r="A103" s="39" t="s">
        <v>2414</v>
      </c>
      <c r="B103" s="25" t="s">
        <v>196</v>
      </c>
      <c r="C103" s="45" t="s">
        <v>197</v>
      </c>
      <c r="D103" s="15" t="str">
        <f>IF(ISNUMBER(INDEX(PCBs!$G$4:$G$475,MATCH($B103,PCBs!$B$4:$B$475,0))),INDEX(PCBs!$G$4:$G$475,MATCH($B103,PCBs!$B$4:$B$475,0)),"---")</f>
        <v>---</v>
      </c>
      <c r="E103" s="15" t="str">
        <f>IF(ISNUMBER(INDEX(PCBs!$K$4:$K$475,MATCH($B103,PCBs!$B$4:$B$475,0))),INDEX(PCBs!$K$4:$K$475,MATCH($B103,PCBs!$B$4:$B$475,0)),"---")</f>
        <v>---</v>
      </c>
      <c r="F103" s="15" t="str">
        <f>IF(ISNUMBER(INDEX(PCBs!$S$4:$S$475,MATCH($B103,PCBs!$B$4:$B$475,0))),INDEX(PCBs!$S$4:$S$475,MATCH($B103,PCBs!$B$4:$B$475,0)),"---")</f>
        <v>---</v>
      </c>
      <c r="G103" s="37" t="str">
        <f>IF(ISNUMBER(INDEX(PCBs!$AA$4:$AA$475,MATCH($B103,PCBs!$B$4:$B$475,0))),INDEX(PCBs!$AA$4:$AA$475,MATCH($B103,PCBs!$B$4:$B$475,0)),"---")</f>
        <v>---</v>
      </c>
    </row>
    <row r="104" spans="1:7" x14ac:dyDescent="0.3">
      <c r="A104" s="39" t="s">
        <v>2415</v>
      </c>
      <c r="B104" s="25" t="s">
        <v>198</v>
      </c>
      <c r="C104" s="45" t="s">
        <v>199</v>
      </c>
      <c r="D104" s="15" t="str">
        <f>IF(ISNUMBER(INDEX(PCBs!$G$4:$G$475,MATCH($B104,PCBs!$B$4:$B$475,0))),INDEX(PCBs!$G$4:$G$475,MATCH($B104,PCBs!$B$4:$B$475,0)),"---")</f>
        <v>---</v>
      </c>
      <c r="E104" s="15" t="str">
        <f>IF(ISNUMBER(INDEX(PCBs!$K$4:$K$475,MATCH($B104,PCBs!$B$4:$B$475,0))),INDEX(PCBs!$K$4:$K$475,MATCH($B104,PCBs!$B$4:$B$475,0)),"---")</f>
        <v>---</v>
      </c>
      <c r="F104" s="15" t="str">
        <f>IF(ISNUMBER(INDEX(PCBs!$S$4:$S$475,MATCH($B104,PCBs!$B$4:$B$475,0))),INDEX(PCBs!$S$4:$S$475,MATCH($B104,PCBs!$B$4:$B$475,0)),"---")</f>
        <v>---</v>
      </c>
      <c r="G104" s="37" t="str">
        <f>IF(ISNUMBER(INDEX(PCBs!$AA$4:$AA$475,MATCH($B104,PCBs!$B$4:$B$475,0))),INDEX(PCBs!$AA$4:$AA$475,MATCH($B104,PCBs!$B$4:$B$475,0)),"---")</f>
        <v>---</v>
      </c>
    </row>
    <row r="105" spans="1:7" x14ac:dyDescent="0.3">
      <c r="A105" s="39" t="s">
        <v>2416</v>
      </c>
      <c r="B105" s="25" t="s">
        <v>200</v>
      </c>
      <c r="C105" s="45" t="s">
        <v>201</v>
      </c>
      <c r="D105" s="15" t="str">
        <f>IF(ISNUMBER(INDEX(PCBs!$G$4:$G$475,MATCH($B105,PCBs!$B$4:$B$475,0))),INDEX(PCBs!$G$4:$G$475,MATCH($B105,PCBs!$B$4:$B$475,0)),"---")</f>
        <v>---</v>
      </c>
      <c r="E105" s="15" t="str">
        <f>IF(ISNUMBER(INDEX(PCBs!$K$4:$K$475,MATCH($B105,PCBs!$B$4:$B$475,0))),INDEX(PCBs!$K$4:$K$475,MATCH($B105,PCBs!$B$4:$B$475,0)),"---")</f>
        <v>---</v>
      </c>
      <c r="F105" s="15" t="str">
        <f>IF(ISNUMBER(INDEX(PCBs!$S$4:$S$475,MATCH($B105,PCBs!$B$4:$B$475,0))),INDEX(PCBs!$S$4:$S$475,MATCH($B105,PCBs!$B$4:$B$475,0)),"---")</f>
        <v>---</v>
      </c>
      <c r="G105" s="37" t="str">
        <f>IF(ISNUMBER(INDEX(PCBs!$AA$4:$AA$475,MATCH($B105,PCBs!$B$4:$B$475,0))),INDEX(PCBs!$AA$4:$AA$475,MATCH($B105,PCBs!$B$4:$B$475,0)),"---")</f>
        <v>---</v>
      </c>
    </row>
    <row r="106" spans="1:7" x14ac:dyDescent="0.3">
      <c r="A106" s="39" t="s">
        <v>2417</v>
      </c>
      <c r="B106" s="25" t="s">
        <v>202</v>
      </c>
      <c r="C106" s="45" t="s">
        <v>203</v>
      </c>
      <c r="D106" s="15" t="str">
        <f>IF(ISNUMBER(INDEX(PCBs!$G$4:$G$475,MATCH($B106,PCBs!$B$4:$B$475,0))),INDEX(PCBs!$G$4:$G$475,MATCH($B106,PCBs!$B$4:$B$475,0)),"---")</f>
        <v>---</v>
      </c>
      <c r="E106" s="15">
        <f>IF(ISNUMBER(INDEX(PCBs!$K$4:$K$475,MATCH($B106,PCBs!$B$4:$B$475,0))),INDEX(PCBs!$K$4:$K$475,MATCH($B106,PCBs!$B$4:$B$475,0)),"---")</f>
        <v>76.950000000000045</v>
      </c>
      <c r="F106" s="15">
        <f>IF(ISNUMBER(INDEX(PCBs!$S$4:$S$475,MATCH($B106,PCBs!$B$4:$B$475,0))),INDEX(PCBs!$S$4:$S$475,MATCH($B106,PCBs!$B$4:$B$475,0)),"---")</f>
        <v>5.8515377498452637E-6</v>
      </c>
      <c r="G106" s="37">
        <f>IF(ISNUMBER(INDEX(PCBs!$AA$4:$AA$475,MATCH($B106,PCBs!$B$4:$B$475,0))),INDEX(PCBs!$AA$4:$AA$475,MATCH($B106,PCBs!$B$4:$B$475,0)),"---")</f>
        <v>1.0159252035237343E-2</v>
      </c>
    </row>
    <row r="107" spans="1:7" x14ac:dyDescent="0.3">
      <c r="A107" s="39" t="s">
        <v>2418</v>
      </c>
      <c r="B107" s="25" t="s">
        <v>204</v>
      </c>
      <c r="C107" s="45" t="s">
        <v>205</v>
      </c>
      <c r="D107" s="15" t="str">
        <f>IF(ISNUMBER(INDEX(PCBs!$G$4:$G$475,MATCH($B107,PCBs!$B$4:$B$475,0))),INDEX(PCBs!$G$4:$G$475,MATCH($B107,PCBs!$B$4:$B$475,0)),"---")</f>
        <v>---</v>
      </c>
      <c r="E107" s="15" t="str">
        <f>IF(ISNUMBER(INDEX(PCBs!$K$4:$K$475,MATCH($B107,PCBs!$B$4:$B$475,0))),INDEX(PCBs!$K$4:$K$475,MATCH($B107,PCBs!$B$4:$B$475,0)),"---")</f>
        <v>---</v>
      </c>
      <c r="F107" s="15" t="str">
        <f>IF(ISNUMBER(INDEX(PCBs!$S$4:$S$475,MATCH($B107,PCBs!$B$4:$B$475,0))),INDEX(PCBs!$S$4:$S$475,MATCH($B107,PCBs!$B$4:$B$475,0)),"---")</f>
        <v>---</v>
      </c>
      <c r="G107" s="37" t="str">
        <f>IF(ISNUMBER(INDEX(PCBs!$AA$4:$AA$475,MATCH($B107,PCBs!$B$4:$B$475,0))),INDEX(PCBs!$AA$4:$AA$475,MATCH($B107,PCBs!$B$4:$B$475,0)),"---")</f>
        <v>---</v>
      </c>
    </row>
    <row r="108" spans="1:7" x14ac:dyDescent="0.3">
      <c r="A108" s="39" t="s">
        <v>2419</v>
      </c>
      <c r="B108" s="25" t="s">
        <v>206</v>
      </c>
      <c r="C108" s="45" t="s">
        <v>207</v>
      </c>
      <c r="D108" s="15" t="str">
        <f>IF(ISNUMBER(INDEX(PCBs!$G$4:$G$475,MATCH($B108,PCBs!$B$4:$B$475,0))),INDEX(PCBs!$G$4:$G$475,MATCH($B108,PCBs!$B$4:$B$475,0)),"---")</f>
        <v>---</v>
      </c>
      <c r="E108" s="15" t="str">
        <f>IF(ISNUMBER(INDEX(PCBs!$K$4:$K$475,MATCH($B108,PCBs!$B$4:$B$475,0))),INDEX(PCBs!$K$4:$K$475,MATCH($B108,PCBs!$B$4:$B$475,0)),"---")</f>
        <v>---</v>
      </c>
      <c r="F108" s="15" t="str">
        <f>IF(ISNUMBER(INDEX(PCBs!$S$4:$S$475,MATCH($B108,PCBs!$B$4:$B$475,0))),INDEX(PCBs!$S$4:$S$475,MATCH($B108,PCBs!$B$4:$B$475,0)),"---")</f>
        <v>---</v>
      </c>
      <c r="G108" s="37" t="str">
        <f>IF(ISNUMBER(INDEX(PCBs!$AA$4:$AA$475,MATCH($B108,PCBs!$B$4:$B$475,0))),INDEX(PCBs!$AA$4:$AA$475,MATCH($B108,PCBs!$B$4:$B$475,0)),"---")</f>
        <v>---</v>
      </c>
    </row>
    <row r="109" spans="1:7" x14ac:dyDescent="0.3">
      <c r="A109" s="39" t="s">
        <v>2420</v>
      </c>
      <c r="B109" s="25" t="s">
        <v>208</v>
      </c>
      <c r="C109" s="45" t="s">
        <v>209</v>
      </c>
      <c r="D109" s="15" t="str">
        <f>IF(ISNUMBER(INDEX(PCBs!$G$4:$G$475,MATCH($B109,PCBs!$B$4:$B$475,0))),INDEX(PCBs!$G$4:$G$475,MATCH($B109,PCBs!$B$4:$B$475,0)),"---")</f>
        <v>---</v>
      </c>
      <c r="E109" s="15">
        <f>IF(ISNUMBER(INDEX(PCBs!$K$4:$K$475,MATCH($B109,PCBs!$B$4:$B$475,0))),INDEX(PCBs!$K$4:$K$475,MATCH($B109,PCBs!$B$4:$B$475,0)),"---")</f>
        <v>85</v>
      </c>
      <c r="F109" s="15" t="str">
        <f>IF(ISNUMBER(INDEX(PCBs!$S$4:$S$475,MATCH($B109,PCBs!$B$4:$B$475,0))),INDEX(PCBs!$S$4:$S$475,MATCH($B109,PCBs!$B$4:$B$475,0)),"---")</f>
        <v>---</v>
      </c>
      <c r="G109" s="37" t="str">
        <f>IF(ISNUMBER(INDEX(PCBs!$AA$4:$AA$475,MATCH($B109,PCBs!$B$4:$B$475,0))),INDEX(PCBs!$AA$4:$AA$475,MATCH($B109,PCBs!$B$4:$B$475,0)),"---")</f>
        <v>---</v>
      </c>
    </row>
    <row r="110" spans="1:7" x14ac:dyDescent="0.3">
      <c r="A110" s="39" t="s">
        <v>2421</v>
      </c>
      <c r="B110" s="25" t="s">
        <v>210</v>
      </c>
      <c r="C110" s="45" t="s">
        <v>211</v>
      </c>
      <c r="D110" s="15" t="str">
        <f>IF(ISNUMBER(INDEX(PCBs!$G$4:$G$475,MATCH($B110,PCBs!$B$4:$B$475,0))),INDEX(PCBs!$G$4:$G$475,MATCH($B110,PCBs!$B$4:$B$475,0)),"---")</f>
        <v>---</v>
      </c>
      <c r="E110" s="15" t="str">
        <f>IF(ISNUMBER(INDEX(PCBs!$K$4:$K$475,MATCH($B110,PCBs!$B$4:$B$475,0))),INDEX(PCBs!$K$4:$K$475,MATCH($B110,PCBs!$B$4:$B$475,0)),"---")</f>
        <v>---</v>
      </c>
      <c r="F110" s="15">
        <f>IF(ISNUMBER(INDEX(PCBs!$S$4:$S$475,MATCH($B110,PCBs!$B$4:$B$475,0))),INDEX(PCBs!$S$4:$S$475,MATCH($B110,PCBs!$B$4:$B$475,0)),"---")</f>
        <v>1.7314876295412187E-6</v>
      </c>
      <c r="G110" s="37">
        <f>IF(ISNUMBER(INDEX(PCBs!$AA$4:$AA$475,MATCH($B110,PCBs!$B$4:$B$475,0))),INDEX(PCBs!$AA$4:$AA$475,MATCH($B110,PCBs!$B$4:$B$475,0)),"---")</f>
        <v>9.6033367401767381E-3</v>
      </c>
    </row>
    <row r="111" spans="1:7" x14ac:dyDescent="0.3">
      <c r="A111" s="39" t="s">
        <v>2422</v>
      </c>
      <c r="B111" s="25" t="s">
        <v>212</v>
      </c>
      <c r="C111" s="45" t="s">
        <v>213</v>
      </c>
      <c r="D111" s="15" t="str">
        <f>IF(ISNUMBER(INDEX(PCBs!$G$4:$G$475,MATCH($B111,PCBs!$B$4:$B$475,0))),INDEX(PCBs!$G$4:$G$475,MATCH($B111,PCBs!$B$4:$B$475,0)),"---")</f>
        <v>---</v>
      </c>
      <c r="E111" s="15" t="str">
        <f>IF(ISNUMBER(INDEX(PCBs!$K$4:$K$475,MATCH($B111,PCBs!$B$4:$B$475,0))),INDEX(PCBs!$K$4:$K$475,MATCH($B111,PCBs!$B$4:$B$475,0)),"---")</f>
        <v>---</v>
      </c>
      <c r="F111" s="15" t="str">
        <f>IF(ISNUMBER(INDEX(PCBs!$S$4:$S$475,MATCH($B111,PCBs!$B$4:$B$475,0))),INDEX(PCBs!$S$4:$S$475,MATCH($B111,PCBs!$B$4:$B$475,0)),"---")</f>
        <v>---</v>
      </c>
      <c r="G111" s="37" t="str">
        <f>IF(ISNUMBER(INDEX(PCBs!$AA$4:$AA$475,MATCH($B111,PCBs!$B$4:$B$475,0))),INDEX(PCBs!$AA$4:$AA$475,MATCH($B111,PCBs!$B$4:$B$475,0)),"---")</f>
        <v>---</v>
      </c>
    </row>
    <row r="112" spans="1:7" x14ac:dyDescent="0.3">
      <c r="A112" s="39" t="s">
        <v>2423</v>
      </c>
      <c r="B112" s="25" t="s">
        <v>214</v>
      </c>
      <c r="C112" s="45" t="s">
        <v>215</v>
      </c>
      <c r="D112" s="15" t="str">
        <f>IF(ISNUMBER(INDEX(PCBs!$G$4:$G$475,MATCH($B112,PCBs!$B$4:$B$475,0))),INDEX(PCBs!$G$4:$G$475,MATCH($B112,PCBs!$B$4:$B$475,0)),"---")</f>
        <v>---</v>
      </c>
      <c r="E112" s="15" t="str">
        <f>IF(ISNUMBER(INDEX(PCBs!$K$4:$K$475,MATCH($B112,PCBs!$B$4:$B$475,0))),INDEX(PCBs!$K$4:$K$475,MATCH($B112,PCBs!$B$4:$B$475,0)),"---")</f>
        <v>---</v>
      </c>
      <c r="F112" s="15" t="str">
        <f>IF(ISNUMBER(INDEX(PCBs!$S$4:$S$475,MATCH($B112,PCBs!$B$4:$B$475,0))),INDEX(PCBs!$S$4:$S$475,MATCH($B112,PCBs!$B$4:$B$475,0)),"---")</f>
        <v>---</v>
      </c>
      <c r="G112" s="37" t="str">
        <f>IF(ISNUMBER(INDEX(PCBs!$AA$4:$AA$475,MATCH($B112,PCBs!$B$4:$B$475,0))),INDEX(PCBs!$AA$4:$AA$475,MATCH($B112,PCBs!$B$4:$B$475,0)),"---")</f>
        <v>---</v>
      </c>
    </row>
    <row r="113" spans="1:7" x14ac:dyDescent="0.3">
      <c r="A113" s="39" t="s">
        <v>2424</v>
      </c>
      <c r="B113" s="25" t="s">
        <v>216</v>
      </c>
      <c r="C113" s="45" t="s">
        <v>217</v>
      </c>
      <c r="D113" s="15" t="str">
        <f>IF(ISNUMBER(INDEX(PCBs!$G$4:$G$475,MATCH($B113,PCBs!$B$4:$B$475,0))),INDEX(PCBs!$G$4:$G$475,MATCH($B113,PCBs!$B$4:$B$475,0)),"---")</f>
        <v>---</v>
      </c>
      <c r="E113" s="15" t="str">
        <f>IF(ISNUMBER(INDEX(PCBs!$K$4:$K$475,MATCH($B113,PCBs!$B$4:$B$475,0))),INDEX(PCBs!$K$4:$K$475,MATCH($B113,PCBs!$B$4:$B$475,0)),"---")</f>
        <v>---</v>
      </c>
      <c r="F113" s="15" t="str">
        <f>IF(ISNUMBER(INDEX(PCBs!$S$4:$S$475,MATCH($B113,PCBs!$B$4:$B$475,0))),INDEX(PCBs!$S$4:$S$475,MATCH($B113,PCBs!$B$4:$B$475,0)),"---")</f>
        <v>---</v>
      </c>
      <c r="G113" s="37" t="str">
        <f>IF(ISNUMBER(INDEX(PCBs!$AA$4:$AA$475,MATCH($B113,PCBs!$B$4:$B$475,0))),INDEX(PCBs!$AA$4:$AA$475,MATCH($B113,PCBs!$B$4:$B$475,0)),"---")</f>
        <v>---</v>
      </c>
    </row>
    <row r="114" spans="1:7" x14ac:dyDescent="0.3">
      <c r="A114" s="39" t="s">
        <v>2425</v>
      </c>
      <c r="B114" s="25" t="s">
        <v>218</v>
      </c>
      <c r="C114" s="45" t="s">
        <v>219</v>
      </c>
      <c r="D114" s="15" t="str">
        <f>IF(ISNUMBER(INDEX(PCBs!$G$4:$G$475,MATCH($B114,PCBs!$B$4:$B$475,0))),INDEX(PCBs!$G$4:$G$475,MATCH($B114,PCBs!$B$4:$B$475,0)),"---")</f>
        <v>---</v>
      </c>
      <c r="E114" s="15" t="str">
        <f>IF(ISNUMBER(INDEX(PCBs!$K$4:$K$475,MATCH($B114,PCBs!$B$4:$B$475,0))),INDEX(PCBs!$K$4:$K$475,MATCH($B114,PCBs!$B$4:$B$475,0)),"---")</f>
        <v>---</v>
      </c>
      <c r="F114" s="15" t="str">
        <f>IF(ISNUMBER(INDEX(PCBs!$S$4:$S$475,MATCH($B114,PCBs!$B$4:$B$475,0))),INDEX(PCBs!$S$4:$S$475,MATCH($B114,PCBs!$B$4:$B$475,0)),"---")</f>
        <v>---</v>
      </c>
      <c r="G114" s="37" t="str">
        <f>IF(ISNUMBER(INDEX(PCBs!$AA$4:$AA$475,MATCH($B114,PCBs!$B$4:$B$475,0))),INDEX(PCBs!$AA$4:$AA$475,MATCH($B114,PCBs!$B$4:$B$475,0)),"---")</f>
        <v>---</v>
      </c>
    </row>
    <row r="115" spans="1:7" x14ac:dyDescent="0.3">
      <c r="A115" s="39" t="s">
        <v>2426</v>
      </c>
      <c r="B115" s="25" t="s">
        <v>220</v>
      </c>
      <c r="C115" s="45" t="s">
        <v>221</v>
      </c>
      <c r="D115" s="15" t="str">
        <f>IF(ISNUMBER(INDEX(PCBs!$G$4:$G$475,MATCH($B115,PCBs!$B$4:$B$475,0))),INDEX(PCBs!$G$4:$G$475,MATCH($B115,PCBs!$B$4:$B$475,0)),"---")</f>
        <v>---</v>
      </c>
      <c r="E115" s="15" t="str">
        <f>IF(ISNUMBER(INDEX(PCBs!$K$4:$K$475,MATCH($B115,PCBs!$B$4:$B$475,0))),INDEX(PCBs!$K$4:$K$475,MATCH($B115,PCBs!$B$4:$B$475,0)),"---")</f>
        <v>---</v>
      </c>
      <c r="F115" s="15" t="str">
        <f>IF(ISNUMBER(INDEX(PCBs!$S$4:$S$475,MATCH($B115,PCBs!$B$4:$B$475,0))),INDEX(PCBs!$S$4:$S$475,MATCH($B115,PCBs!$B$4:$B$475,0)),"---")</f>
        <v>---</v>
      </c>
      <c r="G115" s="37" t="str">
        <f>IF(ISNUMBER(INDEX(PCBs!$AA$4:$AA$475,MATCH($B115,PCBs!$B$4:$B$475,0))),INDEX(PCBs!$AA$4:$AA$475,MATCH($B115,PCBs!$B$4:$B$475,0)),"---")</f>
        <v>---</v>
      </c>
    </row>
    <row r="116" spans="1:7" x14ac:dyDescent="0.3">
      <c r="A116" s="39" t="s">
        <v>2427</v>
      </c>
      <c r="B116" s="25" t="s">
        <v>222</v>
      </c>
      <c r="C116" s="45" t="s">
        <v>223</v>
      </c>
      <c r="D116" s="15" t="str">
        <f>IF(ISNUMBER(INDEX(PCBs!$G$4:$G$475,MATCH($B116,PCBs!$B$4:$B$475,0))),INDEX(PCBs!$G$4:$G$475,MATCH($B116,PCBs!$B$4:$B$475,0)),"---")</f>
        <v>---</v>
      </c>
      <c r="E116" s="15" t="str">
        <f>IF(ISNUMBER(INDEX(PCBs!$K$4:$K$475,MATCH($B116,PCBs!$B$4:$B$475,0))),INDEX(PCBs!$K$4:$K$475,MATCH($B116,PCBs!$B$4:$B$475,0)),"---")</f>
        <v>---</v>
      </c>
      <c r="F116" s="15" t="str">
        <f>IF(ISNUMBER(INDEX(PCBs!$S$4:$S$475,MATCH($B116,PCBs!$B$4:$B$475,0))),INDEX(PCBs!$S$4:$S$475,MATCH($B116,PCBs!$B$4:$B$475,0)),"---")</f>
        <v>---</v>
      </c>
      <c r="G116" s="37" t="str">
        <f>IF(ISNUMBER(INDEX(PCBs!$AA$4:$AA$475,MATCH($B116,PCBs!$B$4:$B$475,0))),INDEX(PCBs!$AA$4:$AA$475,MATCH($B116,PCBs!$B$4:$B$475,0)),"---")</f>
        <v>---</v>
      </c>
    </row>
    <row r="117" spans="1:7" x14ac:dyDescent="0.3">
      <c r="A117" s="39" t="s">
        <v>2428</v>
      </c>
      <c r="B117" s="25" t="s">
        <v>224</v>
      </c>
      <c r="C117" s="45" t="s">
        <v>225</v>
      </c>
      <c r="D117" s="15" t="str">
        <f>IF(ISNUMBER(INDEX(PCBs!$G$4:$G$475,MATCH($B117,PCBs!$B$4:$B$475,0))),INDEX(PCBs!$G$4:$G$475,MATCH($B117,PCBs!$B$4:$B$475,0)),"---")</f>
        <v>---</v>
      </c>
      <c r="E117" s="15" t="str">
        <f>IF(ISNUMBER(INDEX(PCBs!$K$4:$K$475,MATCH($B117,PCBs!$B$4:$B$475,0))),INDEX(PCBs!$K$4:$K$475,MATCH($B117,PCBs!$B$4:$B$475,0)),"---")</f>
        <v>---</v>
      </c>
      <c r="F117" s="15" t="str">
        <f>IF(ISNUMBER(INDEX(PCBs!$S$4:$S$475,MATCH($B117,PCBs!$B$4:$B$475,0))),INDEX(PCBs!$S$4:$S$475,MATCH($B117,PCBs!$B$4:$B$475,0)),"---")</f>
        <v>---</v>
      </c>
      <c r="G117" s="37" t="str">
        <f>IF(ISNUMBER(INDEX(PCBs!$AA$4:$AA$475,MATCH($B117,PCBs!$B$4:$B$475,0))),INDEX(PCBs!$AA$4:$AA$475,MATCH($B117,PCBs!$B$4:$B$475,0)),"---")</f>
        <v>---</v>
      </c>
    </row>
    <row r="118" spans="1:7" x14ac:dyDescent="0.3">
      <c r="A118" s="39" t="s">
        <v>2429</v>
      </c>
      <c r="B118" s="25" t="s">
        <v>226</v>
      </c>
      <c r="C118" s="45" t="s">
        <v>227</v>
      </c>
      <c r="D118" s="15" t="str">
        <f>IF(ISNUMBER(INDEX(PCBs!$G$4:$G$475,MATCH($B118,PCBs!$B$4:$B$475,0))),INDEX(PCBs!$G$4:$G$475,MATCH($B118,PCBs!$B$4:$B$475,0)),"---")</f>
        <v>---</v>
      </c>
      <c r="E118" s="15" t="str">
        <f>IF(ISNUMBER(INDEX(PCBs!$K$4:$K$475,MATCH($B118,PCBs!$B$4:$B$475,0))),INDEX(PCBs!$K$4:$K$475,MATCH($B118,PCBs!$B$4:$B$475,0)),"---")</f>
        <v>---</v>
      </c>
      <c r="F118" s="15" t="str">
        <f>IF(ISNUMBER(INDEX(PCBs!$S$4:$S$475,MATCH($B118,PCBs!$B$4:$B$475,0))),INDEX(PCBs!$S$4:$S$475,MATCH($B118,PCBs!$B$4:$B$475,0)),"---")</f>
        <v>---</v>
      </c>
      <c r="G118" s="37" t="str">
        <f>IF(ISNUMBER(INDEX(PCBs!$AA$4:$AA$475,MATCH($B118,PCBs!$B$4:$B$475,0))),INDEX(PCBs!$AA$4:$AA$475,MATCH($B118,PCBs!$B$4:$B$475,0)),"---")</f>
        <v>---</v>
      </c>
    </row>
    <row r="119" spans="1:7" x14ac:dyDescent="0.3">
      <c r="A119" s="39" t="s">
        <v>2430</v>
      </c>
      <c r="B119" s="25" t="s">
        <v>228</v>
      </c>
      <c r="C119" s="45" t="s">
        <v>229</v>
      </c>
      <c r="D119" s="15" t="str">
        <f>IF(ISNUMBER(INDEX(PCBs!$G$4:$G$475,MATCH($B119,PCBs!$B$4:$B$475,0))),INDEX(PCBs!$G$4:$G$475,MATCH($B119,PCBs!$B$4:$B$475,0)),"---")</f>
        <v>---</v>
      </c>
      <c r="E119" s="15" t="str">
        <f>IF(ISNUMBER(INDEX(PCBs!$K$4:$K$475,MATCH($B119,PCBs!$B$4:$B$475,0))),INDEX(PCBs!$K$4:$K$475,MATCH($B119,PCBs!$B$4:$B$475,0)),"---")</f>
        <v>---</v>
      </c>
      <c r="F119" s="15" t="str">
        <f>IF(ISNUMBER(INDEX(PCBs!$S$4:$S$475,MATCH($B119,PCBs!$B$4:$B$475,0))),INDEX(PCBs!$S$4:$S$475,MATCH($B119,PCBs!$B$4:$B$475,0)),"---")</f>
        <v>---</v>
      </c>
      <c r="G119" s="37" t="str">
        <f>IF(ISNUMBER(INDEX(PCBs!$AA$4:$AA$475,MATCH($B119,PCBs!$B$4:$B$475,0))),INDEX(PCBs!$AA$4:$AA$475,MATCH($B119,PCBs!$B$4:$B$475,0)),"---")</f>
        <v>---</v>
      </c>
    </row>
    <row r="120" spans="1:7" x14ac:dyDescent="0.3">
      <c r="A120" s="39" t="s">
        <v>2431</v>
      </c>
      <c r="B120" s="25" t="s">
        <v>230</v>
      </c>
      <c r="C120" s="45" t="s">
        <v>231</v>
      </c>
      <c r="D120" s="15" t="str">
        <f>IF(ISNUMBER(INDEX(PCBs!$G$4:$G$475,MATCH($B120,PCBs!$B$4:$B$475,0))),INDEX(PCBs!$G$4:$G$475,MATCH($B120,PCBs!$B$4:$B$475,0)),"---")</f>
        <v>---</v>
      </c>
      <c r="E120" s="15" t="str">
        <f>IF(ISNUMBER(INDEX(PCBs!$K$4:$K$475,MATCH($B120,PCBs!$B$4:$B$475,0))),INDEX(PCBs!$K$4:$K$475,MATCH($B120,PCBs!$B$4:$B$475,0)),"---")</f>
        <v>---</v>
      </c>
      <c r="F120" s="15" t="str">
        <f>IF(ISNUMBER(INDEX(PCBs!$S$4:$S$475,MATCH($B120,PCBs!$B$4:$B$475,0))),INDEX(PCBs!$S$4:$S$475,MATCH($B120,PCBs!$B$4:$B$475,0)),"---")</f>
        <v>---</v>
      </c>
      <c r="G120" s="37" t="str">
        <f>IF(ISNUMBER(INDEX(PCBs!$AA$4:$AA$475,MATCH($B120,PCBs!$B$4:$B$475,0))),INDEX(PCBs!$AA$4:$AA$475,MATCH($B120,PCBs!$B$4:$B$475,0)),"---")</f>
        <v>---</v>
      </c>
    </row>
    <row r="121" spans="1:7" x14ac:dyDescent="0.3">
      <c r="A121" s="39" t="s">
        <v>2432</v>
      </c>
      <c r="B121" s="25" t="s">
        <v>232</v>
      </c>
      <c r="C121" s="45" t="s">
        <v>233</v>
      </c>
      <c r="D121" s="15">
        <f>IF(ISNUMBER(INDEX(PCBs!$G$4:$G$475,MATCH($B121,PCBs!$B$4:$B$475,0))),INDEX(PCBs!$G$4:$G$475,MATCH($B121,PCBs!$B$4:$B$475,0)),"---")</f>
        <v>6.7539999999999996</v>
      </c>
      <c r="E121" s="15">
        <f>IF(ISNUMBER(INDEX(PCBs!$K$4:$K$475,MATCH($B121,PCBs!$B$4:$B$475,0))),INDEX(PCBs!$K$4:$K$475,MATCH($B121,PCBs!$B$4:$B$475,0)),"---")</f>
        <v>124.45000000000005</v>
      </c>
      <c r="F121" s="15" t="str">
        <f>IF(ISNUMBER(INDEX(PCBs!$S$4:$S$475,MATCH($B121,PCBs!$B$4:$B$475,0))),INDEX(PCBs!$S$4:$S$475,MATCH($B121,PCBs!$B$4:$B$475,0)),"---")</f>
        <v>---</v>
      </c>
      <c r="G121" s="37" t="str">
        <f>IF(ISNUMBER(INDEX(PCBs!$AA$4:$AA$475,MATCH($B121,PCBs!$B$4:$B$475,0))),INDEX(PCBs!$AA$4:$AA$475,MATCH($B121,PCBs!$B$4:$B$475,0)),"---")</f>
        <v>---</v>
      </c>
    </row>
    <row r="122" spans="1:7" x14ac:dyDescent="0.3">
      <c r="A122" s="39" t="s">
        <v>2433</v>
      </c>
      <c r="B122" s="25" t="s">
        <v>234</v>
      </c>
      <c r="C122" s="45" t="s">
        <v>235</v>
      </c>
      <c r="D122" s="15" t="str">
        <f>IF(ISNUMBER(INDEX(PCBs!$G$4:$G$475,MATCH($B122,PCBs!$B$4:$B$475,0))),INDEX(PCBs!$G$4:$G$475,MATCH($B122,PCBs!$B$4:$B$475,0)),"---")</f>
        <v>---</v>
      </c>
      <c r="E122" s="15" t="str">
        <f>IF(ISNUMBER(INDEX(PCBs!$K$4:$K$475,MATCH($B122,PCBs!$B$4:$B$475,0))),INDEX(PCBs!$K$4:$K$475,MATCH($B122,PCBs!$B$4:$B$475,0)),"---")</f>
        <v>---</v>
      </c>
      <c r="F122" s="15" t="str">
        <f>IF(ISNUMBER(INDEX(PCBs!$S$4:$S$475,MATCH($B122,PCBs!$B$4:$B$475,0))),INDEX(PCBs!$S$4:$S$475,MATCH($B122,PCBs!$B$4:$B$475,0)),"---")</f>
        <v>---</v>
      </c>
      <c r="G122" s="37" t="str">
        <f>IF(ISNUMBER(INDEX(PCBs!$AA$4:$AA$475,MATCH($B122,PCBs!$B$4:$B$475,0))),INDEX(PCBs!$AA$4:$AA$475,MATCH($B122,PCBs!$B$4:$B$475,0)),"---")</f>
        <v>---</v>
      </c>
    </row>
    <row r="123" spans="1:7" x14ac:dyDescent="0.3">
      <c r="A123" s="39" t="s">
        <v>2434</v>
      </c>
      <c r="B123" s="25" t="s">
        <v>236</v>
      </c>
      <c r="C123" s="45" t="s">
        <v>237</v>
      </c>
      <c r="D123" s="15" t="str">
        <f>IF(ISNUMBER(INDEX(PCBs!$G$4:$G$475,MATCH($B123,PCBs!$B$4:$B$475,0))),INDEX(PCBs!$G$4:$G$475,MATCH($B123,PCBs!$B$4:$B$475,0)),"---")</f>
        <v>---</v>
      </c>
      <c r="E123" s="15">
        <f>IF(ISNUMBER(INDEX(PCBs!$K$4:$K$475,MATCH($B123,PCBs!$B$4:$B$475,0))),INDEX(PCBs!$K$4:$K$475,MATCH($B123,PCBs!$B$4:$B$475,0)),"---")</f>
        <v>109</v>
      </c>
      <c r="F123" s="15">
        <f>IF(ISNUMBER(INDEX(PCBs!$S$4:$S$475,MATCH($B123,PCBs!$B$4:$B$475,0))),INDEX(PCBs!$S$4:$S$475,MATCH($B123,PCBs!$B$4:$B$475,0)),"---")</f>
        <v>1.0022857369798613E-6</v>
      </c>
      <c r="G123" s="37">
        <f>IF(ISNUMBER(INDEX(PCBs!$AA$4:$AA$475,MATCH($B123,PCBs!$B$4:$B$475,0))),INDEX(PCBs!$AA$4:$AA$475,MATCH($B123,PCBs!$B$4:$B$475,0)),"---")</f>
        <v>4.3459457591642952E-3</v>
      </c>
    </row>
    <row r="124" spans="1:7" x14ac:dyDescent="0.3">
      <c r="A124" s="39" t="s">
        <v>2435</v>
      </c>
      <c r="B124" s="25" t="s">
        <v>238</v>
      </c>
      <c r="C124" s="45" t="s">
        <v>239</v>
      </c>
      <c r="D124" s="15" t="str">
        <f>IF(ISNUMBER(INDEX(PCBs!$G$4:$G$475,MATCH($B124,PCBs!$B$4:$B$475,0))),INDEX(PCBs!$G$4:$G$475,MATCH($B124,PCBs!$B$4:$B$475,0)),"---")</f>
        <v>---</v>
      </c>
      <c r="E124" s="15" t="str">
        <f>IF(ISNUMBER(INDEX(PCBs!$K$4:$K$475,MATCH($B124,PCBs!$B$4:$B$475,0))),INDEX(PCBs!$K$4:$K$475,MATCH($B124,PCBs!$B$4:$B$475,0)),"---")</f>
        <v>---</v>
      </c>
      <c r="F124" s="15" t="str">
        <f>IF(ISNUMBER(INDEX(PCBs!$S$4:$S$475,MATCH($B124,PCBs!$B$4:$B$475,0))),INDEX(PCBs!$S$4:$S$475,MATCH($B124,PCBs!$B$4:$B$475,0)),"---")</f>
        <v>---</v>
      </c>
      <c r="G124" s="37" t="str">
        <f>IF(ISNUMBER(INDEX(PCBs!$AA$4:$AA$475,MATCH($B124,PCBs!$B$4:$B$475,0))),INDEX(PCBs!$AA$4:$AA$475,MATCH($B124,PCBs!$B$4:$B$475,0)),"---")</f>
        <v>---</v>
      </c>
    </row>
    <row r="125" spans="1:7" x14ac:dyDescent="0.3">
      <c r="A125" s="39" t="s">
        <v>2436</v>
      </c>
      <c r="B125" s="25" t="s">
        <v>240</v>
      </c>
      <c r="C125" s="45" t="s">
        <v>241</v>
      </c>
      <c r="D125" s="15" t="str">
        <f>IF(ISNUMBER(INDEX(PCBs!$G$4:$G$475,MATCH($B125,PCBs!$B$4:$B$475,0))),INDEX(PCBs!$G$4:$G$475,MATCH($B125,PCBs!$B$4:$B$475,0)),"---")</f>
        <v>---</v>
      </c>
      <c r="E125" s="15" t="str">
        <f>IF(ISNUMBER(INDEX(PCBs!$K$4:$K$475,MATCH($B125,PCBs!$B$4:$B$475,0))),INDEX(PCBs!$K$4:$K$475,MATCH($B125,PCBs!$B$4:$B$475,0)),"---")</f>
        <v>---</v>
      </c>
      <c r="F125" s="15" t="str">
        <f>IF(ISNUMBER(INDEX(PCBs!$S$4:$S$475,MATCH($B125,PCBs!$B$4:$B$475,0))),INDEX(PCBs!$S$4:$S$475,MATCH($B125,PCBs!$B$4:$B$475,0)),"---")</f>
        <v>---</v>
      </c>
      <c r="G125" s="37" t="str">
        <f>IF(ISNUMBER(INDEX(PCBs!$AA$4:$AA$475,MATCH($B125,PCBs!$B$4:$B$475,0))),INDEX(PCBs!$AA$4:$AA$475,MATCH($B125,PCBs!$B$4:$B$475,0)),"---")</f>
        <v>---</v>
      </c>
    </row>
    <row r="126" spans="1:7" x14ac:dyDescent="0.3">
      <c r="A126" s="39" t="s">
        <v>2437</v>
      </c>
      <c r="B126" s="25" t="s">
        <v>242</v>
      </c>
      <c r="C126" s="45" t="s">
        <v>243</v>
      </c>
      <c r="D126" s="15" t="str">
        <f>IF(ISNUMBER(INDEX(PCBs!$G$4:$G$475,MATCH($B126,PCBs!$B$4:$B$475,0))),INDEX(PCBs!$G$4:$G$475,MATCH($B126,PCBs!$B$4:$B$475,0)),"---")</f>
        <v>---</v>
      </c>
      <c r="E126" s="15" t="str">
        <f>IF(ISNUMBER(INDEX(PCBs!$K$4:$K$475,MATCH($B126,PCBs!$B$4:$B$475,0))),INDEX(PCBs!$K$4:$K$475,MATCH($B126,PCBs!$B$4:$B$475,0)),"---")</f>
        <v>---</v>
      </c>
      <c r="F126" s="15" t="str">
        <f>IF(ISNUMBER(INDEX(PCBs!$S$4:$S$475,MATCH($B126,PCBs!$B$4:$B$475,0))),INDEX(PCBs!$S$4:$S$475,MATCH($B126,PCBs!$B$4:$B$475,0)),"---")</f>
        <v>---</v>
      </c>
      <c r="G126" s="37" t="str">
        <f>IF(ISNUMBER(INDEX(PCBs!$AA$4:$AA$475,MATCH($B126,PCBs!$B$4:$B$475,0))),INDEX(PCBs!$AA$4:$AA$475,MATCH($B126,PCBs!$B$4:$B$475,0)),"---")</f>
        <v>---</v>
      </c>
    </row>
    <row r="127" spans="1:7" x14ac:dyDescent="0.3">
      <c r="A127" s="39" t="s">
        <v>2438</v>
      </c>
      <c r="B127" s="25" t="s">
        <v>244</v>
      </c>
      <c r="C127" s="45" t="s">
        <v>245</v>
      </c>
      <c r="D127" s="15" t="str">
        <f>IF(ISNUMBER(INDEX(PCBs!$G$4:$G$475,MATCH($B127,PCBs!$B$4:$B$475,0))),INDEX(PCBs!$G$4:$G$475,MATCH($B127,PCBs!$B$4:$B$475,0)),"---")</f>
        <v>---</v>
      </c>
      <c r="E127" s="15" t="str">
        <f>IF(ISNUMBER(INDEX(PCBs!$K$4:$K$475,MATCH($B127,PCBs!$B$4:$B$475,0))),INDEX(PCBs!$K$4:$K$475,MATCH($B127,PCBs!$B$4:$B$475,0)),"---")</f>
        <v>---</v>
      </c>
      <c r="F127" s="15" t="str">
        <f>IF(ISNUMBER(INDEX(PCBs!$S$4:$S$475,MATCH($B127,PCBs!$B$4:$B$475,0))),INDEX(PCBs!$S$4:$S$475,MATCH($B127,PCBs!$B$4:$B$475,0)),"---")</f>
        <v>---</v>
      </c>
      <c r="G127" s="37" t="str">
        <f>IF(ISNUMBER(INDEX(PCBs!$AA$4:$AA$475,MATCH($B127,PCBs!$B$4:$B$475,0))),INDEX(PCBs!$AA$4:$AA$475,MATCH($B127,PCBs!$B$4:$B$475,0)),"---")</f>
        <v>---</v>
      </c>
    </row>
    <row r="128" spans="1:7" x14ac:dyDescent="0.3">
      <c r="A128" s="39" t="s">
        <v>2439</v>
      </c>
      <c r="B128" s="25" t="s">
        <v>246</v>
      </c>
      <c r="C128" s="45" t="s">
        <v>247</v>
      </c>
      <c r="D128" s="15" t="str">
        <f>IF(ISNUMBER(INDEX(PCBs!$G$4:$G$475,MATCH($B128,PCBs!$B$4:$B$475,0))),INDEX(PCBs!$G$4:$G$475,MATCH($B128,PCBs!$B$4:$B$475,0)),"---")</f>
        <v>---</v>
      </c>
      <c r="E128" s="15" t="str">
        <f>IF(ISNUMBER(INDEX(PCBs!$K$4:$K$475,MATCH($B128,PCBs!$B$4:$B$475,0))),INDEX(PCBs!$K$4:$K$475,MATCH($B128,PCBs!$B$4:$B$475,0)),"---")</f>
        <v>---</v>
      </c>
      <c r="F128" s="15" t="str">
        <f>IF(ISNUMBER(INDEX(PCBs!$S$4:$S$475,MATCH($B128,PCBs!$B$4:$B$475,0))),INDEX(PCBs!$S$4:$S$475,MATCH($B128,PCBs!$B$4:$B$475,0)),"---")</f>
        <v>---</v>
      </c>
      <c r="G128" s="37" t="str">
        <f>IF(ISNUMBER(INDEX(PCBs!$AA$4:$AA$475,MATCH($B128,PCBs!$B$4:$B$475,0))),INDEX(PCBs!$AA$4:$AA$475,MATCH($B128,PCBs!$B$4:$B$475,0)),"---")</f>
        <v>---</v>
      </c>
    </row>
    <row r="129" spans="1:7" x14ac:dyDescent="0.3">
      <c r="A129" s="39" t="s">
        <v>2440</v>
      </c>
      <c r="B129" s="25" t="s">
        <v>248</v>
      </c>
      <c r="C129" s="45" t="s">
        <v>249</v>
      </c>
      <c r="D129" s="15" t="str">
        <f>IF(ISNUMBER(INDEX(PCBs!$G$4:$G$475,MATCH($B129,PCBs!$B$4:$B$475,0))),INDEX(PCBs!$G$4:$G$475,MATCH($B129,PCBs!$B$4:$B$475,0)),"---")</f>
        <v>---</v>
      </c>
      <c r="E129" s="15" t="str">
        <f>IF(ISNUMBER(INDEX(PCBs!$K$4:$K$475,MATCH($B129,PCBs!$B$4:$B$475,0))),INDEX(PCBs!$K$4:$K$475,MATCH($B129,PCBs!$B$4:$B$475,0)),"---")</f>
        <v>---</v>
      </c>
      <c r="F129" s="15" t="str">
        <f>IF(ISNUMBER(INDEX(PCBs!$S$4:$S$475,MATCH($B129,PCBs!$B$4:$B$475,0))),INDEX(PCBs!$S$4:$S$475,MATCH($B129,PCBs!$B$4:$B$475,0)),"---")</f>
        <v>---</v>
      </c>
      <c r="G129" s="37" t="str">
        <f>IF(ISNUMBER(INDEX(PCBs!$AA$4:$AA$475,MATCH($B129,PCBs!$B$4:$B$475,0))),INDEX(PCBs!$AA$4:$AA$475,MATCH($B129,PCBs!$B$4:$B$475,0)),"---")</f>
        <v>---</v>
      </c>
    </row>
    <row r="130" spans="1:7" x14ac:dyDescent="0.3">
      <c r="A130" s="39" t="s">
        <v>2441</v>
      </c>
      <c r="B130" s="25" t="s">
        <v>250</v>
      </c>
      <c r="C130" s="45" t="s">
        <v>251</v>
      </c>
      <c r="D130" s="15" t="str">
        <f>IF(ISNUMBER(INDEX(PCBs!$G$4:$G$475,MATCH($B130,PCBs!$B$4:$B$475,0))),INDEX(PCBs!$G$4:$G$475,MATCH($B130,PCBs!$B$4:$B$475,0)),"---")</f>
        <v>---</v>
      </c>
      <c r="E130" s="15" t="str">
        <f>IF(ISNUMBER(INDEX(PCBs!$K$4:$K$475,MATCH($B130,PCBs!$B$4:$B$475,0))),INDEX(PCBs!$K$4:$K$475,MATCH($B130,PCBs!$B$4:$B$475,0)),"---")</f>
        <v>---</v>
      </c>
      <c r="F130" s="15" t="str">
        <f>IF(ISNUMBER(INDEX(PCBs!$S$4:$S$475,MATCH($B130,PCBs!$B$4:$B$475,0))),INDEX(PCBs!$S$4:$S$475,MATCH($B130,PCBs!$B$4:$B$475,0)),"---")</f>
        <v>---</v>
      </c>
      <c r="G130" s="37" t="str">
        <f>IF(ISNUMBER(INDEX(PCBs!$AA$4:$AA$475,MATCH($B130,PCBs!$B$4:$B$475,0))),INDEX(PCBs!$AA$4:$AA$475,MATCH($B130,PCBs!$B$4:$B$475,0)),"---")</f>
        <v>---</v>
      </c>
    </row>
    <row r="131" spans="1:7" x14ac:dyDescent="0.3">
      <c r="A131" s="39" t="s">
        <v>2442</v>
      </c>
      <c r="B131" s="25" t="s">
        <v>252</v>
      </c>
      <c r="C131" s="45" t="s">
        <v>253</v>
      </c>
      <c r="D131" s="15">
        <f>IF(ISNUMBER(INDEX(PCBs!$G$4:$G$475,MATCH($B131,PCBs!$B$4:$B$475,0))),INDEX(PCBs!$G$4:$G$475,MATCH($B131,PCBs!$B$4:$B$475,0)),"---")</f>
        <v>7.13</v>
      </c>
      <c r="E131" s="15" t="str">
        <f>IF(ISNUMBER(INDEX(PCBs!$K$4:$K$475,MATCH($B131,PCBs!$B$4:$B$475,0))),INDEX(PCBs!$K$4:$K$475,MATCH($B131,PCBs!$B$4:$B$475,0)),"---")</f>
        <v>---</v>
      </c>
      <c r="F131" s="15" t="str">
        <f>IF(ISNUMBER(INDEX(PCBs!$S$4:$S$475,MATCH($B131,PCBs!$B$4:$B$475,0))),INDEX(PCBs!$S$4:$S$475,MATCH($B131,PCBs!$B$4:$B$475,0)),"---")</f>
        <v>---</v>
      </c>
      <c r="G131" s="37" t="str">
        <f>IF(ISNUMBER(INDEX(PCBs!$AA$4:$AA$475,MATCH($B131,PCBs!$B$4:$B$475,0))),INDEX(PCBs!$AA$4:$AA$475,MATCH($B131,PCBs!$B$4:$B$475,0)),"---")</f>
        <v>---</v>
      </c>
    </row>
    <row r="132" spans="1:7" x14ac:dyDescent="0.3">
      <c r="A132" s="39" t="s">
        <v>2443</v>
      </c>
      <c r="B132" s="25" t="s">
        <v>254</v>
      </c>
      <c r="C132" s="45" t="s">
        <v>255</v>
      </c>
      <c r="D132" s="15" t="str">
        <f>IF(ISNUMBER(INDEX(PCBs!$G$4:$G$475,MATCH($B132,PCBs!$B$4:$B$475,0))),INDEX(PCBs!$G$4:$G$475,MATCH($B132,PCBs!$B$4:$B$475,0)),"---")</f>
        <v>---</v>
      </c>
      <c r="E132" s="15" t="str">
        <f>IF(ISNUMBER(INDEX(PCBs!$K$4:$K$475,MATCH($B132,PCBs!$B$4:$B$475,0))),INDEX(PCBs!$K$4:$K$475,MATCH($B132,PCBs!$B$4:$B$475,0)),"---")</f>
        <v>---</v>
      </c>
      <c r="F132" s="15" t="str">
        <f>IF(ISNUMBER(INDEX(PCBs!$S$4:$S$475,MATCH($B132,PCBs!$B$4:$B$475,0))),INDEX(PCBs!$S$4:$S$475,MATCH($B132,PCBs!$B$4:$B$475,0)),"---")</f>
        <v>---</v>
      </c>
      <c r="G132" s="37" t="str">
        <f>IF(ISNUMBER(INDEX(PCBs!$AA$4:$AA$475,MATCH($B132,PCBs!$B$4:$B$475,0))),INDEX(PCBs!$AA$4:$AA$475,MATCH($B132,PCBs!$B$4:$B$475,0)),"---")</f>
        <v>---</v>
      </c>
    </row>
    <row r="133" spans="1:7" x14ac:dyDescent="0.3">
      <c r="A133" s="39" t="s">
        <v>2444</v>
      </c>
      <c r="B133" s="25" t="s">
        <v>256</v>
      </c>
      <c r="C133" s="45" t="s">
        <v>257</v>
      </c>
      <c r="D133" s="15">
        <f>IF(ISNUMBER(INDEX(PCBs!$G$4:$G$475,MATCH($B133,PCBs!$B$4:$B$475,0))),INDEX(PCBs!$G$4:$G$475,MATCH($B133,PCBs!$B$4:$B$475,0)),"---")</f>
        <v>7.2805</v>
      </c>
      <c r="E133" s="15">
        <f>IF(ISNUMBER(INDEX(PCBs!$K$4:$K$475,MATCH($B133,PCBs!$B$4:$B$475,0))),INDEX(PCBs!$K$4:$K$475,MATCH($B133,PCBs!$B$4:$B$475,0)),"---")</f>
        <v>151.75</v>
      </c>
      <c r="F133" s="15" t="str">
        <f>IF(ISNUMBER(INDEX(PCBs!$S$4:$S$475,MATCH($B133,PCBs!$B$4:$B$475,0))),INDEX(PCBs!$S$4:$S$475,MATCH($B133,PCBs!$B$4:$B$475,0)),"---")</f>
        <v>---</v>
      </c>
      <c r="G133" s="37" t="str">
        <f>IF(ISNUMBER(INDEX(PCBs!$AA$4:$AA$475,MATCH($B133,PCBs!$B$4:$B$475,0))),INDEX(PCBs!$AA$4:$AA$475,MATCH($B133,PCBs!$B$4:$B$475,0)),"---")</f>
        <v>---</v>
      </c>
    </row>
    <row r="134" spans="1:7" x14ac:dyDescent="0.3">
      <c r="A134" s="39" t="s">
        <v>2445</v>
      </c>
      <c r="B134" s="25" t="s">
        <v>258</v>
      </c>
      <c r="C134" s="45" t="s">
        <v>259</v>
      </c>
      <c r="D134" s="15" t="str">
        <f>IF(ISNUMBER(INDEX(PCBs!$G$4:$G$475,MATCH($B134,PCBs!$B$4:$B$475,0))),INDEX(PCBs!$G$4:$G$475,MATCH($B134,PCBs!$B$4:$B$475,0)),"---")</f>
        <v>---</v>
      </c>
      <c r="E134" s="15">
        <f>IF(ISNUMBER(INDEX(PCBs!$K$4:$K$475,MATCH($B134,PCBs!$B$4:$B$475,0))),INDEX(PCBs!$K$4:$K$475,MATCH($B134,PCBs!$B$4:$B$475,0)),"---")</f>
        <v>85</v>
      </c>
      <c r="F134" s="15" t="str">
        <f>IF(ISNUMBER(INDEX(PCBs!$S$4:$S$475,MATCH($B134,PCBs!$B$4:$B$475,0))),INDEX(PCBs!$S$4:$S$475,MATCH($B134,PCBs!$B$4:$B$475,0)),"---")</f>
        <v>---</v>
      </c>
      <c r="G134" s="37" t="str">
        <f>IF(ISNUMBER(INDEX(PCBs!$AA$4:$AA$475,MATCH($B134,PCBs!$B$4:$B$475,0))),INDEX(PCBs!$AA$4:$AA$475,MATCH($B134,PCBs!$B$4:$B$475,0)),"---")</f>
        <v>---</v>
      </c>
    </row>
    <row r="135" spans="1:7" x14ac:dyDescent="0.3">
      <c r="A135" s="39" t="s">
        <v>2446</v>
      </c>
      <c r="B135" s="25" t="s">
        <v>260</v>
      </c>
      <c r="C135" s="45" t="s">
        <v>261</v>
      </c>
      <c r="D135" s="15" t="str">
        <f>IF(ISNUMBER(INDEX(PCBs!$G$4:$G$475,MATCH($B135,PCBs!$B$4:$B$475,0))),INDEX(PCBs!$G$4:$G$475,MATCH($B135,PCBs!$B$4:$B$475,0)),"---")</f>
        <v>---</v>
      </c>
      <c r="E135" s="15" t="str">
        <f>IF(ISNUMBER(INDEX(PCBs!$K$4:$K$475,MATCH($B135,PCBs!$B$4:$B$475,0))),INDEX(PCBs!$K$4:$K$475,MATCH($B135,PCBs!$B$4:$B$475,0)),"---")</f>
        <v>---</v>
      </c>
      <c r="F135" s="15" t="str">
        <f>IF(ISNUMBER(INDEX(PCBs!$S$4:$S$475,MATCH($B135,PCBs!$B$4:$B$475,0))),INDEX(PCBs!$S$4:$S$475,MATCH($B135,PCBs!$B$4:$B$475,0)),"---")</f>
        <v>---</v>
      </c>
      <c r="G135" s="37" t="str">
        <f>IF(ISNUMBER(INDEX(PCBs!$AA$4:$AA$475,MATCH($B135,PCBs!$B$4:$B$475,0))),INDEX(PCBs!$AA$4:$AA$475,MATCH($B135,PCBs!$B$4:$B$475,0)),"---")</f>
        <v>---</v>
      </c>
    </row>
    <row r="136" spans="1:7" x14ac:dyDescent="0.3">
      <c r="A136" s="39" t="s">
        <v>2447</v>
      </c>
      <c r="B136" s="25" t="s">
        <v>262</v>
      </c>
      <c r="C136" s="45" t="s">
        <v>263</v>
      </c>
      <c r="D136" s="15" t="str">
        <f>IF(ISNUMBER(INDEX(PCBs!$G$4:$G$475,MATCH($B136,PCBs!$B$4:$B$475,0))),INDEX(PCBs!$G$4:$G$475,MATCH($B136,PCBs!$B$4:$B$475,0)),"---")</f>
        <v>---</v>
      </c>
      <c r="E136" s="15" t="str">
        <f>IF(ISNUMBER(INDEX(PCBs!$K$4:$K$475,MATCH($B136,PCBs!$B$4:$B$475,0))),INDEX(PCBs!$K$4:$K$475,MATCH($B136,PCBs!$B$4:$B$475,0)),"---")</f>
        <v>---</v>
      </c>
      <c r="F136" s="15" t="str">
        <f>IF(ISNUMBER(INDEX(PCBs!$S$4:$S$475,MATCH($B136,PCBs!$B$4:$B$475,0))),INDEX(PCBs!$S$4:$S$475,MATCH($B136,PCBs!$B$4:$B$475,0)),"---")</f>
        <v>---</v>
      </c>
      <c r="G136" s="37" t="str">
        <f>IF(ISNUMBER(INDEX(PCBs!$AA$4:$AA$475,MATCH($B136,PCBs!$B$4:$B$475,0))),INDEX(PCBs!$AA$4:$AA$475,MATCH($B136,PCBs!$B$4:$B$475,0)),"---")</f>
        <v>---</v>
      </c>
    </row>
    <row r="137" spans="1:7" x14ac:dyDescent="0.3">
      <c r="A137" s="39" t="s">
        <v>2448</v>
      </c>
      <c r="B137" s="25" t="s">
        <v>264</v>
      </c>
      <c r="C137" s="45" t="s">
        <v>265</v>
      </c>
      <c r="D137" s="15" t="str">
        <f>IF(ISNUMBER(INDEX(PCBs!$G$4:$G$475,MATCH($B137,PCBs!$B$4:$B$475,0))),INDEX(PCBs!$G$4:$G$475,MATCH($B137,PCBs!$B$4:$B$475,0)),"---")</f>
        <v>---</v>
      </c>
      <c r="E137" s="15" t="str">
        <f>IF(ISNUMBER(INDEX(PCBs!$K$4:$K$475,MATCH($B137,PCBs!$B$4:$B$475,0))),INDEX(PCBs!$K$4:$K$475,MATCH($B137,PCBs!$B$4:$B$475,0)),"---")</f>
        <v>---</v>
      </c>
      <c r="F137" s="15" t="str">
        <f>IF(ISNUMBER(INDEX(PCBs!$S$4:$S$475,MATCH($B137,PCBs!$B$4:$B$475,0))),INDEX(PCBs!$S$4:$S$475,MATCH($B137,PCBs!$B$4:$B$475,0)),"---")</f>
        <v>---</v>
      </c>
      <c r="G137" s="37" t="str">
        <f>IF(ISNUMBER(INDEX(PCBs!$AA$4:$AA$475,MATCH($B137,PCBs!$B$4:$B$475,0))),INDEX(PCBs!$AA$4:$AA$475,MATCH($B137,PCBs!$B$4:$B$475,0)),"---")</f>
        <v>---</v>
      </c>
    </row>
    <row r="138" spans="1:7" x14ac:dyDescent="0.3">
      <c r="A138" s="39" t="s">
        <v>2449</v>
      </c>
      <c r="B138" s="25" t="s">
        <v>266</v>
      </c>
      <c r="C138" s="45" t="s">
        <v>267</v>
      </c>
      <c r="D138" s="15" t="str">
        <f>IF(ISNUMBER(INDEX(PCBs!$G$4:$G$475,MATCH($B138,PCBs!$B$4:$B$475,0))),INDEX(PCBs!$G$4:$G$475,MATCH($B138,PCBs!$B$4:$B$475,0)),"---")</f>
        <v>---</v>
      </c>
      <c r="E138" s="15" t="str">
        <f>IF(ISNUMBER(INDEX(PCBs!$K$4:$K$475,MATCH($B138,PCBs!$B$4:$B$475,0))),INDEX(PCBs!$K$4:$K$475,MATCH($B138,PCBs!$B$4:$B$475,0)),"---")</f>
        <v>---</v>
      </c>
      <c r="F138" s="15" t="str">
        <f>IF(ISNUMBER(INDEX(PCBs!$S$4:$S$475,MATCH($B138,PCBs!$B$4:$B$475,0))),INDEX(PCBs!$S$4:$S$475,MATCH($B138,PCBs!$B$4:$B$475,0)),"---")</f>
        <v>---</v>
      </c>
      <c r="G138" s="37" t="str">
        <f>IF(ISNUMBER(INDEX(PCBs!$AA$4:$AA$475,MATCH($B138,PCBs!$B$4:$B$475,0))),INDEX(PCBs!$AA$4:$AA$475,MATCH($B138,PCBs!$B$4:$B$475,0)),"---")</f>
        <v>---</v>
      </c>
    </row>
    <row r="139" spans="1:7" x14ac:dyDescent="0.3">
      <c r="A139" s="39" t="s">
        <v>2450</v>
      </c>
      <c r="B139" s="25" t="s">
        <v>268</v>
      </c>
      <c r="C139" s="45" t="s">
        <v>269</v>
      </c>
      <c r="D139" s="15" t="str">
        <f>IF(ISNUMBER(INDEX(PCBs!$G$4:$G$475,MATCH($B139,PCBs!$B$4:$B$475,0))),INDEX(PCBs!$G$4:$G$475,MATCH($B139,PCBs!$B$4:$B$475,0)),"---")</f>
        <v>---</v>
      </c>
      <c r="E139" s="15">
        <f>IF(ISNUMBER(INDEX(PCBs!$K$4:$K$475,MATCH($B139,PCBs!$B$4:$B$475,0))),INDEX(PCBs!$K$4:$K$475,MATCH($B139,PCBs!$B$4:$B$475,0)),"---")</f>
        <v>100</v>
      </c>
      <c r="F139" s="15" t="str">
        <f>IF(ISNUMBER(INDEX(PCBs!$S$4:$S$475,MATCH($B139,PCBs!$B$4:$B$475,0))),INDEX(PCBs!$S$4:$S$475,MATCH($B139,PCBs!$B$4:$B$475,0)),"---")</f>
        <v>---</v>
      </c>
      <c r="G139" s="37" t="str">
        <f>IF(ISNUMBER(INDEX(PCBs!$AA$4:$AA$475,MATCH($B139,PCBs!$B$4:$B$475,0))),INDEX(PCBs!$AA$4:$AA$475,MATCH($B139,PCBs!$B$4:$B$475,0)),"---")</f>
        <v>---</v>
      </c>
    </row>
    <row r="140" spans="1:7" x14ac:dyDescent="0.3">
      <c r="A140" s="39" t="s">
        <v>2451</v>
      </c>
      <c r="B140" s="25" t="s">
        <v>270</v>
      </c>
      <c r="C140" s="45" t="s">
        <v>271</v>
      </c>
      <c r="D140" s="15" t="str">
        <f>IF(ISNUMBER(INDEX(PCBs!$G$4:$G$475,MATCH($B140,PCBs!$B$4:$B$475,0))),INDEX(PCBs!$G$4:$G$475,MATCH($B140,PCBs!$B$4:$B$475,0)),"---")</f>
        <v>---</v>
      </c>
      <c r="E140" s="15" t="str">
        <f>IF(ISNUMBER(INDEX(PCBs!$K$4:$K$475,MATCH($B140,PCBs!$B$4:$B$475,0))),INDEX(PCBs!$K$4:$K$475,MATCH($B140,PCBs!$B$4:$B$475,0)),"---")</f>
        <v>---</v>
      </c>
      <c r="F140" s="15" t="str">
        <f>IF(ISNUMBER(INDEX(PCBs!$S$4:$S$475,MATCH($B140,PCBs!$B$4:$B$475,0))),INDEX(PCBs!$S$4:$S$475,MATCH($B140,PCBs!$B$4:$B$475,0)),"---")</f>
        <v>---</v>
      </c>
      <c r="G140" s="37" t="str">
        <f>IF(ISNUMBER(INDEX(PCBs!$AA$4:$AA$475,MATCH($B140,PCBs!$B$4:$B$475,0))),INDEX(PCBs!$AA$4:$AA$475,MATCH($B140,PCBs!$B$4:$B$475,0)),"---")</f>
        <v>---</v>
      </c>
    </row>
    <row r="141" spans="1:7" x14ac:dyDescent="0.3">
      <c r="A141" s="39" t="s">
        <v>2452</v>
      </c>
      <c r="B141" s="25" t="s">
        <v>272</v>
      </c>
      <c r="C141" s="45" t="s">
        <v>273</v>
      </c>
      <c r="D141" s="15">
        <f>IF(ISNUMBER(INDEX(PCBs!$G$4:$G$475,MATCH($B141,PCBs!$B$4:$B$475,0))),INDEX(PCBs!$G$4:$G$475,MATCH($B141,PCBs!$B$4:$B$475,0)),"---")</f>
        <v>7.1180000000000003</v>
      </c>
      <c r="E141" s="15">
        <f>IF(ISNUMBER(INDEX(PCBs!$K$4:$K$475,MATCH($B141,PCBs!$B$4:$B$475,0))),INDEX(PCBs!$K$4:$K$475,MATCH($B141,PCBs!$B$4:$B$475,0)),"---")</f>
        <v>112.05000000000001</v>
      </c>
      <c r="F141" s="15" t="str">
        <f>IF(ISNUMBER(INDEX(PCBs!$S$4:$S$475,MATCH($B141,PCBs!$B$4:$B$475,0))),INDEX(PCBs!$S$4:$S$475,MATCH($B141,PCBs!$B$4:$B$475,0)),"---")</f>
        <v>---</v>
      </c>
      <c r="G141" s="37" t="str">
        <f>IF(ISNUMBER(INDEX(PCBs!$AA$4:$AA$475,MATCH($B141,PCBs!$B$4:$B$475,0))),INDEX(PCBs!$AA$4:$AA$475,MATCH($B141,PCBs!$B$4:$B$475,0)),"---")</f>
        <v>---</v>
      </c>
    </row>
    <row r="142" spans="1:7" x14ac:dyDescent="0.3">
      <c r="A142" s="39" t="s">
        <v>2453</v>
      </c>
      <c r="B142" s="25" t="s">
        <v>274</v>
      </c>
      <c r="C142" s="45" t="s">
        <v>275</v>
      </c>
      <c r="D142" s="15" t="str">
        <f>IF(ISNUMBER(INDEX(PCBs!$G$4:$G$475,MATCH($B142,PCBs!$B$4:$B$475,0))),INDEX(PCBs!$G$4:$G$475,MATCH($B142,PCBs!$B$4:$B$475,0)),"---")</f>
        <v>---</v>
      </c>
      <c r="E142" s="15" t="str">
        <f>IF(ISNUMBER(INDEX(PCBs!$K$4:$K$475,MATCH($B142,PCBs!$B$4:$B$475,0))),INDEX(PCBs!$K$4:$K$475,MATCH($B142,PCBs!$B$4:$B$475,0)),"---")</f>
        <v>---</v>
      </c>
      <c r="F142" s="15" t="str">
        <f>IF(ISNUMBER(INDEX(PCBs!$S$4:$S$475,MATCH($B142,PCBs!$B$4:$B$475,0))),INDEX(PCBs!$S$4:$S$475,MATCH($B142,PCBs!$B$4:$B$475,0)),"---")</f>
        <v>---</v>
      </c>
      <c r="G142" s="37" t="str">
        <f>IF(ISNUMBER(INDEX(PCBs!$AA$4:$AA$475,MATCH($B142,PCBs!$B$4:$B$475,0))),INDEX(PCBs!$AA$4:$AA$475,MATCH($B142,PCBs!$B$4:$B$475,0)),"---")</f>
        <v>---</v>
      </c>
    </row>
    <row r="143" spans="1:7" x14ac:dyDescent="0.3">
      <c r="A143" s="39" t="s">
        <v>2454</v>
      </c>
      <c r="B143" s="25" t="s">
        <v>276</v>
      </c>
      <c r="C143" s="45" t="s">
        <v>277</v>
      </c>
      <c r="D143" s="15" t="str">
        <f>IF(ISNUMBER(INDEX(PCBs!$G$4:$G$475,MATCH($B143,PCBs!$B$4:$B$475,0))),INDEX(PCBs!$G$4:$G$475,MATCH($B143,PCBs!$B$4:$B$475,0)),"---")</f>
        <v>---</v>
      </c>
      <c r="E143" s="15">
        <f>IF(ISNUMBER(INDEX(PCBs!$K$4:$K$475,MATCH($B143,PCBs!$B$4:$B$475,0))),INDEX(PCBs!$K$4:$K$475,MATCH($B143,PCBs!$B$4:$B$475,0)),"---")</f>
        <v>80.5</v>
      </c>
      <c r="F143" s="15">
        <f>IF(ISNUMBER(INDEX(PCBs!$S$4:$S$475,MATCH($B143,PCBs!$B$4:$B$475,0))),INDEX(PCBs!$S$4:$S$475,MATCH($B143,PCBs!$B$4:$B$475,0)),"---")</f>
        <v>1.1497376355172193E-6</v>
      </c>
      <c r="G143" s="37">
        <f>IF(ISNUMBER(INDEX(PCBs!$AA$4:$AA$475,MATCH($B143,PCBs!$B$4:$B$475,0))),INDEX(PCBs!$AA$4:$AA$475,MATCH($B143,PCBs!$B$4:$B$475,0)),"---")</f>
        <v>2.1424162453538868E-3</v>
      </c>
    </row>
    <row r="144" spans="1:7" x14ac:dyDescent="0.3">
      <c r="A144" s="39" t="s">
        <v>2455</v>
      </c>
      <c r="B144" s="25" t="s">
        <v>278</v>
      </c>
      <c r="C144" s="45" t="s">
        <v>279</v>
      </c>
      <c r="D144" s="15" t="str">
        <f>IF(ISNUMBER(INDEX(PCBs!$G$4:$G$475,MATCH($B144,PCBs!$B$4:$B$475,0))),INDEX(PCBs!$G$4:$G$475,MATCH($B144,PCBs!$B$4:$B$475,0)),"---")</f>
        <v>---</v>
      </c>
      <c r="E144" s="15" t="str">
        <f>IF(ISNUMBER(INDEX(PCBs!$K$4:$K$475,MATCH($B144,PCBs!$B$4:$B$475,0))),INDEX(PCBs!$K$4:$K$475,MATCH($B144,PCBs!$B$4:$B$475,0)),"---")</f>
        <v>---</v>
      </c>
      <c r="F144" s="15" t="str">
        <f>IF(ISNUMBER(INDEX(PCBs!$S$4:$S$475,MATCH($B144,PCBs!$B$4:$B$475,0))),INDEX(PCBs!$S$4:$S$475,MATCH($B144,PCBs!$B$4:$B$475,0)),"---")</f>
        <v>---</v>
      </c>
      <c r="G144" s="37" t="str">
        <f>IF(ISNUMBER(INDEX(PCBs!$AA$4:$AA$475,MATCH($B144,PCBs!$B$4:$B$475,0))),INDEX(PCBs!$AA$4:$AA$475,MATCH($B144,PCBs!$B$4:$B$475,0)),"---")</f>
        <v>---</v>
      </c>
    </row>
    <row r="145" spans="1:7" x14ac:dyDescent="0.3">
      <c r="A145" s="39" t="s">
        <v>2456</v>
      </c>
      <c r="B145" s="25" t="s">
        <v>280</v>
      </c>
      <c r="C145" s="45" t="s">
        <v>281</v>
      </c>
      <c r="D145" s="15" t="str">
        <f>IF(ISNUMBER(INDEX(PCBs!$G$4:$G$475,MATCH($B145,PCBs!$B$4:$B$475,0))),INDEX(PCBs!$G$4:$G$475,MATCH($B145,PCBs!$B$4:$B$475,0)),"---")</f>
        <v>---</v>
      </c>
      <c r="E145" s="15" t="str">
        <f>IF(ISNUMBER(INDEX(PCBs!$K$4:$K$475,MATCH($B145,PCBs!$B$4:$B$475,0))),INDEX(PCBs!$K$4:$K$475,MATCH($B145,PCBs!$B$4:$B$475,0)),"---")</f>
        <v>---</v>
      </c>
      <c r="F145" s="15" t="str">
        <f>IF(ISNUMBER(INDEX(PCBs!$S$4:$S$475,MATCH($B145,PCBs!$B$4:$B$475,0))),INDEX(PCBs!$S$4:$S$475,MATCH($B145,PCBs!$B$4:$B$475,0)),"---")</f>
        <v>---</v>
      </c>
      <c r="G145" s="37" t="str">
        <f>IF(ISNUMBER(INDEX(PCBs!$AA$4:$AA$475,MATCH($B145,PCBs!$B$4:$B$475,0))),INDEX(PCBs!$AA$4:$AA$475,MATCH($B145,PCBs!$B$4:$B$475,0)),"---")</f>
        <v>---</v>
      </c>
    </row>
    <row r="146" spans="1:7" x14ac:dyDescent="0.3">
      <c r="A146" s="39" t="s">
        <v>2457</v>
      </c>
      <c r="B146" s="25" t="s">
        <v>282</v>
      </c>
      <c r="C146" s="45" t="s">
        <v>283</v>
      </c>
      <c r="D146" s="15" t="str">
        <f>IF(ISNUMBER(INDEX(PCBs!$G$4:$G$475,MATCH($B146,PCBs!$B$4:$B$475,0))),INDEX(PCBs!$G$4:$G$475,MATCH($B146,PCBs!$B$4:$B$475,0)),"---")</f>
        <v>---</v>
      </c>
      <c r="E146" s="15">
        <f>IF(ISNUMBER(INDEX(PCBs!$K$4:$K$475,MATCH($B146,PCBs!$B$4:$B$475,0))),INDEX(PCBs!$K$4:$K$475,MATCH($B146,PCBs!$B$4:$B$475,0)),"---")</f>
        <v>85</v>
      </c>
      <c r="F146" s="15" t="str">
        <f>IF(ISNUMBER(INDEX(PCBs!$S$4:$S$475,MATCH($B146,PCBs!$B$4:$B$475,0))),INDEX(PCBs!$S$4:$S$475,MATCH($B146,PCBs!$B$4:$B$475,0)),"---")</f>
        <v>---</v>
      </c>
      <c r="G146" s="37" t="str">
        <f>IF(ISNUMBER(INDEX(PCBs!$AA$4:$AA$475,MATCH($B146,PCBs!$B$4:$B$475,0))),INDEX(PCBs!$AA$4:$AA$475,MATCH($B146,PCBs!$B$4:$B$475,0)),"---")</f>
        <v>---</v>
      </c>
    </row>
    <row r="147" spans="1:7" x14ac:dyDescent="0.3">
      <c r="A147" s="39" t="s">
        <v>2458</v>
      </c>
      <c r="B147" s="25" t="s">
        <v>284</v>
      </c>
      <c r="C147" s="45" t="s">
        <v>285</v>
      </c>
      <c r="D147" s="15" t="str">
        <f>IF(ISNUMBER(INDEX(PCBs!$G$4:$G$475,MATCH($B147,PCBs!$B$4:$B$475,0))),INDEX(PCBs!$G$4:$G$475,MATCH($B147,PCBs!$B$4:$B$475,0)),"---")</f>
        <v>---</v>
      </c>
      <c r="E147" s="15" t="str">
        <f>IF(ISNUMBER(INDEX(PCBs!$K$4:$K$475,MATCH($B147,PCBs!$B$4:$B$475,0))),INDEX(PCBs!$K$4:$K$475,MATCH($B147,PCBs!$B$4:$B$475,0)),"---")</f>
        <v>---</v>
      </c>
      <c r="F147" s="15" t="str">
        <f>IF(ISNUMBER(INDEX(PCBs!$S$4:$S$475,MATCH($B147,PCBs!$B$4:$B$475,0))),INDEX(PCBs!$S$4:$S$475,MATCH($B147,PCBs!$B$4:$B$475,0)),"---")</f>
        <v>---</v>
      </c>
      <c r="G147" s="37" t="str">
        <f>IF(ISNUMBER(INDEX(PCBs!$AA$4:$AA$475,MATCH($B147,PCBs!$B$4:$B$475,0))),INDEX(PCBs!$AA$4:$AA$475,MATCH($B147,PCBs!$B$4:$B$475,0)),"---")</f>
        <v>---</v>
      </c>
    </row>
    <row r="148" spans="1:7" x14ac:dyDescent="0.3">
      <c r="A148" s="39" t="s">
        <v>2459</v>
      </c>
      <c r="B148" s="25" t="s">
        <v>286</v>
      </c>
      <c r="C148" s="45" t="s">
        <v>287</v>
      </c>
      <c r="D148" s="15" t="str">
        <f>IF(ISNUMBER(INDEX(PCBs!$G$4:$G$475,MATCH($B148,PCBs!$B$4:$B$475,0))),INDEX(PCBs!$G$4:$G$475,MATCH($B148,PCBs!$B$4:$B$475,0)),"---")</f>
        <v>---</v>
      </c>
      <c r="E148" s="15" t="str">
        <f>IF(ISNUMBER(INDEX(PCBs!$K$4:$K$475,MATCH($B148,PCBs!$B$4:$B$475,0))),INDEX(PCBs!$K$4:$K$475,MATCH($B148,PCBs!$B$4:$B$475,0)),"---")</f>
        <v>---</v>
      </c>
      <c r="F148" s="15" t="str">
        <f>IF(ISNUMBER(INDEX(PCBs!$S$4:$S$475,MATCH($B148,PCBs!$B$4:$B$475,0))),INDEX(PCBs!$S$4:$S$475,MATCH($B148,PCBs!$B$4:$B$475,0)),"---")</f>
        <v>---</v>
      </c>
      <c r="G148" s="37" t="str">
        <f>IF(ISNUMBER(INDEX(PCBs!$AA$4:$AA$475,MATCH($B148,PCBs!$B$4:$B$475,0))),INDEX(PCBs!$AA$4:$AA$475,MATCH($B148,PCBs!$B$4:$B$475,0)),"---")</f>
        <v>---</v>
      </c>
    </row>
    <row r="149" spans="1:7" x14ac:dyDescent="0.3">
      <c r="A149" s="39" t="s">
        <v>2460</v>
      </c>
      <c r="B149" s="25" t="s">
        <v>288</v>
      </c>
      <c r="C149" s="45" t="s">
        <v>289</v>
      </c>
      <c r="D149" s="15" t="str">
        <f>IF(ISNUMBER(INDEX(PCBs!$G$4:$G$475,MATCH($B149,PCBs!$B$4:$B$475,0))),INDEX(PCBs!$G$4:$G$475,MATCH($B149,PCBs!$B$4:$B$475,0)),"---")</f>
        <v>---</v>
      </c>
      <c r="E149" s="15" t="str">
        <f>IF(ISNUMBER(INDEX(PCBs!$K$4:$K$475,MATCH($B149,PCBs!$B$4:$B$475,0))),INDEX(PCBs!$K$4:$K$475,MATCH($B149,PCBs!$B$4:$B$475,0)),"---")</f>
        <v>---</v>
      </c>
      <c r="F149" s="15" t="str">
        <f>IF(ISNUMBER(INDEX(PCBs!$S$4:$S$475,MATCH($B149,PCBs!$B$4:$B$475,0))),INDEX(PCBs!$S$4:$S$475,MATCH($B149,PCBs!$B$4:$B$475,0)),"---")</f>
        <v>---</v>
      </c>
      <c r="G149" s="37" t="str">
        <f>IF(ISNUMBER(INDEX(PCBs!$AA$4:$AA$475,MATCH($B149,PCBs!$B$4:$B$475,0))),INDEX(PCBs!$AA$4:$AA$475,MATCH($B149,PCBs!$B$4:$B$475,0)),"---")</f>
        <v>---</v>
      </c>
    </row>
    <row r="150" spans="1:7" x14ac:dyDescent="0.3">
      <c r="A150" s="39" t="s">
        <v>2461</v>
      </c>
      <c r="B150" s="25" t="s">
        <v>290</v>
      </c>
      <c r="C150" s="45" t="s">
        <v>291</v>
      </c>
      <c r="D150" s="15" t="str">
        <f>IF(ISNUMBER(INDEX(PCBs!$G$4:$G$475,MATCH($B150,PCBs!$B$4:$B$475,0))),INDEX(PCBs!$G$4:$G$475,MATCH($B150,PCBs!$B$4:$B$475,0)),"---")</f>
        <v>---</v>
      </c>
      <c r="E150" s="15" t="str">
        <f>IF(ISNUMBER(INDEX(PCBs!$K$4:$K$475,MATCH($B150,PCBs!$B$4:$B$475,0))),INDEX(PCBs!$K$4:$K$475,MATCH($B150,PCBs!$B$4:$B$475,0)),"---")</f>
        <v>---</v>
      </c>
      <c r="F150" s="15" t="str">
        <f>IF(ISNUMBER(INDEX(PCBs!$S$4:$S$475,MATCH($B150,PCBs!$B$4:$B$475,0))),INDEX(PCBs!$S$4:$S$475,MATCH($B150,PCBs!$B$4:$B$475,0)),"---")</f>
        <v>---</v>
      </c>
      <c r="G150" s="37" t="str">
        <f>IF(ISNUMBER(INDEX(PCBs!$AA$4:$AA$475,MATCH($B150,PCBs!$B$4:$B$475,0))),INDEX(PCBs!$AA$4:$AA$475,MATCH($B150,PCBs!$B$4:$B$475,0)),"---")</f>
        <v>---</v>
      </c>
    </row>
    <row r="151" spans="1:7" x14ac:dyDescent="0.3">
      <c r="A151" s="39" t="s">
        <v>2462</v>
      </c>
      <c r="B151" s="25" t="s">
        <v>292</v>
      </c>
      <c r="C151" s="45" t="s">
        <v>293</v>
      </c>
      <c r="D151" s="15" t="str">
        <f>IF(ISNUMBER(INDEX(PCBs!$G$4:$G$475,MATCH($B151,PCBs!$B$4:$B$475,0))),INDEX(PCBs!$G$4:$G$475,MATCH($B151,PCBs!$B$4:$B$475,0)),"---")</f>
        <v>---</v>
      </c>
      <c r="E151" s="15" t="str">
        <f>IF(ISNUMBER(INDEX(PCBs!$K$4:$K$475,MATCH($B151,PCBs!$B$4:$B$475,0))),INDEX(PCBs!$K$4:$K$475,MATCH($B151,PCBs!$B$4:$B$475,0)),"---")</f>
        <v>---</v>
      </c>
      <c r="F151" s="15" t="str">
        <f>IF(ISNUMBER(INDEX(PCBs!$S$4:$S$475,MATCH($B151,PCBs!$B$4:$B$475,0))),INDEX(PCBs!$S$4:$S$475,MATCH($B151,PCBs!$B$4:$B$475,0)),"---")</f>
        <v>---</v>
      </c>
      <c r="G151" s="37" t="str">
        <f>IF(ISNUMBER(INDEX(PCBs!$AA$4:$AA$475,MATCH($B151,PCBs!$B$4:$B$475,0))),INDEX(PCBs!$AA$4:$AA$475,MATCH($B151,PCBs!$B$4:$B$475,0)),"---")</f>
        <v>---</v>
      </c>
    </row>
    <row r="152" spans="1:7" x14ac:dyDescent="0.3">
      <c r="A152" s="39" t="s">
        <v>2463</v>
      </c>
      <c r="B152" s="25" t="s">
        <v>294</v>
      </c>
      <c r="C152" s="45" t="s">
        <v>295</v>
      </c>
      <c r="D152" s="15" t="str">
        <f>IF(ISNUMBER(INDEX(PCBs!$G$4:$G$475,MATCH($B152,PCBs!$B$4:$B$475,0))),INDEX(PCBs!$G$4:$G$475,MATCH($B152,PCBs!$B$4:$B$475,0)),"---")</f>
        <v>---</v>
      </c>
      <c r="E152" s="15" t="str">
        <f>IF(ISNUMBER(INDEX(PCBs!$K$4:$K$475,MATCH($B152,PCBs!$B$4:$B$475,0))),INDEX(PCBs!$K$4:$K$475,MATCH($B152,PCBs!$B$4:$B$475,0)),"---")</f>
        <v>---</v>
      </c>
      <c r="F152" s="15" t="str">
        <f>IF(ISNUMBER(INDEX(PCBs!$S$4:$S$475,MATCH($B152,PCBs!$B$4:$B$475,0))),INDEX(PCBs!$S$4:$S$475,MATCH($B152,PCBs!$B$4:$B$475,0)),"---")</f>
        <v>---</v>
      </c>
      <c r="G152" s="37" t="str">
        <f>IF(ISNUMBER(INDEX(PCBs!$AA$4:$AA$475,MATCH($B152,PCBs!$B$4:$B$475,0))),INDEX(PCBs!$AA$4:$AA$475,MATCH($B152,PCBs!$B$4:$B$475,0)),"---")</f>
        <v>---</v>
      </c>
    </row>
    <row r="153" spans="1:7" x14ac:dyDescent="0.3">
      <c r="A153" s="39" t="s">
        <v>2464</v>
      </c>
      <c r="B153" s="25" t="s">
        <v>296</v>
      </c>
      <c r="C153" s="45" t="s">
        <v>297</v>
      </c>
      <c r="D153" s="15" t="str">
        <f>IF(ISNUMBER(INDEX(PCBs!$G$4:$G$475,MATCH($B153,PCBs!$B$4:$B$475,0))),INDEX(PCBs!$G$4:$G$475,MATCH($B153,PCBs!$B$4:$B$475,0)),"---")</f>
        <v>---</v>
      </c>
      <c r="E153" s="15" t="str">
        <f>IF(ISNUMBER(INDEX(PCBs!$K$4:$K$475,MATCH($B153,PCBs!$B$4:$B$475,0))),INDEX(PCBs!$K$4:$K$475,MATCH($B153,PCBs!$B$4:$B$475,0)),"---")</f>
        <v>---</v>
      </c>
      <c r="F153" s="15" t="str">
        <f>IF(ISNUMBER(INDEX(PCBs!$S$4:$S$475,MATCH($B153,PCBs!$B$4:$B$475,0))),INDEX(PCBs!$S$4:$S$475,MATCH($B153,PCBs!$B$4:$B$475,0)),"---")</f>
        <v>---</v>
      </c>
      <c r="G153" s="37" t="str">
        <f>IF(ISNUMBER(INDEX(PCBs!$AA$4:$AA$475,MATCH($B153,PCBs!$B$4:$B$475,0))),INDEX(PCBs!$AA$4:$AA$475,MATCH($B153,PCBs!$B$4:$B$475,0)),"---")</f>
        <v>---</v>
      </c>
    </row>
    <row r="154" spans="1:7" x14ac:dyDescent="0.3">
      <c r="A154" s="39" t="s">
        <v>2465</v>
      </c>
      <c r="B154" s="25" t="s">
        <v>298</v>
      </c>
      <c r="C154" s="45" t="s">
        <v>299</v>
      </c>
      <c r="D154" s="15" t="str">
        <f>IF(ISNUMBER(INDEX(PCBs!$G$4:$G$475,MATCH($B154,PCBs!$B$4:$B$475,0))),INDEX(PCBs!$G$4:$G$475,MATCH($B154,PCBs!$B$4:$B$475,0)),"---")</f>
        <v>---</v>
      </c>
      <c r="E154" s="15" t="str">
        <f>IF(ISNUMBER(INDEX(PCBs!$K$4:$K$475,MATCH($B154,PCBs!$B$4:$B$475,0))),INDEX(PCBs!$K$4:$K$475,MATCH($B154,PCBs!$B$4:$B$475,0)),"---")</f>
        <v>---</v>
      </c>
      <c r="F154" s="15" t="str">
        <f>IF(ISNUMBER(INDEX(PCBs!$S$4:$S$475,MATCH($B154,PCBs!$B$4:$B$475,0))),INDEX(PCBs!$S$4:$S$475,MATCH($B154,PCBs!$B$4:$B$475,0)),"---")</f>
        <v>---</v>
      </c>
      <c r="G154" s="37" t="str">
        <f>IF(ISNUMBER(INDEX(PCBs!$AA$4:$AA$475,MATCH($B154,PCBs!$B$4:$B$475,0))),INDEX(PCBs!$AA$4:$AA$475,MATCH($B154,PCBs!$B$4:$B$475,0)),"---")</f>
        <v>---</v>
      </c>
    </row>
    <row r="155" spans="1:7" x14ac:dyDescent="0.3">
      <c r="A155" s="39" t="s">
        <v>2466</v>
      </c>
      <c r="B155" s="25" t="s">
        <v>300</v>
      </c>
      <c r="C155" s="45" t="s">
        <v>301</v>
      </c>
      <c r="D155" s="15" t="str">
        <f>IF(ISNUMBER(INDEX(PCBs!$G$4:$G$475,MATCH($B155,PCBs!$B$4:$B$475,0))),INDEX(PCBs!$G$4:$G$475,MATCH($B155,PCBs!$B$4:$B$475,0)),"---")</f>
        <v>---</v>
      </c>
      <c r="E155" s="15" t="str">
        <f>IF(ISNUMBER(INDEX(PCBs!$K$4:$K$475,MATCH($B155,PCBs!$B$4:$B$475,0))),INDEX(PCBs!$K$4:$K$475,MATCH($B155,PCBs!$B$4:$B$475,0)),"---")</f>
        <v>---</v>
      </c>
      <c r="F155" s="15" t="str">
        <f>IF(ISNUMBER(INDEX(PCBs!$S$4:$S$475,MATCH($B155,PCBs!$B$4:$B$475,0))),INDEX(PCBs!$S$4:$S$475,MATCH($B155,PCBs!$B$4:$B$475,0)),"---")</f>
        <v>---</v>
      </c>
      <c r="G155" s="37" t="str">
        <f>IF(ISNUMBER(INDEX(PCBs!$AA$4:$AA$475,MATCH($B155,PCBs!$B$4:$B$475,0))),INDEX(PCBs!$AA$4:$AA$475,MATCH($B155,PCBs!$B$4:$B$475,0)),"---")</f>
        <v>---</v>
      </c>
    </row>
    <row r="156" spans="1:7" x14ac:dyDescent="0.3">
      <c r="A156" s="39" t="s">
        <v>2467</v>
      </c>
      <c r="B156" s="25" t="s">
        <v>302</v>
      </c>
      <c r="C156" s="45" t="s">
        <v>303</v>
      </c>
      <c r="D156" s="15" t="str">
        <f>IF(ISNUMBER(INDEX(PCBs!$G$4:$G$475,MATCH($B156,PCBs!$B$4:$B$475,0))),INDEX(PCBs!$G$4:$G$475,MATCH($B156,PCBs!$B$4:$B$475,0)),"---")</f>
        <v>---</v>
      </c>
      <c r="E156" s="15">
        <f>IF(ISNUMBER(INDEX(PCBs!$K$4:$K$475,MATCH($B156,PCBs!$B$4:$B$475,0))),INDEX(PCBs!$K$4:$K$475,MATCH($B156,PCBs!$B$4:$B$475,0)),"---")</f>
        <v>100</v>
      </c>
      <c r="F156" s="15" t="str">
        <f>IF(ISNUMBER(INDEX(PCBs!$S$4:$S$475,MATCH($B156,PCBs!$B$4:$B$475,0))),INDEX(PCBs!$S$4:$S$475,MATCH($B156,PCBs!$B$4:$B$475,0)),"---")</f>
        <v>---</v>
      </c>
      <c r="G156" s="37" t="str">
        <f>IF(ISNUMBER(INDEX(PCBs!$AA$4:$AA$475,MATCH($B156,PCBs!$B$4:$B$475,0))),INDEX(PCBs!$AA$4:$AA$475,MATCH($B156,PCBs!$B$4:$B$475,0)),"---")</f>
        <v>---</v>
      </c>
    </row>
    <row r="157" spans="1:7" x14ac:dyDescent="0.3">
      <c r="A157" s="39" t="s">
        <v>2468</v>
      </c>
      <c r="B157" s="25" t="s">
        <v>304</v>
      </c>
      <c r="C157" s="45" t="s">
        <v>305</v>
      </c>
      <c r="D157" s="15" t="str">
        <f>IF(ISNUMBER(INDEX(PCBs!$G$4:$G$475,MATCH($B157,PCBs!$B$4:$B$475,0))),INDEX(PCBs!$G$4:$G$475,MATCH($B157,PCBs!$B$4:$B$475,0)),"---")</f>
        <v>---</v>
      </c>
      <c r="E157" s="15" t="str">
        <f>IF(ISNUMBER(INDEX(PCBs!$K$4:$K$475,MATCH($B157,PCBs!$B$4:$B$475,0))),INDEX(PCBs!$K$4:$K$475,MATCH($B157,PCBs!$B$4:$B$475,0)),"---")</f>
        <v>---</v>
      </c>
      <c r="F157" s="15" t="str">
        <f>IF(ISNUMBER(INDEX(PCBs!$S$4:$S$475,MATCH($B157,PCBs!$B$4:$B$475,0))),INDEX(PCBs!$S$4:$S$475,MATCH($B157,PCBs!$B$4:$B$475,0)),"---")</f>
        <v>---</v>
      </c>
      <c r="G157" s="37" t="str">
        <f>IF(ISNUMBER(INDEX(PCBs!$AA$4:$AA$475,MATCH($B157,PCBs!$B$4:$B$475,0))),INDEX(PCBs!$AA$4:$AA$475,MATCH($B157,PCBs!$B$4:$B$475,0)),"---")</f>
        <v>---</v>
      </c>
    </row>
    <row r="158" spans="1:7" x14ac:dyDescent="0.3">
      <c r="A158" s="39" t="s">
        <v>2469</v>
      </c>
      <c r="B158" s="25" t="s">
        <v>306</v>
      </c>
      <c r="C158" s="45" t="s">
        <v>307</v>
      </c>
      <c r="D158" s="15" t="str">
        <f>IF(ISNUMBER(INDEX(PCBs!$G$4:$G$475,MATCH($B158,PCBs!$B$4:$B$475,0))),INDEX(PCBs!$G$4:$G$475,MATCH($B158,PCBs!$B$4:$B$475,0)),"---")</f>
        <v>---</v>
      </c>
      <c r="E158" s="15">
        <f>IF(ISNUMBER(INDEX(PCBs!$K$4:$K$475,MATCH($B158,PCBs!$B$4:$B$475,0))),INDEX(PCBs!$K$4:$K$475,MATCH($B158,PCBs!$B$4:$B$475,0)),"---")</f>
        <v>112.9</v>
      </c>
      <c r="F158" s="15">
        <f>IF(ISNUMBER(INDEX(PCBs!$S$4:$S$475,MATCH($B158,PCBs!$B$4:$B$475,0))),INDEX(PCBs!$S$4:$S$475,MATCH($B158,PCBs!$B$4:$B$475,0)),"---")</f>
        <v>5.4041763507028199E-7</v>
      </c>
      <c r="G158" s="37">
        <f>IF(ISNUMBER(INDEX(PCBs!$AA$4:$AA$475,MATCH($B158,PCBs!$B$4:$B$475,0))),INDEX(PCBs!$AA$4:$AA$475,MATCH($B158,PCBs!$B$4:$B$475,0)),"---")</f>
        <v>1.8677237137138375E-3</v>
      </c>
    </row>
    <row r="159" spans="1:7" x14ac:dyDescent="0.3">
      <c r="A159" s="39" t="s">
        <v>2470</v>
      </c>
      <c r="B159" s="25" t="s">
        <v>308</v>
      </c>
      <c r="C159" s="45" t="s">
        <v>309</v>
      </c>
      <c r="D159" s="15" t="str">
        <f>IF(ISNUMBER(INDEX(PCBs!$G$4:$G$475,MATCH($B159,PCBs!$B$4:$B$475,0))),INDEX(PCBs!$G$4:$G$475,MATCH($B159,PCBs!$B$4:$B$475,0)),"---")</f>
        <v>---</v>
      </c>
      <c r="E159" s="15" t="str">
        <f>IF(ISNUMBER(INDEX(PCBs!$K$4:$K$475,MATCH($B159,PCBs!$B$4:$B$475,0))),INDEX(PCBs!$K$4:$K$475,MATCH($B159,PCBs!$B$4:$B$475,0)),"---")</f>
        <v>---</v>
      </c>
      <c r="F159" s="15" t="str">
        <f>IF(ISNUMBER(INDEX(PCBs!$S$4:$S$475,MATCH($B159,PCBs!$B$4:$B$475,0))),INDEX(PCBs!$S$4:$S$475,MATCH($B159,PCBs!$B$4:$B$475,0)),"---")</f>
        <v>---</v>
      </c>
      <c r="G159" s="37" t="str">
        <f>IF(ISNUMBER(INDEX(PCBs!$AA$4:$AA$475,MATCH($B159,PCBs!$B$4:$B$475,0))),INDEX(PCBs!$AA$4:$AA$475,MATCH($B159,PCBs!$B$4:$B$475,0)),"---")</f>
        <v>---</v>
      </c>
    </row>
    <row r="160" spans="1:7" x14ac:dyDescent="0.3">
      <c r="A160" s="39" t="s">
        <v>2471</v>
      </c>
      <c r="B160" s="25" t="s">
        <v>310</v>
      </c>
      <c r="C160" s="45" t="s">
        <v>311</v>
      </c>
      <c r="D160" s="15">
        <f>IF(ISNUMBER(INDEX(PCBs!$G$4:$G$475,MATCH($B160,PCBs!$B$4:$B$475,0))),INDEX(PCBs!$G$4:$G$475,MATCH($B160,PCBs!$B$4:$B$475,0)),"---")</f>
        <v>7.0735000000000001</v>
      </c>
      <c r="E160" s="15">
        <f>IF(ISNUMBER(INDEX(PCBs!$K$4:$K$475,MATCH($B160,PCBs!$B$4:$B$475,0))),INDEX(PCBs!$K$4:$K$475,MATCH($B160,PCBs!$B$4:$B$475,0)),"---")</f>
        <v>113.55000000000001</v>
      </c>
      <c r="F160" s="15">
        <f>IF(ISNUMBER(INDEX(PCBs!$S$4:$S$475,MATCH($B160,PCBs!$B$4:$B$475,0))),INDEX(PCBs!$S$4:$S$475,MATCH($B160,PCBs!$B$4:$B$475,0)),"---")</f>
        <v>4.9243028309333489E-6</v>
      </c>
      <c r="G160" s="37">
        <f>IF(ISNUMBER(INDEX(PCBs!$AA$4:$AA$475,MATCH($B160,PCBs!$B$4:$B$475,0))),INDEX(PCBs!$AA$4:$AA$475,MATCH($B160,PCBs!$B$4:$B$475,0)),"---")</f>
        <v>2.8117653415808226E-3</v>
      </c>
    </row>
    <row r="161" spans="1:7" x14ac:dyDescent="0.3">
      <c r="A161" s="39" t="s">
        <v>2472</v>
      </c>
      <c r="B161" s="25" t="s">
        <v>312</v>
      </c>
      <c r="C161" s="45" t="s">
        <v>313</v>
      </c>
      <c r="D161" s="15" t="str">
        <f>IF(ISNUMBER(INDEX(PCBs!$G$4:$G$475,MATCH($B161,PCBs!$B$4:$B$475,0))),INDEX(PCBs!$G$4:$G$475,MATCH($B161,PCBs!$B$4:$B$475,0)),"---")</f>
        <v>---</v>
      </c>
      <c r="E161" s="15">
        <f>IF(ISNUMBER(INDEX(PCBs!$K$4:$K$475,MATCH($B161,PCBs!$B$4:$B$475,0))),INDEX(PCBs!$K$4:$K$475,MATCH($B161,PCBs!$B$4:$B$475,0)),"---")</f>
        <v>127</v>
      </c>
      <c r="F161" s="15" t="str">
        <f>IF(ISNUMBER(INDEX(PCBs!$S$4:$S$475,MATCH($B161,PCBs!$B$4:$B$475,0))),INDEX(PCBs!$S$4:$S$475,MATCH($B161,PCBs!$B$4:$B$475,0)),"---")</f>
        <v>---</v>
      </c>
      <c r="G161" s="37" t="str">
        <f>IF(ISNUMBER(INDEX(PCBs!$AA$4:$AA$475,MATCH($B161,PCBs!$B$4:$B$475,0))),INDEX(PCBs!$AA$4:$AA$475,MATCH($B161,PCBs!$B$4:$B$475,0)),"---")</f>
        <v>---</v>
      </c>
    </row>
    <row r="162" spans="1:7" x14ac:dyDescent="0.3">
      <c r="A162" s="39" t="s">
        <v>2473</v>
      </c>
      <c r="B162" s="25" t="s">
        <v>314</v>
      </c>
      <c r="C162" s="45" t="s">
        <v>315</v>
      </c>
      <c r="D162" s="15" t="str">
        <f>IF(ISNUMBER(INDEX(PCBs!$G$4:$G$475,MATCH($B162,PCBs!$B$4:$B$475,0))),INDEX(PCBs!$G$4:$G$475,MATCH($B162,PCBs!$B$4:$B$475,0)),"---")</f>
        <v>---</v>
      </c>
      <c r="E162" s="15" t="str">
        <f>IF(ISNUMBER(INDEX(PCBs!$K$4:$K$475,MATCH($B162,PCBs!$B$4:$B$475,0))),INDEX(PCBs!$K$4:$K$475,MATCH($B162,PCBs!$B$4:$B$475,0)),"---")</f>
        <v>---</v>
      </c>
      <c r="F162" s="15" t="str">
        <f>IF(ISNUMBER(INDEX(PCBs!$S$4:$S$475,MATCH($B162,PCBs!$B$4:$B$475,0))),INDEX(PCBs!$S$4:$S$475,MATCH($B162,PCBs!$B$4:$B$475,0)),"---")</f>
        <v>---</v>
      </c>
      <c r="G162" s="37" t="str">
        <f>IF(ISNUMBER(INDEX(PCBs!$AA$4:$AA$475,MATCH($B162,PCBs!$B$4:$B$475,0))),INDEX(PCBs!$AA$4:$AA$475,MATCH($B162,PCBs!$B$4:$B$475,0)),"---")</f>
        <v>---</v>
      </c>
    </row>
    <row r="163" spans="1:7" x14ac:dyDescent="0.3">
      <c r="A163" s="39" t="s">
        <v>2474</v>
      </c>
      <c r="B163" s="25" t="s">
        <v>316</v>
      </c>
      <c r="C163" s="45" t="s">
        <v>317</v>
      </c>
      <c r="D163" s="15" t="str">
        <f>IF(ISNUMBER(INDEX(PCBs!$G$4:$G$475,MATCH($B163,PCBs!$B$4:$B$475,0))),INDEX(PCBs!$G$4:$G$475,MATCH($B163,PCBs!$B$4:$B$475,0)),"---")</f>
        <v>---</v>
      </c>
      <c r="E163" s="15">
        <f>IF(ISNUMBER(INDEX(PCBs!$K$4:$K$475,MATCH($B163,PCBs!$B$4:$B$475,0))),INDEX(PCBs!$K$4:$K$475,MATCH($B163,PCBs!$B$4:$B$475,0)),"---")</f>
        <v>107</v>
      </c>
      <c r="F163" s="15" t="str">
        <f>IF(ISNUMBER(INDEX(PCBs!$S$4:$S$475,MATCH($B163,PCBs!$B$4:$B$475,0))),INDEX(PCBs!$S$4:$S$475,MATCH($B163,PCBs!$B$4:$B$475,0)),"---")</f>
        <v>---</v>
      </c>
      <c r="G163" s="37" t="str">
        <f>IF(ISNUMBER(INDEX(PCBs!$AA$4:$AA$475,MATCH($B163,PCBs!$B$4:$B$475,0))),INDEX(PCBs!$AA$4:$AA$475,MATCH($B163,PCBs!$B$4:$B$475,0)),"---")</f>
        <v>---</v>
      </c>
    </row>
    <row r="164" spans="1:7" x14ac:dyDescent="0.3">
      <c r="A164" s="39" t="s">
        <v>2475</v>
      </c>
      <c r="B164" s="25" t="s">
        <v>318</v>
      </c>
      <c r="C164" s="45" t="s">
        <v>319</v>
      </c>
      <c r="D164" s="15" t="str">
        <f>IF(ISNUMBER(INDEX(PCBs!$G$4:$G$475,MATCH($B164,PCBs!$B$4:$B$475,0))),INDEX(PCBs!$G$4:$G$475,MATCH($B164,PCBs!$B$4:$B$475,0)),"---")</f>
        <v>---</v>
      </c>
      <c r="E164" s="15" t="str">
        <f>IF(ISNUMBER(INDEX(PCBs!$K$4:$K$475,MATCH($B164,PCBs!$B$4:$B$475,0))),INDEX(PCBs!$K$4:$K$475,MATCH($B164,PCBs!$B$4:$B$475,0)),"---")</f>
        <v>---</v>
      </c>
      <c r="F164" s="15" t="str">
        <f>IF(ISNUMBER(INDEX(PCBs!$S$4:$S$475,MATCH($B164,PCBs!$B$4:$B$475,0))),INDEX(PCBs!$S$4:$S$475,MATCH($B164,PCBs!$B$4:$B$475,0)),"---")</f>
        <v>---</v>
      </c>
      <c r="G164" s="37" t="str">
        <f>IF(ISNUMBER(INDEX(PCBs!$AA$4:$AA$475,MATCH($B164,PCBs!$B$4:$B$475,0))),INDEX(PCBs!$AA$4:$AA$475,MATCH($B164,PCBs!$B$4:$B$475,0)),"---")</f>
        <v>---</v>
      </c>
    </row>
    <row r="165" spans="1:7" x14ac:dyDescent="0.3">
      <c r="A165" s="39" t="s">
        <v>2476</v>
      </c>
      <c r="B165" s="25" t="s">
        <v>320</v>
      </c>
      <c r="C165" s="45" t="s">
        <v>321</v>
      </c>
      <c r="D165" s="15" t="str">
        <f>IF(ISNUMBER(INDEX(PCBs!$G$4:$G$475,MATCH($B165,PCBs!$B$4:$B$475,0))),INDEX(PCBs!$G$4:$G$475,MATCH($B165,PCBs!$B$4:$B$475,0)),"---")</f>
        <v>---</v>
      </c>
      <c r="E165" s="15" t="str">
        <f>IF(ISNUMBER(INDEX(PCBs!$K$4:$K$475,MATCH($B165,PCBs!$B$4:$B$475,0))),INDEX(PCBs!$K$4:$K$475,MATCH($B165,PCBs!$B$4:$B$475,0)),"---")</f>
        <v>---</v>
      </c>
      <c r="F165" s="15" t="str">
        <f>IF(ISNUMBER(INDEX(PCBs!$S$4:$S$475,MATCH($B165,PCBs!$B$4:$B$475,0))),INDEX(PCBs!$S$4:$S$475,MATCH($B165,PCBs!$B$4:$B$475,0)),"---")</f>
        <v>---</v>
      </c>
      <c r="G165" s="37" t="str">
        <f>IF(ISNUMBER(INDEX(PCBs!$AA$4:$AA$475,MATCH($B165,PCBs!$B$4:$B$475,0))),INDEX(PCBs!$AA$4:$AA$475,MATCH($B165,PCBs!$B$4:$B$475,0)),"---")</f>
        <v>---</v>
      </c>
    </row>
    <row r="166" spans="1:7" x14ac:dyDescent="0.3">
      <c r="A166" s="39" t="s">
        <v>2477</v>
      </c>
      <c r="B166" s="25" t="s">
        <v>322</v>
      </c>
      <c r="C166" s="45" t="s">
        <v>323</v>
      </c>
      <c r="D166" s="15" t="str">
        <f>IF(ISNUMBER(INDEX(PCBs!$G$4:$G$475,MATCH($B166,PCBs!$B$4:$B$475,0))),INDEX(PCBs!$G$4:$G$475,MATCH($B166,PCBs!$B$4:$B$475,0)),"---")</f>
        <v>---</v>
      </c>
      <c r="E166" s="15" t="str">
        <f>IF(ISNUMBER(INDEX(PCBs!$K$4:$K$475,MATCH($B166,PCBs!$B$4:$B$475,0))),INDEX(PCBs!$K$4:$K$475,MATCH($B166,PCBs!$B$4:$B$475,0)),"---")</f>
        <v>---</v>
      </c>
      <c r="F166" s="15" t="str">
        <f>IF(ISNUMBER(INDEX(PCBs!$S$4:$S$475,MATCH($B166,PCBs!$B$4:$B$475,0))),INDEX(PCBs!$S$4:$S$475,MATCH($B166,PCBs!$B$4:$B$475,0)),"---")</f>
        <v>---</v>
      </c>
      <c r="G166" s="37" t="str">
        <f>IF(ISNUMBER(INDEX(PCBs!$AA$4:$AA$475,MATCH($B166,PCBs!$B$4:$B$475,0))),INDEX(PCBs!$AA$4:$AA$475,MATCH($B166,PCBs!$B$4:$B$475,0)),"---")</f>
        <v>---</v>
      </c>
    </row>
    <row r="167" spans="1:7" x14ac:dyDescent="0.3">
      <c r="A167" s="39" t="s">
        <v>2478</v>
      </c>
      <c r="B167" s="25" t="s">
        <v>324</v>
      </c>
      <c r="C167" s="45" t="s">
        <v>325</v>
      </c>
      <c r="D167" s="15" t="str">
        <f>IF(ISNUMBER(INDEX(PCBs!$G$4:$G$475,MATCH($B167,PCBs!$B$4:$B$475,0))),INDEX(PCBs!$G$4:$G$475,MATCH($B167,PCBs!$B$4:$B$475,0)),"---")</f>
        <v>---</v>
      </c>
      <c r="E167" s="15" t="str">
        <f>IF(ISNUMBER(INDEX(PCBs!$K$4:$K$475,MATCH($B167,PCBs!$B$4:$B$475,0))),INDEX(PCBs!$K$4:$K$475,MATCH($B167,PCBs!$B$4:$B$475,0)),"---")</f>
        <v>---</v>
      </c>
      <c r="F167" s="15" t="str">
        <f>IF(ISNUMBER(INDEX(PCBs!$S$4:$S$475,MATCH($B167,PCBs!$B$4:$B$475,0))),INDEX(PCBs!$S$4:$S$475,MATCH($B167,PCBs!$B$4:$B$475,0)),"---")</f>
        <v>---</v>
      </c>
      <c r="G167" s="37" t="str">
        <f>IF(ISNUMBER(INDEX(PCBs!$AA$4:$AA$475,MATCH($B167,PCBs!$B$4:$B$475,0))),INDEX(PCBs!$AA$4:$AA$475,MATCH($B167,PCBs!$B$4:$B$475,0)),"---")</f>
        <v>---</v>
      </c>
    </row>
    <row r="168" spans="1:7" x14ac:dyDescent="0.3">
      <c r="A168" s="39" t="s">
        <v>2479</v>
      </c>
      <c r="B168" s="25" t="s">
        <v>326</v>
      </c>
      <c r="C168" s="45" t="s">
        <v>327</v>
      </c>
      <c r="D168" s="15" t="str">
        <f>IF(ISNUMBER(INDEX(PCBs!$G$4:$G$475,MATCH($B168,PCBs!$B$4:$B$475,0))),INDEX(PCBs!$G$4:$G$475,MATCH($B168,PCBs!$B$4:$B$475,0)),"---")</f>
        <v>---</v>
      </c>
      <c r="E168" s="15" t="str">
        <f>IF(ISNUMBER(INDEX(PCBs!$K$4:$K$475,MATCH($B168,PCBs!$B$4:$B$475,0))),INDEX(PCBs!$K$4:$K$475,MATCH($B168,PCBs!$B$4:$B$475,0)),"---")</f>
        <v>---</v>
      </c>
      <c r="F168" s="15" t="str">
        <f>IF(ISNUMBER(INDEX(PCBs!$S$4:$S$475,MATCH($B168,PCBs!$B$4:$B$475,0))),INDEX(PCBs!$S$4:$S$475,MATCH($B168,PCBs!$B$4:$B$475,0)),"---")</f>
        <v>---</v>
      </c>
      <c r="G168" s="37" t="str">
        <f>IF(ISNUMBER(INDEX(PCBs!$AA$4:$AA$475,MATCH($B168,PCBs!$B$4:$B$475,0))),INDEX(PCBs!$AA$4:$AA$475,MATCH($B168,PCBs!$B$4:$B$475,0)),"---")</f>
        <v>---</v>
      </c>
    </row>
    <row r="169" spans="1:7" x14ac:dyDescent="0.3">
      <c r="A169" s="39" t="s">
        <v>2480</v>
      </c>
      <c r="B169" s="25" t="s">
        <v>328</v>
      </c>
      <c r="C169" s="45" t="s">
        <v>329</v>
      </c>
      <c r="D169" s="15" t="str">
        <f>IF(ISNUMBER(INDEX(PCBs!$G$4:$G$475,MATCH($B169,PCBs!$B$4:$B$475,0))),INDEX(PCBs!$G$4:$G$475,MATCH($B169,PCBs!$B$4:$B$475,0)),"---")</f>
        <v>---</v>
      </c>
      <c r="E169" s="15" t="str">
        <f>IF(ISNUMBER(INDEX(PCBs!$K$4:$K$475,MATCH($B169,PCBs!$B$4:$B$475,0))),INDEX(PCBs!$K$4:$K$475,MATCH($B169,PCBs!$B$4:$B$475,0)),"---")</f>
        <v>---</v>
      </c>
      <c r="F169" s="15" t="str">
        <f>IF(ISNUMBER(INDEX(PCBs!$S$4:$S$475,MATCH($B169,PCBs!$B$4:$B$475,0))),INDEX(PCBs!$S$4:$S$475,MATCH($B169,PCBs!$B$4:$B$475,0)),"---")</f>
        <v>---</v>
      </c>
      <c r="G169" s="37" t="str">
        <f>IF(ISNUMBER(INDEX(PCBs!$AA$4:$AA$475,MATCH($B169,PCBs!$B$4:$B$475,0))),INDEX(PCBs!$AA$4:$AA$475,MATCH($B169,PCBs!$B$4:$B$475,0)),"---")</f>
        <v>---</v>
      </c>
    </row>
    <row r="170" spans="1:7" x14ac:dyDescent="0.3">
      <c r="A170" s="39" t="s">
        <v>2481</v>
      </c>
      <c r="B170" s="25" t="s">
        <v>330</v>
      </c>
      <c r="C170" s="45" t="s">
        <v>331</v>
      </c>
      <c r="D170" s="15" t="str">
        <f>IF(ISNUMBER(INDEX(PCBs!$G$4:$G$475,MATCH($B170,PCBs!$B$4:$B$475,0))),INDEX(PCBs!$G$4:$G$475,MATCH($B170,PCBs!$B$4:$B$475,0)),"---")</f>
        <v>---</v>
      </c>
      <c r="E170" s="15" t="str">
        <f>IF(ISNUMBER(INDEX(PCBs!$K$4:$K$475,MATCH($B170,PCBs!$B$4:$B$475,0))),INDEX(PCBs!$K$4:$K$475,MATCH($B170,PCBs!$B$4:$B$475,0)),"---")</f>
        <v>---</v>
      </c>
      <c r="F170" s="15" t="str">
        <f>IF(ISNUMBER(INDEX(PCBs!$S$4:$S$475,MATCH($B170,PCBs!$B$4:$B$475,0))),INDEX(PCBs!$S$4:$S$475,MATCH($B170,PCBs!$B$4:$B$475,0)),"---")</f>
        <v>---</v>
      </c>
      <c r="G170" s="37" t="str">
        <f>IF(ISNUMBER(INDEX(PCBs!$AA$4:$AA$475,MATCH($B170,PCBs!$B$4:$B$475,0))),INDEX(PCBs!$AA$4:$AA$475,MATCH($B170,PCBs!$B$4:$B$475,0)),"---")</f>
        <v>---</v>
      </c>
    </row>
    <row r="171" spans="1:7" x14ac:dyDescent="0.3">
      <c r="A171" s="39" t="s">
        <v>2482</v>
      </c>
      <c r="B171" s="25" t="s">
        <v>332</v>
      </c>
      <c r="C171" s="45" t="s">
        <v>333</v>
      </c>
      <c r="D171" s="15" t="str">
        <f>IF(ISNUMBER(INDEX(PCBs!$G$4:$G$475,MATCH($B171,PCBs!$B$4:$B$475,0))),INDEX(PCBs!$G$4:$G$475,MATCH($B171,PCBs!$B$4:$B$475,0)),"---")</f>
        <v>---</v>
      </c>
      <c r="E171" s="15" t="str">
        <f>IF(ISNUMBER(INDEX(PCBs!$K$4:$K$475,MATCH($B171,PCBs!$B$4:$B$475,0))),INDEX(PCBs!$K$4:$K$475,MATCH($B171,PCBs!$B$4:$B$475,0)),"---")</f>
        <v>---</v>
      </c>
      <c r="F171" s="15" t="str">
        <f>IF(ISNUMBER(INDEX(PCBs!$S$4:$S$475,MATCH($B171,PCBs!$B$4:$B$475,0))),INDEX(PCBs!$S$4:$S$475,MATCH($B171,PCBs!$B$4:$B$475,0)),"---")</f>
        <v>---</v>
      </c>
      <c r="G171" s="37" t="str">
        <f>IF(ISNUMBER(INDEX(PCBs!$AA$4:$AA$475,MATCH($B171,PCBs!$B$4:$B$475,0))),INDEX(PCBs!$AA$4:$AA$475,MATCH($B171,PCBs!$B$4:$B$475,0)),"---")</f>
        <v>---</v>
      </c>
    </row>
    <row r="172" spans="1:7" x14ac:dyDescent="0.3">
      <c r="A172" s="39" t="s">
        <v>2483</v>
      </c>
      <c r="B172" s="25" t="s">
        <v>334</v>
      </c>
      <c r="C172" s="45" t="s">
        <v>335</v>
      </c>
      <c r="D172" s="15" t="str">
        <f>IF(ISNUMBER(INDEX(PCBs!$G$4:$G$475,MATCH($B172,PCBs!$B$4:$B$475,0))),INDEX(PCBs!$G$4:$G$475,MATCH($B172,PCBs!$B$4:$B$475,0)),"---")</f>
        <v>---</v>
      </c>
      <c r="E172" s="15" t="str">
        <f>IF(ISNUMBER(INDEX(PCBs!$K$4:$K$475,MATCH($B172,PCBs!$B$4:$B$475,0))),INDEX(PCBs!$K$4:$K$475,MATCH($B172,PCBs!$B$4:$B$475,0)),"---")</f>
        <v>---</v>
      </c>
      <c r="F172" s="15" t="str">
        <f>IF(ISNUMBER(INDEX(PCBs!$S$4:$S$475,MATCH($B172,PCBs!$B$4:$B$475,0))),INDEX(PCBs!$S$4:$S$475,MATCH($B172,PCBs!$B$4:$B$475,0)),"---")</f>
        <v>---</v>
      </c>
      <c r="G172" s="37" t="str">
        <f>IF(ISNUMBER(INDEX(PCBs!$AA$4:$AA$475,MATCH($B172,PCBs!$B$4:$B$475,0))),INDEX(PCBs!$AA$4:$AA$475,MATCH($B172,PCBs!$B$4:$B$475,0)),"---")</f>
        <v>---</v>
      </c>
    </row>
    <row r="173" spans="1:7" x14ac:dyDescent="0.3">
      <c r="A173" s="39" t="s">
        <v>2484</v>
      </c>
      <c r="B173" s="25" t="s">
        <v>336</v>
      </c>
      <c r="C173" s="45" t="s">
        <v>337</v>
      </c>
      <c r="D173" s="15" t="str">
        <f>IF(ISNUMBER(INDEX(PCBs!$G$4:$G$475,MATCH($B173,PCBs!$B$4:$B$475,0))),INDEX(PCBs!$G$4:$G$475,MATCH($B173,PCBs!$B$4:$B$475,0)),"---")</f>
        <v>---</v>
      </c>
      <c r="E173" s="15" t="str">
        <f>IF(ISNUMBER(INDEX(PCBs!$K$4:$K$475,MATCH($B173,PCBs!$B$4:$B$475,0))),INDEX(PCBs!$K$4:$K$475,MATCH($B173,PCBs!$B$4:$B$475,0)),"---")</f>
        <v>---</v>
      </c>
      <c r="F173" s="15" t="str">
        <f>IF(ISNUMBER(INDEX(PCBs!$S$4:$S$475,MATCH($B173,PCBs!$B$4:$B$475,0))),INDEX(PCBs!$S$4:$S$475,MATCH($B173,PCBs!$B$4:$B$475,0)),"---")</f>
        <v>---</v>
      </c>
      <c r="G173" s="37" t="str">
        <f>IF(ISNUMBER(INDEX(PCBs!$AA$4:$AA$475,MATCH($B173,PCBs!$B$4:$B$475,0))),INDEX(PCBs!$AA$4:$AA$475,MATCH($B173,PCBs!$B$4:$B$475,0)),"---")</f>
        <v>---</v>
      </c>
    </row>
    <row r="174" spans="1:7" x14ac:dyDescent="0.3">
      <c r="A174" s="39" t="s">
        <v>2485</v>
      </c>
      <c r="B174" s="25" t="s">
        <v>338</v>
      </c>
      <c r="C174" s="45" t="s">
        <v>339</v>
      </c>
      <c r="D174" s="15">
        <f>IF(ISNUMBER(INDEX(PCBs!$G$4:$G$475,MATCH($B174,PCBs!$B$4:$B$475,0))),INDEX(PCBs!$G$4:$G$475,MATCH($B174,PCBs!$B$4:$B$475,0)),"---")</f>
        <v>7.3440000000000003</v>
      </c>
      <c r="E174" s="15" t="str">
        <f>IF(ISNUMBER(INDEX(PCBs!$K$4:$K$475,MATCH($B174,PCBs!$B$4:$B$475,0))),INDEX(PCBs!$K$4:$K$475,MATCH($B174,PCBs!$B$4:$B$475,0)),"---")</f>
        <v>---</v>
      </c>
      <c r="F174" s="15" t="str">
        <f>IF(ISNUMBER(INDEX(PCBs!$S$4:$S$475,MATCH($B174,PCBs!$B$4:$B$475,0))),INDEX(PCBs!$S$4:$S$475,MATCH($B174,PCBs!$B$4:$B$475,0)),"---")</f>
        <v>---</v>
      </c>
      <c r="G174" s="37" t="str">
        <f>IF(ISNUMBER(INDEX(PCBs!$AA$4:$AA$475,MATCH($B174,PCBs!$B$4:$B$475,0))),INDEX(PCBs!$AA$4:$AA$475,MATCH($B174,PCBs!$B$4:$B$475,0)),"---")</f>
        <v>---</v>
      </c>
    </row>
    <row r="175" spans="1:7" x14ac:dyDescent="0.3">
      <c r="A175" s="39" t="s">
        <v>2486</v>
      </c>
      <c r="B175" s="25" t="s">
        <v>340</v>
      </c>
      <c r="C175" s="45" t="s">
        <v>341</v>
      </c>
      <c r="D175" s="15" t="str">
        <f>IF(ISNUMBER(INDEX(PCBs!$G$4:$G$475,MATCH($B175,PCBs!$B$4:$B$475,0))),INDEX(PCBs!$G$4:$G$475,MATCH($B175,PCBs!$B$4:$B$475,0)),"---")</f>
        <v>---</v>
      </c>
      <c r="E175" s="15" t="str">
        <f>IF(ISNUMBER(INDEX(PCBs!$K$4:$K$475,MATCH($B175,PCBs!$B$4:$B$475,0))),INDEX(PCBs!$K$4:$K$475,MATCH($B175,PCBs!$B$4:$B$475,0)),"---")</f>
        <v>---</v>
      </c>
      <c r="F175" s="15" t="str">
        <f>IF(ISNUMBER(INDEX(PCBs!$S$4:$S$475,MATCH($B175,PCBs!$B$4:$B$475,0))),INDEX(PCBs!$S$4:$S$475,MATCH($B175,PCBs!$B$4:$B$475,0)),"---")</f>
        <v>---</v>
      </c>
      <c r="G175" s="37" t="str">
        <f>IF(ISNUMBER(INDEX(PCBs!$AA$4:$AA$475,MATCH($B175,PCBs!$B$4:$B$475,0))),INDEX(PCBs!$AA$4:$AA$475,MATCH($B175,PCBs!$B$4:$B$475,0)),"---")</f>
        <v>---</v>
      </c>
    </row>
    <row r="176" spans="1:7" x14ac:dyDescent="0.3">
      <c r="A176" s="39" t="s">
        <v>2487</v>
      </c>
      <c r="B176" s="25" t="s">
        <v>342</v>
      </c>
      <c r="C176" s="45" t="s">
        <v>343</v>
      </c>
      <c r="D176" s="15" t="str">
        <f>IF(ISNUMBER(INDEX(PCBs!$G$4:$G$475,MATCH($B176,PCBs!$B$4:$B$475,0))),INDEX(PCBs!$G$4:$G$475,MATCH($B176,PCBs!$B$4:$B$475,0)),"---")</f>
        <v>---</v>
      </c>
      <c r="E176" s="15">
        <f>IF(ISNUMBER(INDEX(PCBs!$K$4:$K$475,MATCH($B176,PCBs!$B$4:$B$475,0))),INDEX(PCBs!$K$4:$K$475,MATCH($B176,PCBs!$B$4:$B$475,0)),"---")</f>
        <v>122.25</v>
      </c>
      <c r="F176" s="15" t="str">
        <f>IF(ISNUMBER(INDEX(PCBs!$S$4:$S$475,MATCH($B176,PCBs!$B$4:$B$475,0))),INDEX(PCBs!$S$4:$S$475,MATCH($B176,PCBs!$B$4:$B$475,0)),"---")</f>
        <v>---</v>
      </c>
      <c r="G176" s="37" t="str">
        <f>IF(ISNUMBER(INDEX(PCBs!$AA$4:$AA$475,MATCH($B176,PCBs!$B$4:$B$475,0))),INDEX(PCBs!$AA$4:$AA$475,MATCH($B176,PCBs!$B$4:$B$475,0)),"---")</f>
        <v>---</v>
      </c>
    </row>
    <row r="177" spans="1:7" x14ac:dyDescent="0.3">
      <c r="A177" s="39" t="s">
        <v>2488</v>
      </c>
      <c r="B177" s="25" t="s">
        <v>344</v>
      </c>
      <c r="C177" s="45" t="s">
        <v>345</v>
      </c>
      <c r="D177" s="15" t="str">
        <f>IF(ISNUMBER(INDEX(PCBs!$G$4:$G$475,MATCH($B177,PCBs!$B$4:$B$475,0))),INDEX(PCBs!$G$4:$G$475,MATCH($B177,PCBs!$B$4:$B$475,0)),"---")</f>
        <v>---</v>
      </c>
      <c r="E177" s="15" t="str">
        <f>IF(ISNUMBER(INDEX(PCBs!$K$4:$K$475,MATCH($B177,PCBs!$B$4:$B$475,0))),INDEX(PCBs!$K$4:$K$475,MATCH($B177,PCBs!$B$4:$B$475,0)),"---")</f>
        <v>---</v>
      </c>
      <c r="F177" s="15" t="str">
        <f>IF(ISNUMBER(INDEX(PCBs!$S$4:$S$475,MATCH($B177,PCBs!$B$4:$B$475,0))),INDEX(PCBs!$S$4:$S$475,MATCH($B177,PCBs!$B$4:$B$475,0)),"---")</f>
        <v>---</v>
      </c>
      <c r="G177" s="37" t="str">
        <f>IF(ISNUMBER(INDEX(PCBs!$AA$4:$AA$475,MATCH($B177,PCBs!$B$4:$B$475,0))),INDEX(PCBs!$AA$4:$AA$475,MATCH($B177,PCBs!$B$4:$B$475,0)),"---")</f>
        <v>---</v>
      </c>
    </row>
    <row r="178" spans="1:7" x14ac:dyDescent="0.3">
      <c r="A178" s="39" t="s">
        <v>2489</v>
      </c>
      <c r="B178" s="25" t="s">
        <v>346</v>
      </c>
      <c r="C178" s="45" t="s">
        <v>347</v>
      </c>
      <c r="D178" s="15" t="str">
        <f>IF(ISNUMBER(INDEX(PCBs!$G$4:$G$475,MATCH($B178,PCBs!$B$4:$B$475,0))),INDEX(PCBs!$G$4:$G$475,MATCH($B178,PCBs!$B$4:$B$475,0)),"---")</f>
        <v>---</v>
      </c>
      <c r="E178" s="15" t="str">
        <f>IF(ISNUMBER(INDEX(PCBs!$K$4:$K$475,MATCH($B178,PCBs!$B$4:$B$475,0))),INDEX(PCBs!$K$4:$K$475,MATCH($B178,PCBs!$B$4:$B$475,0)),"---")</f>
        <v>---</v>
      </c>
      <c r="F178" s="15" t="str">
        <f>IF(ISNUMBER(INDEX(PCBs!$S$4:$S$475,MATCH($B178,PCBs!$B$4:$B$475,0))),INDEX(PCBs!$S$4:$S$475,MATCH($B178,PCBs!$B$4:$B$475,0)),"---")</f>
        <v>---</v>
      </c>
      <c r="G178" s="37" t="str">
        <f>IF(ISNUMBER(INDEX(PCBs!$AA$4:$AA$475,MATCH($B178,PCBs!$B$4:$B$475,0))),INDEX(PCBs!$AA$4:$AA$475,MATCH($B178,PCBs!$B$4:$B$475,0)),"---")</f>
        <v>---</v>
      </c>
    </row>
    <row r="179" spans="1:7" x14ac:dyDescent="0.3">
      <c r="A179" s="39" t="s">
        <v>2490</v>
      </c>
      <c r="B179" s="25" t="s">
        <v>348</v>
      </c>
      <c r="C179" s="45" t="s">
        <v>349</v>
      </c>
      <c r="D179" s="15" t="str">
        <f>IF(ISNUMBER(INDEX(PCBs!$G$4:$G$475,MATCH($B179,PCBs!$B$4:$B$475,0))),INDEX(PCBs!$G$4:$G$475,MATCH($B179,PCBs!$B$4:$B$475,0)),"---")</f>
        <v>---</v>
      </c>
      <c r="E179" s="15" t="str">
        <f>IF(ISNUMBER(INDEX(PCBs!$K$4:$K$475,MATCH($B179,PCBs!$B$4:$B$475,0))),INDEX(PCBs!$K$4:$K$475,MATCH($B179,PCBs!$B$4:$B$475,0)),"---")</f>
        <v>---</v>
      </c>
      <c r="F179" s="15" t="str">
        <f>IF(ISNUMBER(INDEX(PCBs!$S$4:$S$475,MATCH($B179,PCBs!$B$4:$B$475,0))),INDEX(PCBs!$S$4:$S$475,MATCH($B179,PCBs!$B$4:$B$475,0)),"---")</f>
        <v>---</v>
      </c>
      <c r="G179" s="37" t="str">
        <f>IF(ISNUMBER(INDEX(PCBs!$AA$4:$AA$475,MATCH($B179,PCBs!$B$4:$B$475,0))),INDEX(PCBs!$AA$4:$AA$475,MATCH($B179,PCBs!$B$4:$B$475,0)),"---")</f>
        <v>---</v>
      </c>
    </row>
    <row r="180" spans="1:7" x14ac:dyDescent="0.3">
      <c r="A180" s="39" t="s">
        <v>2491</v>
      </c>
      <c r="B180" s="25" t="s">
        <v>350</v>
      </c>
      <c r="C180" s="45" t="s">
        <v>351</v>
      </c>
      <c r="D180" s="15" t="str">
        <f>IF(ISNUMBER(INDEX(PCBs!$G$4:$G$475,MATCH($B180,PCBs!$B$4:$B$475,0))),INDEX(PCBs!$G$4:$G$475,MATCH($B180,PCBs!$B$4:$B$475,0)),"---")</f>
        <v>---</v>
      </c>
      <c r="E180" s="15" t="str">
        <f>IF(ISNUMBER(INDEX(PCBs!$K$4:$K$475,MATCH($B180,PCBs!$B$4:$B$475,0))),INDEX(PCBs!$K$4:$K$475,MATCH($B180,PCBs!$B$4:$B$475,0)),"---")</f>
        <v>---</v>
      </c>
      <c r="F180" s="15" t="str">
        <f>IF(ISNUMBER(INDEX(PCBs!$S$4:$S$475,MATCH($B180,PCBs!$B$4:$B$475,0))),INDEX(PCBs!$S$4:$S$475,MATCH($B180,PCBs!$B$4:$B$475,0)),"---")</f>
        <v>---</v>
      </c>
      <c r="G180" s="37" t="str">
        <f>IF(ISNUMBER(INDEX(PCBs!$AA$4:$AA$475,MATCH($B180,PCBs!$B$4:$B$475,0))),INDEX(PCBs!$AA$4:$AA$475,MATCH($B180,PCBs!$B$4:$B$475,0)),"---")</f>
        <v>---</v>
      </c>
    </row>
    <row r="181" spans="1:7" x14ac:dyDescent="0.3">
      <c r="A181" s="39" t="s">
        <v>2492</v>
      </c>
      <c r="B181" s="25" t="s">
        <v>352</v>
      </c>
      <c r="C181" s="45" t="s">
        <v>353</v>
      </c>
      <c r="D181" s="15" t="str">
        <f>IF(ISNUMBER(INDEX(PCBs!$G$4:$G$475,MATCH($B181,PCBs!$B$4:$B$475,0))),INDEX(PCBs!$G$4:$G$475,MATCH($B181,PCBs!$B$4:$B$475,0)),"---")</f>
        <v>---</v>
      </c>
      <c r="E181" s="15" t="str">
        <f>IF(ISNUMBER(INDEX(PCBs!$K$4:$K$475,MATCH($B181,PCBs!$B$4:$B$475,0))),INDEX(PCBs!$K$4:$K$475,MATCH($B181,PCBs!$B$4:$B$475,0)),"---")</f>
        <v>---</v>
      </c>
      <c r="F181" s="15" t="str">
        <f>IF(ISNUMBER(INDEX(PCBs!$S$4:$S$475,MATCH($B181,PCBs!$B$4:$B$475,0))),INDEX(PCBs!$S$4:$S$475,MATCH($B181,PCBs!$B$4:$B$475,0)),"---")</f>
        <v>---</v>
      </c>
      <c r="G181" s="37" t="str">
        <f>IF(ISNUMBER(INDEX(PCBs!$AA$4:$AA$475,MATCH($B181,PCBs!$B$4:$B$475,0))),INDEX(PCBs!$AA$4:$AA$475,MATCH($B181,PCBs!$B$4:$B$475,0)),"---")</f>
        <v>---</v>
      </c>
    </row>
    <row r="182" spans="1:7" x14ac:dyDescent="0.3">
      <c r="A182" s="39" t="s">
        <v>3114</v>
      </c>
      <c r="B182" s="25" t="s">
        <v>354</v>
      </c>
      <c r="C182" s="45" t="s">
        <v>355</v>
      </c>
      <c r="D182" s="15" t="str">
        <f>IF(ISNUMBER(INDEX(PCBs!$G$4:$G$475,MATCH($B182,PCBs!$B$4:$B$475,0))),INDEX(PCBs!$G$4:$G$475,MATCH($B182,PCBs!$B$4:$B$475,0)),"---")</f>
        <v>---</v>
      </c>
      <c r="E182" s="15" t="str">
        <f>IF(ISNUMBER(INDEX(PCBs!$K$4:$K$475,MATCH($B182,PCBs!$B$4:$B$475,0))),INDEX(PCBs!$K$4:$K$475,MATCH($B182,PCBs!$B$4:$B$475,0)),"---")</f>
        <v>---</v>
      </c>
      <c r="F182" s="15" t="str">
        <f>IF(ISNUMBER(INDEX(PCBs!$S$4:$S$475,MATCH($B182,PCBs!$B$4:$B$475,0))),INDEX(PCBs!$S$4:$S$475,MATCH($B182,PCBs!$B$4:$B$475,0)),"---")</f>
        <v>---</v>
      </c>
      <c r="G182" s="37" t="str">
        <f>IF(ISNUMBER(INDEX(PCBs!$AA$4:$AA$475,MATCH($B182,PCBs!$B$4:$B$475,0))),INDEX(PCBs!$AA$4:$AA$475,MATCH($B182,PCBs!$B$4:$B$475,0)),"---")</f>
        <v>---</v>
      </c>
    </row>
    <row r="183" spans="1:7" x14ac:dyDescent="0.3">
      <c r="A183" s="39" t="s">
        <v>2493</v>
      </c>
      <c r="B183" s="25" t="s">
        <v>356</v>
      </c>
      <c r="C183" s="45" t="s">
        <v>357</v>
      </c>
      <c r="D183" s="15" t="str">
        <f>IF(ISNUMBER(INDEX(PCBs!$G$4:$G$475,MATCH($B183,PCBs!$B$4:$B$475,0))),INDEX(PCBs!$G$4:$G$475,MATCH($B183,PCBs!$B$4:$B$475,0)),"---")</f>
        <v>---</v>
      </c>
      <c r="E183" s="15" t="str">
        <f>IF(ISNUMBER(INDEX(PCBs!$K$4:$K$475,MATCH($B183,PCBs!$B$4:$B$475,0))),INDEX(PCBs!$K$4:$K$475,MATCH($B183,PCBs!$B$4:$B$475,0)),"---")</f>
        <v>---</v>
      </c>
      <c r="F183" s="15" t="str">
        <f>IF(ISNUMBER(INDEX(PCBs!$S$4:$S$475,MATCH($B183,PCBs!$B$4:$B$475,0))),INDEX(PCBs!$S$4:$S$475,MATCH($B183,PCBs!$B$4:$B$475,0)),"---")</f>
        <v>---</v>
      </c>
      <c r="G183" s="37" t="str">
        <f>IF(ISNUMBER(INDEX(PCBs!$AA$4:$AA$475,MATCH($B183,PCBs!$B$4:$B$475,0))),INDEX(PCBs!$AA$4:$AA$475,MATCH($B183,PCBs!$B$4:$B$475,0)),"---")</f>
        <v>---</v>
      </c>
    </row>
    <row r="184" spans="1:7" x14ac:dyDescent="0.3">
      <c r="A184" s="39" t="s">
        <v>2494</v>
      </c>
      <c r="B184" s="25" t="s">
        <v>358</v>
      </c>
      <c r="C184" s="45" t="s">
        <v>359</v>
      </c>
      <c r="D184" s="15" t="str">
        <f>IF(ISNUMBER(INDEX(PCBs!$G$4:$G$475,MATCH($B184,PCBs!$B$4:$B$475,0))),INDEX(PCBs!$G$4:$G$475,MATCH($B184,PCBs!$B$4:$B$475,0)),"---")</f>
        <v>---</v>
      </c>
      <c r="E184" s="15" t="str">
        <f>IF(ISNUMBER(INDEX(PCBs!$K$4:$K$475,MATCH($B184,PCBs!$B$4:$B$475,0))),INDEX(PCBs!$K$4:$K$475,MATCH($B184,PCBs!$B$4:$B$475,0)),"---")</f>
        <v>---</v>
      </c>
      <c r="F184" s="15" t="str">
        <f>IF(ISNUMBER(INDEX(PCBs!$S$4:$S$475,MATCH($B184,PCBs!$B$4:$B$475,0))),INDEX(PCBs!$S$4:$S$475,MATCH($B184,PCBs!$B$4:$B$475,0)),"---")</f>
        <v>---</v>
      </c>
      <c r="G184" s="37" t="str">
        <f>IF(ISNUMBER(INDEX(PCBs!$AA$4:$AA$475,MATCH($B184,PCBs!$B$4:$B$475,0))),INDEX(PCBs!$AA$4:$AA$475,MATCH($B184,PCBs!$B$4:$B$475,0)),"---")</f>
        <v>---</v>
      </c>
    </row>
    <row r="185" spans="1:7" x14ac:dyDescent="0.3">
      <c r="A185" s="39" t="s">
        <v>2495</v>
      </c>
      <c r="B185" s="25" t="s">
        <v>360</v>
      </c>
      <c r="C185" s="45" t="s">
        <v>361</v>
      </c>
      <c r="D185" s="15" t="str">
        <f>IF(ISNUMBER(INDEX(PCBs!$G$4:$G$475,MATCH($B185,PCBs!$B$4:$B$475,0))),INDEX(PCBs!$G$4:$G$475,MATCH($B185,PCBs!$B$4:$B$475,0)),"---")</f>
        <v>---</v>
      </c>
      <c r="E185" s="15" t="str">
        <f>IF(ISNUMBER(INDEX(PCBs!$K$4:$K$475,MATCH($B185,PCBs!$B$4:$B$475,0))),INDEX(PCBs!$K$4:$K$475,MATCH($B185,PCBs!$B$4:$B$475,0)),"---")</f>
        <v>---</v>
      </c>
      <c r="F185" s="15">
        <f>IF(ISNUMBER(INDEX(PCBs!$S$4:$S$475,MATCH($B185,PCBs!$B$4:$B$475,0))),INDEX(PCBs!$S$4:$S$475,MATCH($B185,PCBs!$B$4:$B$475,0)),"---")</f>
        <v>1.7971295532850673E-7</v>
      </c>
      <c r="G185" s="37">
        <f>IF(ISNUMBER(INDEX(PCBs!$AA$4:$AA$475,MATCH($B185,PCBs!$B$4:$B$475,0))),INDEX(PCBs!$AA$4:$AA$475,MATCH($B185,PCBs!$B$4:$B$475,0)),"---")</f>
        <v>5.7550980629762067E-4</v>
      </c>
    </row>
    <row r="186" spans="1:7" x14ac:dyDescent="0.3">
      <c r="A186" s="39" t="s">
        <v>2496</v>
      </c>
      <c r="B186" s="25" t="s">
        <v>362</v>
      </c>
      <c r="C186" s="45" t="s">
        <v>363</v>
      </c>
      <c r="D186" s="15" t="str">
        <f>IF(ISNUMBER(INDEX(PCBs!$G$4:$G$475,MATCH($B186,PCBs!$B$4:$B$475,0))),INDEX(PCBs!$G$4:$G$475,MATCH($B186,PCBs!$B$4:$B$475,0)),"---")</f>
        <v>---</v>
      </c>
      <c r="E186" s="15" t="str">
        <f>IF(ISNUMBER(INDEX(PCBs!$K$4:$K$475,MATCH($B186,PCBs!$B$4:$B$475,0))),INDEX(PCBs!$K$4:$K$475,MATCH($B186,PCBs!$B$4:$B$475,0)),"---")</f>
        <v>---</v>
      </c>
      <c r="F186" s="15" t="str">
        <f>IF(ISNUMBER(INDEX(PCBs!$S$4:$S$475,MATCH($B186,PCBs!$B$4:$B$475,0))),INDEX(PCBs!$S$4:$S$475,MATCH($B186,PCBs!$B$4:$B$475,0)),"---")</f>
        <v>---</v>
      </c>
      <c r="G186" s="37" t="str">
        <f>IF(ISNUMBER(INDEX(PCBs!$AA$4:$AA$475,MATCH($B186,PCBs!$B$4:$B$475,0))),INDEX(PCBs!$AA$4:$AA$475,MATCH($B186,PCBs!$B$4:$B$475,0)),"---")</f>
        <v>---</v>
      </c>
    </row>
    <row r="187" spans="1:7" x14ac:dyDescent="0.3">
      <c r="A187" s="39" t="s">
        <v>2497</v>
      </c>
      <c r="B187" s="25" t="s">
        <v>364</v>
      </c>
      <c r="C187" s="45" t="s">
        <v>365</v>
      </c>
      <c r="D187" s="15" t="str">
        <f>IF(ISNUMBER(INDEX(PCBs!$G$4:$G$475,MATCH($B187,PCBs!$B$4:$B$475,0))),INDEX(PCBs!$G$4:$G$475,MATCH($B187,PCBs!$B$4:$B$475,0)),"---")</f>
        <v>---</v>
      </c>
      <c r="E187" s="15" t="str">
        <f>IF(ISNUMBER(INDEX(PCBs!$K$4:$K$475,MATCH($B187,PCBs!$B$4:$B$475,0))),INDEX(PCBs!$K$4:$K$475,MATCH($B187,PCBs!$B$4:$B$475,0)),"---")</f>
        <v>---</v>
      </c>
      <c r="F187" s="15" t="str">
        <f>IF(ISNUMBER(INDEX(PCBs!$S$4:$S$475,MATCH($B187,PCBs!$B$4:$B$475,0))),INDEX(PCBs!$S$4:$S$475,MATCH($B187,PCBs!$B$4:$B$475,0)),"---")</f>
        <v>---</v>
      </c>
      <c r="G187" s="37" t="str">
        <f>IF(ISNUMBER(INDEX(PCBs!$AA$4:$AA$475,MATCH($B187,PCBs!$B$4:$B$475,0))),INDEX(PCBs!$AA$4:$AA$475,MATCH($B187,PCBs!$B$4:$B$475,0)),"---")</f>
        <v>---</v>
      </c>
    </row>
    <row r="188" spans="1:7" x14ac:dyDescent="0.3">
      <c r="A188" s="39" t="s">
        <v>2498</v>
      </c>
      <c r="B188" s="25" t="s">
        <v>366</v>
      </c>
      <c r="C188" s="45" t="s">
        <v>367</v>
      </c>
      <c r="D188" s="15" t="str">
        <f>IF(ISNUMBER(INDEX(PCBs!$G$4:$G$475,MATCH($B188,PCBs!$B$4:$B$475,0))),INDEX(PCBs!$G$4:$G$475,MATCH($B188,PCBs!$B$4:$B$475,0)),"---")</f>
        <v>---</v>
      </c>
      <c r="E188" s="15">
        <f>IF(ISNUMBER(INDEX(PCBs!$K$4:$K$475,MATCH($B188,PCBs!$B$4:$B$475,0))),INDEX(PCBs!$K$4:$K$475,MATCH($B188,PCBs!$B$4:$B$475,0)),"---")</f>
        <v>83</v>
      </c>
      <c r="F188" s="15" t="str">
        <f>IF(ISNUMBER(INDEX(PCBs!$S$4:$S$475,MATCH($B188,PCBs!$B$4:$B$475,0))),INDEX(PCBs!$S$4:$S$475,MATCH($B188,PCBs!$B$4:$B$475,0)),"---")</f>
        <v>---</v>
      </c>
      <c r="G188" s="37" t="str">
        <f>IF(ISNUMBER(INDEX(PCBs!$AA$4:$AA$475,MATCH($B188,PCBs!$B$4:$B$475,0))),INDEX(PCBs!$AA$4:$AA$475,MATCH($B188,PCBs!$B$4:$B$475,0)),"---")</f>
        <v>---</v>
      </c>
    </row>
    <row r="189" spans="1:7" x14ac:dyDescent="0.3">
      <c r="A189" s="39" t="s">
        <v>2499</v>
      </c>
      <c r="B189" s="25" t="s">
        <v>368</v>
      </c>
      <c r="C189" s="45" t="s">
        <v>369</v>
      </c>
      <c r="D189" s="15" t="str">
        <f>IF(ISNUMBER(INDEX(PCBs!$G$4:$G$475,MATCH($B189,PCBs!$B$4:$B$475,0))),INDEX(PCBs!$G$4:$G$475,MATCH($B189,PCBs!$B$4:$B$475,0)),"---")</f>
        <v>---</v>
      </c>
      <c r="E189" s="15" t="str">
        <f>IF(ISNUMBER(INDEX(PCBs!$K$4:$K$475,MATCH($B189,PCBs!$B$4:$B$475,0))),INDEX(PCBs!$K$4:$K$475,MATCH($B189,PCBs!$B$4:$B$475,0)),"---")</f>
        <v>---</v>
      </c>
      <c r="F189" s="15" t="str">
        <f>IF(ISNUMBER(INDEX(PCBs!$S$4:$S$475,MATCH($B189,PCBs!$B$4:$B$475,0))),INDEX(PCBs!$S$4:$S$475,MATCH($B189,PCBs!$B$4:$B$475,0)),"---")</f>
        <v>---</v>
      </c>
      <c r="G189" s="37" t="str">
        <f>IF(ISNUMBER(INDEX(PCBs!$AA$4:$AA$475,MATCH($B189,PCBs!$B$4:$B$475,0))),INDEX(PCBs!$AA$4:$AA$475,MATCH($B189,PCBs!$B$4:$B$475,0)),"---")</f>
        <v>---</v>
      </c>
    </row>
    <row r="190" spans="1:7" x14ac:dyDescent="0.3">
      <c r="A190" s="39" t="s">
        <v>2500</v>
      </c>
      <c r="B190" s="25" t="s">
        <v>370</v>
      </c>
      <c r="C190" s="45" t="s">
        <v>371</v>
      </c>
      <c r="D190" s="15" t="str">
        <f>IF(ISNUMBER(INDEX(PCBs!$G$4:$G$475,MATCH($B190,PCBs!$B$4:$B$475,0))),INDEX(PCBs!$G$4:$G$475,MATCH($B190,PCBs!$B$4:$B$475,0)),"---")</f>
        <v>---</v>
      </c>
      <c r="E190" s="15">
        <f>IF(ISNUMBER(INDEX(PCBs!$K$4:$K$475,MATCH($B190,PCBs!$B$4:$B$475,0))),INDEX(PCBs!$K$4:$K$475,MATCH($B190,PCBs!$B$4:$B$475,0)),"---")</f>
        <v>147</v>
      </c>
      <c r="F190" s="15" t="str">
        <f>IF(ISNUMBER(INDEX(PCBs!$S$4:$S$475,MATCH($B190,PCBs!$B$4:$B$475,0))),INDEX(PCBs!$S$4:$S$475,MATCH($B190,PCBs!$B$4:$B$475,0)),"---")</f>
        <v>---</v>
      </c>
      <c r="G190" s="37" t="str">
        <f>IF(ISNUMBER(INDEX(PCBs!$AA$4:$AA$475,MATCH($B190,PCBs!$B$4:$B$475,0))),INDEX(PCBs!$AA$4:$AA$475,MATCH($B190,PCBs!$B$4:$B$475,0)),"---")</f>
        <v>---</v>
      </c>
    </row>
    <row r="191" spans="1:7" x14ac:dyDescent="0.3">
      <c r="A191" s="39" t="s">
        <v>2501</v>
      </c>
      <c r="B191" s="25" t="s">
        <v>372</v>
      </c>
      <c r="C191" s="45" t="s">
        <v>373</v>
      </c>
      <c r="D191" s="15" t="str">
        <f>IF(ISNUMBER(INDEX(PCBs!$G$4:$G$475,MATCH($B191,PCBs!$B$4:$B$475,0))),INDEX(PCBs!$G$4:$G$475,MATCH($B191,PCBs!$B$4:$B$475,0)),"---")</f>
        <v>---</v>
      </c>
      <c r="E191" s="15" t="str">
        <f>IF(ISNUMBER(INDEX(PCBs!$K$4:$K$475,MATCH($B191,PCBs!$B$4:$B$475,0))),INDEX(PCBs!$K$4:$K$475,MATCH($B191,PCBs!$B$4:$B$475,0)),"---")</f>
        <v>---</v>
      </c>
      <c r="F191" s="15" t="str">
        <f>IF(ISNUMBER(INDEX(PCBs!$S$4:$S$475,MATCH($B191,PCBs!$B$4:$B$475,0))),INDEX(PCBs!$S$4:$S$475,MATCH($B191,PCBs!$B$4:$B$475,0)),"---")</f>
        <v>---</v>
      </c>
      <c r="G191" s="37" t="str">
        <f>IF(ISNUMBER(INDEX(PCBs!$AA$4:$AA$475,MATCH($B191,PCBs!$B$4:$B$475,0))),INDEX(PCBs!$AA$4:$AA$475,MATCH($B191,PCBs!$B$4:$B$475,0)),"---")</f>
        <v>---</v>
      </c>
    </row>
    <row r="192" spans="1:7" x14ac:dyDescent="0.3">
      <c r="A192" s="39" t="s">
        <v>2502</v>
      </c>
      <c r="B192" s="25" t="s">
        <v>374</v>
      </c>
      <c r="C192" s="45" t="s">
        <v>375</v>
      </c>
      <c r="D192" s="15" t="str">
        <f>IF(ISNUMBER(INDEX(PCBs!$G$4:$G$475,MATCH($B192,PCBs!$B$4:$B$475,0))),INDEX(PCBs!$G$4:$G$475,MATCH($B192,PCBs!$B$4:$B$475,0)),"---")</f>
        <v>---</v>
      </c>
      <c r="E192" s="15" t="str">
        <f>IF(ISNUMBER(INDEX(PCBs!$K$4:$K$475,MATCH($B192,PCBs!$B$4:$B$475,0))),INDEX(PCBs!$K$4:$K$475,MATCH($B192,PCBs!$B$4:$B$475,0)),"---")</f>
        <v>---</v>
      </c>
      <c r="F192" s="15" t="str">
        <f>IF(ISNUMBER(INDEX(PCBs!$S$4:$S$475,MATCH($B192,PCBs!$B$4:$B$475,0))),INDEX(PCBs!$S$4:$S$475,MATCH($B192,PCBs!$B$4:$B$475,0)),"---")</f>
        <v>---</v>
      </c>
      <c r="G192" s="37" t="str">
        <f>IF(ISNUMBER(INDEX(PCBs!$AA$4:$AA$475,MATCH($B192,PCBs!$B$4:$B$475,0))),INDEX(PCBs!$AA$4:$AA$475,MATCH($B192,PCBs!$B$4:$B$475,0)),"---")</f>
        <v>---</v>
      </c>
    </row>
    <row r="193" spans="1:7" x14ac:dyDescent="0.3">
      <c r="A193" s="39" t="s">
        <v>2503</v>
      </c>
      <c r="B193" s="25" t="s">
        <v>376</v>
      </c>
      <c r="C193" s="45" t="s">
        <v>377</v>
      </c>
      <c r="D193" s="15" t="str">
        <f>IF(ISNUMBER(INDEX(PCBs!$G$4:$G$475,MATCH($B193,PCBs!$B$4:$B$475,0))),INDEX(PCBs!$G$4:$G$475,MATCH($B193,PCBs!$B$4:$B$475,0)),"---")</f>
        <v>---</v>
      </c>
      <c r="E193" s="15" t="str">
        <f>IF(ISNUMBER(INDEX(PCBs!$K$4:$K$475,MATCH($B193,PCBs!$B$4:$B$475,0))),INDEX(PCBs!$K$4:$K$475,MATCH($B193,PCBs!$B$4:$B$475,0)),"---")</f>
        <v>---</v>
      </c>
      <c r="F193" s="15" t="str">
        <f>IF(ISNUMBER(INDEX(PCBs!$S$4:$S$475,MATCH($B193,PCBs!$B$4:$B$475,0))),INDEX(PCBs!$S$4:$S$475,MATCH($B193,PCBs!$B$4:$B$475,0)),"---")</f>
        <v>---</v>
      </c>
      <c r="G193" s="37" t="str">
        <f>IF(ISNUMBER(INDEX(PCBs!$AA$4:$AA$475,MATCH($B193,PCBs!$B$4:$B$475,0))),INDEX(PCBs!$AA$4:$AA$475,MATCH($B193,PCBs!$B$4:$B$475,0)),"---")</f>
        <v>---</v>
      </c>
    </row>
    <row r="194" spans="1:7" x14ac:dyDescent="0.3">
      <c r="A194" s="39" t="s">
        <v>2504</v>
      </c>
      <c r="B194" s="25" t="s">
        <v>378</v>
      </c>
      <c r="C194" s="45" t="s">
        <v>379</v>
      </c>
      <c r="D194" s="15" t="str">
        <f>IF(ISNUMBER(INDEX(PCBs!$G$4:$G$475,MATCH($B194,PCBs!$B$4:$B$475,0))),INDEX(PCBs!$G$4:$G$475,MATCH($B194,PCBs!$B$4:$B$475,0)),"---")</f>
        <v>---</v>
      </c>
      <c r="E194" s="15" t="str">
        <f>IF(ISNUMBER(INDEX(PCBs!$K$4:$K$475,MATCH($B194,PCBs!$B$4:$B$475,0))),INDEX(PCBs!$K$4:$K$475,MATCH($B194,PCBs!$B$4:$B$475,0)),"---")</f>
        <v>---</v>
      </c>
      <c r="F194" s="15" t="str">
        <f>IF(ISNUMBER(INDEX(PCBs!$S$4:$S$475,MATCH($B194,PCBs!$B$4:$B$475,0))),INDEX(PCBs!$S$4:$S$475,MATCH($B194,PCBs!$B$4:$B$475,0)),"---")</f>
        <v>---</v>
      </c>
      <c r="G194" s="37" t="str">
        <f>IF(ISNUMBER(INDEX(PCBs!$AA$4:$AA$475,MATCH($B194,PCBs!$B$4:$B$475,0))),INDEX(PCBs!$AA$4:$AA$475,MATCH($B194,PCBs!$B$4:$B$475,0)),"---")</f>
        <v>---</v>
      </c>
    </row>
    <row r="195" spans="1:7" x14ac:dyDescent="0.3">
      <c r="A195" s="39" t="s">
        <v>2505</v>
      </c>
      <c r="B195" s="25" t="s">
        <v>380</v>
      </c>
      <c r="C195" s="45" t="s">
        <v>381</v>
      </c>
      <c r="D195" s="15" t="str">
        <f>IF(ISNUMBER(INDEX(PCBs!$G$4:$G$475,MATCH($B195,PCBs!$B$4:$B$475,0))),INDEX(PCBs!$G$4:$G$475,MATCH($B195,PCBs!$B$4:$B$475,0)),"---")</f>
        <v>---</v>
      </c>
      <c r="E195" s="15" t="str">
        <f>IF(ISNUMBER(INDEX(PCBs!$K$4:$K$475,MATCH($B195,PCBs!$B$4:$B$475,0))),INDEX(PCBs!$K$4:$K$475,MATCH($B195,PCBs!$B$4:$B$475,0)),"---")</f>
        <v>---</v>
      </c>
      <c r="F195" s="15" t="str">
        <f>IF(ISNUMBER(INDEX(PCBs!$S$4:$S$475,MATCH($B195,PCBs!$B$4:$B$475,0))),INDEX(PCBs!$S$4:$S$475,MATCH($B195,PCBs!$B$4:$B$475,0)),"---")</f>
        <v>---</v>
      </c>
      <c r="G195" s="37" t="str">
        <f>IF(ISNUMBER(INDEX(PCBs!$AA$4:$AA$475,MATCH($B195,PCBs!$B$4:$B$475,0))),INDEX(PCBs!$AA$4:$AA$475,MATCH($B195,PCBs!$B$4:$B$475,0)),"---")</f>
        <v>---</v>
      </c>
    </row>
    <row r="196" spans="1:7" x14ac:dyDescent="0.3">
      <c r="A196" s="39" t="s">
        <v>2506</v>
      </c>
      <c r="B196" s="25" t="s">
        <v>382</v>
      </c>
      <c r="C196" s="45" t="s">
        <v>383</v>
      </c>
      <c r="D196" s="15" t="str">
        <f>IF(ISNUMBER(INDEX(PCBs!$G$4:$G$475,MATCH($B196,PCBs!$B$4:$B$475,0))),INDEX(PCBs!$G$4:$G$475,MATCH($B196,PCBs!$B$4:$B$475,0)),"---")</f>
        <v>---</v>
      </c>
      <c r="E196" s="15" t="str">
        <f>IF(ISNUMBER(INDEX(PCBs!$K$4:$K$475,MATCH($B196,PCBs!$B$4:$B$475,0))),INDEX(PCBs!$K$4:$K$475,MATCH($B196,PCBs!$B$4:$B$475,0)),"---")</f>
        <v>---</v>
      </c>
      <c r="F196" s="15" t="str">
        <f>IF(ISNUMBER(INDEX(PCBs!$S$4:$S$475,MATCH($B196,PCBs!$B$4:$B$475,0))),INDEX(PCBs!$S$4:$S$475,MATCH($B196,PCBs!$B$4:$B$475,0)),"---")</f>
        <v>---</v>
      </c>
      <c r="G196" s="37" t="str">
        <f>IF(ISNUMBER(INDEX(PCBs!$AA$4:$AA$475,MATCH($B196,PCBs!$B$4:$B$475,0))),INDEX(PCBs!$AA$4:$AA$475,MATCH($B196,PCBs!$B$4:$B$475,0)),"---")</f>
        <v>---</v>
      </c>
    </row>
    <row r="197" spans="1:7" x14ac:dyDescent="0.3">
      <c r="A197" s="39" t="s">
        <v>2507</v>
      </c>
      <c r="B197" s="25" t="s">
        <v>384</v>
      </c>
      <c r="C197" s="45" t="s">
        <v>385</v>
      </c>
      <c r="D197" s="15" t="str">
        <f>IF(ISNUMBER(INDEX(PCBs!$G$4:$G$475,MATCH($B197,PCBs!$B$4:$B$475,0))),INDEX(PCBs!$G$4:$G$475,MATCH($B197,PCBs!$B$4:$B$475,0)),"---")</f>
        <v>---</v>
      </c>
      <c r="E197" s="15" t="str">
        <f>IF(ISNUMBER(INDEX(PCBs!$K$4:$K$475,MATCH($B197,PCBs!$B$4:$B$475,0))),INDEX(PCBs!$K$4:$K$475,MATCH($B197,PCBs!$B$4:$B$475,0)),"---")</f>
        <v>---</v>
      </c>
      <c r="F197" s="15" t="str">
        <f>IF(ISNUMBER(INDEX(PCBs!$S$4:$S$475,MATCH($B197,PCBs!$B$4:$B$475,0))),INDEX(PCBs!$S$4:$S$475,MATCH($B197,PCBs!$B$4:$B$475,0)),"---")</f>
        <v>---</v>
      </c>
      <c r="G197" s="37" t="str">
        <f>IF(ISNUMBER(INDEX(PCBs!$AA$4:$AA$475,MATCH($B197,PCBs!$B$4:$B$475,0))),INDEX(PCBs!$AA$4:$AA$475,MATCH($B197,PCBs!$B$4:$B$475,0)),"---")</f>
        <v>---</v>
      </c>
    </row>
    <row r="198" spans="1:7" x14ac:dyDescent="0.3">
      <c r="A198" s="39" t="s">
        <v>2508</v>
      </c>
      <c r="B198" s="25" t="s">
        <v>386</v>
      </c>
      <c r="C198" s="45" t="s">
        <v>387</v>
      </c>
      <c r="D198" s="15" t="str">
        <f>IF(ISNUMBER(INDEX(PCBs!$G$4:$G$475,MATCH($B198,PCBs!$B$4:$B$475,0))),INDEX(PCBs!$G$4:$G$475,MATCH($B198,PCBs!$B$4:$B$475,0)),"---")</f>
        <v>---</v>
      </c>
      <c r="E198" s="15" t="str">
        <f>IF(ISNUMBER(INDEX(PCBs!$K$4:$K$475,MATCH($B198,PCBs!$B$4:$B$475,0))),INDEX(PCBs!$K$4:$K$475,MATCH($B198,PCBs!$B$4:$B$475,0)),"---")</f>
        <v>---</v>
      </c>
      <c r="F198" s="15" t="str">
        <f>IF(ISNUMBER(INDEX(PCBs!$S$4:$S$475,MATCH($B198,PCBs!$B$4:$B$475,0))),INDEX(PCBs!$S$4:$S$475,MATCH($B198,PCBs!$B$4:$B$475,0)),"---")</f>
        <v>---</v>
      </c>
      <c r="G198" s="37" t="str">
        <f>IF(ISNUMBER(INDEX(PCBs!$AA$4:$AA$475,MATCH($B198,PCBs!$B$4:$B$475,0))),INDEX(PCBs!$AA$4:$AA$475,MATCH($B198,PCBs!$B$4:$B$475,0)),"---")</f>
        <v>---</v>
      </c>
    </row>
    <row r="199" spans="1:7" x14ac:dyDescent="0.3">
      <c r="A199" s="39" t="s">
        <v>2509</v>
      </c>
      <c r="B199" s="25" t="s">
        <v>388</v>
      </c>
      <c r="C199" s="45" t="s">
        <v>389</v>
      </c>
      <c r="D199" s="15">
        <f>IF(ISNUMBER(INDEX(PCBs!$G$4:$G$475,MATCH($B199,PCBs!$B$4:$B$475,0))),INDEX(PCBs!$G$4:$G$475,MATCH($B199,PCBs!$B$4:$B$475,0)),"---")</f>
        <v>7.82</v>
      </c>
      <c r="E199" s="15">
        <f>IF(ISNUMBER(INDEX(PCBs!$K$4:$K$475,MATCH($B199,PCBs!$B$4:$B$475,0))),INDEX(PCBs!$K$4:$K$475,MATCH($B199,PCBs!$B$4:$B$475,0)),"---")</f>
        <v>156</v>
      </c>
      <c r="F199" s="15">
        <f>IF(ISNUMBER(INDEX(PCBs!$S$4:$S$475,MATCH($B199,PCBs!$B$4:$B$475,0))),INDEX(PCBs!$S$4:$S$475,MATCH($B199,PCBs!$B$4:$B$475,0)),"---")</f>
        <v>7.9411782345462804E-9</v>
      </c>
      <c r="G199" s="37">
        <f>IF(ISNUMBER(INDEX(PCBs!$AA$4:$AA$475,MATCH($B199,PCBs!$B$4:$B$475,0))),INDEX(PCBs!$AA$4:$AA$475,MATCH($B199,PCBs!$B$4:$B$475,0)),"---")</f>
        <v>1.965497244722567E-4</v>
      </c>
    </row>
    <row r="200" spans="1:7" x14ac:dyDescent="0.3">
      <c r="A200" s="39" t="s">
        <v>2510</v>
      </c>
      <c r="B200" s="25" t="s">
        <v>390</v>
      </c>
      <c r="C200" s="45" t="s">
        <v>391</v>
      </c>
      <c r="D200" s="15" t="str">
        <f>IF(ISNUMBER(INDEX(PCBs!$G$4:$G$475,MATCH($B200,PCBs!$B$4:$B$475,0))),INDEX(PCBs!$G$4:$G$475,MATCH($B200,PCBs!$B$4:$B$475,0)),"---")</f>
        <v>---</v>
      </c>
      <c r="E200" s="15" t="str">
        <f>IF(ISNUMBER(INDEX(PCBs!$K$4:$K$475,MATCH($B200,PCBs!$B$4:$B$475,0))),INDEX(PCBs!$K$4:$K$475,MATCH($B200,PCBs!$B$4:$B$475,0)),"---")</f>
        <v>---</v>
      </c>
      <c r="F200" s="15" t="str">
        <f>IF(ISNUMBER(INDEX(PCBs!$S$4:$S$475,MATCH($B200,PCBs!$B$4:$B$475,0))),INDEX(PCBs!$S$4:$S$475,MATCH($B200,PCBs!$B$4:$B$475,0)),"---")</f>
        <v>---</v>
      </c>
      <c r="G200" s="37" t="str">
        <f>IF(ISNUMBER(INDEX(PCBs!$AA$4:$AA$475,MATCH($B200,PCBs!$B$4:$B$475,0))),INDEX(PCBs!$AA$4:$AA$475,MATCH($B200,PCBs!$B$4:$B$475,0)),"---")</f>
        <v>---</v>
      </c>
    </row>
    <row r="201" spans="1:7" x14ac:dyDescent="0.3">
      <c r="A201" s="39" t="s">
        <v>2511</v>
      </c>
      <c r="B201" s="25" t="s">
        <v>392</v>
      </c>
      <c r="C201" s="45" t="s">
        <v>393</v>
      </c>
      <c r="D201" s="15" t="str">
        <f>IF(ISNUMBER(INDEX(PCBs!$G$4:$G$475,MATCH($B201,PCBs!$B$4:$B$475,0))),INDEX(PCBs!$G$4:$G$475,MATCH($B201,PCBs!$B$4:$B$475,0)),"---")</f>
        <v>---</v>
      </c>
      <c r="E201" s="15" t="str">
        <f>IF(ISNUMBER(INDEX(PCBs!$K$4:$K$475,MATCH($B201,PCBs!$B$4:$B$475,0))),INDEX(PCBs!$K$4:$K$475,MATCH($B201,PCBs!$B$4:$B$475,0)),"---")</f>
        <v>---</v>
      </c>
      <c r="F201" s="15" t="str">
        <f>IF(ISNUMBER(INDEX(PCBs!$S$4:$S$475,MATCH($B201,PCBs!$B$4:$B$475,0))),INDEX(PCBs!$S$4:$S$475,MATCH($B201,PCBs!$B$4:$B$475,0)),"---")</f>
        <v>---</v>
      </c>
      <c r="G201" s="37" t="str">
        <f>IF(ISNUMBER(INDEX(PCBs!$AA$4:$AA$475,MATCH($B201,PCBs!$B$4:$B$475,0))),INDEX(PCBs!$AA$4:$AA$475,MATCH($B201,PCBs!$B$4:$B$475,0)),"---")</f>
        <v>---</v>
      </c>
    </row>
    <row r="202" spans="1:7" x14ac:dyDescent="0.3">
      <c r="A202" s="39" t="s">
        <v>2512</v>
      </c>
      <c r="B202" s="25" t="s">
        <v>394</v>
      </c>
      <c r="C202" s="45" t="s">
        <v>395</v>
      </c>
      <c r="D202" s="15" t="str">
        <f>IF(ISNUMBER(INDEX(PCBs!$G$4:$G$475,MATCH($B202,PCBs!$B$4:$B$475,0))),INDEX(PCBs!$G$4:$G$475,MATCH($B202,PCBs!$B$4:$B$475,0)),"---")</f>
        <v>---</v>
      </c>
      <c r="E202" s="15" t="str">
        <f>IF(ISNUMBER(INDEX(PCBs!$K$4:$K$475,MATCH($B202,PCBs!$B$4:$B$475,0))),INDEX(PCBs!$K$4:$K$475,MATCH($B202,PCBs!$B$4:$B$475,0)),"---")</f>
        <v>---</v>
      </c>
      <c r="F202" s="15" t="str">
        <f>IF(ISNUMBER(INDEX(PCBs!$S$4:$S$475,MATCH($B202,PCBs!$B$4:$B$475,0))),INDEX(PCBs!$S$4:$S$475,MATCH($B202,PCBs!$B$4:$B$475,0)),"---")</f>
        <v>---</v>
      </c>
      <c r="G202" s="37" t="str">
        <f>IF(ISNUMBER(INDEX(PCBs!$AA$4:$AA$475,MATCH($B202,PCBs!$B$4:$B$475,0))),INDEX(PCBs!$AA$4:$AA$475,MATCH($B202,PCBs!$B$4:$B$475,0)),"---")</f>
        <v>---</v>
      </c>
    </row>
    <row r="203" spans="1:7" x14ac:dyDescent="0.3">
      <c r="A203" s="39" t="s">
        <v>2513</v>
      </c>
      <c r="B203" s="25" t="s">
        <v>396</v>
      </c>
      <c r="C203" s="45" t="s">
        <v>397</v>
      </c>
      <c r="D203" s="15" t="str">
        <f>IF(ISNUMBER(INDEX(PCBs!$G$4:$G$475,MATCH($B203,PCBs!$B$4:$B$475,0))),INDEX(PCBs!$G$4:$G$475,MATCH($B203,PCBs!$B$4:$B$475,0)),"---")</f>
        <v>---</v>
      </c>
      <c r="E203" s="15" t="str">
        <f>IF(ISNUMBER(INDEX(PCBs!$K$4:$K$475,MATCH($B203,PCBs!$B$4:$B$475,0))),INDEX(PCBs!$K$4:$K$475,MATCH($B203,PCBs!$B$4:$B$475,0)),"---")</f>
        <v>---</v>
      </c>
      <c r="F203" s="15" t="str">
        <f>IF(ISNUMBER(INDEX(PCBs!$S$4:$S$475,MATCH($B203,PCBs!$B$4:$B$475,0))),INDEX(PCBs!$S$4:$S$475,MATCH($B203,PCBs!$B$4:$B$475,0)),"---")</f>
        <v>---</v>
      </c>
      <c r="G203" s="37" t="str">
        <f>IF(ISNUMBER(INDEX(PCBs!$AA$4:$AA$475,MATCH($B203,PCBs!$B$4:$B$475,0))),INDEX(PCBs!$AA$4:$AA$475,MATCH($B203,PCBs!$B$4:$B$475,0)),"---")</f>
        <v>---</v>
      </c>
    </row>
    <row r="204" spans="1:7" x14ac:dyDescent="0.3">
      <c r="A204" s="39" t="s">
        <v>2514</v>
      </c>
      <c r="B204" s="25" t="s">
        <v>398</v>
      </c>
      <c r="C204" s="45" t="s">
        <v>399</v>
      </c>
      <c r="D204" s="15" t="str">
        <f>IF(ISNUMBER(INDEX(PCBs!$G$4:$G$475,MATCH($B204,PCBs!$B$4:$B$475,0))),INDEX(PCBs!$G$4:$G$475,MATCH($B204,PCBs!$B$4:$B$475,0)),"---")</f>
        <v>---</v>
      </c>
      <c r="E204" s="15" t="str">
        <f>IF(ISNUMBER(INDEX(PCBs!$K$4:$K$475,MATCH($B204,PCBs!$B$4:$B$475,0))),INDEX(PCBs!$K$4:$K$475,MATCH($B204,PCBs!$B$4:$B$475,0)),"---")</f>
        <v>---</v>
      </c>
      <c r="F204" s="15" t="str">
        <f>IF(ISNUMBER(INDEX(PCBs!$S$4:$S$475,MATCH($B204,PCBs!$B$4:$B$475,0))),INDEX(PCBs!$S$4:$S$475,MATCH($B204,PCBs!$B$4:$B$475,0)),"---")</f>
        <v>---</v>
      </c>
      <c r="G204" s="37" t="str">
        <f>IF(ISNUMBER(INDEX(PCBs!$AA$4:$AA$475,MATCH($B204,PCBs!$B$4:$B$475,0))),INDEX(PCBs!$AA$4:$AA$475,MATCH($B204,PCBs!$B$4:$B$475,0)),"---")</f>
        <v>---</v>
      </c>
    </row>
    <row r="205" spans="1:7" x14ac:dyDescent="0.3">
      <c r="A205" s="39" t="s">
        <v>2515</v>
      </c>
      <c r="B205" s="25" t="s">
        <v>400</v>
      </c>
      <c r="C205" s="45" t="s">
        <v>401</v>
      </c>
      <c r="D205" s="15" t="str">
        <f>IF(ISNUMBER(INDEX(PCBs!$G$4:$G$475,MATCH($B205,PCBs!$B$4:$B$475,0))),INDEX(PCBs!$G$4:$G$475,MATCH($B205,PCBs!$B$4:$B$475,0)),"---")</f>
        <v>---</v>
      </c>
      <c r="E205" s="15" t="str">
        <f>IF(ISNUMBER(INDEX(PCBs!$K$4:$K$475,MATCH($B205,PCBs!$B$4:$B$475,0))),INDEX(PCBs!$K$4:$K$475,MATCH($B205,PCBs!$B$4:$B$475,0)),"---")</f>
        <v>---</v>
      </c>
      <c r="F205" s="15" t="str">
        <f>IF(ISNUMBER(INDEX(PCBs!$S$4:$S$475,MATCH($B205,PCBs!$B$4:$B$475,0))),INDEX(PCBs!$S$4:$S$475,MATCH($B205,PCBs!$B$4:$B$475,0)),"---")</f>
        <v>---</v>
      </c>
      <c r="G205" s="37" t="str">
        <f>IF(ISNUMBER(INDEX(PCBs!$AA$4:$AA$475,MATCH($B205,PCBs!$B$4:$B$475,0))),INDEX(PCBs!$AA$4:$AA$475,MATCH($B205,PCBs!$B$4:$B$475,0)),"---")</f>
        <v>---</v>
      </c>
    </row>
    <row r="206" spans="1:7" x14ac:dyDescent="0.3">
      <c r="A206" s="39" t="s">
        <v>2516</v>
      </c>
      <c r="B206" s="25" t="s">
        <v>402</v>
      </c>
      <c r="C206" s="45" t="s">
        <v>403</v>
      </c>
      <c r="D206" s="15" t="str">
        <f>IF(ISNUMBER(INDEX(PCBs!$G$4:$G$475,MATCH($B206,PCBs!$B$4:$B$475,0))),INDEX(PCBs!$G$4:$G$475,MATCH($B206,PCBs!$B$4:$B$475,0)),"---")</f>
        <v>---</v>
      </c>
      <c r="E206" s="15" t="str">
        <f>IF(ISNUMBER(INDEX(PCBs!$K$4:$K$475,MATCH($B206,PCBs!$B$4:$B$475,0))),INDEX(PCBs!$K$4:$K$475,MATCH($B206,PCBs!$B$4:$B$475,0)),"---")</f>
        <v>---</v>
      </c>
      <c r="F206" s="15" t="str">
        <f>IF(ISNUMBER(INDEX(PCBs!$S$4:$S$475,MATCH($B206,PCBs!$B$4:$B$475,0))),INDEX(PCBs!$S$4:$S$475,MATCH($B206,PCBs!$B$4:$B$475,0)),"---")</f>
        <v>---</v>
      </c>
      <c r="G206" s="37" t="str">
        <f>IF(ISNUMBER(INDEX(PCBs!$AA$4:$AA$475,MATCH($B206,PCBs!$B$4:$B$475,0))),INDEX(PCBs!$AA$4:$AA$475,MATCH($B206,PCBs!$B$4:$B$475,0)),"---")</f>
        <v>---</v>
      </c>
    </row>
    <row r="207" spans="1:7" x14ac:dyDescent="0.3">
      <c r="A207" s="39" t="s">
        <v>2517</v>
      </c>
      <c r="B207" s="25" t="s">
        <v>404</v>
      </c>
      <c r="C207" s="45" t="s">
        <v>405</v>
      </c>
      <c r="D207" s="15">
        <f>IF(ISNUMBER(INDEX(PCBs!$G$4:$G$475,MATCH($B207,PCBs!$B$4:$B$475,0))),INDEX(PCBs!$G$4:$G$475,MATCH($B207,PCBs!$B$4:$B$475,0)),"---")</f>
        <v>7.7290000000000001</v>
      </c>
      <c r="E207" s="15">
        <f>IF(ISNUMBER(INDEX(PCBs!$K$4:$K$475,MATCH($B207,PCBs!$B$4:$B$475,0))),INDEX(PCBs!$K$4:$K$475,MATCH($B207,PCBs!$B$4:$B$475,0)),"---")</f>
        <v>160.65000000000003</v>
      </c>
      <c r="F207" s="15" t="str">
        <f>IF(ISNUMBER(INDEX(PCBs!$S$4:$S$475,MATCH($B207,PCBs!$B$4:$B$475,0))),INDEX(PCBs!$S$4:$S$475,MATCH($B207,PCBs!$B$4:$B$475,0)),"---")</f>
        <v>---</v>
      </c>
      <c r="G207" s="37" t="str">
        <f>IF(ISNUMBER(INDEX(PCBs!$AA$4:$AA$475,MATCH($B207,PCBs!$B$4:$B$475,0))),INDEX(PCBs!$AA$4:$AA$475,MATCH($B207,PCBs!$B$4:$B$475,0)),"---")</f>
        <v>---</v>
      </c>
    </row>
    <row r="208" spans="1:7" x14ac:dyDescent="0.3">
      <c r="A208" s="39" t="s">
        <v>2518</v>
      </c>
      <c r="B208" s="25" t="s">
        <v>406</v>
      </c>
      <c r="C208" s="45" t="s">
        <v>407</v>
      </c>
      <c r="D208" s="15" t="str">
        <f>IF(ISNUMBER(INDEX(PCBs!$G$4:$G$475,MATCH($B208,PCBs!$B$4:$B$475,0))),INDEX(PCBs!$G$4:$G$475,MATCH($B208,PCBs!$B$4:$B$475,0)),"---")</f>
        <v>---</v>
      </c>
      <c r="E208" s="15" t="str">
        <f>IF(ISNUMBER(INDEX(PCBs!$K$4:$K$475,MATCH($B208,PCBs!$B$4:$B$475,0))),INDEX(PCBs!$K$4:$K$475,MATCH($B208,PCBs!$B$4:$B$475,0)),"---")</f>
        <v>---</v>
      </c>
      <c r="F208" s="15" t="str">
        <f>IF(ISNUMBER(INDEX(PCBs!$S$4:$S$475,MATCH($B208,PCBs!$B$4:$B$475,0))),INDEX(PCBs!$S$4:$S$475,MATCH($B208,PCBs!$B$4:$B$475,0)),"---")</f>
        <v>---</v>
      </c>
      <c r="G208" s="37" t="str">
        <f>IF(ISNUMBER(INDEX(PCBs!$AA$4:$AA$475,MATCH($B208,PCBs!$B$4:$B$475,0))),INDEX(PCBs!$AA$4:$AA$475,MATCH($B208,PCBs!$B$4:$B$475,0)),"---")</f>
        <v>---</v>
      </c>
    </row>
    <row r="209" spans="1:7" x14ac:dyDescent="0.3">
      <c r="A209" s="39" t="s">
        <v>2519</v>
      </c>
      <c r="B209" s="25" t="s">
        <v>408</v>
      </c>
      <c r="C209" s="45" t="s">
        <v>409</v>
      </c>
      <c r="D209" s="15" t="str">
        <f>IF(ISNUMBER(INDEX(PCBs!$G$4:$G$475,MATCH($B209,PCBs!$B$4:$B$475,0))),INDEX(PCBs!$G$4:$G$475,MATCH($B209,PCBs!$B$4:$B$475,0)),"---")</f>
        <v>---</v>
      </c>
      <c r="E209" s="15" t="str">
        <f>IF(ISNUMBER(INDEX(PCBs!$K$4:$K$475,MATCH($B209,PCBs!$B$4:$B$475,0))),INDEX(PCBs!$K$4:$K$475,MATCH($B209,PCBs!$B$4:$B$475,0)),"---")</f>
        <v>---</v>
      </c>
      <c r="F209" s="15" t="str">
        <f>IF(ISNUMBER(INDEX(PCBs!$S$4:$S$475,MATCH($B209,PCBs!$B$4:$B$475,0))),INDEX(PCBs!$S$4:$S$475,MATCH($B209,PCBs!$B$4:$B$475,0)),"---")</f>
        <v>---</v>
      </c>
      <c r="G209" s="37" t="str">
        <f>IF(ISNUMBER(INDEX(PCBs!$AA$4:$AA$475,MATCH($B209,PCBs!$B$4:$B$475,0))),INDEX(PCBs!$AA$4:$AA$475,MATCH($B209,PCBs!$B$4:$B$475,0)),"---")</f>
        <v>---</v>
      </c>
    </row>
    <row r="210" spans="1:7" x14ac:dyDescent="0.3">
      <c r="A210" s="39" t="s">
        <v>2520</v>
      </c>
      <c r="B210" s="25" t="s">
        <v>410</v>
      </c>
      <c r="C210" s="45" t="s">
        <v>411</v>
      </c>
      <c r="D210" s="15" t="str">
        <f>IF(ISNUMBER(INDEX(PCBs!$G$4:$G$475,MATCH($B210,PCBs!$B$4:$B$475,0))),INDEX(PCBs!$G$4:$G$475,MATCH($B210,PCBs!$B$4:$B$475,0)),"---")</f>
        <v>---</v>
      </c>
      <c r="E210" s="15" t="str">
        <f>IF(ISNUMBER(INDEX(PCBs!$K$4:$K$475,MATCH($B210,PCBs!$B$4:$B$475,0))),INDEX(PCBs!$K$4:$K$475,MATCH($B210,PCBs!$B$4:$B$475,0)),"---")</f>
        <v>---</v>
      </c>
      <c r="F210" s="15" t="str">
        <f>IF(ISNUMBER(INDEX(PCBs!$S$4:$S$475,MATCH($B210,PCBs!$B$4:$B$475,0))),INDEX(PCBs!$S$4:$S$475,MATCH($B210,PCBs!$B$4:$B$475,0)),"---")</f>
        <v>---</v>
      </c>
      <c r="G210" s="37" t="str">
        <f>IF(ISNUMBER(INDEX(PCBs!$AA$4:$AA$475,MATCH($B210,PCBs!$B$4:$B$475,0))),INDEX(PCBs!$AA$4:$AA$475,MATCH($B210,PCBs!$B$4:$B$475,0)),"---")</f>
        <v>---</v>
      </c>
    </row>
    <row r="211" spans="1:7" x14ac:dyDescent="0.3">
      <c r="A211" s="39" t="s">
        <v>2521</v>
      </c>
      <c r="B211" s="25" t="s">
        <v>412</v>
      </c>
      <c r="C211" s="45" t="s">
        <v>413</v>
      </c>
      <c r="D211" s="15" t="str">
        <f>IF(ISNUMBER(INDEX(PCBs!$G$4:$G$475,MATCH($B211,PCBs!$B$4:$B$475,0))),INDEX(PCBs!$G$4:$G$475,MATCH($B211,PCBs!$B$4:$B$475,0)),"---")</f>
        <v>---</v>
      </c>
      <c r="E211" s="15">
        <f>IF(ISNUMBER(INDEX(PCBs!$K$4:$K$475,MATCH($B211,PCBs!$B$4:$B$475,0))),INDEX(PCBs!$K$4:$K$475,MATCH($B211,PCBs!$B$4:$B$475,0)),"---")</f>
        <v>204.5</v>
      </c>
      <c r="F211" s="15" t="str">
        <f>IF(ISNUMBER(INDEX(PCBs!$S$4:$S$475,MATCH($B211,PCBs!$B$4:$B$475,0))),INDEX(PCBs!$S$4:$S$475,MATCH($B211,PCBs!$B$4:$B$475,0)),"---")</f>
        <v>---</v>
      </c>
      <c r="G211" s="37" t="str">
        <f>IF(ISNUMBER(INDEX(PCBs!$AA$4:$AA$475,MATCH($B211,PCBs!$B$4:$B$475,0))),INDEX(PCBs!$AA$4:$AA$475,MATCH($B211,PCBs!$B$4:$B$475,0)),"---")</f>
        <v>---</v>
      </c>
    </row>
    <row r="212" spans="1:7" x14ac:dyDescent="0.3">
      <c r="A212" s="39" t="s">
        <v>2522</v>
      </c>
      <c r="B212" s="25" t="s">
        <v>414</v>
      </c>
      <c r="C212" s="45" t="s">
        <v>415</v>
      </c>
      <c r="D212" s="15" t="str">
        <f>IF(ISNUMBER(INDEX(PCBs!$G$4:$G$475,MATCH($B212,PCBs!$B$4:$B$475,0))),INDEX(PCBs!$G$4:$G$475,MATCH($B212,PCBs!$B$4:$B$475,0)),"---")</f>
        <v>---</v>
      </c>
      <c r="E212" s="15" t="str">
        <f>IF(ISNUMBER(INDEX(PCBs!$K$4:$K$475,MATCH($B212,PCBs!$B$4:$B$475,0))),INDEX(PCBs!$K$4:$K$475,MATCH($B212,PCBs!$B$4:$B$475,0)),"---")</f>
        <v>---</v>
      </c>
      <c r="F212" s="15" t="str">
        <f>IF(ISNUMBER(INDEX(PCBs!$S$4:$S$475,MATCH($B212,PCBs!$B$4:$B$475,0))),INDEX(PCBs!$S$4:$S$475,MATCH($B212,PCBs!$B$4:$B$475,0)),"---")</f>
        <v>---</v>
      </c>
      <c r="G212" s="37" t="str">
        <f>IF(ISNUMBER(INDEX(PCBs!$AA$4:$AA$475,MATCH($B212,PCBs!$B$4:$B$475,0))),INDEX(PCBs!$AA$4:$AA$475,MATCH($B212,PCBs!$B$4:$B$475,0)),"---")</f>
        <v>---</v>
      </c>
    </row>
    <row r="213" spans="1:7" x14ac:dyDescent="0.3">
      <c r="A213" s="39" t="s">
        <v>2523</v>
      </c>
      <c r="B213" s="25" t="s">
        <v>416</v>
      </c>
      <c r="C213" s="45" t="s">
        <v>417</v>
      </c>
      <c r="D213" s="15" t="str">
        <f>IF(ISNUMBER(INDEX(PCBs!$G$4:$G$475,MATCH($B213,PCBs!$B$4:$B$475,0))),INDEX(PCBs!$G$4:$G$475,MATCH($B213,PCBs!$B$4:$B$475,0)),"---")</f>
        <v>---</v>
      </c>
      <c r="E213" s="15">
        <f>IF(ISNUMBER(INDEX(PCBs!$K$4:$K$475,MATCH($B213,PCBs!$B$4:$B$475,0))),INDEX(PCBs!$K$4:$K$475,MATCH($B213,PCBs!$B$4:$B$475,0)),"---")</f>
        <v>182.65000000000003</v>
      </c>
      <c r="F213" s="15" t="str">
        <f>IF(ISNUMBER(INDEX(PCBs!$S$4:$S$475,MATCH($B213,PCBs!$B$4:$B$475,0))),INDEX(PCBs!$S$4:$S$475,MATCH($B213,PCBs!$B$4:$B$475,0)),"---")</f>
        <v>---</v>
      </c>
      <c r="G213" s="37" t="str">
        <f>IF(ISNUMBER(INDEX(PCBs!$AA$4:$AA$475,MATCH($B213,PCBs!$B$4:$B$475,0))),INDEX(PCBs!$AA$4:$AA$475,MATCH($B213,PCBs!$B$4:$B$475,0)),"---")</f>
        <v>---</v>
      </c>
    </row>
    <row r="214" spans="1:7" ht="15" thickBot="1" x14ac:dyDescent="0.35">
      <c r="A214" s="42" t="s">
        <v>2524</v>
      </c>
      <c r="B214" s="407" t="s">
        <v>418</v>
      </c>
      <c r="C214" s="408" t="s">
        <v>419</v>
      </c>
      <c r="D214" s="28">
        <f>IF(ISNUMBER(INDEX(PCBs!$G$4:$G$475,MATCH($B214,PCBs!$B$4:$B$475,0))),INDEX(PCBs!$G$4:$G$475,MATCH($B214,PCBs!$B$4:$B$475,0)),"---")</f>
        <v>8.1869999999999994</v>
      </c>
      <c r="E214" s="28">
        <f>IF(ISNUMBER(INDEX(PCBs!$K$4:$K$475,MATCH($B214,PCBs!$B$4:$B$475,0))),INDEX(PCBs!$K$4:$K$475,MATCH($B214,PCBs!$B$4:$B$475,0)),"---")</f>
        <v>306.63</v>
      </c>
      <c r="F214" s="28" t="str">
        <f>IF(ISNUMBER(INDEX(PCBs!$S$4:$S$475,MATCH($B214,PCBs!$B$4:$B$475,0))),INDEX(PCBs!$S$4:$S$475,MATCH($B214,PCBs!$B$4:$B$475,0)),"---")</f>
        <v>---</v>
      </c>
      <c r="G214" s="56" t="str">
        <f>IF(ISNUMBER(INDEX(PCBs!$AA$4:$AA$475,MATCH($B214,PCBs!$B$4:$B$475,0))),INDEX(PCBs!$AA$4:$AA$475,MATCH($B214,PCBs!$B$4:$B$475,0)),"---")</f>
        <v>---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/>
  </sheetViews>
  <sheetFormatPr defaultRowHeight="14.4" x14ac:dyDescent="0.3"/>
  <cols>
    <col min="1" max="1" width="8" bestFit="1" customWidth="1"/>
    <col min="2" max="2" width="41.6640625" bestFit="1" customWidth="1"/>
    <col min="3" max="3" width="11.6640625" customWidth="1"/>
    <col min="4" max="7" width="9.88671875" customWidth="1"/>
  </cols>
  <sheetData>
    <row r="1" spans="1:7" x14ac:dyDescent="0.3">
      <c r="A1" s="9" t="s">
        <v>3117</v>
      </c>
    </row>
    <row r="2" spans="1:7" ht="15" thickBot="1" x14ac:dyDescent="0.35"/>
    <row r="3" spans="1:7" ht="28.8" x14ac:dyDescent="0.3">
      <c r="A3" s="397"/>
      <c r="B3" s="398" t="s">
        <v>420</v>
      </c>
      <c r="C3" s="399" t="s">
        <v>421</v>
      </c>
      <c r="D3" s="399" t="s">
        <v>3013</v>
      </c>
      <c r="E3" s="400" t="s">
        <v>3007</v>
      </c>
      <c r="F3" s="400" t="s">
        <v>3111</v>
      </c>
      <c r="G3" s="401" t="s">
        <v>3112</v>
      </c>
    </row>
    <row r="4" spans="1:7" ht="15" thickBot="1" x14ac:dyDescent="0.35">
      <c r="A4" s="42"/>
      <c r="B4" s="174"/>
      <c r="C4" s="402"/>
      <c r="D4" s="402"/>
      <c r="E4" s="29" t="s">
        <v>3000</v>
      </c>
      <c r="F4" s="29" t="s">
        <v>3105</v>
      </c>
      <c r="G4" s="38" t="s">
        <v>3001</v>
      </c>
    </row>
    <row r="5" spans="1:7" x14ac:dyDescent="0.3">
      <c r="A5" s="397"/>
      <c r="B5" s="403" t="s">
        <v>423</v>
      </c>
      <c r="C5" s="405" t="s">
        <v>424</v>
      </c>
      <c r="D5" s="405" t="str">
        <f>IF(ISNUMBER(INDEX(PBDEs!$G$4:$G$263,MATCH($B5,PBDEs!$B$4:$B$263,0))),INDEX(PBDEs!$G$4:$G$263,MATCH($B5,PBDEs!$B$4:$B$263,0)),"---")</f>
        <v>---</v>
      </c>
      <c r="E5" s="405">
        <f>IF(ISNUMBER(INDEX(PBDEs!$K$4:$K$263,MATCH($B5,PBDEs!$B$4:$B$263,0))),INDEX(PBDEs!$K$4:$K$263,MATCH($B5,PBDEs!$B$4:$B$263,0)),"---")</f>
        <v>26.950000000000045</v>
      </c>
      <c r="F5" s="405" t="str">
        <f>IF(ISNUMBER(INDEX(PBDEs!$S$4:$S$263,MATCH($B5,PBDEs!$B$4:$B$263,0))),INDEX(PBDEs!$S$4:$S$263,MATCH($B5,PBDEs!$B$4:$B$263,0)),"---")</f>
        <v>---</v>
      </c>
      <c r="G5" s="406" t="str">
        <f>IF(ISNUMBER(INDEX(PBDEs!$AA$4:$AA$263,MATCH($B5,PBDEs!$B$4:$B$263,0))),INDEX(PBDEs!$AA$4:$AA$263,MATCH($B5,PBDEs!$B$4:$B$263,0)),"---")</f>
        <v>---</v>
      </c>
    </row>
    <row r="6" spans="1:7" x14ac:dyDescent="0.3">
      <c r="A6" s="39" t="s">
        <v>2525</v>
      </c>
      <c r="B6" s="40" t="s">
        <v>425</v>
      </c>
      <c r="C6" s="412" t="s">
        <v>3118</v>
      </c>
      <c r="D6" s="15" t="str">
        <f>IF(ISNUMBER(INDEX(PBDEs!$G$4:$G$263,MATCH($B6,PBDEs!$B$4:$B$263,0))),INDEX(PBDEs!$G$4:$G$263,MATCH($B6,PBDEs!$B$4:$B$263,0)),"---")</f>
        <v>---</v>
      </c>
      <c r="E6" s="15" t="str">
        <f>IF(ISNUMBER(INDEX(PBDEs!$K$4:$K$263,MATCH($B6,PBDEs!$B$4:$B$263,0))),INDEX(PBDEs!$K$4:$K$263,MATCH($B6,PBDEs!$B$4:$B$263,0)),"---")</f>
        <v>---</v>
      </c>
      <c r="F6" s="15">
        <f>IF(ISNUMBER(INDEX(PBDEs!$S$4:$S$263,MATCH($B6,PBDEs!$B$4:$B$263,0))),INDEX(PBDEs!$S$4:$S$263,MATCH($B6,PBDEs!$B$4:$B$263,0)),"---")</f>
        <v>1.1476630471674361E-3</v>
      </c>
      <c r="G6" s="37" t="str">
        <f>IF(ISNUMBER(INDEX(PBDEs!$AA$4:$AA$263,MATCH($B6,PBDEs!$B$4:$B$263,0))),INDEX(PBDEs!$AA$4:$AA$263,MATCH($B6,PBDEs!$B$4:$B$263,0)),"---")</f>
        <v>---</v>
      </c>
    </row>
    <row r="7" spans="1:7" x14ac:dyDescent="0.3">
      <c r="A7" s="39" t="s">
        <v>2526</v>
      </c>
      <c r="B7" s="40" t="s">
        <v>427</v>
      </c>
      <c r="C7" s="15" t="s">
        <v>429</v>
      </c>
      <c r="D7" s="15" t="str">
        <f>IF(ISNUMBER(INDEX(PBDEs!$G$4:$G$263,MATCH($B7,PBDEs!$B$4:$B$263,0))),INDEX(PBDEs!$G$4:$G$263,MATCH($B7,PBDEs!$B$4:$B$263,0)),"---")</f>
        <v>---</v>
      </c>
      <c r="E7" s="15" t="str">
        <f>IF(ISNUMBER(INDEX(PBDEs!$K$4:$K$263,MATCH($B7,PBDEs!$B$4:$B$263,0))),INDEX(PBDEs!$K$4:$K$263,MATCH($B7,PBDEs!$B$4:$B$263,0)),"---")</f>
        <v>---</v>
      </c>
      <c r="F7" s="15">
        <f>IF(ISNUMBER(INDEX(PBDEs!$S$4:$S$263,MATCH($B7,PBDEs!$B$4:$B$263,0))),INDEX(PBDEs!$S$4:$S$263,MATCH($B7,PBDEs!$B$4:$B$263,0)),"---")</f>
        <v>8.9111011652765284E-4</v>
      </c>
      <c r="G7" s="37" t="str">
        <f>IF(ISNUMBER(INDEX(PBDEs!$AA$4:$AA$263,MATCH($B7,PBDEs!$B$4:$B$263,0))),INDEX(PBDEs!$AA$4:$AA$263,MATCH($B7,PBDEs!$B$4:$B$263,0)),"---")</f>
        <v>---</v>
      </c>
    </row>
    <row r="8" spans="1:7" x14ac:dyDescent="0.3">
      <c r="A8" s="39" t="s">
        <v>2527</v>
      </c>
      <c r="B8" s="40" t="s">
        <v>428</v>
      </c>
      <c r="C8" s="15" t="s">
        <v>430</v>
      </c>
      <c r="D8" s="15" t="str">
        <f>IF(ISNUMBER(INDEX(PBDEs!$G$4:$G$263,MATCH($B8,PBDEs!$B$4:$B$263,0))),INDEX(PBDEs!$G$4:$G$263,MATCH($B8,PBDEs!$B$4:$B$263,0)),"---")</f>
        <v>---</v>
      </c>
      <c r="E8" s="15">
        <f>IF(ISNUMBER(INDEX(PBDEs!$K$4:$K$263,MATCH($B8,PBDEs!$B$4:$B$263,0))),INDEX(PBDEs!$K$4:$K$263,MATCH($B8,PBDEs!$B$4:$B$263,0)),"---")</f>
        <v>18.75</v>
      </c>
      <c r="F8" s="15">
        <f>IF(ISNUMBER(INDEX(PBDEs!$S$4:$S$263,MATCH($B8,PBDEs!$B$4:$B$263,0))),INDEX(PBDEs!$S$4:$S$263,MATCH($B8,PBDEs!$B$4:$B$263,0)),"---")</f>
        <v>2.2372478876401323E-3</v>
      </c>
      <c r="G8" s="37" t="str">
        <f>IF(ISNUMBER(INDEX(PBDEs!$AA$4:$AA$263,MATCH($B8,PBDEs!$B$4:$B$263,0))),INDEX(PBDEs!$AA$4:$AA$263,MATCH($B8,PBDEs!$B$4:$B$263,0)),"---")</f>
        <v>---</v>
      </c>
    </row>
    <row r="9" spans="1:7" x14ac:dyDescent="0.3">
      <c r="A9" s="39" t="s">
        <v>2528</v>
      </c>
      <c r="B9" s="40" t="s">
        <v>434</v>
      </c>
      <c r="C9" s="15" t="s">
        <v>2774</v>
      </c>
      <c r="D9" s="15" t="str">
        <f>IF(ISNUMBER(INDEX(PBDEs!$G$4:$G$263,MATCH($B9,PBDEs!$B$4:$B$263,0))),INDEX(PBDEs!$G$4:$G$263,MATCH($B9,PBDEs!$B$4:$B$263,0)),"---")</f>
        <v>---</v>
      </c>
      <c r="E9" s="15" t="str">
        <f>IF(ISNUMBER(INDEX(PBDEs!$K$4:$K$263,MATCH($B9,PBDEs!$B$4:$B$263,0))),INDEX(PBDEs!$K$4:$K$263,MATCH($B9,PBDEs!$B$4:$B$263,0)),"---")</f>
        <v>---</v>
      </c>
      <c r="F9" s="15" t="str">
        <f>IF(ISNUMBER(INDEX(PBDEs!$S$4:$S$263,MATCH($B9,PBDEs!$B$4:$B$263,0))),INDEX(PBDEs!$S$4:$S$263,MATCH($B9,PBDEs!$B$4:$B$263,0)),"---")</f>
        <v>---</v>
      </c>
      <c r="G9" s="37" t="str">
        <f>IF(ISNUMBER(INDEX(PBDEs!$AA$4:$AA$263,MATCH($B9,PBDEs!$B$4:$B$263,0))),INDEX(PBDEs!$AA$4:$AA$263,MATCH($B9,PBDEs!$B$4:$B$263,0)),"---")</f>
        <v>---</v>
      </c>
    </row>
    <row r="10" spans="1:7" x14ac:dyDescent="0.3">
      <c r="A10" s="39" t="s">
        <v>2529</v>
      </c>
      <c r="B10" s="40" t="s">
        <v>435</v>
      </c>
      <c r="C10" s="15" t="s">
        <v>3119</v>
      </c>
      <c r="D10" s="15" t="str">
        <f>IF(ISNUMBER(INDEX(PBDEs!$G$4:$G$263,MATCH($B10,PBDEs!$B$4:$B$263,0))),INDEX(PBDEs!$G$4:$G$263,MATCH($B10,PBDEs!$B$4:$B$263,0)),"---")</f>
        <v>---</v>
      </c>
      <c r="E10" s="15" t="str">
        <f>IF(ISNUMBER(INDEX(PBDEs!$K$4:$K$263,MATCH($B10,PBDEs!$B$4:$B$263,0))),INDEX(PBDEs!$K$4:$K$263,MATCH($B10,PBDEs!$B$4:$B$263,0)),"---")</f>
        <v>---</v>
      </c>
      <c r="F10" s="15" t="str">
        <f>IF(ISNUMBER(INDEX(PBDEs!$S$4:$S$263,MATCH($B10,PBDEs!$B$4:$B$263,0))),INDEX(PBDEs!$S$4:$S$263,MATCH($B10,PBDEs!$B$4:$B$263,0)),"---")</f>
        <v>---</v>
      </c>
      <c r="G10" s="37" t="str">
        <f>IF(ISNUMBER(INDEX(PBDEs!$AA$4:$AA$263,MATCH($B10,PBDEs!$B$4:$B$263,0))),INDEX(PBDEs!$AA$4:$AA$263,MATCH($B10,PBDEs!$B$4:$B$263,0)),"---")</f>
        <v>---</v>
      </c>
    </row>
    <row r="11" spans="1:7" x14ac:dyDescent="0.3">
      <c r="A11" s="39" t="s">
        <v>2530</v>
      </c>
      <c r="B11" s="40" t="s">
        <v>436</v>
      </c>
      <c r="C11" s="15" t="s">
        <v>2776</v>
      </c>
      <c r="D11" s="15" t="str">
        <f>IF(ISNUMBER(INDEX(PBDEs!$G$4:$G$263,MATCH($B11,PBDEs!$B$4:$B$263,0))),INDEX(PBDEs!$G$4:$G$263,MATCH($B11,PBDEs!$B$4:$B$263,0)),"---")</f>
        <v>---</v>
      </c>
      <c r="E11" s="15" t="str">
        <f>IF(ISNUMBER(INDEX(PBDEs!$K$4:$K$263,MATCH($B11,PBDEs!$B$4:$B$263,0))),INDEX(PBDEs!$K$4:$K$263,MATCH($B11,PBDEs!$B$4:$B$263,0)),"---")</f>
        <v>---</v>
      </c>
      <c r="F11" s="15" t="str">
        <f>IF(ISNUMBER(INDEX(PBDEs!$S$4:$S$263,MATCH($B11,PBDEs!$B$4:$B$263,0))),INDEX(PBDEs!$S$4:$S$263,MATCH($B11,PBDEs!$B$4:$B$263,0)),"---")</f>
        <v>---</v>
      </c>
      <c r="G11" s="37" t="str">
        <f>IF(ISNUMBER(INDEX(PBDEs!$AA$4:$AA$263,MATCH($B11,PBDEs!$B$4:$B$263,0))),INDEX(PBDEs!$AA$4:$AA$263,MATCH($B11,PBDEs!$B$4:$B$263,0)),"---")</f>
        <v>---</v>
      </c>
    </row>
    <row r="12" spans="1:7" x14ac:dyDescent="0.3">
      <c r="A12" s="39" t="s">
        <v>2531</v>
      </c>
      <c r="B12" s="40" t="s">
        <v>437</v>
      </c>
      <c r="C12" s="15" t="s">
        <v>2777</v>
      </c>
      <c r="D12" s="15" t="str">
        <f>IF(ISNUMBER(INDEX(PBDEs!$G$4:$G$263,MATCH($B12,PBDEs!$B$4:$B$263,0))),INDEX(PBDEs!$G$4:$G$263,MATCH($B12,PBDEs!$B$4:$B$263,0)),"---")</f>
        <v>---</v>
      </c>
      <c r="E12" s="15" t="str">
        <f>IF(ISNUMBER(INDEX(PBDEs!$K$4:$K$263,MATCH($B12,PBDEs!$B$4:$B$263,0))),INDEX(PBDEs!$K$4:$K$263,MATCH($B12,PBDEs!$B$4:$B$263,0)),"---")</f>
        <v>---</v>
      </c>
      <c r="F12" s="15">
        <f>IF(ISNUMBER(INDEX(PBDEs!$S$4:$S$263,MATCH($B12,PBDEs!$B$4:$B$263,0))),INDEX(PBDEs!$S$4:$S$263,MATCH($B12,PBDEs!$B$4:$B$263,0)),"---")</f>
        <v>9.8953445939240666E-5</v>
      </c>
      <c r="G12" s="37" t="str">
        <f>IF(ISNUMBER(INDEX(PBDEs!$AA$4:$AA$263,MATCH($B12,PBDEs!$B$4:$B$263,0))),INDEX(PBDEs!$AA$4:$AA$263,MATCH($B12,PBDEs!$B$4:$B$263,0)),"---")</f>
        <v>---</v>
      </c>
    </row>
    <row r="13" spans="1:7" x14ac:dyDescent="0.3">
      <c r="A13" s="39" t="s">
        <v>2532</v>
      </c>
      <c r="B13" s="40" t="s">
        <v>438</v>
      </c>
      <c r="C13" s="15" t="s">
        <v>1048</v>
      </c>
      <c r="D13" s="15" t="str">
        <f>IF(ISNUMBER(INDEX(PBDEs!$G$4:$G$263,MATCH($B13,PBDEs!$B$4:$B$263,0))),INDEX(PBDEs!$G$4:$G$263,MATCH($B13,PBDEs!$B$4:$B$263,0)),"---")</f>
        <v>---</v>
      </c>
      <c r="E13" s="15" t="str">
        <f>IF(ISNUMBER(INDEX(PBDEs!$K$4:$K$263,MATCH($B13,PBDEs!$B$4:$B$263,0))),INDEX(PBDEs!$K$4:$K$263,MATCH($B13,PBDEs!$B$4:$B$263,0)),"---")</f>
        <v>---</v>
      </c>
      <c r="F13" s="15">
        <f>IF(ISNUMBER(INDEX(PBDEs!$S$4:$S$263,MATCH($B13,PBDEs!$B$4:$B$263,0))),INDEX(PBDEs!$S$4:$S$263,MATCH($B13,PBDEs!$B$4:$B$263,0)),"---")</f>
        <v>8.1610792928444163E-5</v>
      </c>
      <c r="G13" s="37" t="str">
        <f>IF(ISNUMBER(INDEX(PBDEs!$AA$4:$AA$263,MATCH($B13,PBDEs!$B$4:$B$263,0))),INDEX(PBDEs!$AA$4:$AA$263,MATCH($B13,PBDEs!$B$4:$B$263,0)),"---")</f>
        <v>---</v>
      </c>
    </row>
    <row r="14" spans="1:7" x14ac:dyDescent="0.3">
      <c r="A14" s="39" t="s">
        <v>2533</v>
      </c>
      <c r="B14" s="40" t="s">
        <v>439</v>
      </c>
      <c r="C14" s="15" t="s">
        <v>3120</v>
      </c>
      <c r="D14" s="15" t="str">
        <f>IF(ISNUMBER(INDEX(PBDEs!$G$4:$G$263,MATCH($B14,PBDEs!$B$4:$B$263,0))),INDEX(PBDEs!$G$4:$G$263,MATCH($B14,PBDEs!$B$4:$B$263,0)),"---")</f>
        <v>---</v>
      </c>
      <c r="E14" s="15" t="str">
        <f>IF(ISNUMBER(INDEX(PBDEs!$K$4:$K$263,MATCH($B14,PBDEs!$B$4:$B$263,0))),INDEX(PBDEs!$K$4:$K$263,MATCH($B14,PBDEs!$B$4:$B$263,0)),"---")</f>
        <v>---</v>
      </c>
      <c r="F14" s="15" t="str">
        <f>IF(ISNUMBER(INDEX(PBDEs!$S$4:$S$263,MATCH($B14,PBDEs!$B$4:$B$263,0))),INDEX(PBDEs!$S$4:$S$263,MATCH($B14,PBDEs!$B$4:$B$263,0)),"---")</f>
        <v>---</v>
      </c>
      <c r="G14" s="37" t="str">
        <f>IF(ISNUMBER(INDEX(PBDEs!$AA$4:$AA$263,MATCH($B14,PBDEs!$B$4:$B$263,0))),INDEX(PBDEs!$AA$4:$AA$263,MATCH($B14,PBDEs!$B$4:$B$263,0)),"---")</f>
        <v>---</v>
      </c>
    </row>
    <row r="15" spans="1:7" x14ac:dyDescent="0.3">
      <c r="A15" s="39" t="s">
        <v>2534</v>
      </c>
      <c r="B15" s="40" t="s">
        <v>440</v>
      </c>
      <c r="C15" s="15" t="s">
        <v>2779</v>
      </c>
      <c r="D15" s="15" t="str">
        <f>IF(ISNUMBER(INDEX(PBDEs!$G$4:$G$263,MATCH($B15,PBDEs!$B$4:$B$263,0))),INDEX(PBDEs!$G$4:$G$263,MATCH($B15,PBDEs!$B$4:$B$263,0)),"---")</f>
        <v>---</v>
      </c>
      <c r="E15" s="15" t="str">
        <f>IF(ISNUMBER(INDEX(PBDEs!$K$4:$K$263,MATCH($B15,PBDEs!$B$4:$B$263,0))),INDEX(PBDEs!$K$4:$K$263,MATCH($B15,PBDEs!$B$4:$B$263,0)),"---")</f>
        <v>---</v>
      </c>
      <c r="F15" s="15">
        <f>IF(ISNUMBER(INDEX(PBDEs!$S$4:$S$263,MATCH($B15,PBDEs!$B$4:$B$263,0))),INDEX(PBDEs!$S$4:$S$263,MATCH($B15,PBDEs!$B$4:$B$263,0)),"---")</f>
        <v>1.738087318104341E-4</v>
      </c>
      <c r="G15" s="37" t="str">
        <f>IF(ISNUMBER(INDEX(PBDEs!$AA$4:$AA$263,MATCH($B15,PBDEs!$B$4:$B$263,0))),INDEX(PBDEs!$AA$4:$AA$263,MATCH($B15,PBDEs!$B$4:$B$263,0)),"---")</f>
        <v>---</v>
      </c>
    </row>
    <row r="16" spans="1:7" x14ac:dyDescent="0.3">
      <c r="A16" s="39" t="s">
        <v>2535</v>
      </c>
      <c r="B16" s="40" t="s">
        <v>441</v>
      </c>
      <c r="C16" s="15" t="s">
        <v>2780</v>
      </c>
      <c r="D16" s="15" t="str">
        <f>IF(ISNUMBER(INDEX(PBDEs!$G$4:$G$263,MATCH($B16,PBDEs!$B$4:$B$263,0))),INDEX(PBDEs!$G$4:$G$263,MATCH($B16,PBDEs!$B$4:$B$263,0)),"---")</f>
        <v>---</v>
      </c>
      <c r="E16" s="15" t="str">
        <f>IF(ISNUMBER(INDEX(PBDEs!$K$4:$K$263,MATCH($B16,PBDEs!$B$4:$B$263,0))),INDEX(PBDEs!$K$4:$K$263,MATCH($B16,PBDEs!$B$4:$B$263,0)),"---")</f>
        <v>---</v>
      </c>
      <c r="F16" s="15" t="str">
        <f>IF(ISNUMBER(INDEX(PBDEs!$S$4:$S$263,MATCH($B16,PBDEs!$B$4:$B$263,0))),INDEX(PBDEs!$S$4:$S$263,MATCH($B16,PBDEs!$B$4:$B$263,0)),"---")</f>
        <v>---</v>
      </c>
      <c r="G16" s="37" t="str">
        <f>IF(ISNUMBER(INDEX(PBDEs!$AA$4:$AA$263,MATCH($B16,PBDEs!$B$4:$B$263,0))),INDEX(PBDEs!$AA$4:$AA$263,MATCH($B16,PBDEs!$B$4:$B$263,0)),"---")</f>
        <v>---</v>
      </c>
    </row>
    <row r="17" spans="1:7" x14ac:dyDescent="0.3">
      <c r="A17" s="39" t="s">
        <v>2536</v>
      </c>
      <c r="B17" s="40" t="s">
        <v>442</v>
      </c>
      <c r="C17" s="15" t="s">
        <v>2781</v>
      </c>
      <c r="D17" s="15" t="str">
        <f>IF(ISNUMBER(INDEX(PBDEs!$G$4:$G$263,MATCH($B17,PBDEs!$B$4:$B$263,0))),INDEX(PBDEs!$G$4:$G$263,MATCH($B17,PBDEs!$B$4:$B$263,0)),"---")</f>
        <v>---</v>
      </c>
      <c r="E17" s="15" t="str">
        <f>IF(ISNUMBER(INDEX(PBDEs!$K$4:$K$263,MATCH($B17,PBDEs!$B$4:$B$263,0))),INDEX(PBDEs!$K$4:$K$263,MATCH($B17,PBDEs!$B$4:$B$263,0)),"---")</f>
        <v>---</v>
      </c>
      <c r="F17" s="15">
        <f>IF(ISNUMBER(INDEX(PBDEs!$S$4:$S$263,MATCH($B17,PBDEs!$B$4:$B$263,0))),INDEX(PBDEs!$S$4:$S$263,MATCH($B17,PBDEs!$B$4:$B$263,0)),"---")</f>
        <v>6.7451292838453399E-5</v>
      </c>
      <c r="G17" s="37" t="str">
        <f>IF(ISNUMBER(INDEX(PBDEs!$AA$4:$AA$263,MATCH($B17,PBDEs!$B$4:$B$263,0))),INDEX(PBDEs!$AA$4:$AA$263,MATCH($B17,PBDEs!$B$4:$B$263,0)),"---")</f>
        <v>---</v>
      </c>
    </row>
    <row r="18" spans="1:7" x14ac:dyDescent="0.3">
      <c r="A18" s="39" t="s">
        <v>2537</v>
      </c>
      <c r="B18" s="40" t="s">
        <v>443</v>
      </c>
      <c r="C18" s="15" t="s">
        <v>2782</v>
      </c>
      <c r="D18" s="15" t="str">
        <f>IF(ISNUMBER(INDEX(PBDEs!$G$4:$G$263,MATCH($B18,PBDEs!$B$4:$B$263,0))),INDEX(PBDEs!$G$4:$G$263,MATCH($B18,PBDEs!$B$4:$B$263,0)),"---")</f>
        <v>---</v>
      </c>
      <c r="E18" s="15" t="str">
        <f>IF(ISNUMBER(INDEX(PBDEs!$K$4:$K$263,MATCH($B18,PBDEs!$B$4:$B$263,0))),INDEX(PBDEs!$K$4:$K$263,MATCH($B18,PBDEs!$B$4:$B$263,0)),"---")</f>
        <v>---</v>
      </c>
      <c r="F18" s="15">
        <f>IF(ISNUMBER(INDEX(PBDEs!$S$4:$S$263,MATCH($B18,PBDEs!$B$4:$B$263,0))),INDEX(PBDEs!$S$4:$S$263,MATCH($B18,PBDEs!$B$4:$B$263,0)),"---")</f>
        <v>6.2337420255704365E-5</v>
      </c>
      <c r="G18" s="37" t="str">
        <f>IF(ISNUMBER(INDEX(PBDEs!$AA$4:$AA$263,MATCH($B18,PBDEs!$B$4:$B$263,0))),INDEX(PBDEs!$AA$4:$AA$263,MATCH($B18,PBDEs!$B$4:$B$263,0)),"---")</f>
        <v>---</v>
      </c>
    </row>
    <row r="19" spans="1:7" x14ac:dyDescent="0.3">
      <c r="A19" s="39" t="s">
        <v>2538</v>
      </c>
      <c r="B19" s="40" t="s">
        <v>444</v>
      </c>
      <c r="C19" s="15" t="s">
        <v>2783</v>
      </c>
      <c r="D19" s="15" t="str">
        <f>IF(ISNUMBER(INDEX(PBDEs!$G$4:$G$263,MATCH($B19,PBDEs!$B$4:$B$263,0))),INDEX(PBDEs!$G$4:$G$263,MATCH($B19,PBDEs!$B$4:$B$263,0)),"---")</f>
        <v>---</v>
      </c>
      <c r="E19" s="15" t="str">
        <f>IF(ISNUMBER(INDEX(PBDEs!$K$4:$K$263,MATCH($B19,PBDEs!$B$4:$B$263,0))),INDEX(PBDEs!$K$4:$K$263,MATCH($B19,PBDEs!$B$4:$B$263,0)),"---")</f>
        <v>---</v>
      </c>
      <c r="F19" s="15" t="str">
        <f>IF(ISNUMBER(INDEX(PBDEs!$S$4:$S$263,MATCH($B19,PBDEs!$B$4:$B$263,0))),INDEX(PBDEs!$S$4:$S$263,MATCH($B19,PBDEs!$B$4:$B$263,0)),"---")</f>
        <v>---</v>
      </c>
      <c r="G19" s="37" t="str">
        <f>IF(ISNUMBER(INDEX(PBDEs!$AA$4:$AA$263,MATCH($B19,PBDEs!$B$4:$B$263,0))),INDEX(PBDEs!$AA$4:$AA$263,MATCH($B19,PBDEs!$B$4:$B$263,0)),"---")</f>
        <v>---</v>
      </c>
    </row>
    <row r="20" spans="1:7" x14ac:dyDescent="0.3">
      <c r="A20" s="39" t="s">
        <v>2539</v>
      </c>
      <c r="B20" s="40" t="s">
        <v>445</v>
      </c>
      <c r="C20" s="15" t="s">
        <v>446</v>
      </c>
      <c r="D20" s="15" t="str">
        <f>IF(ISNUMBER(INDEX(PBDEs!$G$4:$G$263,MATCH($B20,PBDEs!$B$4:$B$263,0))),INDEX(PBDEs!$G$4:$G$263,MATCH($B20,PBDEs!$B$4:$B$263,0)),"---")</f>
        <v>---</v>
      </c>
      <c r="E20" s="15">
        <f>IF(ISNUMBER(INDEX(PBDEs!$K$4:$K$263,MATCH($B20,PBDEs!$B$4:$B$263,0))),INDEX(PBDEs!$K$4:$K$263,MATCH($B20,PBDEs!$B$4:$B$263,0)),"---")</f>
        <v>54</v>
      </c>
      <c r="F20" s="15">
        <f>IF(ISNUMBER(INDEX(PBDEs!$S$4:$S$263,MATCH($B20,PBDEs!$B$4:$B$263,0))),INDEX(PBDEs!$S$4:$S$263,MATCH($B20,PBDEs!$B$4:$B$263,0)),"---")</f>
        <v>4.2943477123533748E-5</v>
      </c>
      <c r="G20" s="37">
        <f>IF(ISNUMBER(INDEX(PBDEs!$AA$4:$AA$263,MATCH($B20,PBDEs!$B$4:$B$263,0))),INDEX(PBDEs!$AA$4:$AA$263,MATCH($B20,PBDEs!$B$4:$B$263,0)),"---")</f>
        <v>0.12999999999999998</v>
      </c>
    </row>
    <row r="21" spans="1:7" x14ac:dyDescent="0.3">
      <c r="A21" s="39" t="s">
        <v>2540</v>
      </c>
      <c r="B21" s="40" t="s">
        <v>447</v>
      </c>
      <c r="C21" s="15" t="s">
        <v>2784</v>
      </c>
      <c r="D21" s="15" t="str">
        <f>IF(ISNUMBER(INDEX(PBDEs!$G$4:$G$263,MATCH($B21,PBDEs!$B$4:$B$263,0))),INDEX(PBDEs!$G$4:$G$263,MATCH($B21,PBDEs!$B$4:$B$263,0)),"---")</f>
        <v>---</v>
      </c>
      <c r="E21" s="15" t="str">
        <f>IF(ISNUMBER(INDEX(PBDEs!$K$4:$K$263,MATCH($B21,PBDEs!$B$4:$B$263,0))),INDEX(PBDEs!$K$4:$K$263,MATCH($B21,PBDEs!$B$4:$B$263,0)),"---")</f>
        <v>---</v>
      </c>
      <c r="F21" s="15" t="str">
        <f>IF(ISNUMBER(INDEX(PBDEs!$S$4:$S$263,MATCH($B21,PBDEs!$B$4:$B$263,0))),INDEX(PBDEs!$S$4:$S$263,MATCH($B21,PBDEs!$B$4:$B$263,0)),"---")</f>
        <v>---</v>
      </c>
      <c r="G21" s="37" t="str">
        <f>IF(ISNUMBER(INDEX(PBDEs!$AA$4:$AA$263,MATCH($B21,PBDEs!$B$4:$B$263,0))),INDEX(PBDEs!$AA$4:$AA$263,MATCH($B21,PBDEs!$B$4:$B$263,0)),"---")</f>
        <v>---</v>
      </c>
    </row>
    <row r="22" spans="1:7" x14ac:dyDescent="0.3">
      <c r="A22" s="39" t="s">
        <v>2541</v>
      </c>
      <c r="B22" s="40" t="s">
        <v>448</v>
      </c>
      <c r="C22" s="15" t="s">
        <v>2785</v>
      </c>
      <c r="D22" s="15">
        <f>IF(ISNUMBER(INDEX(PBDEs!$G$4:$G$263,MATCH($B22,PBDEs!$B$4:$B$263,0))),INDEX(PBDEs!$G$4:$G$263,MATCH($B22,PBDEs!$B$4:$B$263,0)),"---")</f>
        <v>5.74</v>
      </c>
      <c r="E22" s="15" t="str">
        <f>IF(ISNUMBER(INDEX(PBDEs!$K$4:$K$263,MATCH($B22,PBDEs!$B$4:$B$263,0))),INDEX(PBDEs!$K$4:$K$263,MATCH($B22,PBDEs!$B$4:$B$263,0)),"---")</f>
        <v>---</v>
      </c>
      <c r="F22" s="15" t="str">
        <f>IF(ISNUMBER(INDEX(PBDEs!$S$4:$S$263,MATCH($B22,PBDEs!$B$4:$B$263,0))),INDEX(PBDEs!$S$4:$S$263,MATCH($B22,PBDEs!$B$4:$B$263,0)),"---")</f>
        <v>---</v>
      </c>
      <c r="G22" s="37" t="str">
        <f>IF(ISNUMBER(INDEX(PBDEs!$AA$4:$AA$263,MATCH($B22,PBDEs!$B$4:$B$263,0))),INDEX(PBDEs!$AA$4:$AA$263,MATCH($B22,PBDEs!$B$4:$B$263,0)),"---")</f>
        <v>---</v>
      </c>
    </row>
    <row r="23" spans="1:7" x14ac:dyDescent="0.3">
      <c r="A23" s="39" t="s">
        <v>2542</v>
      </c>
      <c r="B23" s="40" t="s">
        <v>449</v>
      </c>
      <c r="C23" s="15" t="s">
        <v>2786</v>
      </c>
      <c r="D23" s="15" t="str">
        <f>IF(ISNUMBER(INDEX(PBDEs!$G$4:$G$263,MATCH($B23,PBDEs!$B$4:$B$263,0))),INDEX(PBDEs!$G$4:$G$263,MATCH($B23,PBDEs!$B$4:$B$263,0)),"---")</f>
        <v>---</v>
      </c>
      <c r="E23" s="15" t="str">
        <f>IF(ISNUMBER(INDEX(PBDEs!$K$4:$K$263,MATCH($B23,PBDEs!$B$4:$B$263,0))),INDEX(PBDEs!$K$4:$K$263,MATCH($B23,PBDEs!$B$4:$B$263,0)),"---")</f>
        <v>---</v>
      </c>
      <c r="F23" s="15" t="str">
        <f>IF(ISNUMBER(INDEX(PBDEs!$S$4:$S$263,MATCH($B23,PBDEs!$B$4:$B$263,0))),INDEX(PBDEs!$S$4:$S$263,MATCH($B23,PBDEs!$B$4:$B$263,0)),"---")</f>
        <v>---</v>
      </c>
      <c r="G23" s="37" t="str">
        <f>IF(ISNUMBER(INDEX(PBDEs!$AA$4:$AA$263,MATCH($B23,PBDEs!$B$4:$B$263,0))),INDEX(PBDEs!$AA$4:$AA$263,MATCH($B23,PBDEs!$B$4:$B$263,0)),"---")</f>
        <v>---</v>
      </c>
    </row>
    <row r="24" spans="1:7" x14ac:dyDescent="0.3">
      <c r="A24" s="39" t="s">
        <v>2543</v>
      </c>
      <c r="B24" s="40" t="s">
        <v>450</v>
      </c>
      <c r="C24" s="15" t="s">
        <v>2787</v>
      </c>
      <c r="D24" s="15" t="str">
        <f>IF(ISNUMBER(INDEX(PBDEs!$G$4:$G$263,MATCH($B24,PBDEs!$B$4:$B$263,0))),INDEX(PBDEs!$G$4:$G$263,MATCH($B24,PBDEs!$B$4:$B$263,0)),"---")</f>
        <v>---</v>
      </c>
      <c r="E24" s="15" t="str">
        <f>IF(ISNUMBER(INDEX(PBDEs!$K$4:$K$263,MATCH($B24,PBDEs!$B$4:$B$263,0))),INDEX(PBDEs!$K$4:$K$263,MATCH($B24,PBDEs!$B$4:$B$263,0)),"---")</f>
        <v>---</v>
      </c>
      <c r="F24" s="15" t="str">
        <f>IF(ISNUMBER(INDEX(PBDEs!$S$4:$S$263,MATCH($B24,PBDEs!$B$4:$B$263,0))),INDEX(PBDEs!$S$4:$S$263,MATCH($B24,PBDEs!$B$4:$B$263,0)),"---")</f>
        <v>---</v>
      </c>
      <c r="G24" s="37" t="str">
        <f>IF(ISNUMBER(INDEX(PBDEs!$AA$4:$AA$263,MATCH($B24,PBDEs!$B$4:$B$263,0))),INDEX(PBDEs!$AA$4:$AA$263,MATCH($B24,PBDEs!$B$4:$B$263,0)),"---")</f>
        <v>---</v>
      </c>
    </row>
    <row r="25" spans="1:7" x14ac:dyDescent="0.3">
      <c r="A25" s="39" t="s">
        <v>2544</v>
      </c>
      <c r="B25" s="40" t="s">
        <v>451</v>
      </c>
      <c r="C25" s="15" t="s">
        <v>2788</v>
      </c>
      <c r="D25" s="15" t="str">
        <f>IF(ISNUMBER(INDEX(PBDEs!$G$4:$G$263,MATCH($B25,PBDEs!$B$4:$B$263,0))),INDEX(PBDEs!$G$4:$G$263,MATCH($B25,PBDEs!$B$4:$B$263,0)),"---")</f>
        <v>---</v>
      </c>
      <c r="E25" s="15" t="str">
        <f>IF(ISNUMBER(INDEX(PBDEs!$K$4:$K$263,MATCH($B25,PBDEs!$B$4:$B$263,0))),INDEX(PBDEs!$K$4:$K$263,MATCH($B25,PBDEs!$B$4:$B$263,0)),"---")</f>
        <v>---</v>
      </c>
      <c r="F25" s="15" t="str">
        <f>IF(ISNUMBER(INDEX(PBDEs!$S$4:$S$263,MATCH($B25,PBDEs!$B$4:$B$263,0))),INDEX(PBDEs!$S$4:$S$263,MATCH($B25,PBDEs!$B$4:$B$263,0)),"---")</f>
        <v>---</v>
      </c>
      <c r="G25" s="37" t="str">
        <f>IF(ISNUMBER(INDEX(PBDEs!$AA$4:$AA$263,MATCH($B25,PBDEs!$B$4:$B$263,0))),INDEX(PBDEs!$AA$4:$AA$263,MATCH($B25,PBDEs!$B$4:$B$263,0)),"---")</f>
        <v>---</v>
      </c>
    </row>
    <row r="26" spans="1:7" x14ac:dyDescent="0.3">
      <c r="A26" s="39" t="s">
        <v>2545</v>
      </c>
      <c r="B26" s="40" t="s">
        <v>452</v>
      </c>
      <c r="C26" s="15" t="s">
        <v>2789</v>
      </c>
      <c r="D26" s="15" t="str">
        <f>IF(ISNUMBER(INDEX(PBDEs!$G$4:$G$263,MATCH($B26,PBDEs!$B$4:$B$263,0))),INDEX(PBDEs!$G$4:$G$263,MATCH($B26,PBDEs!$B$4:$B$263,0)),"---")</f>
        <v>---</v>
      </c>
      <c r="E26" s="15" t="str">
        <f>IF(ISNUMBER(INDEX(PBDEs!$K$4:$K$263,MATCH($B26,PBDEs!$B$4:$B$263,0))),INDEX(PBDEs!$K$4:$K$263,MATCH($B26,PBDEs!$B$4:$B$263,0)),"---")</f>
        <v>---</v>
      </c>
      <c r="F26" s="15" t="str">
        <f>IF(ISNUMBER(INDEX(PBDEs!$S$4:$S$263,MATCH($B26,PBDEs!$B$4:$B$263,0))),INDEX(PBDEs!$S$4:$S$263,MATCH($B26,PBDEs!$B$4:$B$263,0)),"---")</f>
        <v>---</v>
      </c>
      <c r="G26" s="37" t="str">
        <f>IF(ISNUMBER(INDEX(PBDEs!$AA$4:$AA$263,MATCH($B26,PBDEs!$B$4:$B$263,0))),INDEX(PBDEs!$AA$4:$AA$263,MATCH($B26,PBDEs!$B$4:$B$263,0)),"---")</f>
        <v>---</v>
      </c>
    </row>
    <row r="27" spans="1:7" x14ac:dyDescent="0.3">
      <c r="A27" s="39" t="s">
        <v>2546</v>
      </c>
      <c r="B27" s="40" t="s">
        <v>453</v>
      </c>
      <c r="C27" s="15" t="s">
        <v>2790</v>
      </c>
      <c r="D27" s="15" t="str">
        <f>IF(ISNUMBER(INDEX(PBDEs!$G$4:$G$263,MATCH($B27,PBDEs!$B$4:$B$263,0))),INDEX(PBDEs!$G$4:$G$263,MATCH($B27,PBDEs!$B$4:$B$263,0)),"---")</f>
        <v>---</v>
      </c>
      <c r="E27" s="15" t="str">
        <f>IF(ISNUMBER(INDEX(PBDEs!$K$4:$K$263,MATCH($B27,PBDEs!$B$4:$B$263,0))),INDEX(PBDEs!$K$4:$K$263,MATCH($B27,PBDEs!$B$4:$B$263,0)),"---")</f>
        <v>---</v>
      </c>
      <c r="F27" s="15" t="str">
        <f>IF(ISNUMBER(INDEX(PBDEs!$S$4:$S$263,MATCH($B27,PBDEs!$B$4:$B$263,0))),INDEX(PBDEs!$S$4:$S$263,MATCH($B27,PBDEs!$B$4:$B$263,0)),"---")</f>
        <v>---</v>
      </c>
      <c r="G27" s="37" t="str">
        <f>IF(ISNUMBER(INDEX(PBDEs!$AA$4:$AA$263,MATCH($B27,PBDEs!$B$4:$B$263,0))),INDEX(PBDEs!$AA$4:$AA$263,MATCH($B27,PBDEs!$B$4:$B$263,0)),"---")</f>
        <v>---</v>
      </c>
    </row>
    <row r="28" spans="1:7" x14ac:dyDescent="0.3">
      <c r="A28" s="39" t="s">
        <v>2547</v>
      </c>
      <c r="B28" s="40" t="s">
        <v>454</v>
      </c>
      <c r="C28" s="15" t="s">
        <v>2791</v>
      </c>
      <c r="D28" s="15" t="str">
        <f>IF(ISNUMBER(INDEX(PBDEs!$G$4:$G$263,MATCH($B28,PBDEs!$B$4:$B$263,0))),INDEX(PBDEs!$G$4:$G$263,MATCH($B28,PBDEs!$B$4:$B$263,0)),"---")</f>
        <v>---</v>
      </c>
      <c r="E28" s="15" t="str">
        <f>IF(ISNUMBER(INDEX(PBDEs!$K$4:$K$263,MATCH($B28,PBDEs!$B$4:$B$263,0))),INDEX(PBDEs!$K$4:$K$263,MATCH($B28,PBDEs!$B$4:$B$263,0)),"---")</f>
        <v>---</v>
      </c>
      <c r="F28" s="15" t="str">
        <f>IF(ISNUMBER(INDEX(PBDEs!$S$4:$S$263,MATCH($B28,PBDEs!$B$4:$B$263,0))),INDEX(PBDEs!$S$4:$S$263,MATCH($B28,PBDEs!$B$4:$B$263,0)),"---")</f>
        <v>---</v>
      </c>
      <c r="G28" s="37" t="str">
        <f>IF(ISNUMBER(INDEX(PBDEs!$AA$4:$AA$263,MATCH($B28,PBDEs!$B$4:$B$263,0))),INDEX(PBDEs!$AA$4:$AA$263,MATCH($B28,PBDEs!$B$4:$B$263,0)),"---")</f>
        <v>---</v>
      </c>
    </row>
    <row r="29" spans="1:7" x14ac:dyDescent="0.3">
      <c r="A29" s="39" t="s">
        <v>2548</v>
      </c>
      <c r="B29" s="40" t="s">
        <v>455</v>
      </c>
      <c r="C29" s="15" t="s">
        <v>3121</v>
      </c>
      <c r="D29" s="15" t="str">
        <f>IF(ISNUMBER(INDEX(PBDEs!$G$4:$G$263,MATCH($B29,PBDEs!$B$4:$B$263,0))),INDEX(PBDEs!$G$4:$G$263,MATCH($B29,PBDEs!$B$4:$B$263,0)),"---")</f>
        <v>---</v>
      </c>
      <c r="E29" s="15" t="str">
        <f>IF(ISNUMBER(INDEX(PBDEs!$K$4:$K$263,MATCH($B29,PBDEs!$B$4:$B$263,0))),INDEX(PBDEs!$K$4:$K$263,MATCH($B29,PBDEs!$B$4:$B$263,0)),"---")</f>
        <v>---</v>
      </c>
      <c r="F29" s="15" t="str">
        <f>IF(ISNUMBER(INDEX(PBDEs!$S$4:$S$263,MATCH($B29,PBDEs!$B$4:$B$263,0))),INDEX(PBDEs!$S$4:$S$263,MATCH($B29,PBDEs!$B$4:$B$263,0)),"---")</f>
        <v>---</v>
      </c>
      <c r="G29" s="37" t="str">
        <f>IF(ISNUMBER(INDEX(PBDEs!$AA$4:$AA$263,MATCH($B29,PBDEs!$B$4:$B$263,0))),INDEX(PBDEs!$AA$4:$AA$263,MATCH($B29,PBDEs!$B$4:$B$263,0)),"---")</f>
        <v>---</v>
      </c>
    </row>
    <row r="30" spans="1:7" x14ac:dyDescent="0.3">
      <c r="A30" s="39" t="s">
        <v>2549</v>
      </c>
      <c r="B30" s="40" t="s">
        <v>456</v>
      </c>
      <c r="C30" s="15" t="s">
        <v>2792</v>
      </c>
      <c r="D30" s="15" t="str">
        <f>IF(ISNUMBER(INDEX(PBDEs!$G$4:$G$263,MATCH($B30,PBDEs!$B$4:$B$263,0))),INDEX(PBDEs!$G$4:$G$263,MATCH($B30,PBDEs!$B$4:$B$263,0)),"---")</f>
        <v>---</v>
      </c>
      <c r="E30" s="15" t="str">
        <f>IF(ISNUMBER(INDEX(PBDEs!$K$4:$K$263,MATCH($B30,PBDEs!$B$4:$B$263,0))),INDEX(PBDEs!$K$4:$K$263,MATCH($B30,PBDEs!$B$4:$B$263,0)),"---")</f>
        <v>---</v>
      </c>
      <c r="F30" s="15" t="str">
        <f>IF(ISNUMBER(INDEX(PBDEs!$S$4:$S$263,MATCH($B30,PBDEs!$B$4:$B$263,0))),INDEX(PBDEs!$S$4:$S$263,MATCH($B30,PBDEs!$B$4:$B$263,0)),"---")</f>
        <v>---</v>
      </c>
      <c r="G30" s="37" t="str">
        <f>IF(ISNUMBER(INDEX(PBDEs!$AA$4:$AA$263,MATCH($B30,PBDEs!$B$4:$B$263,0))),INDEX(PBDEs!$AA$4:$AA$263,MATCH($B30,PBDEs!$B$4:$B$263,0)),"---")</f>
        <v>---</v>
      </c>
    </row>
    <row r="31" spans="1:7" x14ac:dyDescent="0.3">
      <c r="A31" s="39" t="s">
        <v>2550</v>
      </c>
      <c r="B31" s="40" t="s">
        <v>457</v>
      </c>
      <c r="C31" s="15" t="s">
        <v>2793</v>
      </c>
      <c r="D31" s="15" t="str">
        <f>IF(ISNUMBER(INDEX(PBDEs!$G$4:$G$263,MATCH($B31,PBDEs!$B$4:$B$263,0))),INDEX(PBDEs!$G$4:$G$263,MATCH($B31,PBDEs!$B$4:$B$263,0)),"---")</f>
        <v>---</v>
      </c>
      <c r="E31" s="15" t="str">
        <f>IF(ISNUMBER(INDEX(PBDEs!$K$4:$K$263,MATCH($B31,PBDEs!$B$4:$B$263,0))),INDEX(PBDEs!$K$4:$K$263,MATCH($B31,PBDEs!$B$4:$B$263,0)),"---")</f>
        <v>---</v>
      </c>
      <c r="F31" s="15" t="str">
        <f>IF(ISNUMBER(INDEX(PBDEs!$S$4:$S$263,MATCH($B31,PBDEs!$B$4:$B$263,0))),INDEX(PBDEs!$S$4:$S$263,MATCH($B31,PBDEs!$B$4:$B$263,0)),"---")</f>
        <v>---</v>
      </c>
      <c r="G31" s="37" t="str">
        <f>IF(ISNUMBER(INDEX(PBDEs!$AA$4:$AA$263,MATCH($B31,PBDEs!$B$4:$B$263,0))),INDEX(PBDEs!$AA$4:$AA$263,MATCH($B31,PBDEs!$B$4:$B$263,0)),"---")</f>
        <v>---</v>
      </c>
    </row>
    <row r="32" spans="1:7" x14ac:dyDescent="0.3">
      <c r="A32" s="39" t="s">
        <v>2551</v>
      </c>
      <c r="B32" s="40" t="s">
        <v>458</v>
      </c>
      <c r="C32" s="15" t="s">
        <v>2794</v>
      </c>
      <c r="D32" s="15" t="str">
        <f>IF(ISNUMBER(INDEX(PBDEs!$G$4:$G$263,MATCH($B32,PBDEs!$B$4:$B$263,0))),INDEX(PBDEs!$G$4:$G$263,MATCH($B32,PBDEs!$B$4:$B$263,0)),"---")</f>
        <v>---</v>
      </c>
      <c r="E32" s="15" t="str">
        <f>IF(ISNUMBER(INDEX(PBDEs!$K$4:$K$263,MATCH($B32,PBDEs!$B$4:$B$263,0))),INDEX(PBDEs!$K$4:$K$263,MATCH($B32,PBDEs!$B$4:$B$263,0)),"---")</f>
        <v>---</v>
      </c>
      <c r="F32" s="15" t="str">
        <f>IF(ISNUMBER(INDEX(PBDEs!$S$4:$S$263,MATCH($B32,PBDEs!$B$4:$B$263,0))),INDEX(PBDEs!$S$4:$S$263,MATCH($B32,PBDEs!$B$4:$B$263,0)),"---")</f>
        <v>---</v>
      </c>
      <c r="G32" s="37" t="str">
        <f>IF(ISNUMBER(INDEX(PBDEs!$AA$4:$AA$263,MATCH($B32,PBDEs!$B$4:$B$263,0))),INDEX(PBDEs!$AA$4:$AA$263,MATCH($B32,PBDEs!$B$4:$B$263,0)),"---")</f>
        <v>---</v>
      </c>
    </row>
    <row r="33" spans="1:7" x14ac:dyDescent="0.3">
      <c r="A33" s="39" t="s">
        <v>2552</v>
      </c>
      <c r="B33" s="40" t="s">
        <v>459</v>
      </c>
      <c r="C33" s="15" t="s">
        <v>647</v>
      </c>
      <c r="D33" s="15">
        <f>IF(ISNUMBER(INDEX(PBDEs!$G$4:$G$263,MATCH($B33,PBDEs!$B$4:$B$263,0))),INDEX(PBDEs!$G$4:$G$263,MATCH($B33,PBDEs!$B$4:$B$263,0)),"---")</f>
        <v>5.94</v>
      </c>
      <c r="E33" s="15">
        <f>IF(ISNUMBER(INDEX(PBDEs!$K$4:$K$263,MATCH($B33,PBDEs!$B$4:$B$263,0))),INDEX(PBDEs!$K$4:$K$263,MATCH($B33,PBDEs!$B$4:$B$263,0)),"---")</f>
        <v>64.25</v>
      </c>
      <c r="F33" s="15">
        <f>IF(ISNUMBER(INDEX(PBDEs!$S$4:$S$263,MATCH($B33,PBDEs!$B$4:$B$263,0))),INDEX(PBDEs!$S$4:$S$263,MATCH($B33,PBDEs!$B$4:$B$263,0)),"---")</f>
        <v>6.7681195160508852E-6</v>
      </c>
      <c r="G33" s="37">
        <f>IF(ISNUMBER(INDEX(PBDEs!$AA$4:$AA$263,MATCH($B33,PBDEs!$B$4:$B$263,0))),INDEX(PBDEs!$AA$4:$AA$263,MATCH($B33,PBDEs!$B$4:$B$263,0)),"---")</f>
        <v>6.9999999999999993E-2</v>
      </c>
    </row>
    <row r="34" spans="1:7" x14ac:dyDescent="0.3">
      <c r="A34" s="39" t="s">
        <v>2553</v>
      </c>
      <c r="B34" s="40" t="s">
        <v>460</v>
      </c>
      <c r="C34" s="15" t="s">
        <v>2795</v>
      </c>
      <c r="D34" s="15" t="str">
        <f>IF(ISNUMBER(INDEX(PBDEs!$G$4:$G$263,MATCH($B34,PBDEs!$B$4:$B$263,0))),INDEX(PBDEs!$G$4:$G$263,MATCH($B34,PBDEs!$B$4:$B$263,0)),"---")</f>
        <v>---</v>
      </c>
      <c r="E34" s="15" t="str">
        <f>IF(ISNUMBER(INDEX(PBDEs!$K$4:$K$263,MATCH($B34,PBDEs!$B$4:$B$263,0))),INDEX(PBDEs!$K$4:$K$263,MATCH($B34,PBDEs!$B$4:$B$263,0)),"---")</f>
        <v>---</v>
      </c>
      <c r="F34" s="15" t="str">
        <f>IF(ISNUMBER(INDEX(PBDEs!$S$4:$S$263,MATCH($B34,PBDEs!$B$4:$B$263,0))),INDEX(PBDEs!$S$4:$S$263,MATCH($B34,PBDEs!$B$4:$B$263,0)),"---")</f>
        <v>---</v>
      </c>
      <c r="G34" s="37" t="str">
        <f>IF(ISNUMBER(INDEX(PBDEs!$AA$4:$AA$263,MATCH($B34,PBDEs!$B$4:$B$263,0))),INDEX(PBDEs!$AA$4:$AA$263,MATCH($B34,PBDEs!$B$4:$B$263,0)),"---")</f>
        <v>---</v>
      </c>
    </row>
    <row r="35" spans="1:7" x14ac:dyDescent="0.3">
      <c r="A35" s="39" t="s">
        <v>2554</v>
      </c>
      <c r="B35" s="40" t="s">
        <v>461</v>
      </c>
      <c r="C35" s="15" t="s">
        <v>2796</v>
      </c>
      <c r="D35" s="15" t="str">
        <f>IF(ISNUMBER(INDEX(PBDEs!$G$4:$G$263,MATCH($B35,PBDEs!$B$4:$B$263,0))),INDEX(PBDEs!$G$4:$G$263,MATCH($B35,PBDEs!$B$4:$B$263,0)),"---")</f>
        <v>---</v>
      </c>
      <c r="E35" s="15">
        <f>IF(ISNUMBER(INDEX(PBDEs!$K$4:$K$263,MATCH($B35,PBDEs!$B$4:$B$263,0))),INDEX(PBDEs!$K$4:$K$263,MATCH($B35,PBDEs!$B$4:$B$263,0)),"---")</f>
        <v>85.5</v>
      </c>
      <c r="F35" s="15">
        <f>IF(ISNUMBER(INDEX(PBDEs!$S$4:$S$263,MATCH($B35,PBDEs!$B$4:$B$263,0))),INDEX(PBDEs!$S$4:$S$263,MATCH($B35,PBDEs!$B$4:$B$263,0)),"---")</f>
        <v>8.7198636919558189E-6</v>
      </c>
      <c r="G35" s="37" t="str">
        <f>IF(ISNUMBER(INDEX(PBDEs!$AA$4:$AA$263,MATCH($B35,PBDEs!$B$4:$B$263,0))),INDEX(PBDEs!$AA$4:$AA$263,MATCH($B35,PBDEs!$B$4:$B$263,0)),"---")</f>
        <v>---</v>
      </c>
    </row>
    <row r="36" spans="1:7" x14ac:dyDescent="0.3">
      <c r="A36" s="39" t="s">
        <v>2555</v>
      </c>
      <c r="B36" s="40" t="s">
        <v>462</v>
      </c>
      <c r="C36" s="15" t="s">
        <v>2811</v>
      </c>
      <c r="D36" s="15" t="str">
        <f>IF(ISNUMBER(INDEX(PBDEs!$G$4:$G$263,MATCH($B36,PBDEs!$B$4:$B$263,0))),INDEX(PBDEs!$G$4:$G$263,MATCH($B36,PBDEs!$B$4:$B$263,0)),"---")</f>
        <v>---</v>
      </c>
      <c r="E36" s="15" t="str">
        <f>IF(ISNUMBER(INDEX(PBDEs!$K$4:$K$263,MATCH($B36,PBDEs!$B$4:$B$263,0))),INDEX(PBDEs!$K$4:$K$263,MATCH($B36,PBDEs!$B$4:$B$263,0)),"---")</f>
        <v>---</v>
      </c>
      <c r="F36" s="15" t="str">
        <f>IF(ISNUMBER(INDEX(PBDEs!$S$4:$S$263,MATCH($B36,PBDEs!$B$4:$B$263,0))),INDEX(PBDEs!$S$4:$S$263,MATCH($B36,PBDEs!$B$4:$B$263,0)),"---")</f>
        <v>---</v>
      </c>
      <c r="G36" s="37" t="str">
        <f>IF(ISNUMBER(INDEX(PBDEs!$AA$4:$AA$263,MATCH($B36,PBDEs!$B$4:$B$263,0))),INDEX(PBDEs!$AA$4:$AA$263,MATCH($B36,PBDEs!$B$4:$B$263,0)),"---")</f>
        <v>---</v>
      </c>
    </row>
    <row r="37" spans="1:7" x14ac:dyDescent="0.3">
      <c r="A37" s="39" t="s">
        <v>2556</v>
      </c>
      <c r="B37" s="40" t="s">
        <v>463</v>
      </c>
      <c r="C37" s="15" t="s">
        <v>2797</v>
      </c>
      <c r="D37" s="15" t="str">
        <f>IF(ISNUMBER(INDEX(PBDEs!$G$4:$G$263,MATCH($B37,PBDEs!$B$4:$B$263,0))),INDEX(PBDEs!$G$4:$G$263,MATCH($B37,PBDEs!$B$4:$B$263,0)),"---")</f>
        <v>---</v>
      </c>
      <c r="E37" s="15">
        <f>IF(ISNUMBER(INDEX(PBDEs!$K$4:$K$263,MATCH($B37,PBDEs!$B$4:$B$263,0))),INDEX(PBDEs!$K$4:$K$263,MATCH($B37,PBDEs!$B$4:$B$263,0)),"---")</f>
        <v>77.25</v>
      </c>
      <c r="F37" s="15">
        <f>IF(ISNUMBER(INDEX(PBDEs!$S$4:$S$263,MATCH($B37,PBDEs!$B$4:$B$263,0))),INDEX(PBDEs!$S$4:$S$263,MATCH($B37,PBDEs!$B$4:$B$263,0)),"---")</f>
        <v>5.1840155694915992E-6</v>
      </c>
      <c r="G37" s="37" t="str">
        <f>IF(ISNUMBER(INDEX(PBDEs!$AA$4:$AA$263,MATCH($B37,PBDEs!$B$4:$B$263,0))),INDEX(PBDEs!$AA$4:$AA$263,MATCH($B37,PBDEs!$B$4:$B$263,0)),"---")</f>
        <v>---</v>
      </c>
    </row>
    <row r="38" spans="1:7" x14ac:dyDescent="0.3">
      <c r="A38" s="39" t="s">
        <v>2557</v>
      </c>
      <c r="B38" s="40" t="s">
        <v>464</v>
      </c>
      <c r="C38" s="15" t="s">
        <v>2798</v>
      </c>
      <c r="D38" s="15" t="str">
        <f>IF(ISNUMBER(INDEX(PBDEs!$G$4:$G$263,MATCH($B38,PBDEs!$B$4:$B$263,0))),INDEX(PBDEs!$G$4:$G$263,MATCH($B38,PBDEs!$B$4:$B$263,0)),"---")</f>
        <v>---</v>
      </c>
      <c r="E38" s="15" t="str">
        <f>IF(ISNUMBER(INDEX(PBDEs!$K$4:$K$263,MATCH($B38,PBDEs!$B$4:$B$263,0))),INDEX(PBDEs!$K$4:$K$263,MATCH($B38,PBDEs!$B$4:$B$263,0)),"---")</f>
        <v>---</v>
      </c>
      <c r="F38" s="15">
        <f>IF(ISNUMBER(INDEX(PBDEs!$S$4:$S$263,MATCH($B38,PBDEs!$B$4:$B$263,0))),INDEX(PBDEs!$S$4:$S$263,MATCH($B38,PBDEs!$B$4:$B$263,0)),"---")</f>
        <v>6.9030693145604473E-6</v>
      </c>
      <c r="G38" s="37" t="str">
        <f>IF(ISNUMBER(INDEX(PBDEs!$AA$4:$AA$263,MATCH($B38,PBDEs!$B$4:$B$263,0))),INDEX(PBDEs!$AA$4:$AA$263,MATCH($B38,PBDEs!$B$4:$B$263,0)),"---")</f>
        <v>---</v>
      </c>
    </row>
    <row r="39" spans="1:7" x14ac:dyDescent="0.3">
      <c r="A39" s="39" t="s">
        <v>2558</v>
      </c>
      <c r="B39" s="40" t="s">
        <v>465</v>
      </c>
      <c r="C39" s="15" t="s">
        <v>2799</v>
      </c>
      <c r="D39" s="15" t="str">
        <f>IF(ISNUMBER(INDEX(PBDEs!$G$4:$G$263,MATCH($B39,PBDEs!$B$4:$B$263,0))),INDEX(PBDEs!$G$4:$G$263,MATCH($B39,PBDEs!$B$4:$B$263,0)),"---")</f>
        <v>---</v>
      </c>
      <c r="E39" s="15" t="str">
        <f>IF(ISNUMBER(INDEX(PBDEs!$K$4:$K$263,MATCH($B39,PBDEs!$B$4:$B$263,0))),INDEX(PBDEs!$K$4:$K$263,MATCH($B39,PBDEs!$B$4:$B$263,0)),"---")</f>
        <v>---</v>
      </c>
      <c r="F39" s="15" t="str">
        <f>IF(ISNUMBER(INDEX(PBDEs!$S$4:$S$263,MATCH($B39,PBDEs!$B$4:$B$263,0))),INDEX(PBDEs!$S$4:$S$263,MATCH($B39,PBDEs!$B$4:$B$263,0)),"---")</f>
        <v>---</v>
      </c>
      <c r="G39" s="37" t="str">
        <f>IF(ISNUMBER(INDEX(PBDEs!$AA$4:$AA$263,MATCH($B39,PBDEs!$B$4:$B$263,0))),INDEX(PBDEs!$AA$4:$AA$263,MATCH($B39,PBDEs!$B$4:$B$263,0)),"---")</f>
        <v>---</v>
      </c>
    </row>
    <row r="40" spans="1:7" x14ac:dyDescent="0.3">
      <c r="A40" s="39" t="s">
        <v>2559</v>
      </c>
      <c r="B40" s="40" t="s">
        <v>466</v>
      </c>
      <c r="C40" s="15" t="s">
        <v>654</v>
      </c>
      <c r="D40" s="15" t="str">
        <f>IF(ISNUMBER(INDEX(PBDEs!$G$4:$G$263,MATCH($B40,PBDEs!$B$4:$B$263,0))),INDEX(PBDEs!$G$4:$G$263,MATCH($B40,PBDEs!$B$4:$B$263,0)),"---")</f>
        <v>---</v>
      </c>
      <c r="E40" s="15" t="str">
        <f>IF(ISNUMBER(INDEX(PBDEs!$K$4:$K$263,MATCH($B40,PBDEs!$B$4:$B$263,0))),INDEX(PBDEs!$K$4:$K$263,MATCH($B40,PBDEs!$B$4:$B$263,0)),"---")</f>
        <v>---</v>
      </c>
      <c r="F40" s="15">
        <f>IF(ISNUMBER(INDEX(PBDEs!$S$4:$S$263,MATCH($B40,PBDEs!$B$4:$B$263,0))),INDEX(PBDEs!$S$4:$S$263,MATCH($B40,PBDEs!$B$4:$B$263,0)),"---")</f>
        <v>5.2345942000943416E-6</v>
      </c>
      <c r="G40" s="37" t="str">
        <f>IF(ISNUMBER(INDEX(PBDEs!$AA$4:$AA$263,MATCH($B40,PBDEs!$B$4:$B$263,0))),INDEX(PBDEs!$AA$4:$AA$263,MATCH($B40,PBDEs!$B$4:$B$263,0)),"---")</f>
        <v>---</v>
      </c>
    </row>
    <row r="41" spans="1:7" x14ac:dyDescent="0.3">
      <c r="A41" s="39" t="s">
        <v>2560</v>
      </c>
      <c r="B41" s="40" t="s">
        <v>467</v>
      </c>
      <c r="C41" s="15" t="s">
        <v>641</v>
      </c>
      <c r="D41" s="15" t="str">
        <f>IF(ISNUMBER(INDEX(PBDEs!$G$4:$G$263,MATCH($B41,PBDEs!$B$4:$B$263,0))),INDEX(PBDEs!$G$4:$G$263,MATCH($B41,PBDEs!$B$4:$B$263,0)),"---")</f>
        <v>---</v>
      </c>
      <c r="E41" s="15" t="str">
        <f>IF(ISNUMBER(INDEX(PBDEs!$K$4:$K$263,MATCH($B41,PBDEs!$B$4:$B$263,0))),INDEX(PBDEs!$K$4:$K$263,MATCH($B41,PBDEs!$B$4:$B$263,0)),"---")</f>
        <v>---</v>
      </c>
      <c r="F41" s="15" t="str">
        <f>IF(ISNUMBER(INDEX(PBDEs!$S$4:$S$263,MATCH($B41,PBDEs!$B$4:$B$263,0))),INDEX(PBDEs!$S$4:$S$263,MATCH($B41,PBDEs!$B$4:$B$263,0)),"---")</f>
        <v>---</v>
      </c>
      <c r="G41" s="37" t="str">
        <f>IF(ISNUMBER(INDEX(PBDEs!$AA$4:$AA$263,MATCH($B41,PBDEs!$B$4:$B$263,0))),INDEX(PBDEs!$AA$4:$AA$263,MATCH($B41,PBDEs!$B$4:$B$263,0)),"---")</f>
        <v>---</v>
      </c>
    </row>
    <row r="42" spans="1:7" x14ac:dyDescent="0.3">
      <c r="A42" s="39" t="s">
        <v>2561</v>
      </c>
      <c r="B42" s="40" t="s">
        <v>468</v>
      </c>
      <c r="C42" s="15" t="s">
        <v>642</v>
      </c>
      <c r="D42" s="15" t="str">
        <f>IF(ISNUMBER(INDEX(PBDEs!$G$4:$G$263,MATCH($B42,PBDEs!$B$4:$B$263,0))),INDEX(PBDEs!$G$4:$G$263,MATCH($B42,PBDEs!$B$4:$B$263,0)),"---")</f>
        <v>---</v>
      </c>
      <c r="E42" s="15">
        <f>IF(ISNUMBER(INDEX(PBDEs!$K$4:$K$263,MATCH($B42,PBDEs!$B$4:$B$263,0))),INDEX(PBDEs!$K$4:$K$263,MATCH($B42,PBDEs!$B$4:$B$263,0)),"---")</f>
        <v>48.5</v>
      </c>
      <c r="F42" s="15">
        <f>IF(ISNUMBER(INDEX(PBDEs!$S$4:$S$263,MATCH($B42,PBDEs!$B$4:$B$263,0))),INDEX(PBDEs!$S$4:$S$263,MATCH($B42,PBDEs!$B$4:$B$263,0)),"---")</f>
        <v>4.4992885168521326E-6</v>
      </c>
      <c r="G42" s="37" t="str">
        <f>IF(ISNUMBER(INDEX(PBDEs!$AA$4:$AA$263,MATCH($B42,PBDEs!$B$4:$B$263,0))),INDEX(PBDEs!$AA$4:$AA$263,MATCH($B42,PBDEs!$B$4:$B$263,0)),"---")</f>
        <v>---</v>
      </c>
    </row>
    <row r="43" spans="1:7" x14ac:dyDescent="0.3">
      <c r="A43" s="39" t="s">
        <v>2562</v>
      </c>
      <c r="B43" s="40" t="s">
        <v>469</v>
      </c>
      <c r="C43" s="15" t="s">
        <v>2800</v>
      </c>
      <c r="D43" s="15" t="str">
        <f>IF(ISNUMBER(INDEX(PBDEs!$G$4:$G$263,MATCH($B43,PBDEs!$B$4:$B$263,0))),INDEX(PBDEs!$G$4:$G$263,MATCH($B43,PBDEs!$B$4:$B$263,0)),"---")</f>
        <v>---</v>
      </c>
      <c r="E43" s="15" t="str">
        <f>IF(ISNUMBER(INDEX(PBDEs!$K$4:$K$263,MATCH($B43,PBDEs!$B$4:$B$263,0))),INDEX(PBDEs!$K$4:$K$263,MATCH($B43,PBDEs!$B$4:$B$263,0)),"---")</f>
        <v>---</v>
      </c>
      <c r="F43" s="15" t="str">
        <f>IF(ISNUMBER(INDEX(PBDEs!$S$4:$S$263,MATCH($B43,PBDEs!$B$4:$B$263,0))),INDEX(PBDEs!$S$4:$S$263,MATCH($B43,PBDEs!$B$4:$B$263,0)),"---")</f>
        <v>---</v>
      </c>
      <c r="G43" s="37" t="str">
        <f>IF(ISNUMBER(INDEX(PBDEs!$AA$4:$AA$263,MATCH($B43,PBDEs!$B$4:$B$263,0))),INDEX(PBDEs!$AA$4:$AA$263,MATCH($B43,PBDEs!$B$4:$B$263,0)),"---")</f>
        <v>---</v>
      </c>
    </row>
    <row r="44" spans="1:7" x14ac:dyDescent="0.3">
      <c r="A44" s="39" t="s">
        <v>2563</v>
      </c>
      <c r="B44" s="40" t="s">
        <v>470</v>
      </c>
      <c r="C44" s="15" t="s">
        <v>1067</v>
      </c>
      <c r="D44" s="15" t="str">
        <f>IF(ISNUMBER(INDEX(PBDEs!$G$4:$G$263,MATCH($B44,PBDEs!$B$4:$B$263,0))),INDEX(PBDEs!$G$4:$G$263,MATCH($B44,PBDEs!$B$4:$B$263,0)),"---")</f>
        <v>---</v>
      </c>
      <c r="E44" s="15" t="str">
        <f>IF(ISNUMBER(INDEX(PBDEs!$K$4:$K$263,MATCH($B44,PBDEs!$B$4:$B$263,0))),INDEX(PBDEs!$K$4:$K$263,MATCH($B44,PBDEs!$B$4:$B$263,0)),"---")</f>
        <v>---</v>
      </c>
      <c r="F44" s="15" t="str">
        <f>IF(ISNUMBER(INDEX(PBDEs!$S$4:$S$263,MATCH($B44,PBDEs!$B$4:$B$263,0))),INDEX(PBDEs!$S$4:$S$263,MATCH($B44,PBDEs!$B$4:$B$263,0)),"---")</f>
        <v>---</v>
      </c>
      <c r="G44" s="37" t="str">
        <f>IF(ISNUMBER(INDEX(PBDEs!$AA$4:$AA$263,MATCH($B44,PBDEs!$B$4:$B$263,0))),INDEX(PBDEs!$AA$4:$AA$263,MATCH($B44,PBDEs!$B$4:$B$263,0)),"---")</f>
        <v>---</v>
      </c>
    </row>
    <row r="45" spans="1:7" x14ac:dyDescent="0.3">
      <c r="A45" s="39" t="s">
        <v>2564</v>
      </c>
      <c r="B45" s="40" t="s">
        <v>471</v>
      </c>
      <c r="C45" s="15" t="s">
        <v>3122</v>
      </c>
      <c r="D45" s="15" t="str">
        <f>IF(ISNUMBER(INDEX(PBDEs!$G$4:$G$263,MATCH($B45,PBDEs!$B$4:$B$263,0))),INDEX(PBDEs!$G$4:$G$263,MATCH($B45,PBDEs!$B$4:$B$263,0)),"---")</f>
        <v>---</v>
      </c>
      <c r="E45" s="15" t="str">
        <f>IF(ISNUMBER(INDEX(PBDEs!$K$4:$K$263,MATCH($B45,PBDEs!$B$4:$B$263,0))),INDEX(PBDEs!$K$4:$K$263,MATCH($B45,PBDEs!$B$4:$B$263,0)),"---")</f>
        <v>---</v>
      </c>
      <c r="F45" s="15" t="str">
        <f>IF(ISNUMBER(INDEX(PBDEs!$S$4:$S$263,MATCH($B45,PBDEs!$B$4:$B$263,0))),INDEX(PBDEs!$S$4:$S$263,MATCH($B45,PBDEs!$B$4:$B$263,0)),"---")</f>
        <v>---</v>
      </c>
      <c r="G45" s="37" t="str">
        <f>IF(ISNUMBER(INDEX(PBDEs!$AA$4:$AA$263,MATCH($B45,PBDEs!$B$4:$B$263,0))),INDEX(PBDEs!$AA$4:$AA$263,MATCH($B45,PBDEs!$B$4:$B$263,0)),"---")</f>
        <v>---</v>
      </c>
    </row>
    <row r="46" spans="1:7" x14ac:dyDescent="0.3">
      <c r="A46" s="39" t="s">
        <v>2565</v>
      </c>
      <c r="B46" s="40" t="s">
        <v>472</v>
      </c>
      <c r="C46" s="15" t="s">
        <v>2801</v>
      </c>
      <c r="D46" s="15" t="str">
        <f>IF(ISNUMBER(INDEX(PBDEs!$G$4:$G$263,MATCH($B46,PBDEs!$B$4:$B$263,0))),INDEX(PBDEs!$G$4:$G$263,MATCH($B46,PBDEs!$B$4:$B$263,0)),"---")</f>
        <v>---</v>
      </c>
      <c r="E46" s="15" t="str">
        <f>IF(ISNUMBER(INDEX(PBDEs!$K$4:$K$263,MATCH($B46,PBDEs!$B$4:$B$263,0))),INDEX(PBDEs!$K$4:$K$263,MATCH($B46,PBDEs!$B$4:$B$263,0)),"---")</f>
        <v>---</v>
      </c>
      <c r="F46" s="15" t="str">
        <f>IF(ISNUMBER(INDEX(PBDEs!$S$4:$S$263,MATCH($B46,PBDEs!$B$4:$B$263,0))),INDEX(PBDEs!$S$4:$S$263,MATCH($B46,PBDEs!$B$4:$B$263,0)),"---")</f>
        <v>---</v>
      </c>
      <c r="G46" s="37" t="str">
        <f>IF(ISNUMBER(INDEX(PBDEs!$AA$4:$AA$263,MATCH($B46,PBDEs!$B$4:$B$263,0))),INDEX(PBDEs!$AA$4:$AA$263,MATCH($B46,PBDEs!$B$4:$B$263,0)),"---")</f>
        <v>---</v>
      </c>
    </row>
    <row r="47" spans="1:7" x14ac:dyDescent="0.3">
      <c r="A47" s="39" t="s">
        <v>2566</v>
      </c>
      <c r="B47" s="40" t="s">
        <v>473</v>
      </c>
      <c r="C47" s="15" t="s">
        <v>2802</v>
      </c>
      <c r="D47" s="15" t="str">
        <f>IF(ISNUMBER(INDEX(PBDEs!$G$4:$G$263,MATCH($B47,PBDEs!$B$4:$B$263,0))),INDEX(PBDEs!$G$4:$G$263,MATCH($B47,PBDEs!$B$4:$B$263,0)),"---")</f>
        <v>---</v>
      </c>
      <c r="E47" s="15" t="str">
        <f>IF(ISNUMBER(INDEX(PBDEs!$K$4:$K$263,MATCH($B47,PBDEs!$B$4:$B$263,0))),INDEX(PBDEs!$K$4:$K$263,MATCH($B47,PBDEs!$B$4:$B$263,0)),"---")</f>
        <v>---</v>
      </c>
      <c r="F47" s="15" t="str">
        <f>IF(ISNUMBER(INDEX(PBDEs!$S$4:$S$263,MATCH($B47,PBDEs!$B$4:$B$263,0))),INDEX(PBDEs!$S$4:$S$263,MATCH($B47,PBDEs!$B$4:$B$263,0)),"---")</f>
        <v>---</v>
      </c>
      <c r="G47" s="37" t="str">
        <f>IF(ISNUMBER(INDEX(PBDEs!$AA$4:$AA$263,MATCH($B47,PBDEs!$B$4:$B$263,0))),INDEX(PBDEs!$AA$4:$AA$263,MATCH($B47,PBDEs!$B$4:$B$263,0)),"---")</f>
        <v>---</v>
      </c>
    </row>
    <row r="48" spans="1:7" x14ac:dyDescent="0.3">
      <c r="A48" s="39" t="s">
        <v>2567</v>
      </c>
      <c r="B48" s="40" t="s">
        <v>474</v>
      </c>
      <c r="C48" s="15" t="s">
        <v>2810</v>
      </c>
      <c r="D48" s="15" t="str">
        <f>IF(ISNUMBER(INDEX(PBDEs!$G$4:$G$263,MATCH($B48,PBDEs!$B$4:$B$263,0))),INDEX(PBDEs!$G$4:$G$263,MATCH($B48,PBDEs!$B$4:$B$263,0)),"---")</f>
        <v>---</v>
      </c>
      <c r="E48" s="15" t="str">
        <f>IF(ISNUMBER(INDEX(PBDEs!$K$4:$K$263,MATCH($B48,PBDEs!$B$4:$B$263,0))),INDEX(PBDEs!$K$4:$K$263,MATCH($B48,PBDEs!$B$4:$B$263,0)),"---")</f>
        <v>---</v>
      </c>
      <c r="F48" s="15" t="str">
        <f>IF(ISNUMBER(INDEX(PBDEs!$S$4:$S$263,MATCH($B48,PBDEs!$B$4:$B$263,0))),INDEX(PBDEs!$S$4:$S$263,MATCH($B48,PBDEs!$B$4:$B$263,0)),"---")</f>
        <v>---</v>
      </c>
      <c r="G48" s="37" t="str">
        <f>IF(ISNUMBER(INDEX(PBDEs!$AA$4:$AA$263,MATCH($B48,PBDEs!$B$4:$B$263,0))),INDEX(PBDEs!$AA$4:$AA$263,MATCH($B48,PBDEs!$B$4:$B$263,0)),"---")</f>
        <v>---</v>
      </c>
    </row>
    <row r="49" spans="1:7" x14ac:dyDescent="0.3">
      <c r="A49" s="39" t="s">
        <v>2568</v>
      </c>
      <c r="B49" s="40" t="s">
        <v>475</v>
      </c>
      <c r="C49" s="15" t="s">
        <v>2803</v>
      </c>
      <c r="D49" s="15" t="str">
        <f>IF(ISNUMBER(INDEX(PBDEs!$G$4:$G$263,MATCH($B49,PBDEs!$B$4:$B$263,0))),INDEX(PBDEs!$G$4:$G$263,MATCH($B49,PBDEs!$B$4:$B$263,0)),"---")</f>
        <v>---</v>
      </c>
      <c r="E49" s="15" t="str">
        <f>IF(ISNUMBER(INDEX(PBDEs!$K$4:$K$263,MATCH($B49,PBDEs!$B$4:$B$263,0))),INDEX(PBDEs!$K$4:$K$263,MATCH($B49,PBDEs!$B$4:$B$263,0)),"---")</f>
        <v>---</v>
      </c>
      <c r="F49" s="15" t="str">
        <f>IF(ISNUMBER(INDEX(PBDEs!$S$4:$S$263,MATCH($B49,PBDEs!$B$4:$B$263,0))),INDEX(PBDEs!$S$4:$S$263,MATCH($B49,PBDEs!$B$4:$B$263,0)),"---")</f>
        <v>---</v>
      </c>
      <c r="G49" s="37" t="str">
        <f>IF(ISNUMBER(INDEX(PBDEs!$AA$4:$AA$263,MATCH($B49,PBDEs!$B$4:$B$263,0))),INDEX(PBDEs!$AA$4:$AA$263,MATCH($B49,PBDEs!$B$4:$B$263,0)),"---")</f>
        <v>---</v>
      </c>
    </row>
    <row r="50" spans="1:7" x14ac:dyDescent="0.3">
      <c r="A50" s="39" t="s">
        <v>2569</v>
      </c>
      <c r="B50" s="40" t="s">
        <v>476</v>
      </c>
      <c r="C50" s="15" t="s">
        <v>3123</v>
      </c>
      <c r="D50" s="15" t="str">
        <f>IF(ISNUMBER(INDEX(PBDEs!$G$4:$G$263,MATCH($B50,PBDEs!$B$4:$B$263,0))),INDEX(PBDEs!$G$4:$G$263,MATCH($B50,PBDEs!$B$4:$B$263,0)),"---")</f>
        <v>---</v>
      </c>
      <c r="E50" s="15" t="str">
        <f>IF(ISNUMBER(INDEX(PBDEs!$K$4:$K$263,MATCH($B50,PBDEs!$B$4:$B$263,0))),INDEX(PBDEs!$K$4:$K$263,MATCH($B50,PBDEs!$B$4:$B$263,0)),"---")</f>
        <v>---</v>
      </c>
      <c r="F50" s="15" t="str">
        <f>IF(ISNUMBER(INDEX(PBDEs!$S$4:$S$263,MATCH($B50,PBDEs!$B$4:$B$263,0))),INDEX(PBDEs!$S$4:$S$263,MATCH($B50,PBDEs!$B$4:$B$263,0)),"---")</f>
        <v>---</v>
      </c>
      <c r="G50" s="37" t="str">
        <f>IF(ISNUMBER(INDEX(PBDEs!$AA$4:$AA$263,MATCH($B50,PBDEs!$B$4:$B$263,0))),INDEX(PBDEs!$AA$4:$AA$263,MATCH($B50,PBDEs!$B$4:$B$263,0)),"---")</f>
        <v>---</v>
      </c>
    </row>
    <row r="51" spans="1:7" x14ac:dyDescent="0.3">
      <c r="A51" s="39" t="s">
        <v>2570</v>
      </c>
      <c r="B51" s="40" t="s">
        <v>477</v>
      </c>
      <c r="C51" s="15" t="s">
        <v>2804</v>
      </c>
      <c r="D51" s="15" t="str">
        <f>IF(ISNUMBER(INDEX(PBDEs!$G$4:$G$263,MATCH($B51,PBDEs!$B$4:$B$263,0))),INDEX(PBDEs!$G$4:$G$263,MATCH($B51,PBDEs!$B$4:$B$263,0)),"---")</f>
        <v>---</v>
      </c>
      <c r="E51" s="15" t="str">
        <f>IF(ISNUMBER(INDEX(PBDEs!$K$4:$K$263,MATCH($B51,PBDEs!$B$4:$B$263,0))),INDEX(PBDEs!$K$4:$K$263,MATCH($B51,PBDEs!$B$4:$B$263,0)),"---")</f>
        <v>---</v>
      </c>
      <c r="F51" s="15" t="str">
        <f>IF(ISNUMBER(INDEX(PBDEs!$S$4:$S$263,MATCH($B51,PBDEs!$B$4:$B$263,0))),INDEX(PBDEs!$S$4:$S$263,MATCH($B51,PBDEs!$B$4:$B$263,0)),"---")</f>
        <v>---</v>
      </c>
      <c r="G51" s="37" t="str">
        <f>IF(ISNUMBER(INDEX(PBDEs!$AA$4:$AA$263,MATCH($B51,PBDEs!$B$4:$B$263,0))),INDEX(PBDEs!$AA$4:$AA$263,MATCH($B51,PBDEs!$B$4:$B$263,0)),"---")</f>
        <v>---</v>
      </c>
    </row>
    <row r="52" spans="1:7" x14ac:dyDescent="0.3">
      <c r="A52" s="39" t="s">
        <v>2571</v>
      </c>
      <c r="B52" s="40" t="s">
        <v>478</v>
      </c>
      <c r="C52" s="15" t="s">
        <v>643</v>
      </c>
      <c r="D52" s="15">
        <f>IF(ISNUMBER(INDEX(PBDEs!$G$4:$G$263,MATCH($B52,PBDEs!$B$4:$B$263,0))),INDEX(PBDEs!$G$4:$G$263,MATCH($B52,PBDEs!$B$4:$B$263,0)),"---")</f>
        <v>6.81</v>
      </c>
      <c r="E52" s="15">
        <f>IF(ISNUMBER(INDEX(PBDEs!$K$4:$K$263,MATCH($B52,PBDEs!$B$4:$B$263,0))),INDEX(PBDEs!$K$4:$K$263,MATCH($B52,PBDEs!$B$4:$B$263,0)),"---")</f>
        <v>82.25</v>
      </c>
      <c r="F52" s="15">
        <f>IF(ISNUMBER(INDEX(PBDEs!$S$4:$S$263,MATCH($B52,PBDEs!$B$4:$B$263,0))),INDEX(PBDEs!$S$4:$S$263,MATCH($B52,PBDEs!$B$4:$B$263,0)),"---")</f>
        <v>5.1962647133866946E-7</v>
      </c>
      <c r="G52" s="37">
        <f>IF(ISNUMBER(INDEX(PBDEs!$AA$4:$AA$263,MATCH($B52,PBDEs!$B$4:$B$263,0))),INDEX(PBDEs!$AA$4:$AA$263,MATCH($B52,PBDEs!$B$4:$B$263,0)),"---")</f>
        <v>1.5000000000000001E-2</v>
      </c>
    </row>
    <row r="53" spans="1:7" x14ac:dyDescent="0.3">
      <c r="A53" s="39" t="s">
        <v>2572</v>
      </c>
      <c r="B53" s="40" t="s">
        <v>479</v>
      </c>
      <c r="C53" s="15" t="s">
        <v>2805</v>
      </c>
      <c r="D53" s="15" t="str">
        <f>IF(ISNUMBER(INDEX(PBDEs!$G$4:$G$263,MATCH($B53,PBDEs!$B$4:$B$263,0))),INDEX(PBDEs!$G$4:$G$263,MATCH($B53,PBDEs!$B$4:$B$263,0)),"---")</f>
        <v>---</v>
      </c>
      <c r="E53" s="15" t="str">
        <f>IF(ISNUMBER(INDEX(PBDEs!$K$4:$K$263,MATCH($B53,PBDEs!$B$4:$B$263,0))),INDEX(PBDEs!$K$4:$K$263,MATCH($B53,PBDEs!$B$4:$B$263,0)),"---")</f>
        <v>---</v>
      </c>
      <c r="F53" s="15" t="str">
        <f>IF(ISNUMBER(INDEX(PBDEs!$S$4:$S$263,MATCH($B53,PBDEs!$B$4:$B$263,0))),INDEX(PBDEs!$S$4:$S$263,MATCH($B53,PBDEs!$B$4:$B$263,0)),"---")</f>
        <v>---</v>
      </c>
      <c r="G53" s="37" t="str">
        <f>IF(ISNUMBER(INDEX(PBDEs!$AA$4:$AA$263,MATCH($B53,PBDEs!$B$4:$B$263,0))),INDEX(PBDEs!$AA$4:$AA$263,MATCH($B53,PBDEs!$B$4:$B$263,0)),"---")</f>
        <v>---</v>
      </c>
    </row>
    <row r="54" spans="1:7" x14ac:dyDescent="0.3">
      <c r="A54" s="39" t="s">
        <v>2573</v>
      </c>
      <c r="B54" s="40" t="s">
        <v>480</v>
      </c>
      <c r="C54" s="15" t="s">
        <v>648</v>
      </c>
      <c r="D54" s="15" t="str">
        <f>IF(ISNUMBER(INDEX(PBDEs!$G$4:$G$263,MATCH($B54,PBDEs!$B$4:$B$263,0))),INDEX(PBDEs!$G$4:$G$263,MATCH($B54,PBDEs!$B$4:$B$263,0)),"---")</f>
        <v>---</v>
      </c>
      <c r="E54" s="15" t="str">
        <f>IF(ISNUMBER(INDEX(PBDEs!$K$4:$K$263,MATCH($B54,PBDEs!$B$4:$B$263,0))),INDEX(PBDEs!$K$4:$K$263,MATCH($B54,PBDEs!$B$4:$B$263,0)),"---")</f>
        <v>---</v>
      </c>
      <c r="F54" s="15" t="str">
        <f>IF(ISNUMBER(INDEX(PBDEs!$S$4:$S$263,MATCH($B54,PBDEs!$B$4:$B$263,0))),INDEX(PBDEs!$S$4:$S$263,MATCH($B54,PBDEs!$B$4:$B$263,0)),"---")</f>
        <v>---</v>
      </c>
      <c r="G54" s="37" t="str">
        <f>IF(ISNUMBER(INDEX(PBDEs!$AA$4:$AA$263,MATCH($B54,PBDEs!$B$4:$B$263,0))),INDEX(PBDEs!$AA$4:$AA$263,MATCH($B54,PBDEs!$B$4:$B$263,0)),"---")</f>
        <v>---</v>
      </c>
    </row>
    <row r="55" spans="1:7" x14ac:dyDescent="0.3">
      <c r="A55" s="39" t="s">
        <v>2574</v>
      </c>
      <c r="B55" s="40" t="s">
        <v>481</v>
      </c>
      <c r="C55" s="15" t="s">
        <v>2806</v>
      </c>
      <c r="D55" s="15" t="str">
        <f>IF(ISNUMBER(INDEX(PBDEs!$G$4:$G$263,MATCH($B55,PBDEs!$B$4:$B$263,0))),INDEX(PBDEs!$G$4:$G$263,MATCH($B55,PBDEs!$B$4:$B$263,0)),"---")</f>
        <v>---</v>
      </c>
      <c r="E55" s="15" t="str">
        <f>IF(ISNUMBER(INDEX(PBDEs!$K$4:$K$263,MATCH($B55,PBDEs!$B$4:$B$263,0))),INDEX(PBDEs!$K$4:$K$263,MATCH($B55,PBDEs!$B$4:$B$263,0)),"---")</f>
        <v>---</v>
      </c>
      <c r="F55" s="15" t="str">
        <f>IF(ISNUMBER(INDEX(PBDEs!$S$4:$S$263,MATCH($B55,PBDEs!$B$4:$B$263,0))),INDEX(PBDEs!$S$4:$S$263,MATCH($B55,PBDEs!$B$4:$B$263,0)),"---")</f>
        <v>---</v>
      </c>
      <c r="G55" s="37" t="str">
        <f>IF(ISNUMBER(INDEX(PBDEs!$AA$4:$AA$263,MATCH($B55,PBDEs!$B$4:$B$263,0))),INDEX(PBDEs!$AA$4:$AA$263,MATCH($B55,PBDEs!$B$4:$B$263,0)),"---")</f>
        <v>---</v>
      </c>
    </row>
    <row r="56" spans="1:7" x14ac:dyDescent="0.3">
      <c r="A56" s="39" t="s">
        <v>2575</v>
      </c>
      <c r="B56" s="40" t="s">
        <v>482</v>
      </c>
      <c r="C56" s="15" t="s">
        <v>2809</v>
      </c>
      <c r="D56" s="15" t="str">
        <f>IF(ISNUMBER(INDEX(PBDEs!$G$4:$G$263,MATCH($B56,PBDEs!$B$4:$B$263,0))),INDEX(PBDEs!$G$4:$G$263,MATCH($B56,PBDEs!$B$4:$B$263,0)),"---")</f>
        <v>---</v>
      </c>
      <c r="E56" s="15">
        <f>IF(ISNUMBER(INDEX(PBDEs!$K$4:$K$263,MATCH($B56,PBDEs!$B$4:$B$263,0))),INDEX(PBDEs!$K$4:$K$263,MATCH($B56,PBDEs!$B$4:$B$263,0)),"---")</f>
        <v>96.5</v>
      </c>
      <c r="F56" s="15" t="str">
        <f>IF(ISNUMBER(INDEX(PBDEs!$S$4:$S$263,MATCH($B56,PBDEs!$B$4:$B$263,0))),INDEX(PBDEs!$S$4:$S$263,MATCH($B56,PBDEs!$B$4:$B$263,0)),"---")</f>
        <v>---</v>
      </c>
      <c r="G56" s="37" t="str">
        <f>IF(ISNUMBER(INDEX(PBDEs!$AA$4:$AA$263,MATCH($B56,PBDEs!$B$4:$B$263,0))),INDEX(PBDEs!$AA$4:$AA$263,MATCH($B56,PBDEs!$B$4:$B$263,0)),"---")</f>
        <v>---</v>
      </c>
    </row>
    <row r="57" spans="1:7" x14ac:dyDescent="0.3">
      <c r="A57" s="39" t="s">
        <v>2576</v>
      </c>
      <c r="B57" s="40" t="s">
        <v>483</v>
      </c>
      <c r="C57" s="15" t="s">
        <v>2807</v>
      </c>
      <c r="D57" s="15" t="str">
        <f>IF(ISNUMBER(INDEX(PBDEs!$G$4:$G$263,MATCH($B57,PBDEs!$B$4:$B$263,0))),INDEX(PBDEs!$G$4:$G$263,MATCH($B57,PBDEs!$B$4:$B$263,0)),"---")</f>
        <v>---</v>
      </c>
      <c r="E57" s="15" t="str">
        <f>IF(ISNUMBER(INDEX(PBDEs!$K$4:$K$263,MATCH($B57,PBDEs!$B$4:$B$263,0))),INDEX(PBDEs!$K$4:$K$263,MATCH($B57,PBDEs!$B$4:$B$263,0)),"---")</f>
        <v>---</v>
      </c>
      <c r="F57" s="15" t="str">
        <f>IF(ISNUMBER(INDEX(PBDEs!$S$4:$S$263,MATCH($B57,PBDEs!$B$4:$B$263,0))),INDEX(PBDEs!$S$4:$S$263,MATCH($B57,PBDEs!$B$4:$B$263,0)),"---")</f>
        <v>---</v>
      </c>
      <c r="G57" s="37" t="str">
        <f>IF(ISNUMBER(INDEX(PBDEs!$AA$4:$AA$263,MATCH($B57,PBDEs!$B$4:$B$263,0))),INDEX(PBDEs!$AA$4:$AA$263,MATCH($B57,PBDEs!$B$4:$B$263,0)),"---")</f>
        <v>---</v>
      </c>
    </row>
    <row r="58" spans="1:7" x14ac:dyDescent="0.3">
      <c r="A58" s="39" t="s">
        <v>2577</v>
      </c>
      <c r="B58" s="40" t="s">
        <v>484</v>
      </c>
      <c r="C58" s="15" t="s">
        <v>2808</v>
      </c>
      <c r="D58" s="15" t="str">
        <f>IF(ISNUMBER(INDEX(PBDEs!$G$4:$G$263,MATCH($B58,PBDEs!$B$4:$B$263,0))),INDEX(PBDEs!$G$4:$G$263,MATCH($B58,PBDEs!$B$4:$B$263,0)),"---")</f>
        <v>---</v>
      </c>
      <c r="E58" s="15" t="str">
        <f>IF(ISNUMBER(INDEX(PBDEs!$K$4:$K$263,MATCH($B58,PBDEs!$B$4:$B$263,0))),INDEX(PBDEs!$K$4:$K$263,MATCH($B58,PBDEs!$B$4:$B$263,0)),"---")</f>
        <v>---</v>
      </c>
      <c r="F58" s="15" t="str">
        <f>IF(ISNUMBER(INDEX(PBDEs!$S$4:$S$263,MATCH($B58,PBDEs!$B$4:$B$263,0))),INDEX(PBDEs!$S$4:$S$263,MATCH($B58,PBDEs!$B$4:$B$263,0)),"---")</f>
        <v>---</v>
      </c>
      <c r="G58" s="37" t="str">
        <f>IF(ISNUMBER(INDEX(PBDEs!$AA$4:$AA$263,MATCH($B58,PBDEs!$B$4:$B$263,0))),INDEX(PBDEs!$AA$4:$AA$263,MATCH($B58,PBDEs!$B$4:$B$263,0)),"---")</f>
        <v>---</v>
      </c>
    </row>
    <row r="59" spans="1:7" x14ac:dyDescent="0.3">
      <c r="A59" s="39" t="s">
        <v>2578</v>
      </c>
      <c r="B59" s="40" t="s">
        <v>485</v>
      </c>
      <c r="C59" s="15" t="s">
        <v>3124</v>
      </c>
      <c r="D59" s="15" t="str">
        <f>IF(ISNUMBER(INDEX(PBDEs!$G$4:$G$263,MATCH($B59,PBDEs!$B$4:$B$263,0))),INDEX(PBDEs!$G$4:$G$263,MATCH($B59,PBDEs!$B$4:$B$263,0)),"---")</f>
        <v>---</v>
      </c>
      <c r="E59" s="15" t="str">
        <f>IF(ISNUMBER(INDEX(PBDEs!$K$4:$K$263,MATCH($B59,PBDEs!$B$4:$B$263,0))),INDEX(PBDEs!$K$4:$K$263,MATCH($B59,PBDEs!$B$4:$B$263,0)),"---")</f>
        <v>---</v>
      </c>
      <c r="F59" s="15" t="str">
        <f>IF(ISNUMBER(INDEX(PBDEs!$S$4:$S$263,MATCH($B59,PBDEs!$B$4:$B$263,0))),INDEX(PBDEs!$S$4:$S$263,MATCH($B59,PBDEs!$B$4:$B$263,0)),"---")</f>
        <v>---</v>
      </c>
      <c r="G59" s="37" t="str">
        <f>IF(ISNUMBER(INDEX(PBDEs!$AA$4:$AA$263,MATCH($B59,PBDEs!$B$4:$B$263,0))),INDEX(PBDEs!$AA$4:$AA$263,MATCH($B59,PBDEs!$B$4:$B$263,0)),"---")</f>
        <v>---</v>
      </c>
    </row>
    <row r="60" spans="1:7" x14ac:dyDescent="0.3">
      <c r="A60" s="39" t="s">
        <v>2579</v>
      </c>
      <c r="B60" s="40" t="s">
        <v>486</v>
      </c>
      <c r="C60" s="15" t="s">
        <v>3125</v>
      </c>
      <c r="D60" s="15" t="str">
        <f>IF(ISNUMBER(INDEX(PBDEs!$G$4:$G$263,MATCH($B60,PBDEs!$B$4:$B$263,0))),INDEX(PBDEs!$G$4:$G$263,MATCH($B60,PBDEs!$B$4:$B$263,0)),"---")</f>
        <v>---</v>
      </c>
      <c r="E60" s="15" t="str">
        <f>IF(ISNUMBER(INDEX(PBDEs!$K$4:$K$263,MATCH($B60,PBDEs!$B$4:$B$263,0))),INDEX(PBDEs!$K$4:$K$263,MATCH($B60,PBDEs!$B$4:$B$263,0)),"---")</f>
        <v>---</v>
      </c>
      <c r="F60" s="15" t="str">
        <f>IF(ISNUMBER(INDEX(PBDEs!$S$4:$S$263,MATCH($B60,PBDEs!$B$4:$B$263,0))),INDEX(PBDEs!$S$4:$S$263,MATCH($B60,PBDEs!$B$4:$B$263,0)),"---")</f>
        <v>---</v>
      </c>
      <c r="G60" s="37" t="str">
        <f>IF(ISNUMBER(INDEX(PBDEs!$AA$4:$AA$263,MATCH($B60,PBDEs!$B$4:$B$263,0))),INDEX(PBDEs!$AA$4:$AA$263,MATCH($B60,PBDEs!$B$4:$B$263,0)),"---")</f>
        <v>---</v>
      </c>
    </row>
    <row r="61" spans="1:7" x14ac:dyDescent="0.3">
      <c r="A61" s="39" t="s">
        <v>2580</v>
      </c>
      <c r="B61" s="40" t="s">
        <v>487</v>
      </c>
      <c r="C61" s="15" t="s">
        <v>3126</v>
      </c>
      <c r="D61" s="15" t="str">
        <f>IF(ISNUMBER(INDEX(PBDEs!$G$4:$G$263,MATCH($B61,PBDEs!$B$4:$B$263,0))),INDEX(PBDEs!$G$4:$G$263,MATCH($B61,PBDEs!$B$4:$B$263,0)),"---")</f>
        <v>---</v>
      </c>
      <c r="E61" s="15" t="str">
        <f>IF(ISNUMBER(INDEX(PBDEs!$K$4:$K$263,MATCH($B61,PBDEs!$B$4:$B$263,0))),INDEX(PBDEs!$K$4:$K$263,MATCH($B61,PBDEs!$B$4:$B$263,0)),"---")</f>
        <v>---</v>
      </c>
      <c r="F61" s="15" t="str">
        <f>IF(ISNUMBER(INDEX(PBDEs!$S$4:$S$263,MATCH($B61,PBDEs!$B$4:$B$263,0))),INDEX(PBDEs!$S$4:$S$263,MATCH($B61,PBDEs!$B$4:$B$263,0)),"---")</f>
        <v>---</v>
      </c>
      <c r="G61" s="37" t="str">
        <f>IF(ISNUMBER(INDEX(PBDEs!$AA$4:$AA$263,MATCH($B61,PBDEs!$B$4:$B$263,0))),INDEX(PBDEs!$AA$4:$AA$263,MATCH($B61,PBDEs!$B$4:$B$263,0)),"---")</f>
        <v>---</v>
      </c>
    </row>
    <row r="62" spans="1:7" x14ac:dyDescent="0.3">
      <c r="A62" s="39" t="s">
        <v>2581</v>
      </c>
      <c r="B62" s="40" t="s">
        <v>488</v>
      </c>
      <c r="C62" s="15" t="s">
        <v>3127</v>
      </c>
      <c r="D62" s="15" t="str">
        <f>IF(ISNUMBER(INDEX(PBDEs!$G$4:$G$263,MATCH($B62,PBDEs!$B$4:$B$263,0))),INDEX(PBDEs!$G$4:$G$263,MATCH($B62,PBDEs!$B$4:$B$263,0)),"---")</f>
        <v>---</v>
      </c>
      <c r="E62" s="15" t="str">
        <f>IF(ISNUMBER(INDEX(PBDEs!$K$4:$K$263,MATCH($B62,PBDEs!$B$4:$B$263,0))),INDEX(PBDEs!$K$4:$K$263,MATCH($B62,PBDEs!$B$4:$B$263,0)),"---")</f>
        <v>---</v>
      </c>
      <c r="F62" s="15" t="str">
        <f>IF(ISNUMBER(INDEX(PBDEs!$S$4:$S$263,MATCH($B62,PBDEs!$B$4:$B$263,0))),INDEX(PBDEs!$S$4:$S$263,MATCH($B62,PBDEs!$B$4:$B$263,0)),"---")</f>
        <v>---</v>
      </c>
      <c r="G62" s="37" t="str">
        <f>IF(ISNUMBER(INDEX(PBDEs!$AA$4:$AA$263,MATCH($B62,PBDEs!$B$4:$B$263,0))),INDEX(PBDEs!$AA$4:$AA$263,MATCH($B62,PBDEs!$B$4:$B$263,0)),"---")</f>
        <v>---</v>
      </c>
    </row>
    <row r="63" spans="1:7" x14ac:dyDescent="0.3">
      <c r="A63" s="39" t="s">
        <v>2582</v>
      </c>
      <c r="B63" s="40" t="s">
        <v>489</v>
      </c>
      <c r="C63" s="15" t="s">
        <v>3128</v>
      </c>
      <c r="D63" s="15" t="str">
        <f>IF(ISNUMBER(INDEX(PBDEs!$G$4:$G$263,MATCH($B63,PBDEs!$B$4:$B$263,0))),INDEX(PBDEs!$G$4:$G$263,MATCH($B63,PBDEs!$B$4:$B$263,0)),"---")</f>
        <v>---</v>
      </c>
      <c r="E63" s="15" t="str">
        <f>IF(ISNUMBER(INDEX(PBDEs!$K$4:$K$263,MATCH($B63,PBDEs!$B$4:$B$263,0))),INDEX(PBDEs!$K$4:$K$263,MATCH($B63,PBDEs!$B$4:$B$263,0)),"---")</f>
        <v>---</v>
      </c>
      <c r="F63" s="15" t="str">
        <f>IF(ISNUMBER(INDEX(PBDEs!$S$4:$S$263,MATCH($B63,PBDEs!$B$4:$B$263,0))),INDEX(PBDEs!$S$4:$S$263,MATCH($B63,PBDEs!$B$4:$B$263,0)),"---")</f>
        <v>---</v>
      </c>
      <c r="G63" s="37" t="str">
        <f>IF(ISNUMBER(INDEX(PBDEs!$AA$4:$AA$263,MATCH($B63,PBDEs!$B$4:$B$263,0))),INDEX(PBDEs!$AA$4:$AA$263,MATCH($B63,PBDEs!$B$4:$B$263,0)),"---")</f>
        <v>---</v>
      </c>
    </row>
    <row r="64" spans="1:7" x14ac:dyDescent="0.3">
      <c r="A64" s="39" t="s">
        <v>2583</v>
      </c>
      <c r="B64" s="40" t="s">
        <v>490</v>
      </c>
      <c r="C64" s="15" t="s">
        <v>3129</v>
      </c>
      <c r="D64" s="15" t="str">
        <f>IF(ISNUMBER(INDEX(PBDEs!$G$4:$G$263,MATCH($B64,PBDEs!$B$4:$B$263,0))),INDEX(PBDEs!$G$4:$G$263,MATCH($B64,PBDEs!$B$4:$B$263,0)),"---")</f>
        <v>---</v>
      </c>
      <c r="E64" s="15" t="str">
        <f>IF(ISNUMBER(INDEX(PBDEs!$K$4:$K$263,MATCH($B64,PBDEs!$B$4:$B$263,0))),INDEX(PBDEs!$K$4:$K$263,MATCH($B64,PBDEs!$B$4:$B$263,0)),"---")</f>
        <v>---</v>
      </c>
      <c r="F64" s="15" t="str">
        <f>IF(ISNUMBER(INDEX(PBDEs!$S$4:$S$263,MATCH($B64,PBDEs!$B$4:$B$263,0))),INDEX(PBDEs!$S$4:$S$263,MATCH($B64,PBDEs!$B$4:$B$263,0)),"---")</f>
        <v>---</v>
      </c>
      <c r="G64" s="37" t="str">
        <f>IF(ISNUMBER(INDEX(PBDEs!$AA$4:$AA$263,MATCH($B64,PBDEs!$B$4:$B$263,0))),INDEX(PBDEs!$AA$4:$AA$263,MATCH($B64,PBDEs!$B$4:$B$263,0)),"---")</f>
        <v>---</v>
      </c>
    </row>
    <row r="65" spans="1:7" x14ac:dyDescent="0.3">
      <c r="A65" s="39" t="s">
        <v>2584</v>
      </c>
      <c r="B65" s="40" t="s">
        <v>491</v>
      </c>
      <c r="C65" s="15" t="s">
        <v>2812</v>
      </c>
      <c r="D65" s="15" t="str">
        <f>IF(ISNUMBER(INDEX(PBDEs!$G$4:$G$263,MATCH($B65,PBDEs!$B$4:$B$263,0))),INDEX(PBDEs!$G$4:$G$263,MATCH($B65,PBDEs!$B$4:$B$263,0)),"---")</f>
        <v>---</v>
      </c>
      <c r="E65" s="15" t="str">
        <f>IF(ISNUMBER(INDEX(PBDEs!$K$4:$K$263,MATCH($B65,PBDEs!$B$4:$B$263,0))),INDEX(PBDEs!$K$4:$K$263,MATCH($B65,PBDEs!$B$4:$B$263,0)),"---")</f>
        <v>---</v>
      </c>
      <c r="F65" s="15" t="str">
        <f>IF(ISNUMBER(INDEX(PBDEs!$S$4:$S$263,MATCH($B65,PBDEs!$B$4:$B$263,0))),INDEX(PBDEs!$S$4:$S$263,MATCH($B65,PBDEs!$B$4:$B$263,0)),"---")</f>
        <v>---</v>
      </c>
      <c r="G65" s="37" t="str">
        <f>IF(ISNUMBER(INDEX(PBDEs!$AA$4:$AA$263,MATCH($B65,PBDEs!$B$4:$B$263,0))),INDEX(PBDEs!$AA$4:$AA$263,MATCH($B65,PBDEs!$B$4:$B$263,0)),"---")</f>
        <v>---</v>
      </c>
    </row>
    <row r="66" spans="1:7" x14ac:dyDescent="0.3">
      <c r="A66" s="39" t="s">
        <v>2585</v>
      </c>
      <c r="B66" s="40" t="s">
        <v>492</v>
      </c>
      <c r="C66" s="15" t="s">
        <v>2813</v>
      </c>
      <c r="D66" s="15" t="str">
        <f>IF(ISNUMBER(INDEX(PBDEs!$G$4:$G$263,MATCH($B66,PBDEs!$B$4:$B$263,0))),INDEX(PBDEs!$G$4:$G$263,MATCH($B66,PBDEs!$B$4:$B$263,0)),"---")</f>
        <v>---</v>
      </c>
      <c r="E66" s="15" t="str">
        <f>IF(ISNUMBER(INDEX(PBDEs!$K$4:$K$263,MATCH($B66,PBDEs!$B$4:$B$263,0))),INDEX(PBDEs!$K$4:$K$263,MATCH($B66,PBDEs!$B$4:$B$263,0)),"---")</f>
        <v>---</v>
      </c>
      <c r="F66" s="15" t="str">
        <f>IF(ISNUMBER(INDEX(PBDEs!$S$4:$S$263,MATCH($B66,PBDEs!$B$4:$B$263,0))),INDEX(PBDEs!$S$4:$S$263,MATCH($B66,PBDEs!$B$4:$B$263,0)),"---")</f>
        <v>---</v>
      </c>
      <c r="G66" s="37" t="str">
        <f>IF(ISNUMBER(INDEX(PBDEs!$AA$4:$AA$263,MATCH($B66,PBDEs!$B$4:$B$263,0))),INDEX(PBDEs!$AA$4:$AA$263,MATCH($B66,PBDEs!$B$4:$B$263,0)),"---")</f>
        <v>---</v>
      </c>
    </row>
    <row r="67" spans="1:7" x14ac:dyDescent="0.3">
      <c r="A67" s="39" t="s">
        <v>2586</v>
      </c>
      <c r="B67" s="40" t="s">
        <v>493</v>
      </c>
      <c r="C67" s="15" t="s">
        <v>2814</v>
      </c>
      <c r="D67" s="15" t="str">
        <f>IF(ISNUMBER(INDEX(PBDEs!$G$4:$G$263,MATCH($B67,PBDEs!$B$4:$B$263,0))),INDEX(PBDEs!$G$4:$G$263,MATCH($B67,PBDEs!$B$4:$B$263,0)),"---")</f>
        <v>---</v>
      </c>
      <c r="E67" s="15" t="str">
        <f>IF(ISNUMBER(INDEX(PBDEs!$K$4:$K$263,MATCH($B67,PBDEs!$B$4:$B$263,0))),INDEX(PBDEs!$K$4:$K$263,MATCH($B67,PBDEs!$B$4:$B$263,0)),"---")</f>
        <v>---</v>
      </c>
      <c r="F67" s="15" t="str">
        <f>IF(ISNUMBER(INDEX(PBDEs!$S$4:$S$263,MATCH($B67,PBDEs!$B$4:$B$263,0))),INDEX(PBDEs!$S$4:$S$263,MATCH($B67,PBDEs!$B$4:$B$263,0)),"---")</f>
        <v>---</v>
      </c>
      <c r="G67" s="37" t="str">
        <f>IF(ISNUMBER(INDEX(PBDEs!$AA$4:$AA$263,MATCH($B67,PBDEs!$B$4:$B$263,0))),INDEX(PBDEs!$AA$4:$AA$263,MATCH($B67,PBDEs!$B$4:$B$263,0)),"---")</f>
        <v>---</v>
      </c>
    </row>
    <row r="68" spans="1:7" x14ac:dyDescent="0.3">
      <c r="A68" s="39" t="s">
        <v>2587</v>
      </c>
      <c r="B68" s="40" t="s">
        <v>494</v>
      </c>
      <c r="C68" s="15" t="s">
        <v>2815</v>
      </c>
      <c r="D68" s="15" t="str">
        <f>IF(ISNUMBER(INDEX(PBDEs!$G$4:$G$263,MATCH($B68,PBDEs!$B$4:$B$263,0))),INDEX(PBDEs!$G$4:$G$263,MATCH($B68,PBDEs!$B$4:$B$263,0)),"---")</f>
        <v>---</v>
      </c>
      <c r="E68" s="15" t="str">
        <f>IF(ISNUMBER(INDEX(PBDEs!$K$4:$K$263,MATCH($B68,PBDEs!$B$4:$B$263,0))),INDEX(PBDEs!$K$4:$K$263,MATCH($B68,PBDEs!$B$4:$B$263,0)),"---")</f>
        <v>---</v>
      </c>
      <c r="F68" s="15" t="str">
        <f>IF(ISNUMBER(INDEX(PBDEs!$S$4:$S$263,MATCH($B68,PBDEs!$B$4:$B$263,0))),INDEX(PBDEs!$S$4:$S$263,MATCH($B68,PBDEs!$B$4:$B$263,0)),"---")</f>
        <v>---</v>
      </c>
      <c r="G68" s="37" t="str">
        <f>IF(ISNUMBER(INDEX(PBDEs!$AA$4:$AA$263,MATCH($B68,PBDEs!$B$4:$B$263,0))),INDEX(PBDEs!$AA$4:$AA$263,MATCH($B68,PBDEs!$B$4:$B$263,0)),"---")</f>
        <v>---</v>
      </c>
    </row>
    <row r="69" spans="1:7" x14ac:dyDescent="0.3">
      <c r="A69" s="39" t="s">
        <v>2588</v>
      </c>
      <c r="B69" s="40" t="s">
        <v>495</v>
      </c>
      <c r="C69" s="15" t="s">
        <v>3130</v>
      </c>
      <c r="D69" s="15" t="str">
        <f>IF(ISNUMBER(INDEX(PBDEs!$G$4:$G$263,MATCH($B69,PBDEs!$B$4:$B$263,0))),INDEX(PBDEs!$G$4:$G$263,MATCH($B69,PBDEs!$B$4:$B$263,0)),"---")</f>
        <v>---</v>
      </c>
      <c r="E69" s="15" t="str">
        <f>IF(ISNUMBER(INDEX(PBDEs!$K$4:$K$263,MATCH($B69,PBDEs!$B$4:$B$263,0))),INDEX(PBDEs!$K$4:$K$263,MATCH($B69,PBDEs!$B$4:$B$263,0)),"---")</f>
        <v>---</v>
      </c>
      <c r="F69" s="15" t="str">
        <f>IF(ISNUMBER(INDEX(PBDEs!$S$4:$S$263,MATCH($B69,PBDEs!$B$4:$B$263,0))),INDEX(PBDEs!$S$4:$S$263,MATCH($B69,PBDEs!$B$4:$B$263,0)),"---")</f>
        <v>---</v>
      </c>
      <c r="G69" s="37" t="str">
        <f>IF(ISNUMBER(INDEX(PBDEs!$AA$4:$AA$263,MATCH($B69,PBDEs!$B$4:$B$263,0))),INDEX(PBDEs!$AA$4:$AA$263,MATCH($B69,PBDEs!$B$4:$B$263,0)),"---")</f>
        <v>---</v>
      </c>
    </row>
    <row r="70" spans="1:7" x14ac:dyDescent="0.3">
      <c r="A70" s="39" t="s">
        <v>2589</v>
      </c>
      <c r="B70" s="40" t="s">
        <v>496</v>
      </c>
      <c r="C70" s="15" t="s">
        <v>3131</v>
      </c>
      <c r="D70" s="15" t="str">
        <f>IF(ISNUMBER(INDEX(PBDEs!$G$4:$G$263,MATCH($B70,PBDEs!$B$4:$B$263,0))),INDEX(PBDEs!$G$4:$G$263,MATCH($B70,PBDEs!$B$4:$B$263,0)),"---")</f>
        <v>---</v>
      </c>
      <c r="E70" s="15" t="str">
        <f>IF(ISNUMBER(INDEX(PBDEs!$K$4:$K$263,MATCH($B70,PBDEs!$B$4:$B$263,0))),INDEX(PBDEs!$K$4:$K$263,MATCH($B70,PBDEs!$B$4:$B$263,0)),"---")</f>
        <v>---</v>
      </c>
      <c r="F70" s="15" t="str">
        <f>IF(ISNUMBER(INDEX(PBDEs!$S$4:$S$263,MATCH($B70,PBDEs!$B$4:$B$263,0))),INDEX(PBDEs!$S$4:$S$263,MATCH($B70,PBDEs!$B$4:$B$263,0)),"---")</f>
        <v>---</v>
      </c>
      <c r="G70" s="37" t="str">
        <f>IF(ISNUMBER(INDEX(PBDEs!$AA$4:$AA$263,MATCH($B70,PBDEs!$B$4:$B$263,0))),INDEX(PBDEs!$AA$4:$AA$263,MATCH($B70,PBDEs!$B$4:$B$263,0)),"---")</f>
        <v>---</v>
      </c>
    </row>
    <row r="71" spans="1:7" x14ac:dyDescent="0.3">
      <c r="A71" s="39" t="s">
        <v>2590</v>
      </c>
      <c r="B71" s="40" t="s">
        <v>497</v>
      </c>
      <c r="C71" s="15" t="s">
        <v>2816</v>
      </c>
      <c r="D71" s="15" t="str">
        <f>IF(ISNUMBER(INDEX(PBDEs!$G$4:$G$263,MATCH($B71,PBDEs!$B$4:$B$263,0))),INDEX(PBDEs!$G$4:$G$263,MATCH($B71,PBDEs!$B$4:$B$263,0)),"---")</f>
        <v>---</v>
      </c>
      <c r="E71" s="15">
        <f>IF(ISNUMBER(INDEX(PBDEs!$K$4:$K$263,MATCH($B71,PBDEs!$B$4:$B$263,0))),INDEX(PBDEs!$K$4:$K$263,MATCH($B71,PBDEs!$B$4:$B$263,0)),"---")</f>
        <v>106</v>
      </c>
      <c r="F71" s="15">
        <f>IF(ISNUMBER(INDEX(PBDEs!$S$4:$S$263,MATCH($B71,PBDEs!$B$4:$B$263,0))),INDEX(PBDEs!$S$4:$S$263,MATCH($B71,PBDEs!$B$4:$B$263,0)),"---")</f>
        <v>2.1661892281111396E-7</v>
      </c>
      <c r="G71" s="37">
        <f>IF(ISNUMBER(INDEX(PBDEs!$AA$4:$AA$263,MATCH($B71,PBDEs!$B$4:$B$263,0))),INDEX(PBDEs!$AA$4:$AA$263,MATCH($B71,PBDEs!$B$4:$B$263,0)),"---")</f>
        <v>1.8000000000000002E-2</v>
      </c>
    </row>
    <row r="72" spans="1:7" x14ac:dyDescent="0.3">
      <c r="A72" s="39" t="s">
        <v>2591</v>
      </c>
      <c r="B72" s="40" t="s">
        <v>498</v>
      </c>
      <c r="C72" s="15" t="s">
        <v>2817</v>
      </c>
      <c r="D72" s="15" t="str">
        <f>IF(ISNUMBER(INDEX(PBDEs!$G$4:$G$263,MATCH($B72,PBDEs!$B$4:$B$263,0))),INDEX(PBDEs!$G$4:$G$263,MATCH($B72,PBDEs!$B$4:$B$263,0)),"---")</f>
        <v>---</v>
      </c>
      <c r="E72" s="15" t="str">
        <f>IF(ISNUMBER(INDEX(PBDEs!$K$4:$K$263,MATCH($B72,PBDEs!$B$4:$B$263,0))),INDEX(PBDEs!$K$4:$K$263,MATCH($B72,PBDEs!$B$4:$B$263,0)),"---")</f>
        <v>---</v>
      </c>
      <c r="F72" s="15" t="str">
        <f>IF(ISNUMBER(INDEX(PBDEs!$S$4:$S$263,MATCH($B72,PBDEs!$B$4:$B$263,0))),INDEX(PBDEs!$S$4:$S$263,MATCH($B72,PBDEs!$B$4:$B$263,0)),"---")</f>
        <v>---</v>
      </c>
      <c r="G72" s="37" t="str">
        <f>IF(ISNUMBER(INDEX(PBDEs!$AA$4:$AA$263,MATCH($B72,PBDEs!$B$4:$B$263,0))),INDEX(PBDEs!$AA$4:$AA$263,MATCH($B72,PBDEs!$B$4:$B$263,0)),"---")</f>
        <v>---</v>
      </c>
    </row>
    <row r="73" spans="1:7" x14ac:dyDescent="0.3">
      <c r="A73" s="39" t="s">
        <v>2592</v>
      </c>
      <c r="B73" s="40" t="s">
        <v>499</v>
      </c>
      <c r="C73" s="15" t="s">
        <v>2818</v>
      </c>
      <c r="D73" s="15" t="str">
        <f>IF(ISNUMBER(INDEX(PBDEs!$G$4:$G$263,MATCH($B73,PBDEs!$B$4:$B$263,0))),INDEX(PBDEs!$G$4:$G$263,MATCH($B73,PBDEs!$B$4:$B$263,0)),"---")</f>
        <v>---</v>
      </c>
      <c r="E73" s="15" t="str">
        <f>IF(ISNUMBER(INDEX(PBDEs!$K$4:$K$263,MATCH($B73,PBDEs!$B$4:$B$263,0))),INDEX(PBDEs!$K$4:$K$263,MATCH($B73,PBDEs!$B$4:$B$263,0)),"---")</f>
        <v>---</v>
      </c>
      <c r="F73" s="15" t="str">
        <f>IF(ISNUMBER(INDEX(PBDEs!$S$4:$S$263,MATCH($B73,PBDEs!$B$4:$B$263,0))),INDEX(PBDEs!$S$4:$S$263,MATCH($B73,PBDEs!$B$4:$B$263,0)),"---")</f>
        <v>---</v>
      </c>
      <c r="G73" s="37" t="str">
        <f>IF(ISNUMBER(INDEX(PBDEs!$AA$4:$AA$263,MATCH($B73,PBDEs!$B$4:$B$263,0))),INDEX(PBDEs!$AA$4:$AA$263,MATCH($B73,PBDEs!$B$4:$B$263,0)),"---")</f>
        <v>---</v>
      </c>
    </row>
    <row r="74" spans="1:7" x14ac:dyDescent="0.3">
      <c r="A74" s="39" t="s">
        <v>2593</v>
      </c>
      <c r="B74" s="40" t="s">
        <v>500</v>
      </c>
      <c r="C74" s="15" t="s">
        <v>2819</v>
      </c>
      <c r="D74" s="15" t="str">
        <f>IF(ISNUMBER(INDEX(PBDEs!$G$4:$G$263,MATCH($B74,PBDEs!$B$4:$B$263,0))),INDEX(PBDEs!$G$4:$G$263,MATCH($B74,PBDEs!$B$4:$B$263,0)),"---")</f>
        <v>---</v>
      </c>
      <c r="E74" s="15" t="str">
        <f>IF(ISNUMBER(INDEX(PBDEs!$K$4:$K$263,MATCH($B74,PBDEs!$B$4:$B$263,0))),INDEX(PBDEs!$K$4:$K$263,MATCH($B74,PBDEs!$B$4:$B$263,0)),"---")</f>
        <v>---</v>
      </c>
      <c r="F74" s="15">
        <f>IF(ISNUMBER(INDEX(PBDEs!$S$4:$S$263,MATCH($B74,PBDEs!$B$4:$B$263,0))),INDEX(PBDEs!$S$4:$S$263,MATCH($B74,PBDEs!$B$4:$B$263,0)),"---")</f>
        <v>1.007618997291242E-6</v>
      </c>
      <c r="G74" s="37" t="str">
        <f>IF(ISNUMBER(INDEX(PBDEs!$AA$4:$AA$263,MATCH($B74,PBDEs!$B$4:$B$263,0))),INDEX(PBDEs!$AA$4:$AA$263,MATCH($B74,PBDEs!$B$4:$B$263,0)),"---")</f>
        <v>---</v>
      </c>
    </row>
    <row r="75" spans="1:7" x14ac:dyDescent="0.3">
      <c r="A75" s="39" t="s">
        <v>2594</v>
      </c>
      <c r="B75" s="40" t="s">
        <v>501</v>
      </c>
      <c r="C75" s="15" t="s">
        <v>2820</v>
      </c>
      <c r="D75" s="15" t="str">
        <f>IF(ISNUMBER(INDEX(PBDEs!$G$4:$G$263,MATCH($B75,PBDEs!$B$4:$B$263,0))),INDEX(PBDEs!$G$4:$G$263,MATCH($B75,PBDEs!$B$4:$B$263,0)),"---")</f>
        <v>---</v>
      </c>
      <c r="E75" s="15" t="str">
        <f>IF(ISNUMBER(INDEX(PBDEs!$K$4:$K$263,MATCH($B75,PBDEs!$B$4:$B$263,0))),INDEX(PBDEs!$K$4:$K$263,MATCH($B75,PBDEs!$B$4:$B$263,0)),"---")</f>
        <v>---</v>
      </c>
      <c r="F75" s="15" t="str">
        <f>IF(ISNUMBER(INDEX(PBDEs!$S$4:$S$263,MATCH($B75,PBDEs!$B$4:$B$263,0))),INDEX(PBDEs!$S$4:$S$263,MATCH($B75,PBDEs!$B$4:$B$263,0)),"---")</f>
        <v>---</v>
      </c>
      <c r="G75" s="37" t="str">
        <f>IF(ISNUMBER(INDEX(PBDEs!$AA$4:$AA$263,MATCH($B75,PBDEs!$B$4:$B$263,0))),INDEX(PBDEs!$AA$4:$AA$263,MATCH($B75,PBDEs!$B$4:$B$263,0)),"---")</f>
        <v>---</v>
      </c>
    </row>
    <row r="76" spans="1:7" x14ac:dyDescent="0.3">
      <c r="A76" s="39" t="s">
        <v>2595</v>
      </c>
      <c r="B76" s="40" t="s">
        <v>502</v>
      </c>
      <c r="C76" s="15" t="s">
        <v>644</v>
      </c>
      <c r="D76" s="15" t="str">
        <f>IF(ISNUMBER(INDEX(PBDEs!$G$4:$G$263,MATCH($B76,PBDEs!$B$4:$B$263,0))),INDEX(PBDEs!$G$4:$G$263,MATCH($B76,PBDEs!$B$4:$B$263,0)),"---")</f>
        <v>---</v>
      </c>
      <c r="E76" s="15">
        <f>IF(ISNUMBER(INDEX(PBDEs!$K$4:$K$263,MATCH($B76,PBDEs!$B$4:$B$263,0))),INDEX(PBDEs!$K$4:$K$263,MATCH($B76,PBDEs!$B$4:$B$263,0)),"---")</f>
        <v>134.5</v>
      </c>
      <c r="F76" s="15" t="str">
        <f>IF(ISNUMBER(INDEX(PBDEs!$S$4:$S$263,MATCH($B76,PBDEs!$B$4:$B$263,0))),INDEX(PBDEs!$S$4:$S$263,MATCH($B76,PBDEs!$B$4:$B$263,0)),"---")</f>
        <v>---</v>
      </c>
      <c r="G76" s="37" t="str">
        <f>IF(ISNUMBER(INDEX(PBDEs!$AA$4:$AA$263,MATCH($B76,PBDEs!$B$4:$B$263,0))),INDEX(PBDEs!$AA$4:$AA$263,MATCH($B76,PBDEs!$B$4:$B$263,0)),"---")</f>
        <v>---</v>
      </c>
    </row>
    <row r="77" spans="1:7" x14ac:dyDescent="0.3">
      <c r="A77" s="39" t="s">
        <v>2596</v>
      </c>
      <c r="B77" s="40" t="s">
        <v>503</v>
      </c>
      <c r="C77" s="15" t="s">
        <v>2821</v>
      </c>
      <c r="D77" s="15" t="str">
        <f>IF(ISNUMBER(INDEX(PBDEs!$G$4:$G$263,MATCH($B77,PBDEs!$B$4:$B$263,0))),INDEX(PBDEs!$G$4:$G$263,MATCH($B77,PBDEs!$B$4:$B$263,0)),"---")</f>
        <v>---</v>
      </c>
      <c r="E77" s="15" t="str">
        <f>IF(ISNUMBER(INDEX(PBDEs!$K$4:$K$263,MATCH($B77,PBDEs!$B$4:$B$263,0))),INDEX(PBDEs!$K$4:$K$263,MATCH($B77,PBDEs!$B$4:$B$263,0)),"---")</f>
        <v>---</v>
      </c>
      <c r="F77" s="15" t="str">
        <f>IF(ISNUMBER(INDEX(PBDEs!$S$4:$S$263,MATCH($B77,PBDEs!$B$4:$B$263,0))),INDEX(PBDEs!$S$4:$S$263,MATCH($B77,PBDEs!$B$4:$B$263,0)),"---")</f>
        <v>---</v>
      </c>
      <c r="G77" s="37" t="str">
        <f>IF(ISNUMBER(INDEX(PBDEs!$AA$4:$AA$263,MATCH($B77,PBDEs!$B$4:$B$263,0))),INDEX(PBDEs!$AA$4:$AA$263,MATCH($B77,PBDEs!$B$4:$B$263,0)),"---")</f>
        <v>---</v>
      </c>
    </row>
    <row r="78" spans="1:7" x14ac:dyDescent="0.3">
      <c r="A78" s="39" t="s">
        <v>2597</v>
      </c>
      <c r="B78" s="40" t="s">
        <v>504</v>
      </c>
      <c r="C78" s="15" t="s">
        <v>2822</v>
      </c>
      <c r="D78" s="15" t="str">
        <f>IF(ISNUMBER(INDEX(PBDEs!$G$4:$G$263,MATCH($B78,PBDEs!$B$4:$B$263,0))),INDEX(PBDEs!$G$4:$G$263,MATCH($B78,PBDEs!$B$4:$B$263,0)),"---")</f>
        <v>---</v>
      </c>
      <c r="E78" s="15" t="str">
        <f>IF(ISNUMBER(INDEX(PBDEs!$K$4:$K$263,MATCH($B78,PBDEs!$B$4:$B$263,0))),INDEX(PBDEs!$K$4:$K$263,MATCH($B78,PBDEs!$B$4:$B$263,0)),"---")</f>
        <v>---</v>
      </c>
      <c r="F78" s="15" t="str">
        <f>IF(ISNUMBER(INDEX(PBDEs!$S$4:$S$263,MATCH($B78,PBDEs!$B$4:$B$263,0))),INDEX(PBDEs!$S$4:$S$263,MATCH($B78,PBDEs!$B$4:$B$263,0)),"---")</f>
        <v>---</v>
      </c>
      <c r="G78" s="37" t="str">
        <f>IF(ISNUMBER(INDEX(PBDEs!$AA$4:$AA$263,MATCH($B78,PBDEs!$B$4:$B$263,0))),INDEX(PBDEs!$AA$4:$AA$263,MATCH($B78,PBDEs!$B$4:$B$263,0)),"---")</f>
        <v>---</v>
      </c>
    </row>
    <row r="79" spans="1:7" x14ac:dyDescent="0.3">
      <c r="A79" s="39" t="s">
        <v>2598</v>
      </c>
      <c r="B79" s="40" t="s">
        <v>505</v>
      </c>
      <c r="C79" s="15" t="s">
        <v>2823</v>
      </c>
      <c r="D79" s="15" t="str">
        <f>IF(ISNUMBER(INDEX(PBDEs!$G$4:$G$263,MATCH($B79,PBDEs!$B$4:$B$263,0))),INDEX(PBDEs!$G$4:$G$263,MATCH($B79,PBDEs!$B$4:$B$263,0)),"---")</f>
        <v>---</v>
      </c>
      <c r="E79" s="15" t="str">
        <f>IF(ISNUMBER(INDEX(PBDEs!$K$4:$K$263,MATCH($B79,PBDEs!$B$4:$B$263,0))),INDEX(PBDEs!$K$4:$K$263,MATCH($B79,PBDEs!$B$4:$B$263,0)),"---")</f>
        <v>---</v>
      </c>
      <c r="F79" s="15" t="str">
        <f>IF(ISNUMBER(INDEX(PBDEs!$S$4:$S$263,MATCH($B79,PBDEs!$B$4:$B$263,0))),INDEX(PBDEs!$S$4:$S$263,MATCH($B79,PBDEs!$B$4:$B$263,0)),"---")</f>
        <v>---</v>
      </c>
      <c r="G79" s="37" t="str">
        <f>IF(ISNUMBER(INDEX(PBDEs!$AA$4:$AA$263,MATCH($B79,PBDEs!$B$4:$B$263,0))),INDEX(PBDEs!$AA$4:$AA$263,MATCH($B79,PBDEs!$B$4:$B$263,0)),"---")</f>
        <v>---</v>
      </c>
    </row>
    <row r="80" spans="1:7" x14ac:dyDescent="0.3">
      <c r="A80" s="39" t="s">
        <v>2599</v>
      </c>
      <c r="B80" s="40" t="s">
        <v>506</v>
      </c>
      <c r="C80" s="15" t="s">
        <v>645</v>
      </c>
      <c r="D80" s="15" t="str">
        <f>IF(ISNUMBER(INDEX(PBDEs!$G$4:$G$263,MATCH($B80,PBDEs!$B$4:$B$263,0))),INDEX(PBDEs!$G$4:$G$263,MATCH($B80,PBDEs!$B$4:$B$263,0)),"---")</f>
        <v>---</v>
      </c>
      <c r="E80" s="15">
        <f>IF(ISNUMBER(INDEX(PBDEs!$K$4:$K$263,MATCH($B80,PBDEs!$B$4:$B$263,0))),INDEX(PBDEs!$K$4:$K$263,MATCH($B80,PBDEs!$B$4:$B$263,0)),"---")</f>
        <v>142.25</v>
      </c>
      <c r="F80" s="15">
        <f>IF(ISNUMBER(INDEX(PBDEs!$S$4:$S$263,MATCH($B80,PBDEs!$B$4:$B$263,0))),INDEX(PBDEs!$S$4:$S$263,MATCH($B80,PBDEs!$B$4:$B$263,0)),"---")</f>
        <v>2.6106476209072819E-7</v>
      </c>
      <c r="G80" s="37" t="str">
        <f>IF(ISNUMBER(INDEX(PBDEs!$AA$4:$AA$263,MATCH($B80,PBDEs!$B$4:$B$263,0))),INDEX(PBDEs!$AA$4:$AA$263,MATCH($B80,PBDEs!$B$4:$B$263,0)),"---")</f>
        <v>---</v>
      </c>
    </row>
    <row r="81" spans="1:7" x14ac:dyDescent="0.3">
      <c r="A81" s="39" t="s">
        <v>2600</v>
      </c>
      <c r="B81" s="40" t="s">
        <v>507</v>
      </c>
      <c r="C81" s="15" t="s">
        <v>2824</v>
      </c>
      <c r="D81" s="15" t="str">
        <f>IF(ISNUMBER(INDEX(PBDEs!$G$4:$G$263,MATCH($B81,PBDEs!$B$4:$B$263,0))),INDEX(PBDEs!$G$4:$G$263,MATCH($B81,PBDEs!$B$4:$B$263,0)),"---")</f>
        <v>---</v>
      </c>
      <c r="E81" s="15" t="str">
        <f>IF(ISNUMBER(INDEX(PBDEs!$K$4:$K$263,MATCH($B81,PBDEs!$B$4:$B$263,0))),INDEX(PBDEs!$K$4:$K$263,MATCH($B81,PBDEs!$B$4:$B$263,0)),"---")</f>
        <v>---</v>
      </c>
      <c r="F81" s="15" t="str">
        <f>IF(ISNUMBER(INDEX(PBDEs!$S$4:$S$263,MATCH($B81,PBDEs!$B$4:$B$263,0))),INDEX(PBDEs!$S$4:$S$263,MATCH($B81,PBDEs!$B$4:$B$263,0)),"---")</f>
        <v>---</v>
      </c>
      <c r="G81" s="37" t="str">
        <f>IF(ISNUMBER(INDEX(PBDEs!$AA$4:$AA$263,MATCH($B81,PBDEs!$B$4:$B$263,0))),INDEX(PBDEs!$AA$4:$AA$263,MATCH($B81,PBDEs!$B$4:$B$263,0)),"---")</f>
        <v>---</v>
      </c>
    </row>
    <row r="82" spans="1:7" x14ac:dyDescent="0.3">
      <c r="A82" s="39" t="s">
        <v>2601</v>
      </c>
      <c r="B82" s="40" t="s">
        <v>508</v>
      </c>
      <c r="C82" s="15" t="s">
        <v>646</v>
      </c>
      <c r="D82" s="15" t="str">
        <f>IF(ISNUMBER(INDEX(PBDEs!$G$4:$G$263,MATCH($B82,PBDEs!$B$4:$B$263,0))),INDEX(PBDEs!$G$4:$G$263,MATCH($B82,PBDEs!$B$4:$B$263,0)),"---")</f>
        <v>---</v>
      </c>
      <c r="E82" s="15">
        <f>IF(ISNUMBER(INDEX(PBDEs!$K$4:$K$263,MATCH($B82,PBDEs!$B$4:$B$263,0))),INDEX(PBDEs!$K$4:$K$263,MATCH($B82,PBDEs!$B$4:$B$263,0)),"---")</f>
        <v>95.875</v>
      </c>
      <c r="F82" s="15">
        <f>IF(ISNUMBER(INDEX(PBDEs!$S$4:$S$263,MATCH($B82,PBDEs!$B$4:$B$263,0))),INDEX(PBDEs!$S$4:$S$263,MATCH($B82,PBDEs!$B$4:$B$263,0)),"---")</f>
        <v>1.6934879886232033E-7</v>
      </c>
      <c r="G82" s="37">
        <f>IF(ISNUMBER(INDEX(PBDEs!$AA$4:$AA$263,MATCH($B82,PBDEs!$B$4:$B$263,0))),INDEX(PBDEs!$AA$4:$AA$263,MATCH($B82,PBDEs!$B$4:$B$263,0)),"---")</f>
        <v>6.0000000000000001E-3</v>
      </c>
    </row>
    <row r="83" spans="1:7" x14ac:dyDescent="0.3">
      <c r="A83" s="39" t="s">
        <v>2602</v>
      </c>
      <c r="B83" s="40" t="s">
        <v>509</v>
      </c>
      <c r="C83" s="15" t="s">
        <v>2825</v>
      </c>
      <c r="D83" s="15" t="str">
        <f>IF(ISNUMBER(INDEX(PBDEs!$G$4:$G$263,MATCH($B83,PBDEs!$B$4:$B$263,0))),INDEX(PBDEs!$G$4:$G$263,MATCH($B83,PBDEs!$B$4:$B$263,0)),"---")</f>
        <v>---</v>
      </c>
      <c r="E83" s="15" t="str">
        <f>IF(ISNUMBER(INDEX(PBDEs!$K$4:$K$263,MATCH($B83,PBDEs!$B$4:$B$263,0))),INDEX(PBDEs!$K$4:$K$263,MATCH($B83,PBDEs!$B$4:$B$263,0)),"---")</f>
        <v>---</v>
      </c>
      <c r="F83" s="15" t="str">
        <f>IF(ISNUMBER(INDEX(PBDEs!$S$4:$S$263,MATCH($B83,PBDEs!$B$4:$B$263,0))),INDEX(PBDEs!$S$4:$S$263,MATCH($B83,PBDEs!$B$4:$B$263,0)),"---")</f>
        <v>---</v>
      </c>
      <c r="G83" s="37" t="str">
        <f>IF(ISNUMBER(INDEX(PBDEs!$AA$4:$AA$263,MATCH($B83,PBDEs!$B$4:$B$263,0))),INDEX(PBDEs!$AA$4:$AA$263,MATCH($B83,PBDEs!$B$4:$B$263,0)),"---")</f>
        <v>---</v>
      </c>
    </row>
    <row r="84" spans="1:7" x14ac:dyDescent="0.3">
      <c r="A84" s="39" t="s">
        <v>2603</v>
      </c>
      <c r="B84" s="40" t="s">
        <v>510</v>
      </c>
      <c r="C84" s="15" t="s">
        <v>2826</v>
      </c>
      <c r="D84" s="15" t="str">
        <f>IF(ISNUMBER(INDEX(PBDEs!$G$4:$G$263,MATCH($B84,PBDEs!$B$4:$B$263,0))),INDEX(PBDEs!$G$4:$G$263,MATCH($B84,PBDEs!$B$4:$B$263,0)),"---")</f>
        <v>---</v>
      </c>
      <c r="E84" s="15" t="str">
        <f>IF(ISNUMBER(INDEX(PBDEs!$K$4:$K$263,MATCH($B84,PBDEs!$B$4:$B$263,0))),INDEX(PBDEs!$K$4:$K$263,MATCH($B84,PBDEs!$B$4:$B$263,0)),"---")</f>
        <v>---</v>
      </c>
      <c r="F84" s="15" t="str">
        <f>IF(ISNUMBER(INDEX(PBDEs!$S$4:$S$263,MATCH($B84,PBDEs!$B$4:$B$263,0))),INDEX(PBDEs!$S$4:$S$263,MATCH($B84,PBDEs!$B$4:$B$263,0)),"---")</f>
        <v>---</v>
      </c>
      <c r="G84" s="37" t="str">
        <f>IF(ISNUMBER(INDEX(PBDEs!$AA$4:$AA$263,MATCH($B84,PBDEs!$B$4:$B$263,0))),INDEX(PBDEs!$AA$4:$AA$263,MATCH($B84,PBDEs!$B$4:$B$263,0)),"---")</f>
        <v>---</v>
      </c>
    </row>
    <row r="85" spans="1:7" x14ac:dyDescent="0.3">
      <c r="A85" s="39" t="s">
        <v>2604</v>
      </c>
      <c r="B85" s="40" t="s">
        <v>511</v>
      </c>
      <c r="C85" s="15" t="s">
        <v>2827</v>
      </c>
      <c r="D85" s="15" t="str">
        <f>IF(ISNUMBER(INDEX(PBDEs!$G$4:$G$263,MATCH($B85,PBDEs!$B$4:$B$263,0))),INDEX(PBDEs!$G$4:$G$263,MATCH($B85,PBDEs!$B$4:$B$263,0)),"---")</f>
        <v>---</v>
      </c>
      <c r="E85" s="15" t="str">
        <f>IF(ISNUMBER(INDEX(PBDEs!$K$4:$K$263,MATCH($B85,PBDEs!$B$4:$B$263,0))),INDEX(PBDEs!$K$4:$K$263,MATCH($B85,PBDEs!$B$4:$B$263,0)),"---")</f>
        <v>---</v>
      </c>
      <c r="F85" s="15" t="str">
        <f>IF(ISNUMBER(INDEX(PBDEs!$S$4:$S$263,MATCH($B85,PBDEs!$B$4:$B$263,0))),INDEX(PBDEs!$S$4:$S$263,MATCH($B85,PBDEs!$B$4:$B$263,0)),"---")</f>
        <v>---</v>
      </c>
      <c r="G85" s="37" t="str">
        <f>IF(ISNUMBER(INDEX(PBDEs!$AA$4:$AA$263,MATCH($B85,PBDEs!$B$4:$B$263,0))),INDEX(PBDEs!$AA$4:$AA$263,MATCH($B85,PBDEs!$B$4:$B$263,0)),"---")</f>
        <v>---</v>
      </c>
    </row>
    <row r="86" spans="1:7" x14ac:dyDescent="0.3">
      <c r="A86" s="39" t="s">
        <v>2605</v>
      </c>
      <c r="B86" s="40" t="s">
        <v>512</v>
      </c>
      <c r="C86" s="15" t="s">
        <v>2828</v>
      </c>
      <c r="D86" s="15" t="str">
        <f>IF(ISNUMBER(INDEX(PBDEs!$G$4:$G$263,MATCH($B86,PBDEs!$B$4:$B$263,0))),INDEX(PBDEs!$G$4:$G$263,MATCH($B86,PBDEs!$B$4:$B$263,0)),"---")</f>
        <v>---</v>
      </c>
      <c r="E86" s="15" t="str">
        <f>IF(ISNUMBER(INDEX(PBDEs!$K$4:$K$263,MATCH($B86,PBDEs!$B$4:$B$263,0))),INDEX(PBDEs!$K$4:$K$263,MATCH($B86,PBDEs!$B$4:$B$263,0)),"---")</f>
        <v>---</v>
      </c>
      <c r="F86" s="15" t="str">
        <f>IF(ISNUMBER(INDEX(PBDEs!$S$4:$S$263,MATCH($B86,PBDEs!$B$4:$B$263,0))),INDEX(PBDEs!$S$4:$S$263,MATCH($B86,PBDEs!$B$4:$B$263,0)),"---")</f>
        <v>---</v>
      </c>
      <c r="G86" s="37" t="str">
        <f>IF(ISNUMBER(INDEX(PBDEs!$AA$4:$AA$263,MATCH($B86,PBDEs!$B$4:$B$263,0))),INDEX(PBDEs!$AA$4:$AA$263,MATCH($B86,PBDEs!$B$4:$B$263,0)),"---")</f>
        <v>---</v>
      </c>
    </row>
    <row r="87" spans="1:7" x14ac:dyDescent="0.3">
      <c r="A87" s="39" t="s">
        <v>2606</v>
      </c>
      <c r="B87" s="40" t="s">
        <v>513</v>
      </c>
      <c r="C87" s="15" t="s">
        <v>3132</v>
      </c>
      <c r="D87" s="15" t="str">
        <f>IF(ISNUMBER(INDEX(PBDEs!$G$4:$G$263,MATCH($B87,PBDEs!$B$4:$B$263,0))),INDEX(PBDEs!$G$4:$G$263,MATCH($B87,PBDEs!$B$4:$B$263,0)),"---")</f>
        <v>---</v>
      </c>
      <c r="E87" s="15" t="str">
        <f>IF(ISNUMBER(INDEX(PBDEs!$K$4:$K$263,MATCH($B87,PBDEs!$B$4:$B$263,0))),INDEX(PBDEs!$K$4:$K$263,MATCH($B87,PBDEs!$B$4:$B$263,0)),"---")</f>
        <v>---</v>
      </c>
      <c r="F87" s="15">
        <f>IF(ISNUMBER(INDEX(PBDEs!$S$4:$S$263,MATCH($B87,PBDEs!$B$4:$B$263,0))),INDEX(PBDEs!$S$4:$S$263,MATCH($B87,PBDEs!$B$4:$B$263,0)),"---")</f>
        <v>2.573949388422104E-8</v>
      </c>
      <c r="G87" s="37" t="str">
        <f>IF(ISNUMBER(INDEX(PBDEs!$AA$4:$AA$263,MATCH($B87,PBDEs!$B$4:$B$263,0))),INDEX(PBDEs!$AA$4:$AA$263,MATCH($B87,PBDEs!$B$4:$B$263,0)),"---")</f>
        <v>---</v>
      </c>
    </row>
    <row r="88" spans="1:7" x14ac:dyDescent="0.3">
      <c r="A88" s="39" t="s">
        <v>2607</v>
      </c>
      <c r="B88" s="40" t="s">
        <v>514</v>
      </c>
      <c r="C88" s="15" t="s">
        <v>2829</v>
      </c>
      <c r="D88" s="15" t="str">
        <f>IF(ISNUMBER(INDEX(PBDEs!$G$4:$G$263,MATCH($B88,PBDEs!$B$4:$B$263,0))),INDEX(PBDEs!$G$4:$G$263,MATCH($B88,PBDEs!$B$4:$B$263,0)),"---")</f>
        <v>---</v>
      </c>
      <c r="E88" s="15" t="str">
        <f>IF(ISNUMBER(INDEX(PBDEs!$K$4:$K$263,MATCH($B88,PBDEs!$B$4:$B$263,0))),INDEX(PBDEs!$K$4:$K$263,MATCH($B88,PBDEs!$B$4:$B$263,0)),"---")</f>
        <v>---</v>
      </c>
      <c r="F88" s="15" t="str">
        <f>IF(ISNUMBER(INDEX(PBDEs!$S$4:$S$263,MATCH($B88,PBDEs!$B$4:$B$263,0))),INDEX(PBDEs!$S$4:$S$263,MATCH($B88,PBDEs!$B$4:$B$263,0)),"---")</f>
        <v>---</v>
      </c>
      <c r="G88" s="37" t="str">
        <f>IF(ISNUMBER(INDEX(PBDEs!$AA$4:$AA$263,MATCH($B88,PBDEs!$B$4:$B$263,0))),INDEX(PBDEs!$AA$4:$AA$263,MATCH($B88,PBDEs!$B$4:$B$263,0)),"---")</f>
        <v>---</v>
      </c>
    </row>
    <row r="89" spans="1:7" x14ac:dyDescent="0.3">
      <c r="A89" s="39" t="s">
        <v>2608</v>
      </c>
      <c r="B89" s="40" t="s">
        <v>515</v>
      </c>
      <c r="C89" s="15" t="s">
        <v>3133</v>
      </c>
      <c r="D89" s="15" t="str">
        <f>IF(ISNUMBER(INDEX(PBDEs!$G$4:$G$263,MATCH($B89,PBDEs!$B$4:$B$263,0))),INDEX(PBDEs!$G$4:$G$263,MATCH($B89,PBDEs!$B$4:$B$263,0)),"---")</f>
        <v>---</v>
      </c>
      <c r="E89" s="15" t="str">
        <f>IF(ISNUMBER(INDEX(PBDEs!$K$4:$K$263,MATCH($B89,PBDEs!$B$4:$B$263,0))),INDEX(PBDEs!$K$4:$K$263,MATCH($B89,PBDEs!$B$4:$B$263,0)),"---")</f>
        <v>---</v>
      </c>
      <c r="F89" s="15" t="str">
        <f>IF(ISNUMBER(INDEX(PBDEs!$S$4:$S$263,MATCH($B89,PBDEs!$B$4:$B$263,0))),INDEX(PBDEs!$S$4:$S$263,MATCH($B89,PBDEs!$B$4:$B$263,0)),"---")</f>
        <v>---</v>
      </c>
      <c r="G89" s="37" t="str">
        <f>IF(ISNUMBER(INDEX(PBDEs!$AA$4:$AA$263,MATCH($B89,PBDEs!$B$4:$B$263,0))),INDEX(PBDEs!$AA$4:$AA$263,MATCH($B89,PBDEs!$B$4:$B$263,0)),"---")</f>
        <v>---</v>
      </c>
    </row>
    <row r="90" spans="1:7" x14ac:dyDescent="0.3">
      <c r="A90" s="39" t="s">
        <v>2609</v>
      </c>
      <c r="B90" s="40" t="s">
        <v>516</v>
      </c>
      <c r="C90" s="15" t="s">
        <v>2830</v>
      </c>
      <c r="D90" s="15">
        <f>IF(ISNUMBER(INDEX(PBDEs!$G$4:$G$263,MATCH($B90,PBDEs!$B$4:$B$263,0))),INDEX(PBDEs!$G$4:$G$263,MATCH($B90,PBDEs!$B$4:$B$263,0)),"---")</f>
        <v>7.37</v>
      </c>
      <c r="E90" s="15">
        <f>IF(ISNUMBER(INDEX(PBDEs!$K$4:$K$263,MATCH($B90,PBDEs!$B$4:$B$263,0))),INDEX(PBDEs!$K$4:$K$263,MATCH($B90,PBDEs!$B$4:$B$263,0)),"---")</f>
        <v>122.26666666666667</v>
      </c>
      <c r="F90" s="15">
        <f>IF(ISNUMBER(INDEX(PBDEs!$S$4:$S$263,MATCH($B90,PBDEs!$B$4:$B$263,0))),INDEX(PBDEs!$S$4:$S$263,MATCH($B90,PBDEs!$B$4:$B$263,0)),"---")</f>
        <v>8.2169781512039553E-9</v>
      </c>
      <c r="G90" s="37">
        <f>IF(ISNUMBER(INDEX(PBDEs!$AA$4:$AA$263,MATCH($B90,PBDEs!$B$4:$B$263,0))),INDEX(PBDEs!$AA$4:$AA$263,MATCH($B90,PBDEs!$B$4:$B$263,0)),"---")</f>
        <v>6.0000000000000001E-3</v>
      </c>
    </row>
    <row r="91" spans="1:7" x14ac:dyDescent="0.3">
      <c r="A91" s="39" t="s">
        <v>2610</v>
      </c>
      <c r="B91" s="40" t="s">
        <v>517</v>
      </c>
      <c r="C91" s="15" t="s">
        <v>2831</v>
      </c>
      <c r="D91" s="15" t="str">
        <f>IF(ISNUMBER(INDEX(PBDEs!$G$4:$G$263,MATCH($B91,PBDEs!$B$4:$B$263,0))),INDEX(PBDEs!$G$4:$G$263,MATCH($B91,PBDEs!$B$4:$B$263,0)),"---")</f>
        <v>---</v>
      </c>
      <c r="E91" s="15" t="str">
        <f>IF(ISNUMBER(INDEX(PBDEs!$K$4:$K$263,MATCH($B91,PBDEs!$B$4:$B$263,0))),INDEX(PBDEs!$K$4:$K$263,MATCH($B91,PBDEs!$B$4:$B$263,0)),"---")</f>
        <v>---</v>
      </c>
      <c r="F91" s="15" t="str">
        <f>IF(ISNUMBER(INDEX(PBDEs!$S$4:$S$263,MATCH($B91,PBDEs!$B$4:$B$263,0))),INDEX(PBDEs!$S$4:$S$263,MATCH($B91,PBDEs!$B$4:$B$263,0)),"---")</f>
        <v>---</v>
      </c>
      <c r="G91" s="37" t="str">
        <f>IF(ISNUMBER(INDEX(PBDEs!$AA$4:$AA$263,MATCH($B91,PBDEs!$B$4:$B$263,0))),INDEX(PBDEs!$AA$4:$AA$263,MATCH($B91,PBDEs!$B$4:$B$263,0)),"---")</f>
        <v>---</v>
      </c>
    </row>
    <row r="92" spans="1:7" x14ac:dyDescent="0.3">
      <c r="A92" s="39" t="s">
        <v>2611</v>
      </c>
      <c r="B92" s="40" t="s">
        <v>518</v>
      </c>
      <c r="C92" s="15" t="s">
        <v>2832</v>
      </c>
      <c r="D92" s="15" t="str">
        <f>IF(ISNUMBER(INDEX(PBDEs!$G$4:$G$263,MATCH($B92,PBDEs!$B$4:$B$263,0))),INDEX(PBDEs!$G$4:$G$263,MATCH($B92,PBDEs!$B$4:$B$263,0)),"---")</f>
        <v>---</v>
      </c>
      <c r="E92" s="15" t="str">
        <f>IF(ISNUMBER(INDEX(PBDEs!$K$4:$K$263,MATCH($B92,PBDEs!$B$4:$B$263,0))),INDEX(PBDEs!$K$4:$K$263,MATCH($B92,PBDEs!$B$4:$B$263,0)),"---")</f>
        <v>---</v>
      </c>
      <c r="F92" s="15" t="str">
        <f>IF(ISNUMBER(INDEX(PBDEs!$S$4:$S$263,MATCH($B92,PBDEs!$B$4:$B$263,0))),INDEX(PBDEs!$S$4:$S$263,MATCH($B92,PBDEs!$B$4:$B$263,0)),"---")</f>
        <v>---</v>
      </c>
      <c r="G92" s="37" t="str">
        <f>IF(ISNUMBER(INDEX(PBDEs!$AA$4:$AA$263,MATCH($B92,PBDEs!$B$4:$B$263,0))),INDEX(PBDEs!$AA$4:$AA$263,MATCH($B92,PBDEs!$B$4:$B$263,0)),"---")</f>
        <v>---</v>
      </c>
    </row>
    <row r="93" spans="1:7" x14ac:dyDescent="0.3">
      <c r="A93" s="39" t="s">
        <v>2612</v>
      </c>
      <c r="B93" s="40" t="s">
        <v>519</v>
      </c>
      <c r="C93" s="15" t="s">
        <v>2833</v>
      </c>
      <c r="D93" s="15" t="str">
        <f>IF(ISNUMBER(INDEX(PBDEs!$G$4:$G$263,MATCH($B93,PBDEs!$B$4:$B$263,0))),INDEX(PBDEs!$G$4:$G$263,MATCH($B93,PBDEs!$B$4:$B$263,0)),"---")</f>
        <v>---</v>
      </c>
      <c r="E93" s="15" t="str">
        <f>IF(ISNUMBER(INDEX(PBDEs!$K$4:$K$263,MATCH($B93,PBDEs!$B$4:$B$263,0))),INDEX(PBDEs!$K$4:$K$263,MATCH($B93,PBDEs!$B$4:$B$263,0)),"---")</f>
        <v>---</v>
      </c>
      <c r="F93" s="15" t="str">
        <f>IF(ISNUMBER(INDEX(PBDEs!$S$4:$S$263,MATCH($B93,PBDEs!$B$4:$B$263,0))),INDEX(PBDEs!$S$4:$S$263,MATCH($B93,PBDEs!$B$4:$B$263,0)),"---")</f>
        <v>---</v>
      </c>
      <c r="G93" s="37" t="str">
        <f>IF(ISNUMBER(INDEX(PBDEs!$AA$4:$AA$263,MATCH($B93,PBDEs!$B$4:$B$263,0))),INDEX(PBDEs!$AA$4:$AA$263,MATCH($B93,PBDEs!$B$4:$B$263,0)),"---")</f>
        <v>---</v>
      </c>
    </row>
    <row r="94" spans="1:7" x14ac:dyDescent="0.3">
      <c r="A94" s="39" t="s">
        <v>2613</v>
      </c>
      <c r="B94" s="40" t="s">
        <v>520</v>
      </c>
      <c r="C94" s="15" t="s">
        <v>3134</v>
      </c>
      <c r="D94" s="15" t="str">
        <f>IF(ISNUMBER(INDEX(PBDEs!$G$4:$G$263,MATCH($B94,PBDEs!$B$4:$B$263,0))),INDEX(PBDEs!$G$4:$G$263,MATCH($B94,PBDEs!$B$4:$B$263,0)),"---")</f>
        <v>---</v>
      </c>
      <c r="E94" s="15" t="str">
        <f>IF(ISNUMBER(INDEX(PBDEs!$K$4:$K$263,MATCH($B94,PBDEs!$B$4:$B$263,0))),INDEX(PBDEs!$K$4:$K$263,MATCH($B94,PBDEs!$B$4:$B$263,0)),"---")</f>
        <v>---</v>
      </c>
      <c r="F94" s="15" t="str">
        <f>IF(ISNUMBER(INDEX(PBDEs!$S$4:$S$263,MATCH($B94,PBDEs!$B$4:$B$263,0))),INDEX(PBDEs!$S$4:$S$263,MATCH($B94,PBDEs!$B$4:$B$263,0)),"---")</f>
        <v>---</v>
      </c>
      <c r="G94" s="37" t="str">
        <f>IF(ISNUMBER(INDEX(PBDEs!$AA$4:$AA$263,MATCH($B94,PBDEs!$B$4:$B$263,0))),INDEX(PBDEs!$AA$4:$AA$263,MATCH($B94,PBDEs!$B$4:$B$263,0)),"---")</f>
        <v>---</v>
      </c>
    </row>
    <row r="95" spans="1:7" x14ac:dyDescent="0.3">
      <c r="A95" s="39" t="s">
        <v>2614</v>
      </c>
      <c r="B95" s="40" t="s">
        <v>521</v>
      </c>
      <c r="C95" s="15" t="s">
        <v>2834</v>
      </c>
      <c r="D95" s="15" t="str">
        <f>IF(ISNUMBER(INDEX(PBDEs!$G$4:$G$263,MATCH($B95,PBDEs!$B$4:$B$263,0))),INDEX(PBDEs!$G$4:$G$263,MATCH($B95,PBDEs!$B$4:$B$263,0)),"---")</f>
        <v>---</v>
      </c>
      <c r="E95" s="15" t="str">
        <f>IF(ISNUMBER(INDEX(PBDEs!$K$4:$K$263,MATCH($B95,PBDEs!$B$4:$B$263,0))),INDEX(PBDEs!$K$4:$K$263,MATCH($B95,PBDEs!$B$4:$B$263,0)),"---")</f>
        <v>---</v>
      </c>
      <c r="F95" s="15" t="str">
        <f>IF(ISNUMBER(INDEX(PBDEs!$S$4:$S$263,MATCH($B95,PBDEs!$B$4:$B$263,0))),INDEX(PBDEs!$S$4:$S$263,MATCH($B95,PBDEs!$B$4:$B$263,0)),"---")</f>
        <v>---</v>
      </c>
      <c r="G95" s="37" t="str">
        <f>IF(ISNUMBER(INDEX(PBDEs!$AA$4:$AA$263,MATCH($B95,PBDEs!$B$4:$B$263,0))),INDEX(PBDEs!$AA$4:$AA$263,MATCH($B95,PBDEs!$B$4:$B$263,0)),"---")</f>
        <v>---</v>
      </c>
    </row>
    <row r="96" spans="1:7" x14ac:dyDescent="0.3">
      <c r="A96" s="39" t="s">
        <v>2615</v>
      </c>
      <c r="B96" s="40" t="s">
        <v>522</v>
      </c>
      <c r="C96" s="15" t="s">
        <v>3135</v>
      </c>
      <c r="D96" s="15" t="str">
        <f>IF(ISNUMBER(INDEX(PBDEs!$G$4:$G$263,MATCH($B96,PBDEs!$B$4:$B$263,0))),INDEX(PBDEs!$G$4:$G$263,MATCH($B96,PBDEs!$B$4:$B$263,0)),"---")</f>
        <v>---</v>
      </c>
      <c r="E96" s="15" t="str">
        <f>IF(ISNUMBER(INDEX(PBDEs!$K$4:$K$263,MATCH($B96,PBDEs!$B$4:$B$263,0))),INDEX(PBDEs!$K$4:$K$263,MATCH($B96,PBDEs!$B$4:$B$263,0)),"---")</f>
        <v>---</v>
      </c>
      <c r="F96" s="15" t="str">
        <f>IF(ISNUMBER(INDEX(PBDEs!$S$4:$S$263,MATCH($B96,PBDEs!$B$4:$B$263,0))),INDEX(PBDEs!$S$4:$S$263,MATCH($B96,PBDEs!$B$4:$B$263,0)),"---")</f>
        <v>---</v>
      </c>
      <c r="G96" s="37" t="str">
        <f>IF(ISNUMBER(INDEX(PBDEs!$AA$4:$AA$263,MATCH($B96,PBDEs!$B$4:$B$263,0))),INDEX(PBDEs!$AA$4:$AA$263,MATCH($B96,PBDEs!$B$4:$B$263,0)),"---")</f>
        <v>---</v>
      </c>
    </row>
    <row r="97" spans="1:7" x14ac:dyDescent="0.3">
      <c r="A97" s="39" t="s">
        <v>2616</v>
      </c>
      <c r="B97" s="40" t="s">
        <v>523</v>
      </c>
      <c r="C97" s="15" t="s">
        <v>2835</v>
      </c>
      <c r="D97" s="15" t="str">
        <f>IF(ISNUMBER(INDEX(PBDEs!$G$4:$G$263,MATCH($B97,PBDEs!$B$4:$B$263,0))),INDEX(PBDEs!$G$4:$G$263,MATCH($B97,PBDEs!$B$4:$B$263,0)),"---")</f>
        <v>---</v>
      </c>
      <c r="E97" s="15" t="str">
        <f>IF(ISNUMBER(INDEX(PBDEs!$K$4:$K$263,MATCH($B97,PBDEs!$B$4:$B$263,0))),INDEX(PBDEs!$K$4:$K$263,MATCH($B97,PBDEs!$B$4:$B$263,0)),"---")</f>
        <v>---</v>
      </c>
      <c r="F97" s="15" t="str">
        <f>IF(ISNUMBER(INDEX(PBDEs!$S$4:$S$263,MATCH($B97,PBDEs!$B$4:$B$263,0))),INDEX(PBDEs!$S$4:$S$263,MATCH($B97,PBDEs!$B$4:$B$263,0)),"---")</f>
        <v>---</v>
      </c>
      <c r="G97" s="37" t="str">
        <f>IF(ISNUMBER(INDEX(PBDEs!$AA$4:$AA$263,MATCH($B97,PBDEs!$B$4:$B$263,0))),INDEX(PBDEs!$AA$4:$AA$263,MATCH($B97,PBDEs!$B$4:$B$263,0)),"---")</f>
        <v>---</v>
      </c>
    </row>
    <row r="98" spans="1:7" x14ac:dyDescent="0.3">
      <c r="A98" s="39" t="s">
        <v>2617</v>
      </c>
      <c r="B98" s="40" t="s">
        <v>524</v>
      </c>
      <c r="C98" s="15" t="s">
        <v>3136</v>
      </c>
      <c r="D98" s="15" t="str">
        <f>IF(ISNUMBER(INDEX(PBDEs!$G$4:$G$263,MATCH($B98,PBDEs!$B$4:$B$263,0))),INDEX(PBDEs!$G$4:$G$263,MATCH($B98,PBDEs!$B$4:$B$263,0)),"---")</f>
        <v>---</v>
      </c>
      <c r="E98" s="15" t="str">
        <f>IF(ISNUMBER(INDEX(PBDEs!$K$4:$K$263,MATCH($B98,PBDEs!$B$4:$B$263,0))),INDEX(PBDEs!$K$4:$K$263,MATCH($B98,PBDEs!$B$4:$B$263,0)),"---")</f>
        <v>---</v>
      </c>
      <c r="F98" s="15" t="str">
        <f>IF(ISNUMBER(INDEX(PBDEs!$S$4:$S$263,MATCH($B98,PBDEs!$B$4:$B$263,0))),INDEX(PBDEs!$S$4:$S$263,MATCH($B98,PBDEs!$B$4:$B$263,0)),"---")</f>
        <v>---</v>
      </c>
      <c r="G98" s="37" t="str">
        <f>IF(ISNUMBER(INDEX(PBDEs!$AA$4:$AA$263,MATCH($B98,PBDEs!$B$4:$B$263,0))),INDEX(PBDEs!$AA$4:$AA$263,MATCH($B98,PBDEs!$B$4:$B$263,0)),"---")</f>
        <v>---</v>
      </c>
    </row>
    <row r="99" spans="1:7" x14ac:dyDescent="0.3">
      <c r="A99" s="39" t="s">
        <v>2618</v>
      </c>
      <c r="B99" s="40" t="s">
        <v>525</v>
      </c>
      <c r="C99" s="15" t="s">
        <v>2836</v>
      </c>
      <c r="D99" s="15" t="str">
        <f>IF(ISNUMBER(INDEX(PBDEs!$G$4:$G$263,MATCH($B99,PBDEs!$B$4:$B$263,0))),INDEX(PBDEs!$G$4:$G$263,MATCH($B99,PBDEs!$B$4:$B$263,0)),"---")</f>
        <v>---</v>
      </c>
      <c r="E99" s="15" t="str">
        <f>IF(ISNUMBER(INDEX(PBDEs!$K$4:$K$263,MATCH($B99,PBDEs!$B$4:$B$263,0))),INDEX(PBDEs!$K$4:$K$263,MATCH($B99,PBDEs!$B$4:$B$263,0)),"---")</f>
        <v>---</v>
      </c>
      <c r="F99" s="15" t="str">
        <f>IF(ISNUMBER(INDEX(PBDEs!$S$4:$S$263,MATCH($B99,PBDEs!$B$4:$B$263,0))),INDEX(PBDEs!$S$4:$S$263,MATCH($B99,PBDEs!$B$4:$B$263,0)),"---")</f>
        <v>---</v>
      </c>
      <c r="G99" s="37" t="str">
        <f>IF(ISNUMBER(INDEX(PBDEs!$AA$4:$AA$263,MATCH($B99,PBDEs!$B$4:$B$263,0))),INDEX(PBDEs!$AA$4:$AA$263,MATCH($B99,PBDEs!$B$4:$B$263,0)),"---")</f>
        <v>---</v>
      </c>
    </row>
    <row r="100" spans="1:7" x14ac:dyDescent="0.3">
      <c r="A100" s="39" t="s">
        <v>2619</v>
      </c>
      <c r="B100" s="40" t="s">
        <v>526</v>
      </c>
      <c r="C100" s="15" t="s">
        <v>3137</v>
      </c>
      <c r="D100" s="15" t="str">
        <f>IF(ISNUMBER(INDEX(PBDEs!$G$4:$G$263,MATCH($B100,PBDEs!$B$4:$B$263,0))),INDEX(PBDEs!$G$4:$G$263,MATCH($B100,PBDEs!$B$4:$B$263,0)),"---")</f>
        <v>---</v>
      </c>
      <c r="E100" s="15" t="str">
        <f>IF(ISNUMBER(INDEX(PBDEs!$K$4:$K$263,MATCH($B100,PBDEs!$B$4:$B$263,0))),INDEX(PBDEs!$K$4:$K$263,MATCH($B100,PBDEs!$B$4:$B$263,0)),"---")</f>
        <v>---</v>
      </c>
      <c r="F100" s="15" t="str">
        <f>IF(ISNUMBER(INDEX(PBDEs!$S$4:$S$263,MATCH($B100,PBDEs!$B$4:$B$263,0))),INDEX(PBDEs!$S$4:$S$263,MATCH($B100,PBDEs!$B$4:$B$263,0)),"---")</f>
        <v>---</v>
      </c>
      <c r="G100" s="37" t="str">
        <f>IF(ISNUMBER(INDEX(PBDEs!$AA$4:$AA$263,MATCH($B100,PBDEs!$B$4:$B$263,0))),INDEX(PBDEs!$AA$4:$AA$263,MATCH($B100,PBDEs!$B$4:$B$263,0)),"---")</f>
        <v>---</v>
      </c>
    </row>
    <row r="101" spans="1:7" x14ac:dyDescent="0.3">
      <c r="A101" s="39" t="s">
        <v>2620</v>
      </c>
      <c r="B101" s="40" t="s">
        <v>527</v>
      </c>
      <c r="C101" s="15" t="s">
        <v>3138</v>
      </c>
      <c r="D101" s="15" t="str">
        <f>IF(ISNUMBER(INDEX(PBDEs!$G$4:$G$263,MATCH($B101,PBDEs!$B$4:$B$263,0))),INDEX(PBDEs!$G$4:$G$263,MATCH($B101,PBDEs!$B$4:$B$263,0)),"---")</f>
        <v>---</v>
      </c>
      <c r="E101" s="15" t="str">
        <f>IF(ISNUMBER(INDEX(PBDEs!$K$4:$K$263,MATCH($B101,PBDEs!$B$4:$B$263,0))),INDEX(PBDEs!$K$4:$K$263,MATCH($B101,PBDEs!$B$4:$B$263,0)),"---")</f>
        <v>---</v>
      </c>
      <c r="F101" s="15" t="str">
        <f>IF(ISNUMBER(INDEX(PBDEs!$S$4:$S$263,MATCH($B101,PBDEs!$B$4:$B$263,0))),INDEX(PBDEs!$S$4:$S$263,MATCH($B101,PBDEs!$B$4:$B$263,0)),"---")</f>
        <v>---</v>
      </c>
      <c r="G101" s="37" t="str">
        <f>IF(ISNUMBER(INDEX(PBDEs!$AA$4:$AA$263,MATCH($B101,PBDEs!$B$4:$B$263,0))),INDEX(PBDEs!$AA$4:$AA$263,MATCH($B101,PBDEs!$B$4:$B$263,0)),"---")</f>
        <v>---</v>
      </c>
    </row>
    <row r="102" spans="1:7" x14ac:dyDescent="0.3">
      <c r="A102" s="39" t="s">
        <v>2621</v>
      </c>
      <c r="B102" s="40" t="s">
        <v>528</v>
      </c>
      <c r="C102" s="15" t="s">
        <v>2837</v>
      </c>
      <c r="D102" s="15" t="str">
        <f>IF(ISNUMBER(INDEX(PBDEs!$G$4:$G$263,MATCH($B102,PBDEs!$B$4:$B$263,0))),INDEX(PBDEs!$G$4:$G$263,MATCH($B102,PBDEs!$B$4:$B$263,0)),"---")</f>
        <v>---</v>
      </c>
      <c r="E102" s="15" t="str">
        <f>IF(ISNUMBER(INDEX(PBDEs!$K$4:$K$263,MATCH($B102,PBDEs!$B$4:$B$263,0))),INDEX(PBDEs!$K$4:$K$263,MATCH($B102,PBDEs!$B$4:$B$263,0)),"---")</f>
        <v>---</v>
      </c>
      <c r="F102" s="15" t="str">
        <f>IF(ISNUMBER(INDEX(PBDEs!$S$4:$S$263,MATCH($B102,PBDEs!$B$4:$B$263,0))),INDEX(PBDEs!$S$4:$S$263,MATCH($B102,PBDEs!$B$4:$B$263,0)),"---")</f>
        <v>---</v>
      </c>
      <c r="G102" s="37" t="str">
        <f>IF(ISNUMBER(INDEX(PBDEs!$AA$4:$AA$263,MATCH($B102,PBDEs!$B$4:$B$263,0))),INDEX(PBDEs!$AA$4:$AA$263,MATCH($B102,PBDEs!$B$4:$B$263,0)),"---")</f>
        <v>---</v>
      </c>
    </row>
    <row r="103" spans="1:7" x14ac:dyDescent="0.3">
      <c r="A103" s="39" t="s">
        <v>2622</v>
      </c>
      <c r="B103" s="40" t="s">
        <v>529</v>
      </c>
      <c r="C103" s="15" t="s">
        <v>2838</v>
      </c>
      <c r="D103" s="15" t="str">
        <f>IF(ISNUMBER(INDEX(PBDEs!$G$4:$G$263,MATCH($B103,PBDEs!$B$4:$B$263,0))),INDEX(PBDEs!$G$4:$G$263,MATCH($B103,PBDEs!$B$4:$B$263,0)),"---")</f>
        <v>---</v>
      </c>
      <c r="E103" s="15" t="str">
        <f>IF(ISNUMBER(INDEX(PBDEs!$K$4:$K$263,MATCH($B103,PBDEs!$B$4:$B$263,0))),INDEX(PBDEs!$K$4:$K$263,MATCH($B103,PBDEs!$B$4:$B$263,0)),"---")</f>
        <v>---</v>
      </c>
      <c r="F103" s="15" t="str">
        <f>IF(ISNUMBER(INDEX(PBDEs!$S$4:$S$263,MATCH($B103,PBDEs!$B$4:$B$263,0))),INDEX(PBDEs!$S$4:$S$263,MATCH($B103,PBDEs!$B$4:$B$263,0)),"---")</f>
        <v>---</v>
      </c>
      <c r="G103" s="37" t="str">
        <f>IF(ISNUMBER(INDEX(PBDEs!$AA$4:$AA$263,MATCH($B103,PBDEs!$B$4:$B$263,0))),INDEX(PBDEs!$AA$4:$AA$263,MATCH($B103,PBDEs!$B$4:$B$263,0)),"---")</f>
        <v>---</v>
      </c>
    </row>
    <row r="104" spans="1:7" x14ac:dyDescent="0.3">
      <c r="A104" s="39" t="s">
        <v>2623</v>
      </c>
      <c r="B104" s="40" t="s">
        <v>530</v>
      </c>
      <c r="C104" s="15" t="s">
        <v>649</v>
      </c>
      <c r="D104" s="15">
        <f>IF(ISNUMBER(INDEX(PBDEs!$G$4:$G$263,MATCH($B104,PBDEs!$B$4:$B$263,0))),INDEX(PBDEs!$G$4:$G$263,MATCH($B104,PBDEs!$B$4:$B$263,0)),"---")</f>
        <v>7.32</v>
      </c>
      <c r="E104" s="15">
        <f>IF(ISNUMBER(INDEX(PBDEs!$K$4:$K$263,MATCH($B104,PBDEs!$B$4:$B$263,0))),INDEX(PBDEs!$K$4:$K$263,MATCH($B104,PBDEs!$B$4:$B$263,0)),"---")</f>
        <v>87.787500000000009</v>
      </c>
      <c r="F104" s="15">
        <f>IF(ISNUMBER(INDEX(PBDEs!$S$4:$S$263,MATCH($B104,PBDEs!$B$4:$B$263,0))),INDEX(PBDEs!$S$4:$S$263,MATCH($B104,PBDEs!$B$4:$B$263,0)),"---")</f>
        <v>7.7904041581372376E-8</v>
      </c>
      <c r="G104" s="37">
        <f>IF(ISNUMBER(INDEX(PBDEs!$AA$4:$AA$263,MATCH($B104,PBDEs!$B$4:$B$263,0))),INDEX(PBDEs!$AA$4:$AA$263,MATCH($B104,PBDEs!$B$4:$B$263,0)),"---")</f>
        <v>9.4000000000000004E-3</v>
      </c>
    </row>
    <row r="105" spans="1:7" x14ac:dyDescent="0.3">
      <c r="A105" s="39" t="s">
        <v>2624</v>
      </c>
      <c r="B105" s="40" t="s">
        <v>531</v>
      </c>
      <c r="C105" s="15" t="s">
        <v>2839</v>
      </c>
      <c r="D105" s="15">
        <f>IF(ISNUMBER(INDEX(PBDEs!$G$4:$G$263,MATCH($B105,PBDEs!$B$4:$B$263,0))),INDEX(PBDEs!$G$4:$G$263,MATCH($B105,PBDEs!$B$4:$B$263,0)),"---")</f>
        <v>7.24</v>
      </c>
      <c r="E105" s="15">
        <f>IF(ISNUMBER(INDEX(PBDEs!$K$4:$K$263,MATCH($B105,PBDEs!$B$4:$B$263,0))),INDEX(PBDEs!$K$4:$K$263,MATCH($B105,PBDEs!$B$4:$B$263,0)),"---")</f>
        <v>98.5</v>
      </c>
      <c r="F105" s="15">
        <f>IF(ISNUMBER(INDEX(PBDEs!$S$4:$S$263,MATCH($B105,PBDEs!$B$4:$B$263,0))),INDEX(PBDEs!$S$4:$S$263,MATCH($B105,PBDEs!$B$4:$B$263,0)),"---")</f>
        <v>4.0772821075958735E-8</v>
      </c>
      <c r="G105" s="37">
        <f>IF(ISNUMBER(INDEX(PBDEs!$AA$4:$AA$263,MATCH($B105,PBDEs!$B$4:$B$263,0))),INDEX(PBDEs!$AA$4:$AA$263,MATCH($B105,PBDEs!$B$4:$B$263,0)),"---")</f>
        <v>0.04</v>
      </c>
    </row>
    <row r="106" spans="1:7" x14ac:dyDescent="0.3">
      <c r="A106" s="39" t="s">
        <v>2625</v>
      </c>
      <c r="B106" s="40" t="s">
        <v>532</v>
      </c>
      <c r="C106" s="15" t="s">
        <v>2840</v>
      </c>
      <c r="D106" s="15" t="str">
        <f>IF(ISNUMBER(INDEX(PBDEs!$G$4:$G$263,MATCH($B106,PBDEs!$B$4:$B$263,0))),INDEX(PBDEs!$G$4:$G$263,MATCH($B106,PBDEs!$B$4:$B$263,0)),"---")</f>
        <v>---</v>
      </c>
      <c r="E106" s="15" t="str">
        <f>IF(ISNUMBER(INDEX(PBDEs!$K$4:$K$263,MATCH($B106,PBDEs!$B$4:$B$263,0))),INDEX(PBDEs!$K$4:$K$263,MATCH($B106,PBDEs!$B$4:$B$263,0)),"---")</f>
        <v>---</v>
      </c>
      <c r="F106" s="15" t="str">
        <f>IF(ISNUMBER(INDEX(PBDEs!$S$4:$S$263,MATCH($B106,PBDEs!$B$4:$B$263,0))),INDEX(PBDEs!$S$4:$S$263,MATCH($B106,PBDEs!$B$4:$B$263,0)),"---")</f>
        <v>---</v>
      </c>
      <c r="G106" s="37" t="str">
        <f>IF(ISNUMBER(INDEX(PBDEs!$AA$4:$AA$263,MATCH($B106,PBDEs!$B$4:$B$263,0))),INDEX(PBDEs!$AA$4:$AA$263,MATCH($B106,PBDEs!$B$4:$B$263,0)),"---")</f>
        <v>---</v>
      </c>
    </row>
    <row r="107" spans="1:7" x14ac:dyDescent="0.3">
      <c r="A107" s="39" t="s">
        <v>2626</v>
      </c>
      <c r="B107" s="40" t="s">
        <v>533</v>
      </c>
      <c r="C107" s="15" t="s">
        <v>2841</v>
      </c>
      <c r="D107" s="15" t="str">
        <f>IF(ISNUMBER(INDEX(PBDEs!$G$4:$G$263,MATCH($B107,PBDEs!$B$4:$B$263,0))),INDEX(PBDEs!$G$4:$G$263,MATCH($B107,PBDEs!$B$4:$B$263,0)),"---")</f>
        <v>---</v>
      </c>
      <c r="E107" s="15" t="str">
        <f>IF(ISNUMBER(INDEX(PBDEs!$K$4:$K$263,MATCH($B107,PBDEs!$B$4:$B$263,0))),INDEX(PBDEs!$K$4:$K$263,MATCH($B107,PBDEs!$B$4:$B$263,0)),"---")</f>
        <v>---</v>
      </c>
      <c r="F107" s="15" t="str">
        <f>IF(ISNUMBER(INDEX(PBDEs!$S$4:$S$263,MATCH($B107,PBDEs!$B$4:$B$263,0))),INDEX(PBDEs!$S$4:$S$263,MATCH($B107,PBDEs!$B$4:$B$263,0)),"---")</f>
        <v>---</v>
      </c>
      <c r="G107" s="37" t="str">
        <f>IF(ISNUMBER(INDEX(PBDEs!$AA$4:$AA$263,MATCH($B107,PBDEs!$B$4:$B$263,0))),INDEX(PBDEs!$AA$4:$AA$263,MATCH($B107,PBDEs!$B$4:$B$263,0)),"---")</f>
        <v>---</v>
      </c>
    </row>
    <row r="108" spans="1:7" x14ac:dyDescent="0.3">
      <c r="A108" s="39" t="s">
        <v>2627</v>
      </c>
      <c r="B108" s="40" t="s">
        <v>534</v>
      </c>
      <c r="C108" s="15" t="s">
        <v>2842</v>
      </c>
      <c r="D108" s="15" t="str">
        <f>IF(ISNUMBER(INDEX(PBDEs!$G$4:$G$263,MATCH($B108,PBDEs!$B$4:$B$263,0))),INDEX(PBDEs!$G$4:$G$263,MATCH($B108,PBDEs!$B$4:$B$263,0)),"---")</f>
        <v>---</v>
      </c>
      <c r="E108" s="15" t="str">
        <f>IF(ISNUMBER(INDEX(PBDEs!$K$4:$K$263,MATCH($B108,PBDEs!$B$4:$B$263,0))),INDEX(PBDEs!$K$4:$K$263,MATCH($B108,PBDEs!$B$4:$B$263,0)),"---")</f>
        <v>---</v>
      </c>
      <c r="F108" s="15" t="str">
        <f>IF(ISNUMBER(INDEX(PBDEs!$S$4:$S$263,MATCH($B108,PBDEs!$B$4:$B$263,0))),INDEX(PBDEs!$S$4:$S$263,MATCH($B108,PBDEs!$B$4:$B$263,0)),"---")</f>
        <v>---</v>
      </c>
      <c r="G108" s="37" t="str">
        <f>IF(ISNUMBER(INDEX(PBDEs!$AA$4:$AA$263,MATCH($B108,PBDEs!$B$4:$B$263,0))),INDEX(PBDEs!$AA$4:$AA$263,MATCH($B108,PBDEs!$B$4:$B$263,0)),"---")</f>
        <v>---</v>
      </c>
    </row>
    <row r="109" spans="1:7" x14ac:dyDescent="0.3">
      <c r="A109" s="39" t="s">
        <v>2628</v>
      </c>
      <c r="B109" s="40" t="s">
        <v>535</v>
      </c>
      <c r="C109" s="15" t="s">
        <v>2843</v>
      </c>
      <c r="D109" s="15" t="str">
        <f>IF(ISNUMBER(INDEX(PBDEs!$G$4:$G$263,MATCH($B109,PBDEs!$B$4:$B$263,0))),INDEX(PBDEs!$G$4:$G$263,MATCH($B109,PBDEs!$B$4:$B$263,0)),"---")</f>
        <v>---</v>
      </c>
      <c r="E109" s="15" t="str">
        <f>IF(ISNUMBER(INDEX(PBDEs!$K$4:$K$263,MATCH($B109,PBDEs!$B$4:$B$263,0))),INDEX(PBDEs!$K$4:$K$263,MATCH($B109,PBDEs!$B$4:$B$263,0)),"---")</f>
        <v>---</v>
      </c>
      <c r="F109" s="15" t="str">
        <f>IF(ISNUMBER(INDEX(PBDEs!$S$4:$S$263,MATCH($B109,PBDEs!$B$4:$B$263,0))),INDEX(PBDEs!$S$4:$S$263,MATCH($B109,PBDEs!$B$4:$B$263,0)),"---")</f>
        <v>---</v>
      </c>
      <c r="G109" s="37" t="str">
        <f>IF(ISNUMBER(INDEX(PBDEs!$AA$4:$AA$263,MATCH($B109,PBDEs!$B$4:$B$263,0))),INDEX(PBDEs!$AA$4:$AA$263,MATCH($B109,PBDEs!$B$4:$B$263,0)),"---")</f>
        <v>---</v>
      </c>
    </row>
    <row r="110" spans="1:7" x14ac:dyDescent="0.3">
      <c r="A110" s="39" t="s">
        <v>2629</v>
      </c>
      <c r="B110" s="40" t="s">
        <v>536</v>
      </c>
      <c r="C110" s="15" t="s">
        <v>2844</v>
      </c>
      <c r="D110" s="15" t="str">
        <f>IF(ISNUMBER(INDEX(PBDEs!$G$4:$G$263,MATCH($B110,PBDEs!$B$4:$B$263,0))),INDEX(PBDEs!$G$4:$G$263,MATCH($B110,PBDEs!$B$4:$B$263,0)),"---")</f>
        <v>---</v>
      </c>
      <c r="E110" s="15" t="str">
        <f>IF(ISNUMBER(INDEX(PBDEs!$K$4:$K$263,MATCH($B110,PBDEs!$B$4:$B$263,0))),INDEX(PBDEs!$K$4:$K$263,MATCH($B110,PBDEs!$B$4:$B$263,0)),"---")</f>
        <v>---</v>
      </c>
      <c r="F110" s="15" t="str">
        <f>IF(ISNUMBER(INDEX(PBDEs!$S$4:$S$263,MATCH($B110,PBDEs!$B$4:$B$263,0))),INDEX(PBDEs!$S$4:$S$263,MATCH($B110,PBDEs!$B$4:$B$263,0)),"---")</f>
        <v>---</v>
      </c>
      <c r="G110" s="37" t="str">
        <f>IF(ISNUMBER(INDEX(PBDEs!$AA$4:$AA$263,MATCH($B110,PBDEs!$B$4:$B$263,0))),INDEX(PBDEs!$AA$4:$AA$263,MATCH($B110,PBDEs!$B$4:$B$263,0)),"---")</f>
        <v>---</v>
      </c>
    </row>
    <row r="111" spans="1:7" x14ac:dyDescent="0.3">
      <c r="A111" s="39" t="s">
        <v>2630</v>
      </c>
      <c r="B111" s="40" t="s">
        <v>537</v>
      </c>
      <c r="C111" s="15" t="s">
        <v>2845</v>
      </c>
      <c r="D111" s="15" t="str">
        <f>IF(ISNUMBER(INDEX(PBDEs!$G$4:$G$263,MATCH($B111,PBDEs!$B$4:$B$263,0))),INDEX(PBDEs!$G$4:$G$263,MATCH($B111,PBDEs!$B$4:$B$263,0)),"---")</f>
        <v>---</v>
      </c>
      <c r="E111" s="15" t="str">
        <f>IF(ISNUMBER(INDEX(PBDEs!$K$4:$K$263,MATCH($B111,PBDEs!$B$4:$B$263,0))),INDEX(PBDEs!$K$4:$K$263,MATCH($B111,PBDEs!$B$4:$B$263,0)),"---")</f>
        <v>---</v>
      </c>
      <c r="F111" s="15" t="str">
        <f>IF(ISNUMBER(INDEX(PBDEs!$S$4:$S$263,MATCH($B111,PBDEs!$B$4:$B$263,0))),INDEX(PBDEs!$S$4:$S$263,MATCH($B111,PBDEs!$B$4:$B$263,0)),"---")</f>
        <v>---</v>
      </c>
      <c r="G111" s="37" t="str">
        <f>IF(ISNUMBER(INDEX(PBDEs!$AA$4:$AA$263,MATCH($B111,PBDEs!$B$4:$B$263,0))),INDEX(PBDEs!$AA$4:$AA$263,MATCH($B111,PBDEs!$B$4:$B$263,0)),"---")</f>
        <v>---</v>
      </c>
    </row>
    <row r="112" spans="1:7" x14ac:dyDescent="0.3">
      <c r="A112" s="39" t="s">
        <v>2631</v>
      </c>
      <c r="B112" s="40" t="s">
        <v>538</v>
      </c>
      <c r="C112" s="15" t="s">
        <v>3139</v>
      </c>
      <c r="D112" s="15" t="str">
        <f>IF(ISNUMBER(INDEX(PBDEs!$G$4:$G$263,MATCH($B112,PBDEs!$B$4:$B$263,0))),INDEX(PBDEs!$G$4:$G$263,MATCH($B112,PBDEs!$B$4:$B$263,0)),"---")</f>
        <v>---</v>
      </c>
      <c r="E112" s="15" t="str">
        <f>IF(ISNUMBER(INDEX(PBDEs!$K$4:$K$263,MATCH($B112,PBDEs!$B$4:$B$263,0))),INDEX(PBDEs!$K$4:$K$263,MATCH($B112,PBDEs!$B$4:$B$263,0)),"---")</f>
        <v>---</v>
      </c>
      <c r="F112" s="15" t="str">
        <f>IF(ISNUMBER(INDEX(PBDEs!$S$4:$S$263,MATCH($B112,PBDEs!$B$4:$B$263,0))),INDEX(PBDEs!$S$4:$S$263,MATCH($B112,PBDEs!$B$4:$B$263,0)),"---")</f>
        <v>---</v>
      </c>
      <c r="G112" s="37" t="str">
        <f>IF(ISNUMBER(INDEX(PBDEs!$AA$4:$AA$263,MATCH($B112,PBDEs!$B$4:$B$263,0))),INDEX(PBDEs!$AA$4:$AA$263,MATCH($B112,PBDEs!$B$4:$B$263,0)),"---")</f>
        <v>---</v>
      </c>
    </row>
    <row r="113" spans="1:7" x14ac:dyDescent="0.3">
      <c r="A113" s="39" t="s">
        <v>2632</v>
      </c>
      <c r="B113" s="40" t="s">
        <v>539</v>
      </c>
      <c r="C113" s="15" t="s">
        <v>2846</v>
      </c>
      <c r="D113" s="15" t="str">
        <f>IF(ISNUMBER(INDEX(PBDEs!$G$4:$G$263,MATCH($B113,PBDEs!$B$4:$B$263,0))),INDEX(PBDEs!$G$4:$G$263,MATCH($B113,PBDEs!$B$4:$B$263,0)),"---")</f>
        <v>---</v>
      </c>
      <c r="E113" s="15" t="str">
        <f>IF(ISNUMBER(INDEX(PBDEs!$K$4:$K$263,MATCH($B113,PBDEs!$B$4:$B$263,0))),INDEX(PBDEs!$K$4:$K$263,MATCH($B113,PBDEs!$B$4:$B$263,0)),"---")</f>
        <v>---</v>
      </c>
      <c r="F113" s="15" t="str">
        <f>IF(ISNUMBER(INDEX(PBDEs!$S$4:$S$263,MATCH($B113,PBDEs!$B$4:$B$263,0))),INDEX(PBDEs!$S$4:$S$263,MATCH($B113,PBDEs!$B$4:$B$263,0)),"---")</f>
        <v>---</v>
      </c>
      <c r="G113" s="37" t="str">
        <f>IF(ISNUMBER(INDEX(PBDEs!$AA$4:$AA$263,MATCH($B113,PBDEs!$B$4:$B$263,0))),INDEX(PBDEs!$AA$4:$AA$263,MATCH($B113,PBDEs!$B$4:$B$263,0)),"---")</f>
        <v>---</v>
      </c>
    </row>
    <row r="114" spans="1:7" x14ac:dyDescent="0.3">
      <c r="A114" s="39" t="s">
        <v>2633</v>
      </c>
      <c r="B114" s="40" t="s">
        <v>540</v>
      </c>
      <c r="C114" s="15" t="s">
        <v>2847</v>
      </c>
      <c r="D114" s="15" t="str">
        <f>IF(ISNUMBER(INDEX(PBDEs!$G$4:$G$263,MATCH($B114,PBDEs!$B$4:$B$263,0))),INDEX(PBDEs!$G$4:$G$263,MATCH($B114,PBDEs!$B$4:$B$263,0)),"---")</f>
        <v>---</v>
      </c>
      <c r="E114" s="15" t="str">
        <f>IF(ISNUMBER(INDEX(PBDEs!$K$4:$K$263,MATCH($B114,PBDEs!$B$4:$B$263,0))),INDEX(PBDEs!$K$4:$K$263,MATCH($B114,PBDEs!$B$4:$B$263,0)),"---")</f>
        <v>---</v>
      </c>
      <c r="F114" s="15" t="str">
        <f>IF(ISNUMBER(INDEX(PBDEs!$S$4:$S$263,MATCH($B114,PBDEs!$B$4:$B$263,0))),INDEX(PBDEs!$S$4:$S$263,MATCH($B114,PBDEs!$B$4:$B$263,0)),"---")</f>
        <v>---</v>
      </c>
      <c r="G114" s="37" t="str">
        <f>IF(ISNUMBER(INDEX(PBDEs!$AA$4:$AA$263,MATCH($B114,PBDEs!$B$4:$B$263,0))),INDEX(PBDEs!$AA$4:$AA$263,MATCH($B114,PBDEs!$B$4:$B$263,0)),"---")</f>
        <v>---</v>
      </c>
    </row>
    <row r="115" spans="1:7" x14ac:dyDescent="0.3">
      <c r="A115" s="39" t="s">
        <v>2634</v>
      </c>
      <c r="B115" s="40" t="s">
        <v>541</v>
      </c>
      <c r="C115" s="15" t="s">
        <v>3140</v>
      </c>
      <c r="D115" s="15" t="str">
        <f>IF(ISNUMBER(INDEX(PBDEs!$G$4:$G$263,MATCH($B115,PBDEs!$B$4:$B$263,0))),INDEX(PBDEs!$G$4:$G$263,MATCH($B115,PBDEs!$B$4:$B$263,0)),"---")</f>
        <v>---</v>
      </c>
      <c r="E115" s="15" t="str">
        <f>IF(ISNUMBER(INDEX(PBDEs!$K$4:$K$263,MATCH($B115,PBDEs!$B$4:$B$263,0))),INDEX(PBDEs!$K$4:$K$263,MATCH($B115,PBDEs!$B$4:$B$263,0)),"---")</f>
        <v>---</v>
      </c>
      <c r="F115" s="15" t="str">
        <f>IF(ISNUMBER(INDEX(PBDEs!$S$4:$S$263,MATCH($B115,PBDEs!$B$4:$B$263,0))),INDEX(PBDEs!$S$4:$S$263,MATCH($B115,PBDEs!$B$4:$B$263,0)),"---")</f>
        <v>---</v>
      </c>
      <c r="G115" s="37" t="str">
        <f>IF(ISNUMBER(INDEX(PBDEs!$AA$4:$AA$263,MATCH($B115,PBDEs!$B$4:$B$263,0))),INDEX(PBDEs!$AA$4:$AA$263,MATCH($B115,PBDEs!$B$4:$B$263,0)),"---")</f>
        <v>---</v>
      </c>
    </row>
    <row r="116" spans="1:7" x14ac:dyDescent="0.3">
      <c r="A116" s="39" t="s">
        <v>2635</v>
      </c>
      <c r="B116" s="40" t="s">
        <v>542</v>
      </c>
      <c r="C116" s="15" t="s">
        <v>2848</v>
      </c>
      <c r="D116" s="15" t="str">
        <f>IF(ISNUMBER(INDEX(PBDEs!$G$4:$G$263,MATCH($B116,PBDEs!$B$4:$B$263,0))),INDEX(PBDEs!$G$4:$G$263,MATCH($B116,PBDEs!$B$4:$B$263,0)),"---")</f>
        <v>---</v>
      </c>
      <c r="E116" s="15" t="str">
        <f>IF(ISNUMBER(INDEX(PBDEs!$K$4:$K$263,MATCH($B116,PBDEs!$B$4:$B$263,0))),INDEX(PBDEs!$K$4:$K$263,MATCH($B116,PBDEs!$B$4:$B$263,0)),"---")</f>
        <v>---</v>
      </c>
      <c r="F116" s="15" t="str">
        <f>IF(ISNUMBER(INDEX(PBDEs!$S$4:$S$263,MATCH($B116,PBDEs!$B$4:$B$263,0))),INDEX(PBDEs!$S$4:$S$263,MATCH($B116,PBDEs!$B$4:$B$263,0)),"---")</f>
        <v>---</v>
      </c>
      <c r="G116" s="37" t="str">
        <f>IF(ISNUMBER(INDEX(PBDEs!$AA$4:$AA$263,MATCH($B116,PBDEs!$B$4:$B$263,0))),INDEX(PBDEs!$AA$4:$AA$263,MATCH($B116,PBDEs!$B$4:$B$263,0)),"---")</f>
        <v>---</v>
      </c>
    </row>
    <row r="117" spans="1:7" x14ac:dyDescent="0.3">
      <c r="A117" s="39" t="s">
        <v>2636</v>
      </c>
      <c r="B117" s="40" t="s">
        <v>543</v>
      </c>
      <c r="C117" s="15" t="s">
        <v>3141</v>
      </c>
      <c r="D117" s="15" t="str">
        <f>IF(ISNUMBER(INDEX(PBDEs!$G$4:$G$263,MATCH($B117,PBDEs!$B$4:$B$263,0))),INDEX(PBDEs!$G$4:$G$263,MATCH($B117,PBDEs!$B$4:$B$263,0)),"---")</f>
        <v>---</v>
      </c>
      <c r="E117" s="15" t="str">
        <f>IF(ISNUMBER(INDEX(PBDEs!$K$4:$K$263,MATCH($B117,PBDEs!$B$4:$B$263,0))),INDEX(PBDEs!$K$4:$K$263,MATCH($B117,PBDEs!$B$4:$B$263,0)),"---")</f>
        <v>---</v>
      </c>
      <c r="F117" s="15" t="str">
        <f>IF(ISNUMBER(INDEX(PBDEs!$S$4:$S$263,MATCH($B117,PBDEs!$B$4:$B$263,0))),INDEX(PBDEs!$S$4:$S$263,MATCH($B117,PBDEs!$B$4:$B$263,0)),"---")</f>
        <v>---</v>
      </c>
      <c r="G117" s="37" t="str">
        <f>IF(ISNUMBER(INDEX(PBDEs!$AA$4:$AA$263,MATCH($B117,PBDEs!$B$4:$B$263,0))),INDEX(PBDEs!$AA$4:$AA$263,MATCH($B117,PBDEs!$B$4:$B$263,0)),"---")</f>
        <v>---</v>
      </c>
    </row>
    <row r="118" spans="1:7" x14ac:dyDescent="0.3">
      <c r="A118" s="39" t="s">
        <v>2637</v>
      </c>
      <c r="B118" s="40" t="s">
        <v>544</v>
      </c>
      <c r="C118" s="15" t="s">
        <v>3142</v>
      </c>
      <c r="D118" s="15" t="str">
        <f>IF(ISNUMBER(INDEX(PBDEs!$G$4:$G$263,MATCH($B118,PBDEs!$B$4:$B$263,0))),INDEX(PBDEs!$G$4:$G$263,MATCH($B118,PBDEs!$B$4:$B$263,0)),"---")</f>
        <v>---</v>
      </c>
      <c r="E118" s="15" t="str">
        <f>IF(ISNUMBER(INDEX(PBDEs!$K$4:$K$263,MATCH($B118,PBDEs!$B$4:$B$263,0))),INDEX(PBDEs!$K$4:$K$263,MATCH($B118,PBDEs!$B$4:$B$263,0)),"---")</f>
        <v>---</v>
      </c>
      <c r="F118" s="15" t="str">
        <f>IF(ISNUMBER(INDEX(PBDEs!$S$4:$S$263,MATCH($B118,PBDEs!$B$4:$B$263,0))),INDEX(PBDEs!$S$4:$S$263,MATCH($B118,PBDEs!$B$4:$B$263,0)),"---")</f>
        <v>---</v>
      </c>
      <c r="G118" s="37" t="str">
        <f>IF(ISNUMBER(INDEX(PBDEs!$AA$4:$AA$263,MATCH($B118,PBDEs!$B$4:$B$263,0))),INDEX(PBDEs!$AA$4:$AA$263,MATCH($B118,PBDEs!$B$4:$B$263,0)),"---")</f>
        <v>---</v>
      </c>
    </row>
    <row r="119" spans="1:7" x14ac:dyDescent="0.3">
      <c r="A119" s="39" t="s">
        <v>2638</v>
      </c>
      <c r="B119" s="40" t="s">
        <v>545</v>
      </c>
      <c r="C119" s="15" t="s">
        <v>2849</v>
      </c>
      <c r="D119" s="15" t="str">
        <f>IF(ISNUMBER(INDEX(PBDEs!$G$4:$G$263,MATCH($B119,PBDEs!$B$4:$B$263,0))),INDEX(PBDEs!$G$4:$G$263,MATCH($B119,PBDEs!$B$4:$B$263,0)),"---")</f>
        <v>---</v>
      </c>
      <c r="E119" s="15" t="str">
        <f>IF(ISNUMBER(INDEX(PBDEs!$K$4:$K$263,MATCH($B119,PBDEs!$B$4:$B$263,0))),INDEX(PBDEs!$K$4:$K$263,MATCH($B119,PBDEs!$B$4:$B$263,0)),"---")</f>
        <v>---</v>
      </c>
      <c r="F119" s="15" t="str">
        <f>IF(ISNUMBER(INDEX(PBDEs!$S$4:$S$263,MATCH($B119,PBDEs!$B$4:$B$263,0))),INDEX(PBDEs!$S$4:$S$263,MATCH($B119,PBDEs!$B$4:$B$263,0)),"---")</f>
        <v>---</v>
      </c>
      <c r="G119" s="37" t="str">
        <f>IF(ISNUMBER(INDEX(PBDEs!$AA$4:$AA$263,MATCH($B119,PBDEs!$B$4:$B$263,0))),INDEX(PBDEs!$AA$4:$AA$263,MATCH($B119,PBDEs!$B$4:$B$263,0)),"---")</f>
        <v>---</v>
      </c>
    </row>
    <row r="120" spans="1:7" x14ac:dyDescent="0.3">
      <c r="A120" s="39" t="s">
        <v>2639</v>
      </c>
      <c r="B120" s="40" t="s">
        <v>546</v>
      </c>
      <c r="C120" s="15" t="s">
        <v>2850</v>
      </c>
      <c r="D120" s="15" t="str">
        <f>IF(ISNUMBER(INDEX(PBDEs!$G$4:$G$263,MATCH($B120,PBDEs!$B$4:$B$263,0))),INDEX(PBDEs!$G$4:$G$263,MATCH($B120,PBDEs!$B$4:$B$263,0)),"---")</f>
        <v>---</v>
      </c>
      <c r="E120" s="15" t="str">
        <f>IF(ISNUMBER(INDEX(PBDEs!$K$4:$K$263,MATCH($B120,PBDEs!$B$4:$B$263,0))),INDEX(PBDEs!$K$4:$K$263,MATCH($B120,PBDEs!$B$4:$B$263,0)),"---")</f>
        <v>---</v>
      </c>
      <c r="F120" s="15">
        <f>IF(ISNUMBER(INDEX(PBDEs!$S$4:$S$263,MATCH($B120,PBDEs!$B$4:$B$263,0))),INDEX(PBDEs!$S$4:$S$263,MATCH($B120,PBDEs!$B$4:$B$263,0)),"---")</f>
        <v>2.8347336705457505E-8</v>
      </c>
      <c r="G120" s="37" t="str">
        <f>IF(ISNUMBER(INDEX(PBDEs!$AA$4:$AA$263,MATCH($B120,PBDEs!$B$4:$B$263,0))),INDEX(PBDEs!$AA$4:$AA$263,MATCH($B120,PBDEs!$B$4:$B$263,0)),"---")</f>
        <v>---</v>
      </c>
    </row>
    <row r="121" spans="1:7" x14ac:dyDescent="0.3">
      <c r="A121" s="39" t="s">
        <v>2640</v>
      </c>
      <c r="B121" s="40" t="s">
        <v>547</v>
      </c>
      <c r="C121" s="15" t="s">
        <v>2851</v>
      </c>
      <c r="D121" s="15" t="str">
        <f>IF(ISNUMBER(INDEX(PBDEs!$G$4:$G$263,MATCH($B121,PBDEs!$B$4:$B$263,0))),INDEX(PBDEs!$G$4:$G$263,MATCH($B121,PBDEs!$B$4:$B$263,0)),"---")</f>
        <v>---</v>
      </c>
      <c r="E121" s="15">
        <f>IF(ISNUMBER(INDEX(PBDEs!$K$4:$K$263,MATCH($B121,PBDEs!$B$4:$B$263,0))),INDEX(PBDEs!$K$4:$K$263,MATCH($B121,PBDEs!$B$4:$B$263,0)),"---")</f>
        <v>199.75</v>
      </c>
      <c r="F121" s="15" t="str">
        <f>IF(ISNUMBER(INDEX(PBDEs!$S$4:$S$263,MATCH($B121,PBDEs!$B$4:$B$263,0))),INDEX(PBDEs!$S$4:$S$263,MATCH($B121,PBDEs!$B$4:$B$263,0)),"---")</f>
        <v>---</v>
      </c>
      <c r="G121" s="37" t="str">
        <f>IF(ISNUMBER(INDEX(PBDEs!$AA$4:$AA$263,MATCH($B121,PBDEs!$B$4:$B$263,0))),INDEX(PBDEs!$AA$4:$AA$263,MATCH($B121,PBDEs!$B$4:$B$263,0)),"---")</f>
        <v>---</v>
      </c>
    </row>
    <row r="122" spans="1:7" x14ac:dyDescent="0.3">
      <c r="A122" s="39" t="s">
        <v>2641</v>
      </c>
      <c r="B122" s="40" t="s">
        <v>548</v>
      </c>
      <c r="C122" s="15" t="s">
        <v>3143</v>
      </c>
      <c r="D122" s="15" t="str">
        <f>IF(ISNUMBER(INDEX(PBDEs!$G$4:$G$263,MATCH($B122,PBDEs!$B$4:$B$263,0))),INDEX(PBDEs!$G$4:$G$263,MATCH($B122,PBDEs!$B$4:$B$263,0)),"---")</f>
        <v>---</v>
      </c>
      <c r="E122" s="15" t="str">
        <f>IF(ISNUMBER(INDEX(PBDEs!$K$4:$K$263,MATCH($B122,PBDEs!$B$4:$B$263,0))),INDEX(PBDEs!$K$4:$K$263,MATCH($B122,PBDEs!$B$4:$B$263,0)),"---")</f>
        <v>---</v>
      </c>
      <c r="F122" s="15" t="str">
        <f>IF(ISNUMBER(INDEX(PBDEs!$S$4:$S$263,MATCH($B122,PBDEs!$B$4:$B$263,0))),INDEX(PBDEs!$S$4:$S$263,MATCH($B122,PBDEs!$B$4:$B$263,0)),"---")</f>
        <v>---</v>
      </c>
      <c r="G122" s="37" t="str">
        <f>IF(ISNUMBER(INDEX(PBDEs!$AA$4:$AA$263,MATCH($B122,PBDEs!$B$4:$B$263,0))),INDEX(PBDEs!$AA$4:$AA$263,MATCH($B122,PBDEs!$B$4:$B$263,0)),"---")</f>
        <v>---</v>
      </c>
    </row>
    <row r="123" spans="1:7" x14ac:dyDescent="0.3">
      <c r="A123" s="39" t="s">
        <v>2642</v>
      </c>
      <c r="B123" s="40" t="s">
        <v>549</v>
      </c>
      <c r="C123" s="15" t="s">
        <v>2852</v>
      </c>
      <c r="D123" s="15" t="str">
        <f>IF(ISNUMBER(INDEX(PBDEs!$G$4:$G$263,MATCH($B123,PBDEs!$B$4:$B$263,0))),INDEX(PBDEs!$G$4:$G$263,MATCH($B123,PBDEs!$B$4:$B$263,0)),"---")</f>
        <v>---</v>
      </c>
      <c r="E123" s="15" t="str">
        <f>IF(ISNUMBER(INDEX(PBDEs!$K$4:$K$263,MATCH($B123,PBDEs!$B$4:$B$263,0))),INDEX(PBDEs!$K$4:$K$263,MATCH($B123,PBDEs!$B$4:$B$263,0)),"---")</f>
        <v>---</v>
      </c>
      <c r="F123" s="15" t="str">
        <f>IF(ISNUMBER(INDEX(PBDEs!$S$4:$S$263,MATCH($B123,PBDEs!$B$4:$B$263,0))),INDEX(PBDEs!$S$4:$S$263,MATCH($B123,PBDEs!$B$4:$B$263,0)),"---")</f>
        <v>---</v>
      </c>
      <c r="G123" s="37" t="str">
        <f>IF(ISNUMBER(INDEX(PBDEs!$AA$4:$AA$263,MATCH($B123,PBDEs!$B$4:$B$263,0))),INDEX(PBDEs!$AA$4:$AA$263,MATCH($B123,PBDEs!$B$4:$B$263,0)),"---")</f>
        <v>---</v>
      </c>
    </row>
    <row r="124" spans="1:7" x14ac:dyDescent="0.3">
      <c r="A124" s="39" t="s">
        <v>2643</v>
      </c>
      <c r="B124" s="40" t="s">
        <v>550</v>
      </c>
      <c r="C124" s="15" t="s">
        <v>2853</v>
      </c>
      <c r="D124" s="15" t="str">
        <f>IF(ISNUMBER(INDEX(PBDEs!$G$4:$G$263,MATCH($B124,PBDEs!$B$4:$B$263,0))),INDEX(PBDEs!$G$4:$G$263,MATCH($B124,PBDEs!$B$4:$B$263,0)),"---")</f>
        <v>---</v>
      </c>
      <c r="E124" s="15">
        <f>IF(ISNUMBER(INDEX(PBDEs!$K$4:$K$263,MATCH($B124,PBDEs!$B$4:$B$263,0))),INDEX(PBDEs!$K$4:$K$263,MATCH($B124,PBDEs!$B$4:$B$263,0)),"---")</f>
        <v>86.5</v>
      </c>
      <c r="F124" s="15" t="str">
        <f>IF(ISNUMBER(INDEX(PBDEs!$S$4:$S$263,MATCH($B124,PBDEs!$B$4:$B$263,0))),INDEX(PBDEs!$S$4:$S$263,MATCH($B124,PBDEs!$B$4:$B$263,0)),"---")</f>
        <v>---</v>
      </c>
      <c r="G124" s="37" t="str">
        <f>IF(ISNUMBER(INDEX(PBDEs!$AA$4:$AA$263,MATCH($B124,PBDEs!$B$4:$B$263,0))),INDEX(PBDEs!$AA$4:$AA$263,MATCH($B124,PBDEs!$B$4:$B$263,0)),"---")</f>
        <v>---</v>
      </c>
    </row>
    <row r="125" spans="1:7" x14ac:dyDescent="0.3">
      <c r="A125" s="39" t="s">
        <v>2644</v>
      </c>
      <c r="B125" s="40" t="s">
        <v>551</v>
      </c>
      <c r="C125" s="15" t="s">
        <v>3144</v>
      </c>
      <c r="D125" s="15" t="str">
        <f>IF(ISNUMBER(INDEX(PBDEs!$G$4:$G$263,MATCH($B125,PBDEs!$B$4:$B$263,0))),INDEX(PBDEs!$G$4:$G$263,MATCH($B125,PBDEs!$B$4:$B$263,0)),"---")</f>
        <v>---</v>
      </c>
      <c r="E125" s="15" t="str">
        <f>IF(ISNUMBER(INDEX(PBDEs!$K$4:$K$263,MATCH($B125,PBDEs!$B$4:$B$263,0))),INDEX(PBDEs!$K$4:$K$263,MATCH($B125,PBDEs!$B$4:$B$263,0)),"---")</f>
        <v>---</v>
      </c>
      <c r="F125" s="15" t="str">
        <f>IF(ISNUMBER(INDEX(PBDEs!$S$4:$S$263,MATCH($B125,PBDEs!$B$4:$B$263,0))),INDEX(PBDEs!$S$4:$S$263,MATCH($B125,PBDEs!$B$4:$B$263,0)),"---")</f>
        <v>---</v>
      </c>
      <c r="G125" s="37" t="str">
        <f>IF(ISNUMBER(INDEX(PBDEs!$AA$4:$AA$263,MATCH($B125,PBDEs!$B$4:$B$263,0))),INDEX(PBDEs!$AA$4:$AA$263,MATCH($B125,PBDEs!$B$4:$B$263,0)),"---")</f>
        <v>---</v>
      </c>
    </row>
    <row r="126" spans="1:7" x14ac:dyDescent="0.3">
      <c r="A126" s="39" t="s">
        <v>2645</v>
      </c>
      <c r="B126" s="40" t="s">
        <v>552</v>
      </c>
      <c r="C126" s="15" t="s">
        <v>3145</v>
      </c>
      <c r="D126" s="15" t="str">
        <f>IF(ISNUMBER(INDEX(PBDEs!$G$4:$G$263,MATCH($B126,PBDEs!$B$4:$B$263,0))),INDEX(PBDEs!$G$4:$G$263,MATCH($B126,PBDEs!$B$4:$B$263,0)),"---")</f>
        <v>---</v>
      </c>
      <c r="E126" s="15" t="str">
        <f>IF(ISNUMBER(INDEX(PBDEs!$K$4:$K$263,MATCH($B126,PBDEs!$B$4:$B$263,0))),INDEX(PBDEs!$K$4:$K$263,MATCH($B126,PBDEs!$B$4:$B$263,0)),"---")</f>
        <v>---</v>
      </c>
      <c r="F126" s="15" t="str">
        <f>IF(ISNUMBER(INDEX(PBDEs!$S$4:$S$263,MATCH($B126,PBDEs!$B$4:$B$263,0))),INDEX(PBDEs!$S$4:$S$263,MATCH($B126,PBDEs!$B$4:$B$263,0)),"---")</f>
        <v>---</v>
      </c>
      <c r="G126" s="37" t="str">
        <f>IF(ISNUMBER(INDEX(PBDEs!$AA$4:$AA$263,MATCH($B126,PBDEs!$B$4:$B$263,0))),INDEX(PBDEs!$AA$4:$AA$263,MATCH($B126,PBDEs!$B$4:$B$263,0)),"---")</f>
        <v>---</v>
      </c>
    </row>
    <row r="127" spans="1:7" x14ac:dyDescent="0.3">
      <c r="A127" s="39" t="s">
        <v>2646</v>
      </c>
      <c r="B127" s="40" t="s">
        <v>553</v>
      </c>
      <c r="C127" s="15" t="s">
        <v>3146</v>
      </c>
      <c r="D127" s="15" t="str">
        <f>IF(ISNUMBER(INDEX(PBDEs!$G$4:$G$263,MATCH($B127,PBDEs!$B$4:$B$263,0))),INDEX(PBDEs!$G$4:$G$263,MATCH($B127,PBDEs!$B$4:$B$263,0)),"---")</f>
        <v>---</v>
      </c>
      <c r="E127" s="15" t="str">
        <f>IF(ISNUMBER(INDEX(PBDEs!$K$4:$K$263,MATCH($B127,PBDEs!$B$4:$B$263,0))),INDEX(PBDEs!$K$4:$K$263,MATCH($B127,PBDEs!$B$4:$B$263,0)),"---")</f>
        <v>---</v>
      </c>
      <c r="F127" s="15" t="str">
        <f>IF(ISNUMBER(INDEX(PBDEs!$S$4:$S$263,MATCH($B127,PBDEs!$B$4:$B$263,0))),INDEX(PBDEs!$S$4:$S$263,MATCH($B127,PBDEs!$B$4:$B$263,0)),"---")</f>
        <v>---</v>
      </c>
      <c r="G127" s="37" t="str">
        <f>IF(ISNUMBER(INDEX(PBDEs!$AA$4:$AA$263,MATCH($B127,PBDEs!$B$4:$B$263,0))),INDEX(PBDEs!$AA$4:$AA$263,MATCH($B127,PBDEs!$B$4:$B$263,0)),"---")</f>
        <v>---</v>
      </c>
    </row>
    <row r="128" spans="1:7" x14ac:dyDescent="0.3">
      <c r="A128" s="39" t="s">
        <v>2647</v>
      </c>
      <c r="B128" s="40" t="s">
        <v>554</v>
      </c>
      <c r="C128" s="15" t="s">
        <v>3147</v>
      </c>
      <c r="D128" s="15" t="str">
        <f>IF(ISNUMBER(INDEX(PBDEs!$G$4:$G$263,MATCH($B128,PBDEs!$B$4:$B$263,0))),INDEX(PBDEs!$G$4:$G$263,MATCH($B128,PBDEs!$B$4:$B$263,0)),"---")</f>
        <v>---</v>
      </c>
      <c r="E128" s="15" t="str">
        <f>IF(ISNUMBER(INDEX(PBDEs!$K$4:$K$263,MATCH($B128,PBDEs!$B$4:$B$263,0))),INDEX(PBDEs!$K$4:$K$263,MATCH($B128,PBDEs!$B$4:$B$263,0)),"---")</f>
        <v>---</v>
      </c>
      <c r="F128" s="15" t="str">
        <f>IF(ISNUMBER(INDEX(PBDEs!$S$4:$S$263,MATCH($B128,PBDEs!$B$4:$B$263,0))),INDEX(PBDEs!$S$4:$S$263,MATCH($B128,PBDEs!$B$4:$B$263,0)),"---")</f>
        <v>---</v>
      </c>
      <c r="G128" s="37" t="str">
        <f>IF(ISNUMBER(INDEX(PBDEs!$AA$4:$AA$263,MATCH($B128,PBDEs!$B$4:$B$263,0))),INDEX(PBDEs!$AA$4:$AA$263,MATCH($B128,PBDEs!$B$4:$B$263,0)),"---")</f>
        <v>---</v>
      </c>
    </row>
    <row r="129" spans="1:7" x14ac:dyDescent="0.3">
      <c r="A129" s="39" t="s">
        <v>2648</v>
      </c>
      <c r="B129" s="40" t="s">
        <v>555</v>
      </c>
      <c r="C129" s="15" t="s">
        <v>3148</v>
      </c>
      <c r="D129" s="15" t="str">
        <f>IF(ISNUMBER(INDEX(PBDEs!$G$4:$G$263,MATCH($B129,PBDEs!$B$4:$B$263,0))),INDEX(PBDEs!$G$4:$G$263,MATCH($B129,PBDEs!$B$4:$B$263,0)),"---")</f>
        <v>---</v>
      </c>
      <c r="E129" s="15" t="str">
        <f>IF(ISNUMBER(INDEX(PBDEs!$K$4:$K$263,MATCH($B129,PBDEs!$B$4:$B$263,0))),INDEX(PBDEs!$K$4:$K$263,MATCH($B129,PBDEs!$B$4:$B$263,0)),"---")</f>
        <v>---</v>
      </c>
      <c r="F129" s="15" t="str">
        <f>IF(ISNUMBER(INDEX(PBDEs!$S$4:$S$263,MATCH($B129,PBDEs!$B$4:$B$263,0))),INDEX(PBDEs!$S$4:$S$263,MATCH($B129,PBDEs!$B$4:$B$263,0)),"---")</f>
        <v>---</v>
      </c>
      <c r="G129" s="37" t="str">
        <f>IF(ISNUMBER(INDEX(PBDEs!$AA$4:$AA$263,MATCH($B129,PBDEs!$B$4:$B$263,0))),INDEX(PBDEs!$AA$4:$AA$263,MATCH($B129,PBDEs!$B$4:$B$263,0)),"---")</f>
        <v>---</v>
      </c>
    </row>
    <row r="130" spans="1:7" x14ac:dyDescent="0.3">
      <c r="A130" s="39" t="s">
        <v>2649</v>
      </c>
      <c r="B130" s="40" t="s">
        <v>556</v>
      </c>
      <c r="C130" s="15" t="s">
        <v>3149</v>
      </c>
      <c r="D130" s="15" t="str">
        <f>IF(ISNUMBER(INDEX(PBDEs!$G$4:$G$263,MATCH($B130,PBDEs!$B$4:$B$263,0))),INDEX(PBDEs!$G$4:$G$263,MATCH($B130,PBDEs!$B$4:$B$263,0)),"---")</f>
        <v>---</v>
      </c>
      <c r="E130" s="15" t="str">
        <f>IF(ISNUMBER(INDEX(PBDEs!$K$4:$K$263,MATCH($B130,PBDEs!$B$4:$B$263,0))),INDEX(PBDEs!$K$4:$K$263,MATCH($B130,PBDEs!$B$4:$B$263,0)),"---")</f>
        <v>---</v>
      </c>
      <c r="F130" s="15" t="str">
        <f>IF(ISNUMBER(INDEX(PBDEs!$S$4:$S$263,MATCH($B130,PBDEs!$B$4:$B$263,0))),INDEX(PBDEs!$S$4:$S$263,MATCH($B130,PBDEs!$B$4:$B$263,0)),"---")</f>
        <v>---</v>
      </c>
      <c r="G130" s="37" t="str">
        <f>IF(ISNUMBER(INDEX(PBDEs!$AA$4:$AA$263,MATCH($B130,PBDEs!$B$4:$B$263,0))),INDEX(PBDEs!$AA$4:$AA$263,MATCH($B130,PBDEs!$B$4:$B$263,0)),"---")</f>
        <v>---</v>
      </c>
    </row>
    <row r="131" spans="1:7" x14ac:dyDescent="0.3">
      <c r="A131" s="39" t="s">
        <v>2650</v>
      </c>
      <c r="B131" s="40" t="s">
        <v>557</v>
      </c>
      <c r="C131" s="15" t="s">
        <v>2879</v>
      </c>
      <c r="D131" s="15" t="str">
        <f>IF(ISNUMBER(INDEX(PBDEs!$G$4:$G$263,MATCH($B131,PBDEs!$B$4:$B$263,0))),INDEX(PBDEs!$G$4:$G$263,MATCH($B131,PBDEs!$B$4:$B$263,0)),"---")</f>
        <v>---</v>
      </c>
      <c r="E131" s="15" t="str">
        <f>IF(ISNUMBER(INDEX(PBDEs!$K$4:$K$263,MATCH($B131,PBDEs!$B$4:$B$263,0))),INDEX(PBDEs!$K$4:$K$263,MATCH($B131,PBDEs!$B$4:$B$263,0)),"---")</f>
        <v>---</v>
      </c>
      <c r="F131" s="15" t="str">
        <f>IF(ISNUMBER(INDEX(PBDEs!$S$4:$S$263,MATCH($B131,PBDEs!$B$4:$B$263,0))),INDEX(PBDEs!$S$4:$S$263,MATCH($B131,PBDEs!$B$4:$B$263,0)),"---")</f>
        <v>---</v>
      </c>
      <c r="G131" s="37" t="str">
        <f>IF(ISNUMBER(INDEX(PBDEs!$AA$4:$AA$263,MATCH($B131,PBDEs!$B$4:$B$263,0))),INDEX(PBDEs!$AA$4:$AA$263,MATCH($B131,PBDEs!$B$4:$B$263,0)),"---")</f>
        <v>---</v>
      </c>
    </row>
    <row r="132" spans="1:7" x14ac:dyDescent="0.3">
      <c r="A132" s="39" t="s">
        <v>2651</v>
      </c>
      <c r="B132" s="40" t="s">
        <v>558</v>
      </c>
      <c r="C132" s="15" t="s">
        <v>3150</v>
      </c>
      <c r="D132" s="15" t="str">
        <f>IF(ISNUMBER(INDEX(PBDEs!$G$4:$G$263,MATCH($B132,PBDEs!$B$4:$B$263,0))),INDEX(PBDEs!$G$4:$G$263,MATCH($B132,PBDEs!$B$4:$B$263,0)),"---")</f>
        <v>---</v>
      </c>
      <c r="E132" s="15" t="str">
        <f>IF(ISNUMBER(INDEX(PBDEs!$K$4:$K$263,MATCH($B132,PBDEs!$B$4:$B$263,0))),INDEX(PBDEs!$K$4:$K$263,MATCH($B132,PBDEs!$B$4:$B$263,0)),"---")</f>
        <v>---</v>
      </c>
      <c r="F132" s="15" t="str">
        <f>IF(ISNUMBER(INDEX(PBDEs!$S$4:$S$263,MATCH($B132,PBDEs!$B$4:$B$263,0))),INDEX(PBDEs!$S$4:$S$263,MATCH($B132,PBDEs!$B$4:$B$263,0)),"---")</f>
        <v>---</v>
      </c>
      <c r="G132" s="37" t="str">
        <f>IF(ISNUMBER(INDEX(PBDEs!$AA$4:$AA$263,MATCH($B132,PBDEs!$B$4:$B$263,0))),INDEX(PBDEs!$AA$4:$AA$263,MATCH($B132,PBDEs!$B$4:$B$263,0)),"---")</f>
        <v>---</v>
      </c>
    </row>
    <row r="133" spans="1:7" x14ac:dyDescent="0.3">
      <c r="A133" s="39" t="s">
        <v>2652</v>
      </c>
      <c r="B133" s="40" t="s">
        <v>559</v>
      </c>
      <c r="C133" s="15" t="s">
        <v>3151</v>
      </c>
      <c r="D133" s="15" t="str">
        <f>IF(ISNUMBER(INDEX(PBDEs!$G$4:$G$263,MATCH($B133,PBDEs!$B$4:$B$263,0))),INDEX(PBDEs!$G$4:$G$263,MATCH($B133,PBDEs!$B$4:$B$263,0)),"---")</f>
        <v>---</v>
      </c>
      <c r="E133" s="15">
        <f>IF(ISNUMBER(INDEX(PBDEs!$K$4:$K$263,MATCH($B133,PBDEs!$B$4:$B$263,0))),INDEX(PBDEs!$K$4:$K$263,MATCH($B133,PBDEs!$B$4:$B$263,0)),"---")</f>
        <v>182.55</v>
      </c>
      <c r="F133" s="15" t="str">
        <f>IF(ISNUMBER(INDEX(PBDEs!$S$4:$S$263,MATCH($B133,PBDEs!$B$4:$B$263,0))),INDEX(PBDEs!$S$4:$S$263,MATCH($B133,PBDEs!$B$4:$B$263,0)),"---")</f>
        <v>---</v>
      </c>
      <c r="G133" s="37" t="str">
        <f>IF(ISNUMBER(INDEX(PBDEs!$AA$4:$AA$263,MATCH($B133,PBDEs!$B$4:$B$263,0))),INDEX(PBDEs!$AA$4:$AA$263,MATCH($B133,PBDEs!$B$4:$B$263,0)),"---")</f>
        <v>---</v>
      </c>
    </row>
    <row r="134" spans="1:7" x14ac:dyDescent="0.3">
      <c r="A134" s="39" t="s">
        <v>2653</v>
      </c>
      <c r="B134" s="40" t="s">
        <v>560</v>
      </c>
      <c r="C134" s="15" t="s">
        <v>3152</v>
      </c>
      <c r="D134" s="15" t="str">
        <f>IF(ISNUMBER(INDEX(PBDEs!$G$4:$G$263,MATCH($B134,PBDEs!$B$4:$B$263,0))),INDEX(PBDEs!$G$4:$G$263,MATCH($B134,PBDEs!$B$4:$B$263,0)),"---")</f>
        <v>---</v>
      </c>
      <c r="E134" s="15" t="str">
        <f>IF(ISNUMBER(INDEX(PBDEs!$K$4:$K$263,MATCH($B134,PBDEs!$B$4:$B$263,0))),INDEX(PBDEs!$K$4:$K$263,MATCH($B134,PBDEs!$B$4:$B$263,0)),"---")</f>
        <v>---</v>
      </c>
      <c r="F134" s="15" t="str">
        <f>IF(ISNUMBER(INDEX(PBDEs!$S$4:$S$263,MATCH($B134,PBDEs!$B$4:$B$263,0))),INDEX(PBDEs!$S$4:$S$263,MATCH($B134,PBDEs!$B$4:$B$263,0)),"---")</f>
        <v>---</v>
      </c>
      <c r="G134" s="37" t="str">
        <f>IF(ISNUMBER(INDEX(PBDEs!$AA$4:$AA$263,MATCH($B134,PBDEs!$B$4:$B$263,0))),INDEX(PBDEs!$AA$4:$AA$263,MATCH($B134,PBDEs!$B$4:$B$263,0)),"---")</f>
        <v>---</v>
      </c>
    </row>
    <row r="135" spans="1:7" x14ac:dyDescent="0.3">
      <c r="A135" s="39" t="s">
        <v>2654</v>
      </c>
      <c r="B135" s="40" t="s">
        <v>561</v>
      </c>
      <c r="C135" s="15" t="s">
        <v>3153</v>
      </c>
      <c r="D135" s="15" t="str">
        <f>IF(ISNUMBER(INDEX(PBDEs!$G$4:$G$263,MATCH($B135,PBDEs!$B$4:$B$263,0))),INDEX(PBDEs!$G$4:$G$263,MATCH($B135,PBDEs!$B$4:$B$263,0)),"---")</f>
        <v>---</v>
      </c>
      <c r="E135" s="15" t="str">
        <f>IF(ISNUMBER(INDEX(PBDEs!$K$4:$K$263,MATCH($B135,PBDEs!$B$4:$B$263,0))),INDEX(PBDEs!$K$4:$K$263,MATCH($B135,PBDEs!$B$4:$B$263,0)),"---")</f>
        <v>---</v>
      </c>
      <c r="F135" s="15" t="str">
        <f>IF(ISNUMBER(INDEX(PBDEs!$S$4:$S$263,MATCH($B135,PBDEs!$B$4:$B$263,0))),INDEX(PBDEs!$S$4:$S$263,MATCH($B135,PBDEs!$B$4:$B$263,0)),"---")</f>
        <v>---</v>
      </c>
      <c r="G135" s="37" t="str">
        <f>IF(ISNUMBER(INDEX(PBDEs!$AA$4:$AA$263,MATCH($B135,PBDEs!$B$4:$B$263,0))),INDEX(PBDEs!$AA$4:$AA$263,MATCH($B135,PBDEs!$B$4:$B$263,0)),"---")</f>
        <v>---</v>
      </c>
    </row>
    <row r="136" spans="1:7" x14ac:dyDescent="0.3">
      <c r="A136" s="39" t="s">
        <v>2655</v>
      </c>
      <c r="B136" s="40" t="s">
        <v>562</v>
      </c>
      <c r="C136" s="15" t="s">
        <v>3154</v>
      </c>
      <c r="D136" s="15" t="str">
        <f>IF(ISNUMBER(INDEX(PBDEs!$G$4:$G$263,MATCH($B136,PBDEs!$B$4:$B$263,0))),INDEX(PBDEs!$G$4:$G$263,MATCH($B136,PBDEs!$B$4:$B$263,0)),"---")</f>
        <v>---</v>
      </c>
      <c r="E136" s="15" t="str">
        <f>IF(ISNUMBER(INDEX(PBDEs!$K$4:$K$263,MATCH($B136,PBDEs!$B$4:$B$263,0))),INDEX(PBDEs!$K$4:$K$263,MATCH($B136,PBDEs!$B$4:$B$263,0)),"---")</f>
        <v>---</v>
      </c>
      <c r="F136" s="15" t="str">
        <f>IF(ISNUMBER(INDEX(PBDEs!$S$4:$S$263,MATCH($B136,PBDEs!$B$4:$B$263,0))),INDEX(PBDEs!$S$4:$S$263,MATCH($B136,PBDEs!$B$4:$B$263,0)),"---")</f>
        <v>---</v>
      </c>
      <c r="G136" s="37" t="str">
        <f>IF(ISNUMBER(INDEX(PBDEs!$AA$4:$AA$263,MATCH($B136,PBDEs!$B$4:$B$263,0))),INDEX(PBDEs!$AA$4:$AA$263,MATCH($B136,PBDEs!$B$4:$B$263,0)),"---")</f>
        <v>---</v>
      </c>
    </row>
    <row r="137" spans="1:7" x14ac:dyDescent="0.3">
      <c r="A137" s="39" t="s">
        <v>2656</v>
      </c>
      <c r="B137" s="40" t="s">
        <v>563</v>
      </c>
      <c r="C137" s="15" t="s">
        <v>3155</v>
      </c>
      <c r="D137" s="15" t="str">
        <f>IF(ISNUMBER(INDEX(PBDEs!$G$4:$G$263,MATCH($B137,PBDEs!$B$4:$B$263,0))),INDEX(PBDEs!$G$4:$G$263,MATCH($B137,PBDEs!$B$4:$B$263,0)),"---")</f>
        <v>---</v>
      </c>
      <c r="E137" s="15" t="str">
        <f>IF(ISNUMBER(INDEX(PBDEs!$K$4:$K$263,MATCH($B137,PBDEs!$B$4:$B$263,0))),INDEX(PBDEs!$K$4:$K$263,MATCH($B137,PBDEs!$B$4:$B$263,0)),"---")</f>
        <v>---</v>
      </c>
      <c r="F137" s="15" t="str">
        <f>IF(ISNUMBER(INDEX(PBDEs!$S$4:$S$263,MATCH($B137,PBDEs!$B$4:$B$263,0))),INDEX(PBDEs!$S$4:$S$263,MATCH($B137,PBDEs!$B$4:$B$263,0)),"---")</f>
        <v>---</v>
      </c>
      <c r="G137" s="37" t="str">
        <f>IF(ISNUMBER(INDEX(PBDEs!$AA$4:$AA$263,MATCH($B137,PBDEs!$B$4:$B$263,0))),INDEX(PBDEs!$AA$4:$AA$263,MATCH($B137,PBDEs!$B$4:$B$263,0)),"---")</f>
        <v>---</v>
      </c>
    </row>
    <row r="138" spans="1:7" x14ac:dyDescent="0.3">
      <c r="A138" s="39" t="s">
        <v>2657</v>
      </c>
      <c r="B138" s="40" t="s">
        <v>564</v>
      </c>
      <c r="C138" s="15" t="s">
        <v>3156</v>
      </c>
      <c r="D138" s="15" t="str">
        <f>IF(ISNUMBER(INDEX(PBDEs!$G$4:$G$263,MATCH($B138,PBDEs!$B$4:$B$263,0))),INDEX(PBDEs!$G$4:$G$263,MATCH($B138,PBDEs!$B$4:$B$263,0)),"---")</f>
        <v>---</v>
      </c>
      <c r="E138" s="15" t="str">
        <f>IF(ISNUMBER(INDEX(PBDEs!$K$4:$K$263,MATCH($B138,PBDEs!$B$4:$B$263,0))),INDEX(PBDEs!$K$4:$K$263,MATCH($B138,PBDEs!$B$4:$B$263,0)),"---")</f>
        <v>---</v>
      </c>
      <c r="F138" s="15" t="str">
        <f>IF(ISNUMBER(INDEX(PBDEs!$S$4:$S$263,MATCH($B138,PBDEs!$B$4:$B$263,0))),INDEX(PBDEs!$S$4:$S$263,MATCH($B138,PBDEs!$B$4:$B$263,0)),"---")</f>
        <v>---</v>
      </c>
      <c r="G138" s="37" t="str">
        <f>IF(ISNUMBER(INDEX(PBDEs!$AA$4:$AA$263,MATCH($B138,PBDEs!$B$4:$B$263,0))),INDEX(PBDEs!$AA$4:$AA$263,MATCH($B138,PBDEs!$B$4:$B$263,0)),"---")</f>
        <v>---</v>
      </c>
    </row>
    <row r="139" spans="1:7" x14ac:dyDescent="0.3">
      <c r="A139" s="39" t="s">
        <v>2658</v>
      </c>
      <c r="B139" s="40" t="s">
        <v>565</v>
      </c>
      <c r="C139" s="15" t="s">
        <v>3157</v>
      </c>
      <c r="D139" s="15" t="str">
        <f>IF(ISNUMBER(INDEX(PBDEs!$G$4:$G$263,MATCH($B139,PBDEs!$B$4:$B$263,0))),INDEX(PBDEs!$G$4:$G$263,MATCH($B139,PBDEs!$B$4:$B$263,0)),"---")</f>
        <v>---</v>
      </c>
      <c r="E139" s="15" t="str">
        <f>IF(ISNUMBER(INDEX(PBDEs!$K$4:$K$263,MATCH($B139,PBDEs!$B$4:$B$263,0))),INDEX(PBDEs!$K$4:$K$263,MATCH($B139,PBDEs!$B$4:$B$263,0)),"---")</f>
        <v>---</v>
      </c>
      <c r="F139" s="15" t="str">
        <f>IF(ISNUMBER(INDEX(PBDEs!$S$4:$S$263,MATCH($B139,PBDEs!$B$4:$B$263,0))),INDEX(PBDEs!$S$4:$S$263,MATCH($B139,PBDEs!$B$4:$B$263,0)),"---")</f>
        <v>---</v>
      </c>
      <c r="G139" s="37" t="str">
        <f>IF(ISNUMBER(INDEX(PBDEs!$AA$4:$AA$263,MATCH($B139,PBDEs!$B$4:$B$263,0))),INDEX(PBDEs!$AA$4:$AA$263,MATCH($B139,PBDEs!$B$4:$B$263,0)),"---")</f>
        <v>---</v>
      </c>
    </row>
    <row r="140" spans="1:7" x14ac:dyDescent="0.3">
      <c r="A140" s="39" t="s">
        <v>2659</v>
      </c>
      <c r="B140" s="40" t="s">
        <v>566</v>
      </c>
      <c r="C140" s="15" t="s">
        <v>3158</v>
      </c>
      <c r="D140" s="15" t="str">
        <f>IF(ISNUMBER(INDEX(PBDEs!$G$4:$G$263,MATCH($B140,PBDEs!$B$4:$B$263,0))),INDEX(PBDEs!$G$4:$G$263,MATCH($B140,PBDEs!$B$4:$B$263,0)),"---")</f>
        <v>---</v>
      </c>
      <c r="E140" s="15" t="str">
        <f>IF(ISNUMBER(INDEX(PBDEs!$K$4:$K$263,MATCH($B140,PBDEs!$B$4:$B$263,0))),INDEX(PBDEs!$K$4:$K$263,MATCH($B140,PBDEs!$B$4:$B$263,0)),"---")</f>
        <v>---</v>
      </c>
      <c r="F140" s="15" t="str">
        <f>IF(ISNUMBER(INDEX(PBDEs!$S$4:$S$263,MATCH($B140,PBDEs!$B$4:$B$263,0))),INDEX(PBDEs!$S$4:$S$263,MATCH($B140,PBDEs!$B$4:$B$263,0)),"---")</f>
        <v>---</v>
      </c>
      <c r="G140" s="37" t="str">
        <f>IF(ISNUMBER(INDEX(PBDEs!$AA$4:$AA$263,MATCH($B140,PBDEs!$B$4:$B$263,0))),INDEX(PBDEs!$AA$4:$AA$263,MATCH($B140,PBDEs!$B$4:$B$263,0)),"---")</f>
        <v>---</v>
      </c>
    </row>
    <row r="141" spans="1:7" x14ac:dyDescent="0.3">
      <c r="A141" s="39" t="s">
        <v>2660</v>
      </c>
      <c r="B141" s="40" t="s">
        <v>567</v>
      </c>
      <c r="C141" s="15" t="s">
        <v>3159</v>
      </c>
      <c r="D141" s="15" t="str">
        <f>IF(ISNUMBER(INDEX(PBDEs!$G$4:$G$263,MATCH($B141,PBDEs!$B$4:$B$263,0))),INDEX(PBDEs!$G$4:$G$263,MATCH($B141,PBDEs!$B$4:$B$263,0)),"---")</f>
        <v>---</v>
      </c>
      <c r="E141" s="15" t="str">
        <f>IF(ISNUMBER(INDEX(PBDEs!$K$4:$K$263,MATCH($B141,PBDEs!$B$4:$B$263,0))),INDEX(PBDEs!$K$4:$K$263,MATCH($B141,PBDEs!$B$4:$B$263,0)),"---")</f>
        <v>---</v>
      </c>
      <c r="F141" s="15" t="str">
        <f>IF(ISNUMBER(INDEX(PBDEs!$S$4:$S$263,MATCH($B141,PBDEs!$B$4:$B$263,0))),INDEX(PBDEs!$S$4:$S$263,MATCH($B141,PBDEs!$B$4:$B$263,0)),"---")</f>
        <v>---</v>
      </c>
      <c r="G141" s="37" t="str">
        <f>IF(ISNUMBER(INDEX(PBDEs!$AA$4:$AA$263,MATCH($B141,PBDEs!$B$4:$B$263,0))),INDEX(PBDEs!$AA$4:$AA$263,MATCH($B141,PBDEs!$B$4:$B$263,0)),"---")</f>
        <v>---</v>
      </c>
    </row>
    <row r="142" spans="1:7" x14ac:dyDescent="0.3">
      <c r="A142" s="39" t="s">
        <v>2661</v>
      </c>
      <c r="B142" s="40" t="s">
        <v>568</v>
      </c>
      <c r="C142" s="15" t="s">
        <v>3160</v>
      </c>
      <c r="D142" s="15" t="str">
        <f>IF(ISNUMBER(INDEX(PBDEs!$G$4:$G$263,MATCH($B142,PBDEs!$B$4:$B$263,0))),INDEX(PBDEs!$G$4:$G$263,MATCH($B142,PBDEs!$B$4:$B$263,0)),"---")</f>
        <v>---</v>
      </c>
      <c r="E142" s="15" t="str">
        <f>IF(ISNUMBER(INDEX(PBDEs!$K$4:$K$263,MATCH($B142,PBDEs!$B$4:$B$263,0))),INDEX(PBDEs!$K$4:$K$263,MATCH($B142,PBDEs!$B$4:$B$263,0)),"---")</f>
        <v>---</v>
      </c>
      <c r="F142" s="15" t="str">
        <f>IF(ISNUMBER(INDEX(PBDEs!$S$4:$S$263,MATCH($B142,PBDEs!$B$4:$B$263,0))),INDEX(PBDEs!$S$4:$S$263,MATCH($B142,PBDEs!$B$4:$B$263,0)),"---")</f>
        <v>---</v>
      </c>
      <c r="G142" s="37" t="str">
        <f>IF(ISNUMBER(INDEX(PBDEs!$AA$4:$AA$263,MATCH($B142,PBDEs!$B$4:$B$263,0))),INDEX(PBDEs!$AA$4:$AA$263,MATCH($B142,PBDEs!$B$4:$B$263,0)),"---")</f>
        <v>---</v>
      </c>
    </row>
    <row r="143" spans="1:7" x14ac:dyDescent="0.3">
      <c r="A143" s="39" t="s">
        <v>2662</v>
      </c>
      <c r="B143" s="40" t="s">
        <v>569</v>
      </c>
      <c r="C143" s="15" t="s">
        <v>2854</v>
      </c>
      <c r="D143" s="15" t="str">
        <f>IF(ISNUMBER(INDEX(PBDEs!$G$4:$G$263,MATCH($B143,PBDEs!$B$4:$B$263,0))),INDEX(PBDEs!$G$4:$G$263,MATCH($B143,PBDEs!$B$4:$B$263,0)),"---")</f>
        <v>---</v>
      </c>
      <c r="E143" s="15">
        <f>IF(ISNUMBER(INDEX(PBDEs!$K$4:$K$263,MATCH($B143,PBDEs!$B$4:$B$263,0))),INDEX(PBDEs!$K$4:$K$263,MATCH($B143,PBDEs!$B$4:$B$263,0)),"---")</f>
        <v>135.5</v>
      </c>
      <c r="F143" s="15">
        <f>IF(ISNUMBER(INDEX(PBDEs!$S$4:$S$263,MATCH($B143,PBDEs!$B$4:$B$263,0))),INDEX(PBDEs!$S$4:$S$263,MATCH($B143,PBDEs!$B$4:$B$263,0)),"---")</f>
        <v>9.7647920098178302E-10</v>
      </c>
      <c r="G143" s="37" t="str">
        <f>IF(ISNUMBER(INDEX(PBDEs!$AA$4:$AA$263,MATCH($B143,PBDEs!$B$4:$B$263,0))),INDEX(PBDEs!$AA$4:$AA$263,MATCH($B143,PBDEs!$B$4:$B$263,0)),"---")</f>
        <v>---</v>
      </c>
    </row>
    <row r="144" spans="1:7" x14ac:dyDescent="0.3">
      <c r="A144" s="39" t="s">
        <v>2663</v>
      </c>
      <c r="B144" s="40" t="s">
        <v>570</v>
      </c>
      <c r="C144" s="15" t="s">
        <v>3161</v>
      </c>
      <c r="D144" s="15" t="str">
        <f>IF(ISNUMBER(INDEX(PBDEs!$G$4:$G$263,MATCH($B144,PBDEs!$B$4:$B$263,0))),INDEX(PBDEs!$G$4:$G$263,MATCH($B144,PBDEs!$B$4:$B$263,0)),"---")</f>
        <v>---</v>
      </c>
      <c r="E144" s="15">
        <f>IF(ISNUMBER(INDEX(PBDEs!$K$4:$K$263,MATCH($B144,PBDEs!$B$4:$B$263,0))),INDEX(PBDEs!$K$4:$K$263,MATCH($B144,PBDEs!$B$4:$B$263,0)),"---")</f>
        <v>127</v>
      </c>
      <c r="F144" s="15" t="str">
        <f>IF(ISNUMBER(INDEX(PBDEs!$S$4:$S$263,MATCH($B144,PBDEs!$B$4:$B$263,0))),INDEX(PBDEs!$S$4:$S$263,MATCH($B144,PBDEs!$B$4:$B$263,0)),"---")</f>
        <v>---</v>
      </c>
      <c r="G144" s="37" t="str">
        <f>IF(ISNUMBER(INDEX(PBDEs!$AA$4:$AA$263,MATCH($B144,PBDEs!$B$4:$B$263,0))),INDEX(PBDEs!$AA$4:$AA$263,MATCH($B144,PBDEs!$B$4:$B$263,0)),"---")</f>
        <v>---</v>
      </c>
    </row>
    <row r="145" spans="1:7" x14ac:dyDescent="0.3">
      <c r="A145" s="39" t="s">
        <v>2664</v>
      </c>
      <c r="B145" s="40" t="s">
        <v>571</v>
      </c>
      <c r="C145" s="15" t="s">
        <v>2855</v>
      </c>
      <c r="D145" s="15" t="str">
        <f>IF(ISNUMBER(INDEX(PBDEs!$G$4:$G$263,MATCH($B145,PBDEs!$B$4:$B$263,0))),INDEX(PBDEs!$G$4:$G$263,MATCH($B145,PBDEs!$B$4:$B$263,0)),"---")</f>
        <v>---</v>
      </c>
      <c r="E145" s="15">
        <f>IF(ISNUMBER(INDEX(PBDEs!$K$4:$K$263,MATCH($B145,PBDEs!$B$4:$B$263,0))),INDEX(PBDEs!$K$4:$K$263,MATCH($B145,PBDEs!$B$4:$B$263,0)),"---")</f>
        <v>180.5</v>
      </c>
      <c r="F145" s="15" t="str">
        <f>IF(ISNUMBER(INDEX(PBDEs!$S$4:$S$263,MATCH($B145,PBDEs!$B$4:$B$263,0))),INDEX(PBDEs!$S$4:$S$263,MATCH($B145,PBDEs!$B$4:$B$263,0)),"---")</f>
        <v>---</v>
      </c>
      <c r="G145" s="37" t="str">
        <f>IF(ISNUMBER(INDEX(PBDEs!$AA$4:$AA$263,MATCH($B145,PBDEs!$B$4:$B$263,0))),INDEX(PBDEs!$AA$4:$AA$263,MATCH($B145,PBDEs!$B$4:$B$263,0)),"---")</f>
        <v>---</v>
      </c>
    </row>
    <row r="146" spans="1:7" x14ac:dyDescent="0.3">
      <c r="A146" s="39" t="s">
        <v>2665</v>
      </c>
      <c r="B146" s="40" t="s">
        <v>572</v>
      </c>
      <c r="C146" s="15" t="s">
        <v>3162</v>
      </c>
      <c r="D146" s="15" t="str">
        <f>IF(ISNUMBER(INDEX(PBDEs!$G$4:$G$263,MATCH($B146,PBDEs!$B$4:$B$263,0))),INDEX(PBDEs!$G$4:$G$263,MATCH($B146,PBDEs!$B$4:$B$263,0)),"---")</f>
        <v>---</v>
      </c>
      <c r="E146" s="15" t="str">
        <f>IF(ISNUMBER(INDEX(PBDEs!$K$4:$K$263,MATCH($B146,PBDEs!$B$4:$B$263,0))),INDEX(PBDEs!$K$4:$K$263,MATCH($B146,PBDEs!$B$4:$B$263,0)),"---")</f>
        <v>---</v>
      </c>
      <c r="F146" s="15" t="str">
        <f>IF(ISNUMBER(INDEX(PBDEs!$S$4:$S$263,MATCH($B146,PBDEs!$B$4:$B$263,0))),INDEX(PBDEs!$S$4:$S$263,MATCH($B146,PBDEs!$B$4:$B$263,0)),"---")</f>
        <v>---</v>
      </c>
      <c r="G146" s="37" t="str">
        <f>IF(ISNUMBER(INDEX(PBDEs!$AA$4:$AA$263,MATCH($B146,PBDEs!$B$4:$B$263,0))),INDEX(PBDEs!$AA$4:$AA$263,MATCH($B146,PBDEs!$B$4:$B$263,0)),"---")</f>
        <v>---</v>
      </c>
    </row>
    <row r="147" spans="1:7" x14ac:dyDescent="0.3">
      <c r="A147" s="39" t="s">
        <v>2666</v>
      </c>
      <c r="B147" s="40" t="s">
        <v>573</v>
      </c>
      <c r="C147" s="15" t="s">
        <v>3163</v>
      </c>
      <c r="D147" s="15" t="str">
        <f>IF(ISNUMBER(INDEX(PBDEs!$G$4:$G$263,MATCH($B147,PBDEs!$B$4:$B$263,0))),INDEX(PBDEs!$G$4:$G$263,MATCH($B147,PBDEs!$B$4:$B$263,0)),"---")</f>
        <v>---</v>
      </c>
      <c r="E147" s="15" t="str">
        <f>IF(ISNUMBER(INDEX(PBDEs!$K$4:$K$263,MATCH($B147,PBDEs!$B$4:$B$263,0))),INDEX(PBDEs!$K$4:$K$263,MATCH($B147,PBDEs!$B$4:$B$263,0)),"---")</f>
        <v>---</v>
      </c>
      <c r="F147" s="15" t="str">
        <f>IF(ISNUMBER(INDEX(PBDEs!$S$4:$S$263,MATCH($B147,PBDEs!$B$4:$B$263,0))),INDEX(PBDEs!$S$4:$S$263,MATCH($B147,PBDEs!$B$4:$B$263,0)),"---")</f>
        <v>---</v>
      </c>
      <c r="G147" s="37" t="str">
        <f>IF(ISNUMBER(INDEX(PBDEs!$AA$4:$AA$263,MATCH($B147,PBDEs!$B$4:$B$263,0))),INDEX(PBDEs!$AA$4:$AA$263,MATCH($B147,PBDEs!$B$4:$B$263,0)),"---")</f>
        <v>---</v>
      </c>
    </row>
    <row r="148" spans="1:7" x14ac:dyDescent="0.3">
      <c r="A148" s="39" t="s">
        <v>2667</v>
      </c>
      <c r="B148" s="40" t="s">
        <v>574</v>
      </c>
      <c r="C148" s="15" t="s">
        <v>3164</v>
      </c>
      <c r="D148" s="15" t="str">
        <f>IF(ISNUMBER(INDEX(PBDEs!$G$4:$G$263,MATCH($B148,PBDEs!$B$4:$B$263,0))),INDEX(PBDEs!$G$4:$G$263,MATCH($B148,PBDEs!$B$4:$B$263,0)),"---")</f>
        <v>---</v>
      </c>
      <c r="E148" s="15" t="str">
        <f>IF(ISNUMBER(INDEX(PBDEs!$K$4:$K$263,MATCH($B148,PBDEs!$B$4:$B$263,0))),INDEX(PBDEs!$K$4:$K$263,MATCH($B148,PBDEs!$B$4:$B$263,0)),"---")</f>
        <v>---</v>
      </c>
      <c r="F148" s="15" t="str">
        <f>IF(ISNUMBER(INDEX(PBDEs!$S$4:$S$263,MATCH($B148,PBDEs!$B$4:$B$263,0))),INDEX(PBDEs!$S$4:$S$263,MATCH($B148,PBDEs!$B$4:$B$263,0)),"---")</f>
        <v>---</v>
      </c>
      <c r="G148" s="37" t="str">
        <f>IF(ISNUMBER(INDEX(PBDEs!$AA$4:$AA$263,MATCH($B148,PBDEs!$B$4:$B$263,0))),INDEX(PBDEs!$AA$4:$AA$263,MATCH($B148,PBDEs!$B$4:$B$263,0)),"---")</f>
        <v>---</v>
      </c>
    </row>
    <row r="149" spans="1:7" x14ac:dyDescent="0.3">
      <c r="A149" s="39" t="s">
        <v>2668</v>
      </c>
      <c r="B149" s="40" t="s">
        <v>575</v>
      </c>
      <c r="C149" s="15" t="s">
        <v>3165</v>
      </c>
      <c r="D149" s="15" t="str">
        <f>IF(ISNUMBER(INDEX(PBDEs!$G$4:$G$263,MATCH($B149,PBDEs!$B$4:$B$263,0))),INDEX(PBDEs!$G$4:$G$263,MATCH($B149,PBDEs!$B$4:$B$263,0)),"---")</f>
        <v>---</v>
      </c>
      <c r="E149" s="15" t="str">
        <f>IF(ISNUMBER(INDEX(PBDEs!$K$4:$K$263,MATCH($B149,PBDEs!$B$4:$B$263,0))),INDEX(PBDEs!$K$4:$K$263,MATCH($B149,PBDEs!$B$4:$B$263,0)),"---")</f>
        <v>---</v>
      </c>
      <c r="F149" s="15" t="str">
        <f>IF(ISNUMBER(INDEX(PBDEs!$S$4:$S$263,MATCH($B149,PBDEs!$B$4:$B$263,0))),INDEX(PBDEs!$S$4:$S$263,MATCH($B149,PBDEs!$B$4:$B$263,0)),"---")</f>
        <v>---</v>
      </c>
      <c r="G149" s="37" t="str">
        <f>IF(ISNUMBER(INDEX(PBDEs!$AA$4:$AA$263,MATCH($B149,PBDEs!$B$4:$B$263,0))),INDEX(PBDEs!$AA$4:$AA$263,MATCH($B149,PBDEs!$B$4:$B$263,0)),"---")</f>
        <v>---</v>
      </c>
    </row>
    <row r="150" spans="1:7" x14ac:dyDescent="0.3">
      <c r="A150" s="39" t="s">
        <v>2669</v>
      </c>
      <c r="B150" s="40" t="s">
        <v>576</v>
      </c>
      <c r="C150" s="15" t="s">
        <v>3166</v>
      </c>
      <c r="D150" s="15" t="str">
        <f>IF(ISNUMBER(INDEX(PBDEs!$G$4:$G$263,MATCH($B150,PBDEs!$B$4:$B$263,0))),INDEX(PBDEs!$G$4:$G$263,MATCH($B150,PBDEs!$B$4:$B$263,0)),"---")</f>
        <v>---</v>
      </c>
      <c r="E150" s="15" t="str">
        <f>IF(ISNUMBER(INDEX(PBDEs!$K$4:$K$263,MATCH($B150,PBDEs!$B$4:$B$263,0))),INDEX(PBDEs!$K$4:$K$263,MATCH($B150,PBDEs!$B$4:$B$263,0)),"---")</f>
        <v>---</v>
      </c>
      <c r="F150" s="15" t="str">
        <f>IF(ISNUMBER(INDEX(PBDEs!$S$4:$S$263,MATCH($B150,PBDEs!$B$4:$B$263,0))),INDEX(PBDEs!$S$4:$S$263,MATCH($B150,PBDEs!$B$4:$B$263,0)),"---")</f>
        <v>---</v>
      </c>
      <c r="G150" s="37" t="str">
        <f>IF(ISNUMBER(INDEX(PBDEs!$AA$4:$AA$263,MATCH($B150,PBDEs!$B$4:$B$263,0))),INDEX(PBDEs!$AA$4:$AA$263,MATCH($B150,PBDEs!$B$4:$B$263,0)),"---")</f>
        <v>---</v>
      </c>
    </row>
    <row r="151" spans="1:7" x14ac:dyDescent="0.3">
      <c r="A151" s="39" t="s">
        <v>2670</v>
      </c>
      <c r="B151" s="40" t="s">
        <v>577</v>
      </c>
      <c r="C151" s="15" t="s">
        <v>3167</v>
      </c>
      <c r="D151" s="15" t="str">
        <f>IF(ISNUMBER(INDEX(PBDEs!$G$4:$G$263,MATCH($B151,PBDEs!$B$4:$B$263,0))),INDEX(PBDEs!$G$4:$G$263,MATCH($B151,PBDEs!$B$4:$B$263,0)),"---")</f>
        <v>---</v>
      </c>
      <c r="E151" s="15" t="str">
        <f>IF(ISNUMBER(INDEX(PBDEs!$K$4:$K$263,MATCH($B151,PBDEs!$B$4:$B$263,0))),INDEX(PBDEs!$K$4:$K$263,MATCH($B151,PBDEs!$B$4:$B$263,0)),"---")</f>
        <v>---</v>
      </c>
      <c r="F151" s="15" t="str">
        <f>IF(ISNUMBER(INDEX(PBDEs!$S$4:$S$263,MATCH($B151,PBDEs!$B$4:$B$263,0))),INDEX(PBDEs!$S$4:$S$263,MATCH($B151,PBDEs!$B$4:$B$263,0)),"---")</f>
        <v>---</v>
      </c>
      <c r="G151" s="37" t="str">
        <f>IF(ISNUMBER(INDEX(PBDEs!$AA$4:$AA$263,MATCH($B151,PBDEs!$B$4:$B$263,0))),INDEX(PBDEs!$AA$4:$AA$263,MATCH($B151,PBDEs!$B$4:$B$263,0)),"---")</f>
        <v>---</v>
      </c>
    </row>
    <row r="152" spans="1:7" x14ac:dyDescent="0.3">
      <c r="A152" s="39" t="s">
        <v>2671</v>
      </c>
      <c r="B152" s="40" t="s">
        <v>578</v>
      </c>
      <c r="C152" s="15" t="s">
        <v>3168</v>
      </c>
      <c r="D152" s="15" t="str">
        <f>IF(ISNUMBER(INDEX(PBDEs!$G$4:$G$263,MATCH($B152,PBDEs!$B$4:$B$263,0))),INDEX(PBDEs!$G$4:$G$263,MATCH($B152,PBDEs!$B$4:$B$263,0)),"---")</f>
        <v>---</v>
      </c>
      <c r="E152" s="15" t="str">
        <f>IF(ISNUMBER(INDEX(PBDEs!$K$4:$K$263,MATCH($B152,PBDEs!$B$4:$B$263,0))),INDEX(PBDEs!$K$4:$K$263,MATCH($B152,PBDEs!$B$4:$B$263,0)),"---")</f>
        <v>---</v>
      </c>
      <c r="F152" s="15" t="str">
        <f>IF(ISNUMBER(INDEX(PBDEs!$S$4:$S$263,MATCH($B152,PBDEs!$B$4:$B$263,0))),INDEX(PBDEs!$S$4:$S$263,MATCH($B152,PBDEs!$B$4:$B$263,0)),"---")</f>
        <v>---</v>
      </c>
      <c r="G152" s="37" t="str">
        <f>IF(ISNUMBER(INDEX(PBDEs!$AA$4:$AA$263,MATCH($B152,PBDEs!$B$4:$B$263,0))),INDEX(PBDEs!$AA$4:$AA$263,MATCH($B152,PBDEs!$B$4:$B$263,0)),"---")</f>
        <v>---</v>
      </c>
    </row>
    <row r="153" spans="1:7" x14ac:dyDescent="0.3">
      <c r="A153" s="39" t="s">
        <v>2672</v>
      </c>
      <c r="B153" s="40" t="s">
        <v>579</v>
      </c>
      <c r="C153" s="15" t="s">
        <v>3169</v>
      </c>
      <c r="D153" s="15" t="str">
        <f>IF(ISNUMBER(INDEX(PBDEs!$G$4:$G$263,MATCH($B153,PBDEs!$B$4:$B$263,0))),INDEX(PBDEs!$G$4:$G$263,MATCH($B153,PBDEs!$B$4:$B$263,0)),"---")</f>
        <v>---</v>
      </c>
      <c r="E153" s="15" t="str">
        <f>IF(ISNUMBER(INDEX(PBDEs!$K$4:$K$263,MATCH($B153,PBDEs!$B$4:$B$263,0))),INDEX(PBDEs!$K$4:$K$263,MATCH($B153,PBDEs!$B$4:$B$263,0)),"---")</f>
        <v>---</v>
      </c>
      <c r="F153" s="15" t="str">
        <f>IF(ISNUMBER(INDEX(PBDEs!$S$4:$S$263,MATCH($B153,PBDEs!$B$4:$B$263,0))),INDEX(PBDEs!$S$4:$S$263,MATCH($B153,PBDEs!$B$4:$B$263,0)),"---")</f>
        <v>---</v>
      </c>
      <c r="G153" s="37" t="str">
        <f>IF(ISNUMBER(INDEX(PBDEs!$AA$4:$AA$263,MATCH($B153,PBDEs!$B$4:$B$263,0))),INDEX(PBDEs!$AA$4:$AA$263,MATCH($B153,PBDEs!$B$4:$B$263,0)),"---")</f>
        <v>---</v>
      </c>
    </row>
    <row r="154" spans="1:7" x14ac:dyDescent="0.3">
      <c r="A154" s="39" t="s">
        <v>2673</v>
      </c>
      <c r="B154" s="40" t="s">
        <v>580</v>
      </c>
      <c r="C154" s="15" t="s">
        <v>3170</v>
      </c>
      <c r="D154" s="15" t="str">
        <f>IF(ISNUMBER(INDEX(PBDEs!$G$4:$G$263,MATCH($B154,PBDEs!$B$4:$B$263,0))),INDEX(PBDEs!$G$4:$G$263,MATCH($B154,PBDEs!$B$4:$B$263,0)),"---")</f>
        <v>---</v>
      </c>
      <c r="E154" s="15" t="str">
        <f>IF(ISNUMBER(INDEX(PBDEs!$K$4:$K$263,MATCH($B154,PBDEs!$B$4:$B$263,0))),INDEX(PBDEs!$K$4:$K$263,MATCH($B154,PBDEs!$B$4:$B$263,0)),"---")</f>
        <v>---</v>
      </c>
      <c r="F154" s="15" t="str">
        <f>IF(ISNUMBER(INDEX(PBDEs!$S$4:$S$263,MATCH($B154,PBDEs!$B$4:$B$263,0))),INDEX(PBDEs!$S$4:$S$263,MATCH($B154,PBDEs!$B$4:$B$263,0)),"---")</f>
        <v>---</v>
      </c>
      <c r="G154" s="37" t="str">
        <f>IF(ISNUMBER(INDEX(PBDEs!$AA$4:$AA$263,MATCH($B154,PBDEs!$B$4:$B$263,0))),INDEX(PBDEs!$AA$4:$AA$263,MATCH($B154,PBDEs!$B$4:$B$263,0)),"---")</f>
        <v>---</v>
      </c>
    </row>
    <row r="155" spans="1:7" x14ac:dyDescent="0.3">
      <c r="A155" s="39" t="s">
        <v>2674</v>
      </c>
      <c r="B155" s="40" t="s">
        <v>581</v>
      </c>
      <c r="C155" s="15" t="s">
        <v>3171</v>
      </c>
      <c r="D155" s="15" t="str">
        <f>IF(ISNUMBER(INDEX(PBDEs!$G$4:$G$263,MATCH($B155,PBDEs!$B$4:$B$263,0))),INDEX(PBDEs!$G$4:$G$263,MATCH($B155,PBDEs!$B$4:$B$263,0)),"---")</f>
        <v>---</v>
      </c>
      <c r="E155" s="15" t="str">
        <f>IF(ISNUMBER(INDEX(PBDEs!$K$4:$K$263,MATCH($B155,PBDEs!$B$4:$B$263,0))),INDEX(PBDEs!$K$4:$K$263,MATCH($B155,PBDEs!$B$4:$B$263,0)),"---")</f>
        <v>---</v>
      </c>
      <c r="F155" s="15" t="str">
        <f>IF(ISNUMBER(INDEX(PBDEs!$S$4:$S$263,MATCH($B155,PBDEs!$B$4:$B$263,0))),INDEX(PBDEs!$S$4:$S$263,MATCH($B155,PBDEs!$B$4:$B$263,0)),"---")</f>
        <v>---</v>
      </c>
      <c r="G155" s="37" t="str">
        <f>IF(ISNUMBER(INDEX(PBDEs!$AA$4:$AA$263,MATCH($B155,PBDEs!$B$4:$B$263,0))),INDEX(PBDEs!$AA$4:$AA$263,MATCH($B155,PBDEs!$B$4:$B$263,0)),"---")</f>
        <v>---</v>
      </c>
    </row>
    <row r="156" spans="1:7" x14ac:dyDescent="0.3">
      <c r="A156" s="39" t="s">
        <v>2675</v>
      </c>
      <c r="B156" s="40" t="s">
        <v>582</v>
      </c>
      <c r="C156" s="15" t="s">
        <v>3172</v>
      </c>
      <c r="D156" s="15" t="str">
        <f>IF(ISNUMBER(INDEX(PBDEs!$G$4:$G$263,MATCH($B156,PBDEs!$B$4:$B$263,0))),INDEX(PBDEs!$G$4:$G$263,MATCH($B156,PBDEs!$B$4:$B$263,0)),"---")</f>
        <v>---</v>
      </c>
      <c r="E156" s="15" t="str">
        <f>IF(ISNUMBER(INDEX(PBDEs!$K$4:$K$263,MATCH($B156,PBDEs!$B$4:$B$263,0))),INDEX(PBDEs!$K$4:$K$263,MATCH($B156,PBDEs!$B$4:$B$263,0)),"---")</f>
        <v>---</v>
      </c>
      <c r="F156" s="15" t="str">
        <f>IF(ISNUMBER(INDEX(PBDEs!$S$4:$S$263,MATCH($B156,PBDEs!$B$4:$B$263,0))),INDEX(PBDEs!$S$4:$S$263,MATCH($B156,PBDEs!$B$4:$B$263,0)),"---")</f>
        <v>---</v>
      </c>
      <c r="G156" s="37" t="str">
        <f>IF(ISNUMBER(INDEX(PBDEs!$AA$4:$AA$263,MATCH($B156,PBDEs!$B$4:$B$263,0))),INDEX(PBDEs!$AA$4:$AA$263,MATCH($B156,PBDEs!$B$4:$B$263,0)),"---")</f>
        <v>---</v>
      </c>
    </row>
    <row r="157" spans="1:7" x14ac:dyDescent="0.3">
      <c r="A157" s="39" t="s">
        <v>2676</v>
      </c>
      <c r="B157" s="40" t="s">
        <v>583</v>
      </c>
      <c r="C157" s="15" t="s">
        <v>3173</v>
      </c>
      <c r="D157" s="15" t="str">
        <f>IF(ISNUMBER(INDEX(PBDEs!$G$4:$G$263,MATCH($B157,PBDEs!$B$4:$B$263,0))),INDEX(PBDEs!$G$4:$G$263,MATCH($B157,PBDEs!$B$4:$B$263,0)),"---")</f>
        <v>---</v>
      </c>
      <c r="E157" s="15" t="str">
        <f>IF(ISNUMBER(INDEX(PBDEs!$K$4:$K$263,MATCH($B157,PBDEs!$B$4:$B$263,0))),INDEX(PBDEs!$K$4:$K$263,MATCH($B157,PBDEs!$B$4:$B$263,0)),"---")</f>
        <v>---</v>
      </c>
      <c r="F157" s="15" t="str">
        <f>IF(ISNUMBER(INDEX(PBDEs!$S$4:$S$263,MATCH($B157,PBDEs!$B$4:$B$263,0))),INDEX(PBDEs!$S$4:$S$263,MATCH($B157,PBDEs!$B$4:$B$263,0)),"---")</f>
        <v>---</v>
      </c>
      <c r="G157" s="37" t="str">
        <f>IF(ISNUMBER(INDEX(PBDEs!$AA$4:$AA$263,MATCH($B157,PBDEs!$B$4:$B$263,0))),INDEX(PBDEs!$AA$4:$AA$263,MATCH($B157,PBDEs!$B$4:$B$263,0)),"---")</f>
        <v>---</v>
      </c>
    </row>
    <row r="158" spans="1:7" x14ac:dyDescent="0.3">
      <c r="A158" s="39" t="s">
        <v>2677</v>
      </c>
      <c r="B158" s="40" t="s">
        <v>584</v>
      </c>
      <c r="C158" s="15" t="s">
        <v>2856</v>
      </c>
      <c r="D158" s="15">
        <f>IF(ISNUMBER(INDEX(PBDEs!$G$4:$G$263,MATCH($B158,PBDEs!$B$4:$B$263,0))),INDEX(PBDEs!$G$4:$G$263,MATCH($B158,PBDEs!$B$4:$B$263,0)),"---")</f>
        <v>7.9</v>
      </c>
      <c r="E158" s="15">
        <f>IF(ISNUMBER(INDEX(PBDEs!$K$4:$K$263,MATCH($B158,PBDEs!$B$4:$B$263,0))),INDEX(PBDEs!$K$4:$K$263,MATCH($B158,PBDEs!$B$4:$B$263,0)),"---")</f>
        <v>162.47500000000002</v>
      </c>
      <c r="F158" s="15">
        <f>IF(ISNUMBER(INDEX(PBDEs!$S$4:$S$263,MATCH($B158,PBDEs!$B$4:$B$263,0))),INDEX(PBDEs!$S$4:$S$263,MATCH($B158,PBDEs!$B$4:$B$263,0)),"---")</f>
        <v>1.7674449448664826E-9</v>
      </c>
      <c r="G158" s="37">
        <f>IF(ISNUMBER(INDEX(PBDEs!$AA$4:$AA$263,MATCH($B158,PBDEs!$B$4:$B$263,0))),INDEX(PBDEs!$AA$4:$AA$263,MATCH($B158,PBDEs!$B$4:$B$263,0)),"---")</f>
        <v>8.7000000000000001E-4</v>
      </c>
    </row>
    <row r="159" spans="1:7" x14ac:dyDescent="0.3">
      <c r="A159" s="39" t="s">
        <v>2678</v>
      </c>
      <c r="B159" s="40" t="s">
        <v>585</v>
      </c>
      <c r="C159" s="15" t="s">
        <v>2857</v>
      </c>
      <c r="D159" s="15">
        <f>IF(ISNUMBER(INDEX(PBDEs!$G$4:$G$263,MATCH($B159,PBDEs!$B$4:$B$263,0))),INDEX(PBDEs!$G$4:$G$263,MATCH($B159,PBDEs!$B$4:$B$263,0)),"---")</f>
        <v>7.82</v>
      </c>
      <c r="E159" s="15">
        <f>IF(ISNUMBER(INDEX(PBDEs!$K$4:$K$263,MATCH($B159,PBDEs!$B$4:$B$263,0))),INDEX(PBDEs!$K$4:$K$263,MATCH($B159,PBDEs!$B$4:$B$263,0)),"---")</f>
        <v>137.41666666666666</v>
      </c>
      <c r="F159" s="15">
        <f>IF(ISNUMBER(INDEX(PBDEs!$S$4:$S$263,MATCH($B159,PBDEs!$B$4:$B$263,0))),INDEX(PBDEs!$S$4:$S$263,MATCH($B159,PBDEs!$B$4:$B$263,0)),"---")</f>
        <v>2.2489795897553517E-9</v>
      </c>
      <c r="G159" s="37">
        <f>IF(ISNUMBER(INDEX(PBDEs!$AA$4:$AA$263,MATCH($B159,PBDEs!$B$4:$B$263,0))),INDEX(PBDEs!$AA$4:$AA$263,MATCH($B159,PBDEs!$B$4:$B$263,0)),"---")</f>
        <v>8.7000000000000001E-4</v>
      </c>
    </row>
    <row r="160" spans="1:7" x14ac:dyDescent="0.3">
      <c r="A160" s="39" t="s">
        <v>2679</v>
      </c>
      <c r="B160" s="40" t="s">
        <v>586</v>
      </c>
      <c r="C160" s="413" t="s">
        <v>2858</v>
      </c>
      <c r="D160" s="15" t="str">
        <f>IF(ISNUMBER(INDEX(PBDEs!$G$4:$G$263,MATCH($B160,PBDEs!$B$4:$B$263,0))),INDEX(PBDEs!$G$4:$G$263,MATCH($B160,PBDEs!$B$4:$B$263,0)),"---")</f>
        <v>---</v>
      </c>
      <c r="E160" s="15">
        <f>IF(ISNUMBER(INDEX(PBDEs!$K$4:$K$263,MATCH($B160,PBDEs!$B$4:$B$263,0))),INDEX(PBDEs!$K$4:$K$263,MATCH($B160,PBDEs!$B$4:$B$263,0)),"---")</f>
        <v>152.5</v>
      </c>
      <c r="F160" s="15" t="str">
        <f>IF(ISNUMBER(INDEX(PBDEs!$S$4:$S$263,MATCH($B160,PBDEs!$B$4:$B$263,0))),INDEX(PBDEs!$S$4:$S$263,MATCH($B160,PBDEs!$B$4:$B$263,0)),"---")</f>
        <v>---</v>
      </c>
      <c r="G160" s="37" t="str">
        <f>IF(ISNUMBER(INDEX(PBDEs!$AA$4:$AA$263,MATCH($B160,PBDEs!$B$4:$B$263,0))),INDEX(PBDEs!$AA$4:$AA$263,MATCH($B160,PBDEs!$B$4:$B$263,0)),"---")</f>
        <v>---</v>
      </c>
    </row>
    <row r="161" spans="1:7" x14ac:dyDescent="0.3">
      <c r="A161" s="39" t="s">
        <v>2680</v>
      </c>
      <c r="B161" s="40" t="s">
        <v>587</v>
      </c>
      <c r="C161" s="413" t="s">
        <v>3174</v>
      </c>
      <c r="D161" s="15" t="str">
        <f>IF(ISNUMBER(INDEX(PBDEs!$G$4:$G$263,MATCH($B161,PBDEs!$B$4:$B$263,0))),INDEX(PBDEs!$G$4:$G$263,MATCH($B161,PBDEs!$B$4:$B$263,0)),"---")</f>
        <v>---</v>
      </c>
      <c r="E161" s="15" t="str">
        <f>IF(ISNUMBER(INDEX(PBDEs!$K$4:$K$263,MATCH($B161,PBDEs!$B$4:$B$263,0))),INDEX(PBDEs!$K$4:$K$263,MATCH($B161,PBDEs!$B$4:$B$263,0)),"---")</f>
        <v>---</v>
      </c>
      <c r="F161" s="15" t="str">
        <f>IF(ISNUMBER(INDEX(PBDEs!$S$4:$S$263,MATCH($B161,PBDEs!$B$4:$B$263,0))),INDEX(PBDEs!$S$4:$S$263,MATCH($B161,PBDEs!$B$4:$B$263,0)),"---")</f>
        <v>---</v>
      </c>
      <c r="G161" s="37" t="str">
        <f>IF(ISNUMBER(INDEX(PBDEs!$AA$4:$AA$263,MATCH($B161,PBDEs!$B$4:$B$263,0))),INDEX(PBDEs!$AA$4:$AA$263,MATCH($B161,PBDEs!$B$4:$B$263,0)),"---")</f>
        <v>---</v>
      </c>
    </row>
    <row r="162" spans="1:7" x14ac:dyDescent="0.3">
      <c r="A162" s="39" t="s">
        <v>2681</v>
      </c>
      <c r="B162" s="40" t="s">
        <v>588</v>
      </c>
      <c r="C162" s="15" t="s">
        <v>3175</v>
      </c>
      <c r="D162" s="15" t="str">
        <f>IF(ISNUMBER(INDEX(PBDEs!$G$4:$G$263,MATCH($B162,PBDEs!$B$4:$B$263,0))),INDEX(PBDEs!$G$4:$G$263,MATCH($B162,PBDEs!$B$4:$B$263,0)),"---")</f>
        <v>---</v>
      </c>
      <c r="E162" s="15" t="str">
        <f>IF(ISNUMBER(INDEX(PBDEs!$K$4:$K$263,MATCH($B162,PBDEs!$B$4:$B$263,0))),INDEX(PBDEs!$K$4:$K$263,MATCH($B162,PBDEs!$B$4:$B$263,0)),"---")</f>
        <v>---</v>
      </c>
      <c r="F162" s="15" t="str">
        <f>IF(ISNUMBER(INDEX(PBDEs!$S$4:$S$263,MATCH($B162,PBDEs!$B$4:$B$263,0))),INDEX(PBDEs!$S$4:$S$263,MATCH($B162,PBDEs!$B$4:$B$263,0)),"---")</f>
        <v>---</v>
      </c>
      <c r="G162" s="37" t="str">
        <f>IF(ISNUMBER(INDEX(PBDEs!$AA$4:$AA$263,MATCH($B162,PBDEs!$B$4:$B$263,0))),INDEX(PBDEs!$AA$4:$AA$263,MATCH($B162,PBDEs!$B$4:$B$263,0)),"---")</f>
        <v>---</v>
      </c>
    </row>
    <row r="163" spans="1:7" x14ac:dyDescent="0.3">
      <c r="A163" s="39" t="s">
        <v>2682</v>
      </c>
      <c r="B163" s="40" t="s">
        <v>589</v>
      </c>
      <c r="C163" s="15" t="s">
        <v>3176</v>
      </c>
      <c r="D163" s="15" t="str">
        <f>IF(ISNUMBER(INDEX(PBDEs!$G$4:$G$263,MATCH($B163,PBDEs!$B$4:$B$263,0))),INDEX(PBDEs!$G$4:$G$263,MATCH($B163,PBDEs!$B$4:$B$263,0)),"---")</f>
        <v>---</v>
      </c>
      <c r="E163" s="15" t="str">
        <f>IF(ISNUMBER(INDEX(PBDEs!$K$4:$K$263,MATCH($B163,PBDEs!$B$4:$B$263,0))),INDEX(PBDEs!$K$4:$K$263,MATCH($B163,PBDEs!$B$4:$B$263,0)),"---")</f>
        <v>---</v>
      </c>
      <c r="F163" s="15" t="str">
        <f>IF(ISNUMBER(INDEX(PBDEs!$S$4:$S$263,MATCH($B163,PBDEs!$B$4:$B$263,0))),INDEX(PBDEs!$S$4:$S$263,MATCH($B163,PBDEs!$B$4:$B$263,0)),"---")</f>
        <v>---</v>
      </c>
      <c r="G163" s="37" t="str">
        <f>IF(ISNUMBER(INDEX(PBDEs!$AA$4:$AA$263,MATCH($B163,PBDEs!$B$4:$B$263,0))),INDEX(PBDEs!$AA$4:$AA$263,MATCH($B163,PBDEs!$B$4:$B$263,0)),"---")</f>
        <v>---</v>
      </c>
    </row>
    <row r="164" spans="1:7" x14ac:dyDescent="0.3">
      <c r="A164" s="39" t="s">
        <v>2683</v>
      </c>
      <c r="B164" s="40" t="s">
        <v>590</v>
      </c>
      <c r="C164" s="15" t="s">
        <v>3177</v>
      </c>
      <c r="D164" s="15" t="str">
        <f>IF(ISNUMBER(INDEX(PBDEs!$G$4:$G$263,MATCH($B164,PBDEs!$B$4:$B$263,0))),INDEX(PBDEs!$G$4:$G$263,MATCH($B164,PBDEs!$B$4:$B$263,0)),"---")</f>
        <v>---</v>
      </c>
      <c r="E164" s="15" t="str">
        <f>IF(ISNUMBER(INDEX(PBDEs!$K$4:$K$263,MATCH($B164,PBDEs!$B$4:$B$263,0))),INDEX(PBDEs!$K$4:$K$263,MATCH($B164,PBDEs!$B$4:$B$263,0)),"---")</f>
        <v>---</v>
      </c>
      <c r="F164" s="15" t="str">
        <f>IF(ISNUMBER(INDEX(PBDEs!$S$4:$S$263,MATCH($B164,PBDEs!$B$4:$B$263,0))),INDEX(PBDEs!$S$4:$S$263,MATCH($B164,PBDEs!$B$4:$B$263,0)),"---")</f>
        <v>---</v>
      </c>
      <c r="G164" s="37" t="str">
        <f>IF(ISNUMBER(INDEX(PBDEs!$AA$4:$AA$263,MATCH($B164,PBDEs!$B$4:$B$263,0))),INDEX(PBDEs!$AA$4:$AA$263,MATCH($B164,PBDEs!$B$4:$B$263,0)),"---")</f>
        <v>---</v>
      </c>
    </row>
    <row r="165" spans="1:7" x14ac:dyDescent="0.3">
      <c r="A165" s="39" t="s">
        <v>2684</v>
      </c>
      <c r="B165" s="40" t="s">
        <v>591</v>
      </c>
      <c r="C165" s="15" t="s">
        <v>3178</v>
      </c>
      <c r="D165" s="15" t="str">
        <f>IF(ISNUMBER(INDEX(PBDEs!$G$4:$G$263,MATCH($B165,PBDEs!$B$4:$B$263,0))),INDEX(PBDEs!$G$4:$G$263,MATCH($B165,PBDEs!$B$4:$B$263,0)),"---")</f>
        <v>---</v>
      </c>
      <c r="E165" s="15" t="str">
        <f>IF(ISNUMBER(INDEX(PBDEs!$K$4:$K$263,MATCH($B165,PBDEs!$B$4:$B$263,0))),INDEX(PBDEs!$K$4:$K$263,MATCH($B165,PBDEs!$B$4:$B$263,0)),"---")</f>
        <v>---</v>
      </c>
      <c r="F165" s="15" t="str">
        <f>IF(ISNUMBER(INDEX(PBDEs!$S$4:$S$263,MATCH($B165,PBDEs!$B$4:$B$263,0))),INDEX(PBDEs!$S$4:$S$263,MATCH($B165,PBDEs!$B$4:$B$263,0)),"---")</f>
        <v>---</v>
      </c>
      <c r="G165" s="37" t="str">
        <f>IF(ISNUMBER(INDEX(PBDEs!$AA$4:$AA$263,MATCH($B165,PBDEs!$B$4:$B$263,0))),INDEX(PBDEs!$AA$4:$AA$263,MATCH($B165,PBDEs!$B$4:$B$263,0)),"---")</f>
        <v>---</v>
      </c>
    </row>
    <row r="166" spans="1:7" x14ac:dyDescent="0.3">
      <c r="A166" s="39" t="s">
        <v>2685</v>
      </c>
      <c r="B166" s="40" t="s">
        <v>592</v>
      </c>
      <c r="C166" s="15" t="s">
        <v>3179</v>
      </c>
      <c r="D166" s="15" t="str">
        <f>IF(ISNUMBER(INDEX(PBDEs!$G$4:$G$263,MATCH($B166,PBDEs!$B$4:$B$263,0))),INDEX(PBDEs!$G$4:$G$263,MATCH($B166,PBDEs!$B$4:$B$263,0)),"---")</f>
        <v>---</v>
      </c>
      <c r="E166" s="15" t="str">
        <f>IF(ISNUMBER(INDEX(PBDEs!$K$4:$K$263,MATCH($B166,PBDEs!$B$4:$B$263,0))),INDEX(PBDEs!$K$4:$K$263,MATCH($B166,PBDEs!$B$4:$B$263,0)),"---")</f>
        <v>---</v>
      </c>
      <c r="F166" s="15" t="str">
        <f>IF(ISNUMBER(INDEX(PBDEs!$S$4:$S$263,MATCH($B166,PBDEs!$B$4:$B$263,0))),INDEX(PBDEs!$S$4:$S$263,MATCH($B166,PBDEs!$B$4:$B$263,0)),"---")</f>
        <v>---</v>
      </c>
      <c r="G166" s="37" t="str">
        <f>IF(ISNUMBER(INDEX(PBDEs!$AA$4:$AA$263,MATCH($B166,PBDEs!$B$4:$B$263,0))),INDEX(PBDEs!$AA$4:$AA$263,MATCH($B166,PBDEs!$B$4:$B$263,0)),"---")</f>
        <v>---</v>
      </c>
    </row>
    <row r="167" spans="1:7" x14ac:dyDescent="0.3">
      <c r="A167" s="39" t="s">
        <v>2686</v>
      </c>
      <c r="B167" s="40" t="s">
        <v>593</v>
      </c>
      <c r="C167" s="15" t="s">
        <v>3180</v>
      </c>
      <c r="D167" s="15" t="str">
        <f>IF(ISNUMBER(INDEX(PBDEs!$G$4:$G$263,MATCH($B167,PBDEs!$B$4:$B$263,0))),INDEX(PBDEs!$G$4:$G$263,MATCH($B167,PBDEs!$B$4:$B$263,0)),"---")</f>
        <v>---</v>
      </c>
      <c r="E167" s="15" t="str">
        <f>IF(ISNUMBER(INDEX(PBDEs!$K$4:$K$263,MATCH($B167,PBDEs!$B$4:$B$263,0))),INDEX(PBDEs!$K$4:$K$263,MATCH($B167,PBDEs!$B$4:$B$263,0)),"---")</f>
        <v>---</v>
      </c>
      <c r="F167" s="15" t="str">
        <f>IF(ISNUMBER(INDEX(PBDEs!$S$4:$S$263,MATCH($B167,PBDEs!$B$4:$B$263,0))),INDEX(PBDEs!$S$4:$S$263,MATCH($B167,PBDEs!$B$4:$B$263,0)),"---")</f>
        <v>---</v>
      </c>
      <c r="G167" s="37" t="str">
        <f>IF(ISNUMBER(INDEX(PBDEs!$AA$4:$AA$263,MATCH($B167,PBDEs!$B$4:$B$263,0))),INDEX(PBDEs!$AA$4:$AA$263,MATCH($B167,PBDEs!$B$4:$B$263,0)),"---")</f>
        <v>---</v>
      </c>
    </row>
    <row r="168" spans="1:7" x14ac:dyDescent="0.3">
      <c r="A168" s="39" t="s">
        <v>2687</v>
      </c>
      <c r="B168" s="40" t="s">
        <v>594</v>
      </c>
      <c r="C168" s="15" t="s">
        <v>3181</v>
      </c>
      <c r="D168" s="15" t="str">
        <f>IF(ISNUMBER(INDEX(PBDEs!$G$4:$G$263,MATCH($B168,PBDEs!$B$4:$B$263,0))),INDEX(PBDEs!$G$4:$G$263,MATCH($B168,PBDEs!$B$4:$B$263,0)),"---")</f>
        <v>---</v>
      </c>
      <c r="E168" s="15" t="str">
        <f>IF(ISNUMBER(INDEX(PBDEs!$K$4:$K$263,MATCH($B168,PBDEs!$B$4:$B$263,0))),INDEX(PBDEs!$K$4:$K$263,MATCH($B168,PBDEs!$B$4:$B$263,0)),"---")</f>
        <v>---</v>
      </c>
      <c r="F168" s="15" t="str">
        <f>IF(ISNUMBER(INDEX(PBDEs!$S$4:$S$263,MATCH($B168,PBDEs!$B$4:$B$263,0))),INDEX(PBDEs!$S$4:$S$263,MATCH($B168,PBDEs!$B$4:$B$263,0)),"---")</f>
        <v>---</v>
      </c>
      <c r="G168" s="37" t="str">
        <f>IF(ISNUMBER(INDEX(PBDEs!$AA$4:$AA$263,MATCH($B168,PBDEs!$B$4:$B$263,0))),INDEX(PBDEs!$AA$4:$AA$263,MATCH($B168,PBDEs!$B$4:$B$263,0)),"---")</f>
        <v>---</v>
      </c>
    </row>
    <row r="169" spans="1:7" x14ac:dyDescent="0.3">
      <c r="A169" s="39" t="s">
        <v>2688</v>
      </c>
      <c r="B169" s="40" t="s">
        <v>595</v>
      </c>
      <c r="C169" s="15" t="s">
        <v>3182</v>
      </c>
      <c r="D169" s="15" t="str">
        <f>IF(ISNUMBER(INDEX(PBDEs!$G$4:$G$263,MATCH($B169,PBDEs!$B$4:$B$263,0))),INDEX(PBDEs!$G$4:$G$263,MATCH($B169,PBDEs!$B$4:$B$263,0)),"---")</f>
        <v>---</v>
      </c>
      <c r="E169" s="15" t="str">
        <f>IF(ISNUMBER(INDEX(PBDEs!$K$4:$K$263,MATCH($B169,PBDEs!$B$4:$B$263,0))),INDEX(PBDEs!$K$4:$K$263,MATCH($B169,PBDEs!$B$4:$B$263,0)),"---")</f>
        <v>---</v>
      </c>
      <c r="F169" s="15" t="str">
        <f>IF(ISNUMBER(INDEX(PBDEs!$S$4:$S$263,MATCH($B169,PBDEs!$B$4:$B$263,0))),INDEX(PBDEs!$S$4:$S$263,MATCH($B169,PBDEs!$B$4:$B$263,0)),"---")</f>
        <v>---</v>
      </c>
      <c r="G169" s="37" t="str">
        <f>IF(ISNUMBER(INDEX(PBDEs!$AA$4:$AA$263,MATCH($B169,PBDEs!$B$4:$B$263,0))),INDEX(PBDEs!$AA$4:$AA$263,MATCH($B169,PBDEs!$B$4:$B$263,0)),"---")</f>
        <v>---</v>
      </c>
    </row>
    <row r="170" spans="1:7" x14ac:dyDescent="0.3">
      <c r="A170" s="39" t="s">
        <v>2689</v>
      </c>
      <c r="B170" s="40" t="s">
        <v>596</v>
      </c>
      <c r="C170" s="15" t="s">
        <v>3183</v>
      </c>
      <c r="D170" s="15" t="str">
        <f>IF(ISNUMBER(INDEX(PBDEs!$G$4:$G$263,MATCH($B170,PBDEs!$B$4:$B$263,0))),INDEX(PBDEs!$G$4:$G$263,MATCH($B170,PBDEs!$B$4:$B$263,0)),"---")</f>
        <v>---</v>
      </c>
      <c r="E170" s="15" t="str">
        <f>IF(ISNUMBER(INDEX(PBDEs!$K$4:$K$263,MATCH($B170,PBDEs!$B$4:$B$263,0))),INDEX(PBDEs!$K$4:$K$263,MATCH($B170,PBDEs!$B$4:$B$263,0)),"---")</f>
        <v>---</v>
      </c>
      <c r="F170" s="15" t="str">
        <f>IF(ISNUMBER(INDEX(PBDEs!$S$4:$S$263,MATCH($B170,PBDEs!$B$4:$B$263,0))),INDEX(PBDEs!$S$4:$S$263,MATCH($B170,PBDEs!$B$4:$B$263,0)),"---")</f>
        <v>---</v>
      </c>
      <c r="G170" s="37" t="str">
        <f>IF(ISNUMBER(INDEX(PBDEs!$AA$4:$AA$263,MATCH($B170,PBDEs!$B$4:$B$263,0))),INDEX(PBDEs!$AA$4:$AA$263,MATCH($B170,PBDEs!$B$4:$B$263,0)),"---")</f>
        <v>---</v>
      </c>
    </row>
    <row r="171" spans="1:7" x14ac:dyDescent="0.3">
      <c r="A171" s="39" t="s">
        <v>2690</v>
      </c>
      <c r="B171" s="40" t="s">
        <v>597</v>
      </c>
      <c r="C171" s="15" t="s">
        <v>2859</v>
      </c>
      <c r="D171" s="15" t="str">
        <f>IF(ISNUMBER(INDEX(PBDEs!$G$4:$G$263,MATCH($B171,PBDEs!$B$4:$B$263,0))),INDEX(PBDEs!$G$4:$G$263,MATCH($B171,PBDEs!$B$4:$B$263,0)),"---")</f>
        <v>---</v>
      </c>
      <c r="E171" s="15">
        <f>IF(ISNUMBER(INDEX(PBDEs!$K$4:$K$263,MATCH($B171,PBDEs!$B$4:$B$263,0))),INDEX(PBDEs!$K$4:$K$263,MATCH($B171,PBDEs!$B$4:$B$263,0)),"---")</f>
        <v>184</v>
      </c>
      <c r="F171" s="15" t="str">
        <f>IF(ISNUMBER(INDEX(PBDEs!$S$4:$S$263,MATCH($B171,PBDEs!$B$4:$B$263,0))),INDEX(PBDEs!$S$4:$S$263,MATCH($B171,PBDEs!$B$4:$B$263,0)),"---")</f>
        <v>---</v>
      </c>
      <c r="G171" s="37" t="str">
        <f>IF(ISNUMBER(INDEX(PBDEs!$AA$4:$AA$263,MATCH($B171,PBDEs!$B$4:$B$263,0))),INDEX(PBDEs!$AA$4:$AA$263,MATCH($B171,PBDEs!$B$4:$B$263,0)),"---")</f>
        <v>---</v>
      </c>
    </row>
    <row r="172" spans="1:7" x14ac:dyDescent="0.3">
      <c r="A172" s="39" t="s">
        <v>2691</v>
      </c>
      <c r="B172" s="40" t="s">
        <v>598</v>
      </c>
      <c r="C172" s="15" t="s">
        <v>3184</v>
      </c>
      <c r="D172" s="15" t="str">
        <f>IF(ISNUMBER(INDEX(PBDEs!$G$4:$G$263,MATCH($B172,PBDEs!$B$4:$B$263,0))),INDEX(PBDEs!$G$4:$G$263,MATCH($B172,PBDEs!$B$4:$B$263,0)),"---")</f>
        <v>---</v>
      </c>
      <c r="E172" s="15" t="str">
        <f>IF(ISNUMBER(INDEX(PBDEs!$K$4:$K$263,MATCH($B172,PBDEs!$B$4:$B$263,0))),INDEX(PBDEs!$K$4:$K$263,MATCH($B172,PBDEs!$B$4:$B$263,0)),"---")</f>
        <v>---</v>
      </c>
      <c r="F172" s="15" t="str">
        <f>IF(ISNUMBER(INDEX(PBDEs!$S$4:$S$263,MATCH($B172,PBDEs!$B$4:$B$263,0))),INDEX(PBDEs!$S$4:$S$263,MATCH($B172,PBDEs!$B$4:$B$263,0)),"---")</f>
        <v>---</v>
      </c>
      <c r="G172" s="37" t="str">
        <f>IF(ISNUMBER(INDEX(PBDEs!$AA$4:$AA$263,MATCH($B172,PBDEs!$B$4:$B$263,0))),INDEX(PBDEs!$AA$4:$AA$263,MATCH($B172,PBDEs!$B$4:$B$263,0)),"---")</f>
        <v>---</v>
      </c>
    </row>
    <row r="173" spans="1:7" x14ac:dyDescent="0.3">
      <c r="A173" s="39" t="s">
        <v>2692</v>
      </c>
      <c r="B173" s="40" t="s">
        <v>599</v>
      </c>
      <c r="C173" s="15" t="s">
        <v>3185</v>
      </c>
      <c r="D173" s="15" t="str">
        <f>IF(ISNUMBER(INDEX(PBDEs!$G$4:$G$263,MATCH($B173,PBDEs!$B$4:$B$263,0))),INDEX(PBDEs!$G$4:$G$263,MATCH($B173,PBDEs!$B$4:$B$263,0)),"---")</f>
        <v>---</v>
      </c>
      <c r="E173" s="15" t="str">
        <f>IF(ISNUMBER(INDEX(PBDEs!$K$4:$K$263,MATCH($B173,PBDEs!$B$4:$B$263,0))),INDEX(PBDEs!$K$4:$K$263,MATCH($B173,PBDEs!$B$4:$B$263,0)),"---")</f>
        <v>---</v>
      </c>
      <c r="F173" s="15" t="str">
        <f>IF(ISNUMBER(INDEX(PBDEs!$S$4:$S$263,MATCH($B173,PBDEs!$B$4:$B$263,0))),INDEX(PBDEs!$S$4:$S$263,MATCH($B173,PBDEs!$B$4:$B$263,0)),"---")</f>
        <v>---</v>
      </c>
      <c r="G173" s="37" t="str">
        <f>IF(ISNUMBER(INDEX(PBDEs!$AA$4:$AA$263,MATCH($B173,PBDEs!$B$4:$B$263,0))),INDEX(PBDEs!$AA$4:$AA$263,MATCH($B173,PBDEs!$B$4:$B$263,0)),"---")</f>
        <v>---</v>
      </c>
    </row>
    <row r="174" spans="1:7" x14ac:dyDescent="0.3">
      <c r="A174" s="39" t="s">
        <v>2693</v>
      </c>
      <c r="B174" s="40" t="s">
        <v>600</v>
      </c>
      <c r="C174" s="15" t="s">
        <v>3186</v>
      </c>
      <c r="D174" s="15" t="str">
        <f>IF(ISNUMBER(INDEX(PBDEs!$G$4:$G$263,MATCH($B174,PBDEs!$B$4:$B$263,0))),INDEX(PBDEs!$G$4:$G$263,MATCH($B174,PBDEs!$B$4:$B$263,0)),"---")</f>
        <v>---</v>
      </c>
      <c r="E174" s="15" t="str">
        <f>IF(ISNUMBER(INDEX(PBDEs!$K$4:$K$263,MATCH($B174,PBDEs!$B$4:$B$263,0))),INDEX(PBDEs!$K$4:$K$263,MATCH($B174,PBDEs!$B$4:$B$263,0)),"---")</f>
        <v>---</v>
      </c>
      <c r="F174" s="15" t="str">
        <f>IF(ISNUMBER(INDEX(PBDEs!$S$4:$S$263,MATCH($B174,PBDEs!$B$4:$B$263,0))),INDEX(PBDEs!$S$4:$S$263,MATCH($B174,PBDEs!$B$4:$B$263,0)),"---")</f>
        <v>---</v>
      </c>
      <c r="G174" s="37" t="str">
        <f>IF(ISNUMBER(INDEX(PBDEs!$AA$4:$AA$263,MATCH($B174,PBDEs!$B$4:$B$263,0))),INDEX(PBDEs!$AA$4:$AA$263,MATCH($B174,PBDEs!$B$4:$B$263,0)),"---")</f>
        <v>---</v>
      </c>
    </row>
    <row r="175" spans="1:7" x14ac:dyDescent="0.3">
      <c r="A175" s="39" t="s">
        <v>2694</v>
      </c>
      <c r="B175" s="40" t="s">
        <v>601</v>
      </c>
      <c r="C175" s="15" t="s">
        <v>2880</v>
      </c>
      <c r="D175" s="15" t="str">
        <f>IF(ISNUMBER(INDEX(PBDEs!$G$4:$G$263,MATCH($B175,PBDEs!$B$4:$B$263,0))),INDEX(PBDEs!$G$4:$G$263,MATCH($B175,PBDEs!$B$4:$B$263,0)),"---")</f>
        <v>---</v>
      </c>
      <c r="E175" s="15" t="str">
        <f>IF(ISNUMBER(INDEX(PBDEs!$K$4:$K$263,MATCH($B175,PBDEs!$B$4:$B$263,0))),INDEX(PBDEs!$K$4:$K$263,MATCH($B175,PBDEs!$B$4:$B$263,0)),"---")</f>
        <v>---</v>
      </c>
      <c r="F175" s="15" t="str">
        <f>IF(ISNUMBER(INDEX(PBDEs!$S$4:$S$263,MATCH($B175,PBDEs!$B$4:$B$263,0))),INDEX(PBDEs!$S$4:$S$263,MATCH($B175,PBDEs!$B$4:$B$263,0)),"---")</f>
        <v>---</v>
      </c>
      <c r="G175" s="37" t="str">
        <f>IF(ISNUMBER(INDEX(PBDEs!$AA$4:$AA$263,MATCH($B175,PBDEs!$B$4:$B$263,0))),INDEX(PBDEs!$AA$4:$AA$263,MATCH($B175,PBDEs!$B$4:$B$263,0)),"---")</f>
        <v>---</v>
      </c>
    </row>
    <row r="176" spans="1:7" x14ac:dyDescent="0.3">
      <c r="A176" s="39" t="s">
        <v>2695</v>
      </c>
      <c r="B176" s="40" t="s">
        <v>602</v>
      </c>
      <c r="C176" s="15" t="s">
        <v>3187</v>
      </c>
      <c r="D176" s="15" t="str">
        <f>IF(ISNUMBER(INDEX(PBDEs!$G$4:$G$263,MATCH($B176,PBDEs!$B$4:$B$263,0))),INDEX(PBDEs!$G$4:$G$263,MATCH($B176,PBDEs!$B$4:$B$263,0)),"---")</f>
        <v>---</v>
      </c>
      <c r="E176" s="15" t="str">
        <f>IF(ISNUMBER(INDEX(PBDEs!$K$4:$K$263,MATCH($B176,PBDEs!$B$4:$B$263,0))),INDEX(PBDEs!$K$4:$K$263,MATCH($B176,PBDEs!$B$4:$B$263,0)),"---")</f>
        <v>---</v>
      </c>
      <c r="F176" s="15" t="str">
        <f>IF(ISNUMBER(INDEX(PBDEs!$S$4:$S$263,MATCH($B176,PBDEs!$B$4:$B$263,0))),INDEX(PBDEs!$S$4:$S$263,MATCH($B176,PBDEs!$B$4:$B$263,0)),"---")</f>
        <v>---</v>
      </c>
      <c r="G176" s="37" t="str">
        <f>IF(ISNUMBER(INDEX(PBDEs!$AA$4:$AA$263,MATCH($B176,PBDEs!$B$4:$B$263,0))),INDEX(PBDEs!$AA$4:$AA$263,MATCH($B176,PBDEs!$B$4:$B$263,0)),"---")</f>
        <v>---</v>
      </c>
    </row>
    <row r="177" spans="1:7" x14ac:dyDescent="0.3">
      <c r="A177" s="39" t="s">
        <v>2696</v>
      </c>
      <c r="B177" s="40" t="s">
        <v>603</v>
      </c>
      <c r="C177" s="15" t="s">
        <v>3188</v>
      </c>
      <c r="D177" s="15" t="str">
        <f>IF(ISNUMBER(INDEX(PBDEs!$G$4:$G$263,MATCH($B177,PBDEs!$B$4:$B$263,0))),INDEX(PBDEs!$G$4:$G$263,MATCH($B177,PBDEs!$B$4:$B$263,0)),"---")</f>
        <v>---</v>
      </c>
      <c r="E177" s="15" t="str">
        <f>IF(ISNUMBER(INDEX(PBDEs!$K$4:$K$263,MATCH($B177,PBDEs!$B$4:$B$263,0))),INDEX(PBDEs!$K$4:$K$263,MATCH($B177,PBDEs!$B$4:$B$263,0)),"---")</f>
        <v>---</v>
      </c>
      <c r="F177" s="15" t="str">
        <f>IF(ISNUMBER(INDEX(PBDEs!$S$4:$S$263,MATCH($B177,PBDEs!$B$4:$B$263,0))),INDEX(PBDEs!$S$4:$S$263,MATCH($B177,PBDEs!$B$4:$B$263,0)),"---")</f>
        <v>---</v>
      </c>
      <c r="G177" s="37" t="str">
        <f>IF(ISNUMBER(INDEX(PBDEs!$AA$4:$AA$263,MATCH($B177,PBDEs!$B$4:$B$263,0))),INDEX(PBDEs!$AA$4:$AA$263,MATCH($B177,PBDEs!$B$4:$B$263,0)),"---")</f>
        <v>---</v>
      </c>
    </row>
    <row r="178" spans="1:7" x14ac:dyDescent="0.3">
      <c r="A178" s="39" t="s">
        <v>2697</v>
      </c>
      <c r="B178" s="40" t="s">
        <v>604</v>
      </c>
      <c r="C178" s="15" t="s">
        <v>3189</v>
      </c>
      <c r="D178" s="15" t="str">
        <f>IF(ISNUMBER(INDEX(PBDEs!$G$4:$G$263,MATCH($B178,PBDEs!$B$4:$B$263,0))),INDEX(PBDEs!$G$4:$G$263,MATCH($B178,PBDEs!$B$4:$B$263,0)),"---")</f>
        <v>---</v>
      </c>
      <c r="E178" s="15" t="str">
        <f>IF(ISNUMBER(INDEX(PBDEs!$K$4:$K$263,MATCH($B178,PBDEs!$B$4:$B$263,0))),INDEX(PBDEs!$K$4:$K$263,MATCH($B178,PBDEs!$B$4:$B$263,0)),"---")</f>
        <v>---</v>
      </c>
      <c r="F178" s="15" t="str">
        <f>IF(ISNUMBER(INDEX(PBDEs!$S$4:$S$263,MATCH($B178,PBDEs!$B$4:$B$263,0))),INDEX(PBDEs!$S$4:$S$263,MATCH($B178,PBDEs!$B$4:$B$263,0)),"---")</f>
        <v>---</v>
      </c>
      <c r="G178" s="37" t="str">
        <f>IF(ISNUMBER(INDEX(PBDEs!$AA$4:$AA$263,MATCH($B178,PBDEs!$B$4:$B$263,0))),INDEX(PBDEs!$AA$4:$AA$263,MATCH($B178,PBDEs!$B$4:$B$263,0)),"---")</f>
        <v>---</v>
      </c>
    </row>
    <row r="179" spans="1:7" x14ac:dyDescent="0.3">
      <c r="A179" s="39" t="s">
        <v>2698</v>
      </c>
      <c r="B179" s="40" t="s">
        <v>605</v>
      </c>
      <c r="C179" s="15" t="s">
        <v>3190</v>
      </c>
      <c r="D179" s="15" t="str">
        <f>IF(ISNUMBER(INDEX(PBDEs!$G$4:$G$263,MATCH($B179,PBDEs!$B$4:$B$263,0))),INDEX(PBDEs!$G$4:$G$263,MATCH($B179,PBDEs!$B$4:$B$263,0)),"---")</f>
        <v>---</v>
      </c>
      <c r="E179" s="15" t="str">
        <f>IF(ISNUMBER(INDEX(PBDEs!$K$4:$K$263,MATCH($B179,PBDEs!$B$4:$B$263,0))),INDEX(PBDEs!$K$4:$K$263,MATCH($B179,PBDEs!$B$4:$B$263,0)),"---")</f>
        <v>---</v>
      </c>
      <c r="F179" s="15" t="str">
        <f>IF(ISNUMBER(INDEX(PBDEs!$S$4:$S$263,MATCH($B179,PBDEs!$B$4:$B$263,0))),INDEX(PBDEs!$S$4:$S$263,MATCH($B179,PBDEs!$B$4:$B$263,0)),"---")</f>
        <v>---</v>
      </c>
      <c r="G179" s="37" t="str">
        <f>IF(ISNUMBER(INDEX(PBDEs!$AA$4:$AA$263,MATCH($B179,PBDEs!$B$4:$B$263,0))),INDEX(PBDEs!$AA$4:$AA$263,MATCH($B179,PBDEs!$B$4:$B$263,0)),"---")</f>
        <v>---</v>
      </c>
    </row>
    <row r="180" spans="1:7" x14ac:dyDescent="0.3">
      <c r="A180" s="39" t="s">
        <v>2699</v>
      </c>
      <c r="B180" s="40" t="s">
        <v>606</v>
      </c>
      <c r="C180" s="15" t="s">
        <v>3191</v>
      </c>
      <c r="D180" s="15" t="str">
        <f>IF(ISNUMBER(INDEX(PBDEs!$G$4:$G$263,MATCH($B180,PBDEs!$B$4:$B$263,0))),INDEX(PBDEs!$G$4:$G$263,MATCH($B180,PBDEs!$B$4:$B$263,0)),"---")</f>
        <v>---</v>
      </c>
      <c r="E180" s="15" t="str">
        <f>IF(ISNUMBER(INDEX(PBDEs!$K$4:$K$263,MATCH($B180,PBDEs!$B$4:$B$263,0))),INDEX(PBDEs!$K$4:$K$263,MATCH($B180,PBDEs!$B$4:$B$263,0)),"---")</f>
        <v>---</v>
      </c>
      <c r="F180" s="15" t="str">
        <f>IF(ISNUMBER(INDEX(PBDEs!$S$4:$S$263,MATCH($B180,PBDEs!$B$4:$B$263,0))),INDEX(PBDEs!$S$4:$S$263,MATCH($B180,PBDEs!$B$4:$B$263,0)),"---")</f>
        <v>---</v>
      </c>
      <c r="G180" s="37" t="str">
        <f>IF(ISNUMBER(INDEX(PBDEs!$AA$4:$AA$263,MATCH($B180,PBDEs!$B$4:$B$263,0))),INDEX(PBDEs!$AA$4:$AA$263,MATCH($B180,PBDEs!$B$4:$B$263,0)),"---")</f>
        <v>---</v>
      </c>
    </row>
    <row r="181" spans="1:7" x14ac:dyDescent="0.3">
      <c r="A181" s="39" t="s">
        <v>2700</v>
      </c>
      <c r="B181" s="40" t="s">
        <v>607</v>
      </c>
      <c r="C181" s="15" t="s">
        <v>3192</v>
      </c>
      <c r="D181" s="15" t="str">
        <f>IF(ISNUMBER(INDEX(PBDEs!$G$4:$G$263,MATCH($B181,PBDEs!$B$4:$B$263,0))),INDEX(PBDEs!$G$4:$G$263,MATCH($B181,PBDEs!$B$4:$B$263,0)),"---")</f>
        <v>---</v>
      </c>
      <c r="E181" s="15" t="str">
        <f>IF(ISNUMBER(INDEX(PBDEs!$K$4:$K$263,MATCH($B181,PBDEs!$B$4:$B$263,0))),INDEX(PBDEs!$K$4:$K$263,MATCH($B181,PBDEs!$B$4:$B$263,0)),"---")</f>
        <v>---</v>
      </c>
      <c r="F181" s="15" t="str">
        <f>IF(ISNUMBER(INDEX(PBDEs!$S$4:$S$263,MATCH($B181,PBDEs!$B$4:$B$263,0))),INDEX(PBDEs!$S$4:$S$263,MATCH($B181,PBDEs!$B$4:$B$263,0)),"---")</f>
        <v>---</v>
      </c>
      <c r="G181" s="37" t="str">
        <f>IF(ISNUMBER(INDEX(PBDEs!$AA$4:$AA$263,MATCH($B181,PBDEs!$B$4:$B$263,0))),INDEX(PBDEs!$AA$4:$AA$263,MATCH($B181,PBDEs!$B$4:$B$263,0)),"---")</f>
        <v>---</v>
      </c>
    </row>
    <row r="182" spans="1:7" x14ac:dyDescent="0.3">
      <c r="A182" s="39" t="s">
        <v>2701</v>
      </c>
      <c r="B182" s="40" t="s">
        <v>608</v>
      </c>
      <c r="C182" s="15" t="s">
        <v>3193</v>
      </c>
      <c r="D182" s="15" t="str">
        <f>IF(ISNUMBER(INDEX(PBDEs!$G$4:$G$263,MATCH($B182,PBDEs!$B$4:$B$263,0))),INDEX(PBDEs!$G$4:$G$263,MATCH($B182,PBDEs!$B$4:$B$263,0)),"---")</f>
        <v>---</v>
      </c>
      <c r="E182" s="15" t="str">
        <f>IF(ISNUMBER(INDEX(PBDEs!$K$4:$K$263,MATCH($B182,PBDEs!$B$4:$B$263,0))),INDEX(PBDEs!$K$4:$K$263,MATCH($B182,PBDEs!$B$4:$B$263,0)),"---")</f>
        <v>---</v>
      </c>
      <c r="F182" s="15" t="str">
        <f>IF(ISNUMBER(INDEX(PBDEs!$S$4:$S$263,MATCH($B182,PBDEs!$B$4:$B$263,0))),INDEX(PBDEs!$S$4:$S$263,MATCH($B182,PBDEs!$B$4:$B$263,0)),"---")</f>
        <v>---</v>
      </c>
      <c r="G182" s="37" t="str">
        <f>IF(ISNUMBER(INDEX(PBDEs!$AA$4:$AA$263,MATCH($B182,PBDEs!$B$4:$B$263,0))),INDEX(PBDEs!$AA$4:$AA$263,MATCH($B182,PBDEs!$B$4:$B$263,0)),"---")</f>
        <v>---</v>
      </c>
    </row>
    <row r="183" spans="1:7" x14ac:dyDescent="0.3">
      <c r="A183" s="39" t="s">
        <v>2702</v>
      </c>
      <c r="B183" s="40" t="s">
        <v>609</v>
      </c>
      <c r="C183" s="15" t="s">
        <v>3194</v>
      </c>
      <c r="D183" s="15" t="str">
        <f>IF(ISNUMBER(INDEX(PBDEs!$G$4:$G$263,MATCH($B183,PBDEs!$B$4:$B$263,0))),INDEX(PBDEs!$G$4:$G$263,MATCH($B183,PBDEs!$B$4:$B$263,0)),"---")</f>
        <v>---</v>
      </c>
      <c r="E183" s="15" t="str">
        <f>IF(ISNUMBER(INDEX(PBDEs!$K$4:$K$263,MATCH($B183,PBDEs!$B$4:$B$263,0))),INDEX(PBDEs!$K$4:$K$263,MATCH($B183,PBDEs!$B$4:$B$263,0)),"---")</f>
        <v>---</v>
      </c>
      <c r="F183" s="15" t="str">
        <f>IF(ISNUMBER(INDEX(PBDEs!$S$4:$S$263,MATCH($B183,PBDEs!$B$4:$B$263,0))),INDEX(PBDEs!$S$4:$S$263,MATCH($B183,PBDEs!$B$4:$B$263,0)),"---")</f>
        <v>---</v>
      </c>
      <c r="G183" s="37" t="str">
        <f>IF(ISNUMBER(INDEX(PBDEs!$AA$4:$AA$263,MATCH($B183,PBDEs!$B$4:$B$263,0))),INDEX(PBDEs!$AA$4:$AA$263,MATCH($B183,PBDEs!$B$4:$B$263,0)),"---")</f>
        <v>---</v>
      </c>
    </row>
    <row r="184" spans="1:7" x14ac:dyDescent="0.3">
      <c r="A184" s="39" t="s">
        <v>2703</v>
      </c>
      <c r="B184" s="40" t="s">
        <v>610</v>
      </c>
      <c r="C184" s="15" t="s">
        <v>3195</v>
      </c>
      <c r="D184" s="15" t="str">
        <f>IF(ISNUMBER(INDEX(PBDEs!$G$4:$G$263,MATCH($B184,PBDEs!$B$4:$B$263,0))),INDEX(PBDEs!$G$4:$G$263,MATCH($B184,PBDEs!$B$4:$B$263,0)),"---")</f>
        <v>---</v>
      </c>
      <c r="E184" s="15" t="str">
        <f>IF(ISNUMBER(INDEX(PBDEs!$K$4:$K$263,MATCH($B184,PBDEs!$B$4:$B$263,0))),INDEX(PBDEs!$K$4:$K$263,MATCH($B184,PBDEs!$B$4:$B$263,0)),"---")</f>
        <v>---</v>
      </c>
      <c r="F184" s="15" t="str">
        <f>IF(ISNUMBER(INDEX(PBDEs!$S$4:$S$263,MATCH($B184,PBDEs!$B$4:$B$263,0))),INDEX(PBDEs!$S$4:$S$263,MATCH($B184,PBDEs!$B$4:$B$263,0)),"---")</f>
        <v>---</v>
      </c>
      <c r="G184" s="37" t="str">
        <f>IF(ISNUMBER(INDEX(PBDEs!$AA$4:$AA$263,MATCH($B184,PBDEs!$B$4:$B$263,0))),INDEX(PBDEs!$AA$4:$AA$263,MATCH($B184,PBDEs!$B$4:$B$263,0)),"---")</f>
        <v>---</v>
      </c>
    </row>
    <row r="185" spans="1:7" x14ac:dyDescent="0.3">
      <c r="A185" s="39" t="s">
        <v>2704</v>
      </c>
      <c r="B185" s="40" t="s">
        <v>611</v>
      </c>
      <c r="C185" s="15" t="s">
        <v>3196</v>
      </c>
      <c r="D185" s="15" t="str">
        <f>IF(ISNUMBER(INDEX(PBDEs!$G$4:$G$263,MATCH($B185,PBDEs!$B$4:$B$263,0))),INDEX(PBDEs!$G$4:$G$263,MATCH($B185,PBDEs!$B$4:$B$263,0)),"---")</f>
        <v>---</v>
      </c>
      <c r="E185" s="15">
        <f>IF(ISNUMBER(INDEX(PBDEs!$K$4:$K$263,MATCH($B185,PBDEs!$B$4:$B$263,0))),INDEX(PBDEs!$K$4:$K$263,MATCH($B185,PBDEs!$B$4:$B$263,0)),"---")</f>
        <v>126</v>
      </c>
      <c r="F185" s="15" t="str">
        <f>IF(ISNUMBER(INDEX(PBDEs!$S$4:$S$263,MATCH($B185,PBDEs!$B$4:$B$263,0))),INDEX(PBDEs!$S$4:$S$263,MATCH($B185,PBDEs!$B$4:$B$263,0)),"---")</f>
        <v>---</v>
      </c>
      <c r="G185" s="37" t="str">
        <f>IF(ISNUMBER(INDEX(PBDEs!$AA$4:$AA$263,MATCH($B185,PBDEs!$B$4:$B$263,0))),INDEX(PBDEs!$AA$4:$AA$263,MATCH($B185,PBDEs!$B$4:$B$263,0)),"---")</f>
        <v>---</v>
      </c>
    </row>
    <row r="186" spans="1:7" x14ac:dyDescent="0.3">
      <c r="A186" s="39" t="s">
        <v>2705</v>
      </c>
      <c r="B186" s="40" t="s">
        <v>612</v>
      </c>
      <c r="C186" s="15" t="s">
        <v>2860</v>
      </c>
      <c r="D186" s="15" t="str">
        <f>IF(ISNUMBER(INDEX(PBDEs!$G$4:$G$263,MATCH($B186,PBDEs!$B$4:$B$263,0))),INDEX(PBDEs!$G$4:$G$263,MATCH($B186,PBDEs!$B$4:$B$263,0)),"---")</f>
        <v>---</v>
      </c>
      <c r="E186" s="15">
        <f>IF(ISNUMBER(INDEX(PBDEs!$K$4:$K$263,MATCH($B186,PBDEs!$B$4:$B$263,0))),INDEX(PBDEs!$K$4:$K$263,MATCH($B186,PBDEs!$B$4:$B$263,0)),"---")</f>
        <v>156.5</v>
      </c>
      <c r="F186" s="15" t="str">
        <f>IF(ISNUMBER(INDEX(PBDEs!$S$4:$S$263,MATCH($B186,PBDEs!$B$4:$B$263,0))),INDEX(PBDEs!$S$4:$S$263,MATCH($B186,PBDEs!$B$4:$B$263,0)),"---")</f>
        <v>---</v>
      </c>
      <c r="G186" s="37" t="str">
        <f>IF(ISNUMBER(INDEX(PBDEs!$AA$4:$AA$263,MATCH($B186,PBDEs!$B$4:$B$263,0))),INDEX(PBDEs!$AA$4:$AA$263,MATCH($B186,PBDEs!$B$4:$B$263,0)),"---")</f>
        <v>---</v>
      </c>
    </row>
    <row r="187" spans="1:7" x14ac:dyDescent="0.3">
      <c r="A187" s="39" t="s">
        <v>2706</v>
      </c>
      <c r="B187" s="40" t="s">
        <v>613</v>
      </c>
      <c r="C187" s="15" t="s">
        <v>3197</v>
      </c>
      <c r="D187" s="15" t="str">
        <f>IF(ISNUMBER(INDEX(PBDEs!$G$4:$G$263,MATCH($B187,PBDEs!$B$4:$B$263,0))),INDEX(PBDEs!$G$4:$G$263,MATCH($B187,PBDEs!$B$4:$B$263,0)),"---")</f>
        <v>---</v>
      </c>
      <c r="E187" s="15">
        <f>IF(ISNUMBER(INDEX(PBDEs!$K$4:$K$263,MATCH($B187,PBDEs!$B$4:$B$263,0))),INDEX(PBDEs!$K$4:$K$263,MATCH($B187,PBDEs!$B$4:$B$263,0)),"---")</f>
        <v>186</v>
      </c>
      <c r="F187" s="15" t="str">
        <f>IF(ISNUMBER(INDEX(PBDEs!$S$4:$S$263,MATCH($B187,PBDEs!$B$4:$B$263,0))),INDEX(PBDEs!$S$4:$S$263,MATCH($B187,PBDEs!$B$4:$B$263,0)),"---")</f>
        <v>---</v>
      </c>
      <c r="G187" s="37" t="str">
        <f>IF(ISNUMBER(INDEX(PBDEs!$AA$4:$AA$263,MATCH($B187,PBDEs!$B$4:$B$263,0))),INDEX(PBDEs!$AA$4:$AA$263,MATCH($B187,PBDEs!$B$4:$B$263,0)),"---")</f>
        <v>---</v>
      </c>
    </row>
    <row r="188" spans="1:7" x14ac:dyDescent="0.3">
      <c r="A188" s="39" t="s">
        <v>2707</v>
      </c>
      <c r="B188" s="40" t="s">
        <v>614</v>
      </c>
      <c r="C188" s="15" t="s">
        <v>2861</v>
      </c>
      <c r="D188" s="15">
        <f>IF(ISNUMBER(INDEX(PBDEs!$G$4:$G$263,MATCH($B188,PBDEs!$B$4:$B$263,0))),INDEX(PBDEs!$G$4:$G$263,MATCH($B188,PBDEs!$B$4:$B$263,0)),"---")</f>
        <v>8.27</v>
      </c>
      <c r="E188" s="15">
        <f>IF(ISNUMBER(INDEX(PBDEs!$K$4:$K$263,MATCH($B188,PBDEs!$B$4:$B$263,0))),INDEX(PBDEs!$K$4:$K$263,MATCH($B188,PBDEs!$B$4:$B$263,0)),"---")</f>
        <v>172.08333333333334</v>
      </c>
      <c r="F188" s="15">
        <f>IF(ISNUMBER(INDEX(PBDEs!$S$4:$S$263,MATCH($B188,PBDEs!$B$4:$B$263,0))),INDEX(PBDEs!$S$4:$S$263,MATCH($B188,PBDEs!$B$4:$B$263,0)),"---")</f>
        <v>1.2657291145285346E-10</v>
      </c>
      <c r="G188" s="37">
        <f>IF(ISNUMBER(INDEX(PBDEs!$AA$4:$AA$263,MATCH($B188,PBDEs!$B$4:$B$263,0))),INDEX(PBDEs!$AA$4:$AA$263,MATCH($B188,PBDEs!$B$4:$B$263,0)),"---")</f>
        <v>1.5E-3</v>
      </c>
    </row>
    <row r="189" spans="1:7" x14ac:dyDescent="0.3">
      <c r="A189" s="39" t="s">
        <v>2708</v>
      </c>
      <c r="B189" s="40" t="s">
        <v>615</v>
      </c>
      <c r="C189" s="15" t="s">
        <v>3198</v>
      </c>
      <c r="D189" s="15" t="str">
        <f>IF(ISNUMBER(INDEX(PBDEs!$G$4:$G$263,MATCH($B189,PBDEs!$B$4:$B$263,0))),INDEX(PBDEs!$G$4:$G$263,MATCH($B189,PBDEs!$B$4:$B$263,0)),"---")</f>
        <v>---</v>
      </c>
      <c r="E189" s="15">
        <f>IF(ISNUMBER(INDEX(PBDEs!$K$4:$K$263,MATCH($B189,PBDEs!$B$4:$B$263,0))),INDEX(PBDEs!$K$4:$K$263,MATCH($B189,PBDEs!$B$4:$B$263,0)),"---")</f>
        <v>151</v>
      </c>
      <c r="F189" s="15" t="str">
        <f>IF(ISNUMBER(INDEX(PBDEs!$S$4:$S$263,MATCH($B189,PBDEs!$B$4:$B$263,0))),INDEX(PBDEs!$S$4:$S$263,MATCH($B189,PBDEs!$B$4:$B$263,0)),"---")</f>
        <v>---</v>
      </c>
      <c r="G189" s="37" t="str">
        <f>IF(ISNUMBER(INDEX(PBDEs!$AA$4:$AA$263,MATCH($B189,PBDEs!$B$4:$B$263,0))),INDEX(PBDEs!$AA$4:$AA$263,MATCH($B189,PBDEs!$B$4:$B$263,0)),"---")</f>
        <v>---</v>
      </c>
    </row>
    <row r="190" spans="1:7" x14ac:dyDescent="0.3">
      <c r="A190" s="39" t="s">
        <v>2709</v>
      </c>
      <c r="B190" s="40" t="s">
        <v>616</v>
      </c>
      <c r="C190" s="15" t="s">
        <v>3199</v>
      </c>
      <c r="D190" s="15" t="str">
        <f>IF(ISNUMBER(INDEX(PBDEs!$G$4:$G$263,MATCH($B190,PBDEs!$B$4:$B$263,0))),INDEX(PBDEs!$G$4:$G$263,MATCH($B190,PBDEs!$B$4:$B$263,0)),"---")</f>
        <v>---</v>
      </c>
      <c r="E190" s="15" t="str">
        <f>IF(ISNUMBER(INDEX(PBDEs!$K$4:$K$263,MATCH($B190,PBDEs!$B$4:$B$263,0))),INDEX(PBDEs!$K$4:$K$263,MATCH($B190,PBDEs!$B$4:$B$263,0)),"---")</f>
        <v>---</v>
      </c>
      <c r="F190" s="15" t="str">
        <f>IF(ISNUMBER(INDEX(PBDEs!$S$4:$S$263,MATCH($B190,PBDEs!$B$4:$B$263,0))),INDEX(PBDEs!$S$4:$S$263,MATCH($B190,PBDEs!$B$4:$B$263,0)),"---")</f>
        <v>---</v>
      </c>
      <c r="G190" s="37" t="str">
        <f>IF(ISNUMBER(INDEX(PBDEs!$AA$4:$AA$263,MATCH($B190,PBDEs!$B$4:$B$263,0))),INDEX(PBDEs!$AA$4:$AA$263,MATCH($B190,PBDEs!$B$4:$B$263,0)),"---")</f>
        <v>---</v>
      </c>
    </row>
    <row r="191" spans="1:7" x14ac:dyDescent="0.3">
      <c r="A191" s="39" t="s">
        <v>2710</v>
      </c>
      <c r="B191" s="40" t="s">
        <v>617</v>
      </c>
      <c r="C191" s="15" t="s">
        <v>3200</v>
      </c>
      <c r="D191" s="15" t="str">
        <f>IF(ISNUMBER(INDEX(PBDEs!$G$4:$G$263,MATCH($B191,PBDEs!$B$4:$B$263,0))),INDEX(PBDEs!$G$4:$G$263,MATCH($B191,PBDEs!$B$4:$B$263,0)),"---")</f>
        <v>---</v>
      </c>
      <c r="E191" s="15" t="str">
        <f>IF(ISNUMBER(INDEX(PBDEs!$K$4:$K$263,MATCH($B191,PBDEs!$B$4:$B$263,0))),INDEX(PBDEs!$K$4:$K$263,MATCH($B191,PBDEs!$B$4:$B$263,0)),"---")</f>
        <v>---</v>
      </c>
      <c r="F191" s="15" t="str">
        <f>IF(ISNUMBER(INDEX(PBDEs!$S$4:$S$263,MATCH($B191,PBDEs!$B$4:$B$263,0))),INDEX(PBDEs!$S$4:$S$263,MATCH($B191,PBDEs!$B$4:$B$263,0)),"---")</f>
        <v>---</v>
      </c>
      <c r="G191" s="37" t="str">
        <f>IF(ISNUMBER(INDEX(PBDEs!$AA$4:$AA$263,MATCH($B191,PBDEs!$B$4:$B$263,0))),INDEX(PBDEs!$AA$4:$AA$263,MATCH($B191,PBDEs!$B$4:$B$263,0)),"---")</f>
        <v>---</v>
      </c>
    </row>
    <row r="192" spans="1:7" x14ac:dyDescent="0.3">
      <c r="A192" s="39" t="s">
        <v>2711</v>
      </c>
      <c r="B192" s="40" t="s">
        <v>618</v>
      </c>
      <c r="C192" s="15" t="s">
        <v>3201</v>
      </c>
      <c r="D192" s="15" t="str">
        <f>IF(ISNUMBER(INDEX(PBDEs!$G$4:$G$263,MATCH($B192,PBDEs!$B$4:$B$263,0))),INDEX(PBDEs!$G$4:$G$263,MATCH($B192,PBDEs!$B$4:$B$263,0)),"---")</f>
        <v>---</v>
      </c>
      <c r="E192" s="15" t="str">
        <f>IF(ISNUMBER(INDEX(PBDEs!$K$4:$K$263,MATCH($B192,PBDEs!$B$4:$B$263,0))),INDEX(PBDEs!$K$4:$K$263,MATCH($B192,PBDEs!$B$4:$B$263,0)),"---")</f>
        <v>---</v>
      </c>
      <c r="F192" s="15" t="str">
        <f>IF(ISNUMBER(INDEX(PBDEs!$S$4:$S$263,MATCH($B192,PBDEs!$B$4:$B$263,0))),INDEX(PBDEs!$S$4:$S$263,MATCH($B192,PBDEs!$B$4:$B$263,0)),"---")</f>
        <v>---</v>
      </c>
      <c r="G192" s="37" t="str">
        <f>IF(ISNUMBER(INDEX(PBDEs!$AA$4:$AA$263,MATCH($B192,PBDEs!$B$4:$B$263,0))),INDEX(PBDEs!$AA$4:$AA$263,MATCH($B192,PBDEs!$B$4:$B$263,0)),"---")</f>
        <v>---</v>
      </c>
    </row>
    <row r="193" spans="1:7" x14ac:dyDescent="0.3">
      <c r="A193" s="39" t="s">
        <v>2712</v>
      </c>
      <c r="B193" s="40" t="s">
        <v>619</v>
      </c>
      <c r="C193" s="15" t="s">
        <v>3202</v>
      </c>
      <c r="D193" s="15" t="str">
        <f>IF(ISNUMBER(INDEX(PBDEs!$G$4:$G$263,MATCH($B193,PBDEs!$B$4:$B$263,0))),INDEX(PBDEs!$G$4:$G$263,MATCH($B193,PBDEs!$B$4:$B$263,0)),"---")</f>
        <v>---</v>
      </c>
      <c r="E193" s="15" t="str">
        <f>IF(ISNUMBER(INDEX(PBDEs!$K$4:$K$263,MATCH($B193,PBDEs!$B$4:$B$263,0))),INDEX(PBDEs!$K$4:$K$263,MATCH($B193,PBDEs!$B$4:$B$263,0)),"---")</f>
        <v>---</v>
      </c>
      <c r="F193" s="15" t="str">
        <f>IF(ISNUMBER(INDEX(PBDEs!$S$4:$S$263,MATCH($B193,PBDEs!$B$4:$B$263,0))),INDEX(PBDEs!$S$4:$S$263,MATCH($B193,PBDEs!$B$4:$B$263,0)),"---")</f>
        <v>---</v>
      </c>
      <c r="G193" s="37" t="str">
        <f>IF(ISNUMBER(INDEX(PBDEs!$AA$4:$AA$263,MATCH($B193,PBDEs!$B$4:$B$263,0))),INDEX(PBDEs!$AA$4:$AA$263,MATCH($B193,PBDEs!$B$4:$B$263,0)),"---")</f>
        <v>---</v>
      </c>
    </row>
    <row r="194" spans="1:7" x14ac:dyDescent="0.3">
      <c r="A194" s="39" t="s">
        <v>2713</v>
      </c>
      <c r="B194" s="40" t="s">
        <v>620</v>
      </c>
      <c r="C194" s="15" t="s">
        <v>3203</v>
      </c>
      <c r="D194" s="15" t="str">
        <f>IF(ISNUMBER(INDEX(PBDEs!$G$4:$G$263,MATCH($B194,PBDEs!$B$4:$B$263,0))),INDEX(PBDEs!$G$4:$G$263,MATCH($B194,PBDEs!$B$4:$B$263,0)),"---")</f>
        <v>---</v>
      </c>
      <c r="E194" s="15" t="str">
        <f>IF(ISNUMBER(INDEX(PBDEs!$K$4:$K$263,MATCH($B194,PBDEs!$B$4:$B$263,0))),INDEX(PBDEs!$K$4:$K$263,MATCH($B194,PBDEs!$B$4:$B$263,0)),"---")</f>
        <v>---</v>
      </c>
      <c r="F194" s="15" t="str">
        <f>IF(ISNUMBER(INDEX(PBDEs!$S$4:$S$263,MATCH($B194,PBDEs!$B$4:$B$263,0))),INDEX(PBDEs!$S$4:$S$263,MATCH($B194,PBDEs!$B$4:$B$263,0)),"---")</f>
        <v>---</v>
      </c>
      <c r="G194" s="37" t="str">
        <f>IF(ISNUMBER(INDEX(PBDEs!$AA$4:$AA$263,MATCH($B194,PBDEs!$B$4:$B$263,0))),INDEX(PBDEs!$AA$4:$AA$263,MATCH($B194,PBDEs!$B$4:$B$263,0)),"---")</f>
        <v>---</v>
      </c>
    </row>
    <row r="195" spans="1:7" x14ac:dyDescent="0.3">
      <c r="A195" s="39" t="s">
        <v>2714</v>
      </c>
      <c r="B195" s="40" t="s">
        <v>621</v>
      </c>
      <c r="C195" s="15" t="s">
        <v>2862</v>
      </c>
      <c r="D195" s="15" t="str">
        <f>IF(ISNUMBER(INDEX(PBDEs!$G$4:$G$263,MATCH($B195,PBDEs!$B$4:$B$263,0))),INDEX(PBDEs!$G$4:$G$263,MATCH($B195,PBDEs!$B$4:$B$263,0)),"---")</f>
        <v>---</v>
      </c>
      <c r="E195" s="15">
        <f>IF(ISNUMBER(INDEX(PBDEs!$K$4:$K$263,MATCH($B195,PBDEs!$B$4:$B$263,0))),INDEX(PBDEs!$K$4:$K$263,MATCH($B195,PBDEs!$B$4:$B$263,0)),"---")</f>
        <v>197.25</v>
      </c>
      <c r="F195" s="15">
        <f>IF(ISNUMBER(INDEX(PBDEs!$S$4:$S$263,MATCH($B195,PBDEs!$B$4:$B$263,0))),INDEX(PBDEs!$S$4:$S$263,MATCH($B195,PBDEs!$B$4:$B$263,0)),"---")</f>
        <v>9.0909870423109231E-11</v>
      </c>
      <c r="G195" s="37" t="str">
        <f>IF(ISNUMBER(INDEX(PBDEs!$AA$4:$AA$263,MATCH($B195,PBDEs!$B$4:$B$263,0))),INDEX(PBDEs!$AA$4:$AA$263,MATCH($B195,PBDEs!$B$4:$B$263,0)),"---")</f>
        <v>---</v>
      </c>
    </row>
    <row r="196" spans="1:7" x14ac:dyDescent="0.3">
      <c r="A196" s="39" t="s">
        <v>2715</v>
      </c>
      <c r="B196" s="40" t="s">
        <v>622</v>
      </c>
      <c r="C196" s="15" t="s">
        <v>3204</v>
      </c>
      <c r="D196" s="15" t="str">
        <f>IF(ISNUMBER(INDEX(PBDEs!$G$4:$G$263,MATCH($B196,PBDEs!$B$4:$B$263,0))),INDEX(PBDEs!$G$4:$G$263,MATCH($B196,PBDEs!$B$4:$B$263,0)),"---")</f>
        <v>---</v>
      </c>
      <c r="E196" s="15" t="str">
        <f>IF(ISNUMBER(INDEX(PBDEs!$K$4:$K$263,MATCH($B196,PBDEs!$B$4:$B$263,0))),INDEX(PBDEs!$K$4:$K$263,MATCH($B196,PBDEs!$B$4:$B$263,0)),"---")</f>
        <v>---</v>
      </c>
      <c r="F196" s="15" t="str">
        <f>IF(ISNUMBER(INDEX(PBDEs!$S$4:$S$263,MATCH($B196,PBDEs!$B$4:$B$263,0))),INDEX(PBDEs!$S$4:$S$263,MATCH($B196,PBDEs!$B$4:$B$263,0)),"---")</f>
        <v>---</v>
      </c>
      <c r="G196" s="37" t="str">
        <f>IF(ISNUMBER(INDEX(PBDEs!$AA$4:$AA$263,MATCH($B196,PBDEs!$B$4:$B$263,0))),INDEX(PBDEs!$AA$4:$AA$263,MATCH($B196,PBDEs!$B$4:$B$263,0)),"---")</f>
        <v>---</v>
      </c>
    </row>
    <row r="197" spans="1:7" x14ac:dyDescent="0.3">
      <c r="A197" s="39" t="s">
        <v>2716</v>
      </c>
      <c r="B197" s="40" t="s">
        <v>623</v>
      </c>
      <c r="C197" s="15" t="s">
        <v>3205</v>
      </c>
      <c r="D197" s="15" t="str">
        <f>IF(ISNUMBER(INDEX(PBDEs!$G$4:$G$263,MATCH($B197,PBDEs!$B$4:$B$263,0))),INDEX(PBDEs!$G$4:$G$263,MATCH($B197,PBDEs!$B$4:$B$263,0)),"---")</f>
        <v>---</v>
      </c>
      <c r="E197" s="15" t="str">
        <f>IF(ISNUMBER(INDEX(PBDEs!$K$4:$K$263,MATCH($B197,PBDEs!$B$4:$B$263,0))),INDEX(PBDEs!$K$4:$K$263,MATCH($B197,PBDEs!$B$4:$B$263,0)),"---")</f>
        <v>---</v>
      </c>
      <c r="F197" s="15" t="str">
        <f>IF(ISNUMBER(INDEX(PBDEs!$S$4:$S$263,MATCH($B197,PBDEs!$B$4:$B$263,0))),INDEX(PBDEs!$S$4:$S$263,MATCH($B197,PBDEs!$B$4:$B$263,0)),"---")</f>
        <v>---</v>
      </c>
      <c r="G197" s="37" t="str">
        <f>IF(ISNUMBER(INDEX(PBDEs!$AA$4:$AA$263,MATCH($B197,PBDEs!$B$4:$B$263,0))),INDEX(PBDEs!$AA$4:$AA$263,MATCH($B197,PBDEs!$B$4:$B$263,0)),"---")</f>
        <v>---</v>
      </c>
    </row>
    <row r="198" spans="1:7" x14ac:dyDescent="0.3">
      <c r="A198" s="39" t="s">
        <v>2717</v>
      </c>
      <c r="B198" s="40" t="s">
        <v>624</v>
      </c>
      <c r="C198" s="15" t="s">
        <v>3206</v>
      </c>
      <c r="D198" s="15" t="str">
        <f>IF(ISNUMBER(INDEX(PBDEs!$G$4:$G$263,MATCH($B198,PBDEs!$B$4:$B$263,0))),INDEX(PBDEs!$G$4:$G$263,MATCH($B198,PBDEs!$B$4:$B$263,0)),"---")</f>
        <v>---</v>
      </c>
      <c r="E198" s="15" t="str">
        <f>IF(ISNUMBER(INDEX(PBDEs!$K$4:$K$263,MATCH($B198,PBDEs!$B$4:$B$263,0))),INDEX(PBDEs!$K$4:$K$263,MATCH($B198,PBDEs!$B$4:$B$263,0)),"---")</f>
        <v>---</v>
      </c>
      <c r="F198" s="15" t="str">
        <f>IF(ISNUMBER(INDEX(PBDEs!$S$4:$S$263,MATCH($B198,PBDEs!$B$4:$B$263,0))),INDEX(PBDEs!$S$4:$S$263,MATCH($B198,PBDEs!$B$4:$B$263,0)),"---")</f>
        <v>---</v>
      </c>
      <c r="G198" s="37" t="str">
        <f>IF(ISNUMBER(INDEX(PBDEs!$AA$4:$AA$263,MATCH($B198,PBDEs!$B$4:$B$263,0))),INDEX(PBDEs!$AA$4:$AA$263,MATCH($B198,PBDEs!$B$4:$B$263,0)),"---")</f>
        <v>---</v>
      </c>
    </row>
    <row r="199" spans="1:7" x14ac:dyDescent="0.3">
      <c r="A199" s="39" t="s">
        <v>2718</v>
      </c>
      <c r="B199" s="40" t="s">
        <v>625</v>
      </c>
      <c r="C199" s="15" t="s">
        <v>2869</v>
      </c>
      <c r="D199" s="15" t="str">
        <f>IF(ISNUMBER(INDEX(PBDEs!$G$4:$G$263,MATCH($B199,PBDEs!$B$4:$B$263,0))),INDEX(PBDEs!$G$4:$G$263,MATCH($B199,PBDEs!$B$4:$B$263,0)),"---")</f>
        <v>---</v>
      </c>
      <c r="E199" s="15" t="str">
        <f>IF(ISNUMBER(INDEX(PBDEs!$K$4:$K$263,MATCH($B199,PBDEs!$B$4:$B$263,0))),INDEX(PBDEs!$K$4:$K$263,MATCH($B199,PBDEs!$B$4:$B$263,0)),"---")</f>
        <v>---</v>
      </c>
      <c r="F199" s="15" t="str">
        <f>IF(ISNUMBER(INDEX(PBDEs!$S$4:$S$263,MATCH($B199,PBDEs!$B$4:$B$263,0))),INDEX(PBDEs!$S$4:$S$263,MATCH($B199,PBDEs!$B$4:$B$263,0)),"---")</f>
        <v>---</v>
      </c>
      <c r="G199" s="37" t="str">
        <f>IF(ISNUMBER(INDEX(PBDEs!$AA$4:$AA$263,MATCH($B199,PBDEs!$B$4:$B$263,0))),INDEX(PBDEs!$AA$4:$AA$263,MATCH($B199,PBDEs!$B$4:$B$263,0)),"---")</f>
        <v>---</v>
      </c>
    </row>
    <row r="200" spans="1:7" x14ac:dyDescent="0.3">
      <c r="A200" s="39" t="s">
        <v>2719</v>
      </c>
      <c r="B200" s="40" t="s">
        <v>626</v>
      </c>
      <c r="C200" s="15" t="s">
        <v>2870</v>
      </c>
      <c r="D200" s="15" t="str">
        <f>IF(ISNUMBER(INDEX(PBDEs!$G$4:$G$263,MATCH($B200,PBDEs!$B$4:$B$263,0))),INDEX(PBDEs!$G$4:$G$263,MATCH($B200,PBDEs!$B$4:$B$263,0)),"---")</f>
        <v>---</v>
      </c>
      <c r="E200" s="15">
        <f>IF(ISNUMBER(INDEX(PBDEs!$K$4:$K$263,MATCH($B200,PBDEs!$B$4:$B$263,0))),INDEX(PBDEs!$K$4:$K$263,MATCH($B200,PBDEs!$B$4:$B$263,0)),"---")</f>
        <v>209.5</v>
      </c>
      <c r="F200" s="15" t="str">
        <f>IF(ISNUMBER(INDEX(PBDEs!$S$4:$S$263,MATCH($B200,PBDEs!$B$4:$B$263,0))),INDEX(PBDEs!$S$4:$S$263,MATCH($B200,PBDEs!$B$4:$B$263,0)),"---")</f>
        <v>---</v>
      </c>
      <c r="G200" s="37" t="str">
        <f>IF(ISNUMBER(INDEX(PBDEs!$AA$4:$AA$263,MATCH($B200,PBDEs!$B$4:$B$263,0))),INDEX(PBDEs!$AA$4:$AA$263,MATCH($B200,PBDEs!$B$4:$B$263,0)),"---")</f>
        <v>---</v>
      </c>
    </row>
    <row r="201" spans="1:7" x14ac:dyDescent="0.3">
      <c r="A201" s="39" t="s">
        <v>2720</v>
      </c>
      <c r="B201" s="40" t="s">
        <v>627</v>
      </c>
      <c r="C201" s="15" t="s">
        <v>2863</v>
      </c>
      <c r="D201" s="15" t="str">
        <f>IF(ISNUMBER(INDEX(PBDEs!$G$4:$G$263,MATCH($B201,PBDEs!$B$4:$B$263,0))),INDEX(PBDEs!$G$4:$G$263,MATCH($B201,PBDEs!$B$4:$B$263,0)),"---")</f>
        <v>---</v>
      </c>
      <c r="E201" s="15" t="str">
        <f>IF(ISNUMBER(INDEX(PBDEs!$K$4:$K$263,MATCH($B201,PBDEs!$B$4:$B$263,0))),INDEX(PBDEs!$K$4:$K$263,MATCH($B201,PBDEs!$B$4:$B$263,0)),"---")</f>
        <v>---</v>
      </c>
      <c r="F201" s="15" t="str">
        <f>IF(ISNUMBER(INDEX(PBDEs!$S$4:$S$263,MATCH($B201,PBDEs!$B$4:$B$263,0))),INDEX(PBDEs!$S$4:$S$263,MATCH($B201,PBDEs!$B$4:$B$263,0)),"---")</f>
        <v>---</v>
      </c>
      <c r="G201" s="37" t="str">
        <f>IF(ISNUMBER(INDEX(PBDEs!$AA$4:$AA$263,MATCH($B201,PBDEs!$B$4:$B$263,0))),INDEX(PBDEs!$AA$4:$AA$263,MATCH($B201,PBDEs!$B$4:$B$263,0)),"---")</f>
        <v>---</v>
      </c>
    </row>
    <row r="202" spans="1:7" x14ac:dyDescent="0.3">
      <c r="A202" s="39" t="s">
        <v>2721</v>
      </c>
      <c r="B202" s="40" t="s">
        <v>628</v>
      </c>
      <c r="C202" s="15" t="s">
        <v>2868</v>
      </c>
      <c r="D202" s="15" t="str">
        <f>IF(ISNUMBER(INDEX(PBDEs!$G$4:$G$263,MATCH($B202,PBDEs!$B$4:$B$263,0))),INDEX(PBDEs!$G$4:$G$263,MATCH($B202,PBDEs!$B$4:$B$263,0)),"---")</f>
        <v>---</v>
      </c>
      <c r="E202" s="15" t="str">
        <f>IF(ISNUMBER(INDEX(PBDEs!$K$4:$K$263,MATCH($B202,PBDEs!$B$4:$B$263,0))),INDEX(PBDEs!$K$4:$K$263,MATCH($B202,PBDEs!$B$4:$B$263,0)),"---")</f>
        <v>---</v>
      </c>
      <c r="F202" s="15" t="str">
        <f>IF(ISNUMBER(INDEX(PBDEs!$S$4:$S$263,MATCH($B202,PBDEs!$B$4:$B$263,0))),INDEX(PBDEs!$S$4:$S$263,MATCH($B202,PBDEs!$B$4:$B$263,0)),"---")</f>
        <v>---</v>
      </c>
      <c r="G202" s="37" t="str">
        <f>IF(ISNUMBER(INDEX(PBDEs!$AA$4:$AA$263,MATCH($B202,PBDEs!$B$4:$B$263,0))),INDEX(PBDEs!$AA$4:$AA$263,MATCH($B202,PBDEs!$B$4:$B$263,0)),"---")</f>
        <v>---</v>
      </c>
    </row>
    <row r="203" spans="1:7" x14ac:dyDescent="0.3">
      <c r="A203" s="39" t="s">
        <v>2722</v>
      </c>
      <c r="B203" s="40" t="s">
        <v>629</v>
      </c>
      <c r="C203" s="15" t="s">
        <v>2864</v>
      </c>
      <c r="D203" s="15" t="str">
        <f>IF(ISNUMBER(INDEX(PBDEs!$G$4:$G$263,MATCH($B203,PBDEs!$B$4:$B$263,0))),INDEX(PBDEs!$G$4:$G$263,MATCH($B203,PBDEs!$B$4:$B$263,0)),"---")</f>
        <v>---</v>
      </c>
      <c r="E203" s="15" t="str">
        <f>IF(ISNUMBER(INDEX(PBDEs!$K$4:$K$263,MATCH($B203,PBDEs!$B$4:$B$263,0))),INDEX(PBDEs!$K$4:$K$263,MATCH($B203,PBDEs!$B$4:$B$263,0)),"---")</f>
        <v>---</v>
      </c>
      <c r="F203" s="15" t="str">
        <f>IF(ISNUMBER(INDEX(PBDEs!$S$4:$S$263,MATCH($B203,PBDEs!$B$4:$B$263,0))),INDEX(PBDEs!$S$4:$S$263,MATCH($B203,PBDEs!$B$4:$B$263,0)),"---")</f>
        <v>---</v>
      </c>
      <c r="G203" s="37" t="str">
        <f>IF(ISNUMBER(INDEX(PBDEs!$AA$4:$AA$263,MATCH($B203,PBDEs!$B$4:$B$263,0))),INDEX(PBDEs!$AA$4:$AA$263,MATCH($B203,PBDEs!$B$4:$B$263,0)),"---")</f>
        <v>---</v>
      </c>
    </row>
    <row r="204" spans="1:7" x14ac:dyDescent="0.3">
      <c r="A204" s="39" t="s">
        <v>2723</v>
      </c>
      <c r="B204" s="40" t="s">
        <v>630</v>
      </c>
      <c r="C204" s="15" t="s">
        <v>2867</v>
      </c>
      <c r="D204" s="15" t="str">
        <f>IF(ISNUMBER(INDEX(PBDEs!$G$4:$G$263,MATCH($B204,PBDEs!$B$4:$B$263,0))),INDEX(PBDEs!$G$4:$G$263,MATCH($B204,PBDEs!$B$4:$B$263,0)),"---")</f>
        <v>---</v>
      </c>
      <c r="E204" s="15" t="str">
        <f>IF(ISNUMBER(INDEX(PBDEs!$K$4:$K$263,MATCH($B204,PBDEs!$B$4:$B$263,0))),INDEX(PBDEs!$K$4:$K$263,MATCH($B204,PBDEs!$B$4:$B$263,0)),"---")</f>
        <v>---</v>
      </c>
      <c r="F204" s="15" t="str">
        <f>IF(ISNUMBER(INDEX(PBDEs!$S$4:$S$263,MATCH($B204,PBDEs!$B$4:$B$263,0))),INDEX(PBDEs!$S$4:$S$263,MATCH($B204,PBDEs!$B$4:$B$263,0)),"---")</f>
        <v>---</v>
      </c>
      <c r="G204" s="37" t="str">
        <f>IF(ISNUMBER(INDEX(PBDEs!$AA$4:$AA$263,MATCH($B204,PBDEs!$B$4:$B$263,0))),INDEX(PBDEs!$AA$4:$AA$263,MATCH($B204,PBDEs!$B$4:$B$263,0)),"---")</f>
        <v>---</v>
      </c>
    </row>
    <row r="205" spans="1:7" x14ac:dyDescent="0.3">
      <c r="A205" s="39" t="s">
        <v>2724</v>
      </c>
      <c r="B205" s="40" t="s">
        <v>631</v>
      </c>
      <c r="C205" s="15" t="s">
        <v>2871</v>
      </c>
      <c r="D205" s="15" t="str">
        <f>IF(ISNUMBER(INDEX(PBDEs!$G$4:$G$263,MATCH($B205,PBDEs!$B$4:$B$263,0))),INDEX(PBDEs!$G$4:$G$263,MATCH($B205,PBDEs!$B$4:$B$263,0)),"---")</f>
        <v>---</v>
      </c>
      <c r="E205" s="15" t="str">
        <f>IF(ISNUMBER(INDEX(PBDEs!$K$4:$K$263,MATCH($B205,PBDEs!$B$4:$B$263,0))),INDEX(PBDEs!$K$4:$K$263,MATCH($B205,PBDEs!$B$4:$B$263,0)),"---")</f>
        <v>---</v>
      </c>
      <c r="F205" s="15" t="str">
        <f>IF(ISNUMBER(INDEX(PBDEs!$S$4:$S$263,MATCH($B205,PBDEs!$B$4:$B$263,0))),INDEX(PBDEs!$S$4:$S$263,MATCH($B205,PBDEs!$B$4:$B$263,0)),"---")</f>
        <v>---</v>
      </c>
      <c r="G205" s="37" t="str">
        <f>IF(ISNUMBER(INDEX(PBDEs!$AA$4:$AA$263,MATCH($B205,PBDEs!$B$4:$B$263,0))),INDEX(PBDEs!$AA$4:$AA$263,MATCH($B205,PBDEs!$B$4:$B$263,0)),"---")</f>
        <v>---</v>
      </c>
    </row>
    <row r="206" spans="1:7" x14ac:dyDescent="0.3">
      <c r="A206" s="39" t="s">
        <v>2725</v>
      </c>
      <c r="B206" s="40" t="s">
        <v>632</v>
      </c>
      <c r="C206" s="15" t="s">
        <v>2872</v>
      </c>
      <c r="D206" s="15" t="str">
        <f>IF(ISNUMBER(INDEX(PBDEs!$G$4:$G$263,MATCH($B206,PBDEs!$B$4:$B$263,0))),INDEX(PBDEs!$G$4:$G$263,MATCH($B206,PBDEs!$B$4:$B$263,0)),"---")</f>
        <v>---</v>
      </c>
      <c r="E206" s="15" t="str">
        <f>IF(ISNUMBER(INDEX(PBDEs!$K$4:$K$263,MATCH($B206,PBDEs!$B$4:$B$263,0))),INDEX(PBDEs!$K$4:$K$263,MATCH($B206,PBDEs!$B$4:$B$263,0)),"---")</f>
        <v>---</v>
      </c>
      <c r="F206" s="15" t="str">
        <f>IF(ISNUMBER(INDEX(PBDEs!$S$4:$S$263,MATCH($B206,PBDEs!$B$4:$B$263,0))),INDEX(PBDEs!$S$4:$S$263,MATCH($B206,PBDEs!$B$4:$B$263,0)),"---")</f>
        <v>---</v>
      </c>
      <c r="G206" s="37" t="str">
        <f>IF(ISNUMBER(INDEX(PBDEs!$AA$4:$AA$263,MATCH($B206,PBDEs!$B$4:$B$263,0))),INDEX(PBDEs!$AA$4:$AA$263,MATCH($B206,PBDEs!$B$4:$B$263,0)),"---")</f>
        <v>---</v>
      </c>
    </row>
    <row r="207" spans="1:7" x14ac:dyDescent="0.3">
      <c r="A207" s="39" t="s">
        <v>2726</v>
      </c>
      <c r="B207" s="40" t="s">
        <v>633</v>
      </c>
      <c r="C207" s="15" t="s">
        <v>3207</v>
      </c>
      <c r="D207" s="15" t="str">
        <f>IF(ISNUMBER(INDEX(PBDEs!$G$4:$G$263,MATCH($B207,PBDEs!$B$4:$B$263,0))),INDEX(PBDEs!$G$4:$G$263,MATCH($B207,PBDEs!$B$4:$B$263,0)),"---")</f>
        <v>---</v>
      </c>
      <c r="E207" s="15" t="str">
        <f>IF(ISNUMBER(INDEX(PBDEs!$K$4:$K$263,MATCH($B207,PBDEs!$B$4:$B$263,0))),INDEX(PBDEs!$K$4:$K$263,MATCH($B207,PBDEs!$B$4:$B$263,0)),"---")</f>
        <v>---</v>
      </c>
      <c r="F207" s="15" t="str">
        <f>IF(ISNUMBER(INDEX(PBDEs!$S$4:$S$263,MATCH($B207,PBDEs!$B$4:$B$263,0))),INDEX(PBDEs!$S$4:$S$263,MATCH($B207,PBDEs!$B$4:$B$263,0)),"---")</f>
        <v>---</v>
      </c>
      <c r="G207" s="37" t="str">
        <f>IF(ISNUMBER(INDEX(PBDEs!$AA$4:$AA$263,MATCH($B207,PBDEs!$B$4:$B$263,0))),INDEX(PBDEs!$AA$4:$AA$263,MATCH($B207,PBDEs!$B$4:$B$263,0)),"---")</f>
        <v>---</v>
      </c>
    </row>
    <row r="208" spans="1:7" x14ac:dyDescent="0.3">
      <c r="A208" s="39" t="s">
        <v>2727</v>
      </c>
      <c r="B208" s="40" t="s">
        <v>634</v>
      </c>
      <c r="C208" s="15" t="s">
        <v>653</v>
      </c>
      <c r="D208" s="15" t="str">
        <f>IF(ISNUMBER(INDEX(PBDEs!$G$4:$G$263,MATCH($B208,PBDEs!$B$4:$B$263,0))),INDEX(PBDEs!$G$4:$G$263,MATCH($B208,PBDEs!$B$4:$B$263,0)),"---")</f>
        <v>---</v>
      </c>
      <c r="E208" s="15">
        <f>IF(ISNUMBER(INDEX(PBDEs!$K$4:$K$263,MATCH($B208,PBDEs!$B$4:$B$263,0))),INDEX(PBDEs!$K$4:$K$263,MATCH($B208,PBDEs!$B$4:$B$263,0)),"---")</f>
        <v>234.5</v>
      </c>
      <c r="F208" s="15" t="str">
        <f>IF(ISNUMBER(INDEX(PBDEs!$S$4:$S$263,MATCH($B208,PBDEs!$B$4:$B$263,0))),INDEX(PBDEs!$S$4:$S$263,MATCH($B208,PBDEs!$B$4:$B$263,0)),"---")</f>
        <v>---</v>
      </c>
      <c r="G208" s="37" t="str">
        <f>IF(ISNUMBER(INDEX(PBDEs!$AA$4:$AA$263,MATCH($B208,PBDEs!$B$4:$B$263,0))),INDEX(PBDEs!$AA$4:$AA$263,MATCH($B208,PBDEs!$B$4:$B$263,0)),"---")</f>
        <v>---</v>
      </c>
    </row>
    <row r="209" spans="1:7" x14ac:dyDescent="0.3">
      <c r="A209" s="39" t="s">
        <v>2728</v>
      </c>
      <c r="B209" s="40" t="s">
        <v>635</v>
      </c>
      <c r="C209" s="15" t="s">
        <v>2873</v>
      </c>
      <c r="D209" s="15" t="str">
        <f>IF(ISNUMBER(INDEX(PBDEs!$G$4:$G$263,MATCH($B209,PBDEs!$B$4:$B$263,0))),INDEX(PBDEs!$G$4:$G$263,MATCH($B209,PBDEs!$B$4:$B$263,0)),"---")</f>
        <v>---</v>
      </c>
      <c r="E209" s="15">
        <f>IF(ISNUMBER(INDEX(PBDEs!$K$4:$K$263,MATCH($B209,PBDEs!$B$4:$B$263,0))),INDEX(PBDEs!$K$4:$K$263,MATCH($B209,PBDEs!$B$4:$B$263,0)),"---")</f>
        <v>185.75</v>
      </c>
      <c r="F209" s="15" t="str">
        <f>IF(ISNUMBER(INDEX(PBDEs!$S$4:$S$263,MATCH($B209,PBDEs!$B$4:$B$263,0))),INDEX(PBDEs!$S$4:$S$263,MATCH($B209,PBDEs!$B$4:$B$263,0)),"---")</f>
        <v>---</v>
      </c>
      <c r="G209" s="37" t="str">
        <f>IF(ISNUMBER(INDEX(PBDEs!$AA$4:$AA$263,MATCH($B209,PBDEs!$B$4:$B$263,0))),INDEX(PBDEs!$AA$4:$AA$263,MATCH($B209,PBDEs!$B$4:$B$263,0)),"---")</f>
        <v>---</v>
      </c>
    </row>
    <row r="210" spans="1:7" x14ac:dyDescent="0.3">
      <c r="A210" s="39" t="s">
        <v>2729</v>
      </c>
      <c r="B210" s="40" t="s">
        <v>636</v>
      </c>
      <c r="C210" s="15" t="s">
        <v>652</v>
      </c>
      <c r="D210" s="15" t="str">
        <f>IF(ISNUMBER(INDEX(PBDEs!$G$4:$G$263,MATCH($B210,PBDEs!$B$4:$B$263,0))),INDEX(PBDEs!$G$4:$G$263,MATCH($B210,PBDEs!$B$4:$B$263,0)),"---")</f>
        <v>---</v>
      </c>
      <c r="E210" s="15" t="str">
        <f>IF(ISNUMBER(INDEX(PBDEs!$K$4:$K$263,MATCH($B210,PBDEs!$B$4:$B$263,0))),INDEX(PBDEs!$K$4:$K$263,MATCH($B210,PBDEs!$B$4:$B$263,0)),"---")</f>
        <v>---</v>
      </c>
      <c r="F210" s="15" t="str">
        <f>IF(ISNUMBER(INDEX(PBDEs!$S$4:$S$263,MATCH($B210,PBDEs!$B$4:$B$263,0))),INDEX(PBDEs!$S$4:$S$263,MATCH($B210,PBDEs!$B$4:$B$263,0)),"---")</f>
        <v>---</v>
      </c>
      <c r="G210" s="37" t="str">
        <f>IF(ISNUMBER(INDEX(PBDEs!$AA$4:$AA$263,MATCH($B210,PBDEs!$B$4:$B$263,0))),INDEX(PBDEs!$AA$4:$AA$263,MATCH($B210,PBDEs!$B$4:$B$263,0)),"---")</f>
        <v>---</v>
      </c>
    </row>
    <row r="211" spans="1:7" x14ac:dyDescent="0.3">
      <c r="A211" s="39" t="s">
        <v>2730</v>
      </c>
      <c r="B211" s="40" t="s">
        <v>637</v>
      </c>
      <c r="C211" s="15" t="s">
        <v>2881</v>
      </c>
      <c r="D211" s="15" t="str">
        <f>IF(ISNUMBER(INDEX(PBDEs!$G$4:$G$263,MATCH($B211,PBDEs!$B$4:$B$263,0))),INDEX(PBDEs!$G$4:$G$263,MATCH($B211,PBDEs!$B$4:$B$263,0)),"---")</f>
        <v>---</v>
      </c>
      <c r="E211" s="15" t="str">
        <f>IF(ISNUMBER(INDEX(PBDEs!$K$4:$K$263,MATCH($B211,PBDEs!$B$4:$B$263,0))),INDEX(PBDEs!$K$4:$K$263,MATCH($B211,PBDEs!$B$4:$B$263,0)),"---")</f>
        <v>---</v>
      </c>
      <c r="F211" s="15" t="str">
        <f>IF(ISNUMBER(INDEX(PBDEs!$S$4:$S$263,MATCH($B211,PBDEs!$B$4:$B$263,0))),INDEX(PBDEs!$S$4:$S$263,MATCH($B211,PBDEs!$B$4:$B$263,0)),"---")</f>
        <v>---</v>
      </c>
      <c r="G211" s="37" t="str">
        <f>IF(ISNUMBER(INDEX(PBDEs!$AA$4:$AA$263,MATCH($B211,PBDEs!$B$4:$B$263,0))),INDEX(PBDEs!$AA$4:$AA$263,MATCH($B211,PBDEs!$B$4:$B$263,0)),"---")</f>
        <v>---</v>
      </c>
    </row>
    <row r="212" spans="1:7" x14ac:dyDescent="0.3">
      <c r="A212" s="39" t="s">
        <v>2731</v>
      </c>
      <c r="B212" s="40" t="s">
        <v>638</v>
      </c>
      <c r="C212" s="15" t="s">
        <v>651</v>
      </c>
      <c r="D212" s="15" t="str">
        <f>IF(ISNUMBER(INDEX(PBDEs!$G$4:$G$263,MATCH($B212,PBDEs!$B$4:$B$263,0))),INDEX(PBDEs!$G$4:$G$263,MATCH($B212,PBDEs!$B$4:$B$263,0)),"---")</f>
        <v>---</v>
      </c>
      <c r="E212" s="15" t="str">
        <f>IF(ISNUMBER(INDEX(PBDEs!$K$4:$K$263,MATCH($B212,PBDEs!$B$4:$B$263,0))),INDEX(PBDEs!$K$4:$K$263,MATCH($B212,PBDEs!$B$4:$B$263,0)),"---")</f>
        <v>---</v>
      </c>
      <c r="F212" s="15" t="str">
        <f>IF(ISNUMBER(INDEX(PBDEs!$S$4:$S$263,MATCH($B212,PBDEs!$B$4:$B$263,0))),INDEX(PBDEs!$S$4:$S$263,MATCH($B212,PBDEs!$B$4:$B$263,0)),"---")</f>
        <v>---</v>
      </c>
      <c r="G212" s="37" t="str">
        <f>IF(ISNUMBER(INDEX(PBDEs!$AA$4:$AA$263,MATCH($B212,PBDEs!$B$4:$B$263,0))),INDEX(PBDEs!$AA$4:$AA$263,MATCH($B212,PBDEs!$B$4:$B$263,0)),"---")</f>
        <v>---</v>
      </c>
    </row>
    <row r="213" spans="1:7" x14ac:dyDescent="0.3">
      <c r="A213" s="39" t="s">
        <v>2732</v>
      </c>
      <c r="B213" s="40" t="s">
        <v>639</v>
      </c>
      <c r="C213" s="15" t="s">
        <v>3208</v>
      </c>
      <c r="D213" s="15" t="str">
        <f>IF(ISNUMBER(INDEX(PBDEs!$G$4:$G$263,MATCH($B213,PBDEs!$B$4:$B$263,0))),INDEX(PBDEs!$G$4:$G$263,MATCH($B213,PBDEs!$B$4:$B$263,0)),"---")</f>
        <v>---</v>
      </c>
      <c r="E213" s="15" t="str">
        <f>IF(ISNUMBER(INDEX(PBDEs!$K$4:$K$263,MATCH($B213,PBDEs!$B$4:$B$263,0))),INDEX(PBDEs!$K$4:$K$263,MATCH($B213,PBDEs!$B$4:$B$263,0)),"---")</f>
        <v>---</v>
      </c>
      <c r="F213" s="15" t="str">
        <f>IF(ISNUMBER(INDEX(PBDEs!$S$4:$S$263,MATCH($B213,PBDEs!$B$4:$B$263,0))),INDEX(PBDEs!$S$4:$S$263,MATCH($B213,PBDEs!$B$4:$B$263,0)),"---")</f>
        <v>---</v>
      </c>
      <c r="G213" s="37" t="str">
        <f>IF(ISNUMBER(INDEX(PBDEs!$AA$4:$AA$263,MATCH($B213,PBDEs!$B$4:$B$263,0))),INDEX(PBDEs!$AA$4:$AA$263,MATCH($B213,PBDEs!$B$4:$B$263,0)),"---")</f>
        <v>---</v>
      </c>
    </row>
    <row r="214" spans="1:7" ht="15" thickBot="1" x14ac:dyDescent="0.35">
      <c r="A214" s="42" t="s">
        <v>2733</v>
      </c>
      <c r="B214" s="408" t="s">
        <v>640</v>
      </c>
      <c r="C214" s="28" t="s">
        <v>650</v>
      </c>
      <c r="D214" s="28" t="str">
        <f>IF(ISNUMBER(INDEX(PBDEs!$G$4:$G$263,MATCH($B214,PBDEs!$B$4:$B$263,0))),INDEX(PBDEs!$G$4:$G$263,MATCH($B214,PBDEs!$B$4:$B$263,0)),"---")</f>
        <v>---</v>
      </c>
      <c r="E214" s="28">
        <f>IF(ISNUMBER(INDEX(PBDEs!$K$4:$K$263,MATCH($B214,PBDEs!$B$4:$B$263,0))),INDEX(PBDEs!$K$4:$K$263,MATCH($B214,PBDEs!$B$4:$B$263,0)),"---")</f>
        <v>307.25</v>
      </c>
      <c r="F214" s="28">
        <f>IF(ISNUMBER(INDEX(PBDEs!$S$4:$S$263,MATCH($B214,PBDEs!$B$4:$B$263,0))),INDEX(PBDEs!$S$4:$S$263,MATCH($B214,PBDEs!$B$4:$B$263,0)),"---")</f>
        <v>6.7655562978665921E-15</v>
      </c>
      <c r="G214" s="56" t="str">
        <f>IF(ISNUMBER(INDEX(PBDEs!$AA$4:$AA$263,MATCH($B214,PBDEs!$B$4:$B$263,0))),INDEX(PBDEs!$AA$4:$AA$263,MATCH($B214,PBDEs!$B$4:$B$263,0)),"---")</f>
        <v>---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/>
  </sheetViews>
  <sheetFormatPr defaultRowHeight="14.4" x14ac:dyDescent="0.3"/>
  <cols>
    <col min="1" max="1" width="6.6640625" customWidth="1"/>
    <col min="2" max="2" width="39.33203125" bestFit="1" customWidth="1"/>
    <col min="3" max="3" width="11.6640625" customWidth="1"/>
    <col min="4" max="7" width="10" customWidth="1"/>
  </cols>
  <sheetData>
    <row r="1" spans="1:7" x14ac:dyDescent="0.3">
      <c r="A1" s="9" t="s">
        <v>3116</v>
      </c>
    </row>
    <row r="2" spans="1:7" ht="15" thickBot="1" x14ac:dyDescent="0.35"/>
    <row r="3" spans="1:7" ht="28.8" x14ac:dyDescent="0.3">
      <c r="A3" s="397"/>
      <c r="B3" s="398" t="s">
        <v>420</v>
      </c>
      <c r="C3" s="399" t="s">
        <v>421</v>
      </c>
      <c r="D3" s="399" t="s">
        <v>3013</v>
      </c>
      <c r="E3" s="400" t="s">
        <v>3007</v>
      </c>
      <c r="F3" s="400" t="s">
        <v>3111</v>
      </c>
      <c r="G3" s="401" t="s">
        <v>3112</v>
      </c>
    </row>
    <row r="4" spans="1:7" ht="15" thickBot="1" x14ac:dyDescent="0.35">
      <c r="A4" s="42"/>
      <c r="B4" s="174"/>
      <c r="C4" s="402"/>
      <c r="D4" s="402"/>
      <c r="E4" s="29" t="s">
        <v>3000</v>
      </c>
      <c r="F4" s="29" t="s">
        <v>3105</v>
      </c>
      <c r="G4" s="38" t="s">
        <v>3001</v>
      </c>
    </row>
    <row r="5" spans="1:7" x14ac:dyDescent="0.3">
      <c r="A5" s="397"/>
      <c r="B5" s="404" t="s">
        <v>661</v>
      </c>
      <c r="C5" s="405" t="s">
        <v>662</v>
      </c>
      <c r="D5" s="405" t="str">
        <f>IF(ISNUMBER(INDEX(PCDDs!$G$4:$G$166,MATCH($B5,PCDDs!$B$4:$B$166,0))),INDEX(PCDDs!$G$4:$G$166,MATCH($B5,PCDDs!$B$4:$B$166,0)),"---")</f>
        <v>---</v>
      </c>
      <c r="E5" s="405">
        <f>IF(ISNUMBER(INDEX(PCDDs!$K$4:$K$166,MATCH($B5,PCDDs!$B$4:$B$166,0))),INDEX(PCDDs!$K$4:$K$166,MATCH($B5,PCDDs!$B$4:$B$166,0)),"---")</f>
        <v>122.55000000000001</v>
      </c>
      <c r="F5" s="405">
        <f>IF(ISNUMBER(INDEX(PCDDs!$S$4:$S$166,MATCH($B5,PCDDs!$B$4:$B$166,0))),INDEX(PCDDs!$S$4:$S$166,MATCH($B5,PCDDs!$B$4:$B$166,0)),"---")</f>
        <v>4.4758635440548839E-4</v>
      </c>
      <c r="G5" s="406">
        <f>IF(ISNUMBER(INDEX(PCDDs!$AA$4:$AA$166,MATCH($B5,PCDDs!$B$4:$B$166,0))),INDEX(PCDDs!$AA$4:$AA$166,MATCH($B5,PCDDs!$B$4:$B$166,0)),"---")</f>
        <v>1.0609999999999999</v>
      </c>
    </row>
    <row r="6" spans="1:7" x14ac:dyDescent="0.3">
      <c r="A6" s="39"/>
      <c r="B6" s="45" t="s">
        <v>659</v>
      </c>
      <c r="C6" s="15" t="s">
        <v>657</v>
      </c>
      <c r="D6" s="15" t="str">
        <f>IF(ISNUMBER(INDEX(PCDDs!$G$4:$G$166,MATCH($B6,PCDDs!$B$4:$B$166,0))),INDEX(PCDDs!$G$4:$G$166,MATCH($B6,PCDDs!$B$4:$B$166,0)),"---")</f>
        <v>---</v>
      </c>
      <c r="E6" s="15">
        <f>IF(ISNUMBER(INDEX(PCDDs!$K$4:$K$166,MATCH($B6,PCDDs!$B$4:$B$166,0))),INDEX(PCDDs!$K$4:$K$166,MATCH($B6,PCDDs!$B$4:$B$166,0)),"---")</f>
        <v>104.85000000000002</v>
      </c>
      <c r="F6" s="15">
        <f>IF(ISNUMBER(INDEX(PCDDs!$S$4:$S$166,MATCH($B6,PCDDs!$B$4:$B$166,0))),INDEX(PCDDs!$S$4:$S$166,MATCH($B6,PCDDs!$B$4:$B$166,0)),"---")</f>
        <v>8.7922163271440763E-5</v>
      </c>
      <c r="G6" s="37">
        <f>IF(ISNUMBER(INDEX(PCDDs!$AA$4:$AA$166,MATCH($B6,PCDDs!$B$4:$B$166,0))),INDEX(PCDDs!$AA$4:$AA$166,MATCH($B6,PCDDs!$B$4:$B$166,0)),"---")</f>
        <v>0.41699999999999998</v>
      </c>
    </row>
    <row r="7" spans="1:7" x14ac:dyDescent="0.3">
      <c r="A7" s="39"/>
      <c r="B7" s="45" t="s">
        <v>660</v>
      </c>
      <c r="C7" s="15" t="s">
        <v>658</v>
      </c>
      <c r="D7" s="15" t="str">
        <f>IF(ISNUMBER(INDEX(PCDDs!$G$4:$G$166,MATCH($B7,PCDDs!$B$4:$B$166,0))),INDEX(PCDDs!$G$4:$G$166,MATCH($B7,PCDDs!$B$4:$B$166,0)),"---")</f>
        <v>---</v>
      </c>
      <c r="E7" s="15">
        <f>IF(ISNUMBER(INDEX(PCDDs!$K$4:$K$166,MATCH($B7,PCDDs!$B$4:$B$166,0))),INDEX(PCDDs!$K$4:$K$166,MATCH($B7,PCDDs!$B$4:$B$166,0)),"---")</f>
        <v>88.850000000000023</v>
      </c>
      <c r="F7" s="15">
        <f>IF(ISNUMBER(INDEX(PCDDs!$S$4:$S$166,MATCH($B7,PCDDs!$B$4:$B$166,0))),INDEX(PCDDs!$S$4:$S$166,MATCH($B7,PCDDs!$B$4:$B$166,0)),"---")</f>
        <v>1.3624717471380444E-4</v>
      </c>
      <c r="G7" s="37">
        <f>IF(ISNUMBER(INDEX(PCDDs!$AA$4:$AA$166,MATCH($B7,PCDDs!$B$4:$B$166,0))),INDEX(PCDDs!$AA$4:$AA$166,MATCH($B7,PCDDs!$B$4:$B$166,0)),"---")</f>
        <v>0.35444288000000002</v>
      </c>
    </row>
    <row r="8" spans="1:7" x14ac:dyDescent="0.3">
      <c r="A8" s="39"/>
      <c r="B8" s="45" t="s">
        <v>663</v>
      </c>
      <c r="C8" s="15" t="s">
        <v>671</v>
      </c>
      <c r="D8" s="15" t="str">
        <f>IF(ISNUMBER(INDEX(PCDDs!$G$4:$G$166,MATCH($B8,PCDDs!$B$4:$B$166,0))),INDEX(PCDDs!$G$4:$G$166,MATCH($B8,PCDDs!$B$4:$B$166,0)),"---")</f>
        <v>---</v>
      </c>
      <c r="E8" s="15" t="str">
        <f>IF(ISNUMBER(INDEX(PCDDs!$K$4:$K$166,MATCH($B8,PCDDs!$B$4:$B$166,0))),INDEX(PCDDs!$K$4:$K$166,MATCH($B8,PCDDs!$B$4:$B$166,0)),"---")</f>
        <v>---</v>
      </c>
      <c r="F8" s="15" t="str">
        <f>IF(ISNUMBER(INDEX(PCDDs!$S$4:$S$166,MATCH($B8,PCDDs!$B$4:$B$166,0))),INDEX(PCDDs!$S$4:$S$166,MATCH($B8,PCDDs!$B$4:$B$166,0)),"---")</f>
        <v>---</v>
      </c>
      <c r="G8" s="37" t="str">
        <f>IF(ISNUMBER(INDEX(PCDDs!$AA$4:$AA$166,MATCH($B8,PCDDs!$B$4:$B$166,0))),INDEX(PCDDs!$AA$4:$AA$166,MATCH($B8,PCDDs!$B$4:$B$166,0)),"---")</f>
        <v>---</v>
      </c>
    </row>
    <row r="9" spans="1:7" x14ac:dyDescent="0.3">
      <c r="A9" s="39"/>
      <c r="B9" s="45" t="s">
        <v>664</v>
      </c>
      <c r="C9" s="15" t="s">
        <v>672</v>
      </c>
      <c r="D9" s="15" t="str">
        <f>IF(ISNUMBER(INDEX(PCDDs!$G$4:$G$166,MATCH($B9,PCDDs!$B$4:$B$166,0))),INDEX(PCDDs!$G$4:$G$166,MATCH($B9,PCDDs!$B$4:$B$166,0)),"---")</f>
        <v>---</v>
      </c>
      <c r="E9" s="15" t="str">
        <f>IF(ISNUMBER(INDEX(PCDDs!$K$4:$K$166,MATCH($B9,PCDDs!$B$4:$B$166,0))),INDEX(PCDDs!$K$4:$K$166,MATCH($B9,PCDDs!$B$4:$B$166,0)),"---")</f>
        <v>---</v>
      </c>
      <c r="F9" s="15" t="str">
        <f>IF(ISNUMBER(INDEX(PCDDs!$S$4:$S$166,MATCH($B9,PCDDs!$B$4:$B$166,0))),INDEX(PCDDs!$S$4:$S$166,MATCH($B9,PCDDs!$B$4:$B$166,0)),"---")</f>
        <v>---</v>
      </c>
      <c r="G9" s="37" t="str">
        <f>IF(ISNUMBER(INDEX(PCDDs!$AA$4:$AA$166,MATCH($B9,PCDDs!$B$4:$B$166,0))),INDEX(PCDDs!$AA$4:$AA$166,MATCH($B9,PCDDs!$B$4:$B$166,0)),"---")</f>
        <v>---</v>
      </c>
    </row>
    <row r="10" spans="1:7" x14ac:dyDescent="0.3">
      <c r="A10" s="39"/>
      <c r="B10" s="45" t="s">
        <v>665</v>
      </c>
      <c r="C10" s="15" t="s">
        <v>673</v>
      </c>
      <c r="D10" s="15" t="str">
        <f>IF(ISNUMBER(INDEX(PCDDs!$G$4:$G$166,MATCH($B10,PCDDs!$B$4:$B$166,0))),INDEX(PCDDs!$G$4:$G$166,MATCH($B10,PCDDs!$B$4:$B$166,0)),"---")</f>
        <v>---</v>
      </c>
      <c r="E10" s="15" t="str">
        <f>IF(ISNUMBER(INDEX(PCDDs!$K$4:$K$166,MATCH($B10,PCDDs!$B$4:$B$166,0))),INDEX(PCDDs!$K$4:$K$166,MATCH($B10,PCDDs!$B$4:$B$166,0)),"---")</f>
        <v>---</v>
      </c>
      <c r="F10" s="15" t="str">
        <f>IF(ISNUMBER(INDEX(PCDDs!$S$4:$S$166,MATCH($B10,PCDDs!$B$4:$B$166,0))),INDEX(PCDDs!$S$4:$S$166,MATCH($B10,PCDDs!$B$4:$B$166,0)),"---")</f>
        <v>---</v>
      </c>
      <c r="G10" s="37" t="str">
        <f>IF(ISNUMBER(INDEX(PCDDs!$AA$4:$AA$166,MATCH($B10,PCDDs!$B$4:$B$166,0))),INDEX(PCDDs!$AA$4:$AA$166,MATCH($B10,PCDDs!$B$4:$B$166,0)),"---")</f>
        <v>---</v>
      </c>
    </row>
    <row r="11" spans="1:7" x14ac:dyDescent="0.3">
      <c r="A11" s="39"/>
      <c r="B11" s="45" t="s">
        <v>666</v>
      </c>
      <c r="C11" s="15" t="s">
        <v>674</v>
      </c>
      <c r="D11" s="15" t="str">
        <f>IF(ISNUMBER(INDEX(PCDDs!$G$4:$G$166,MATCH($B11,PCDDs!$B$4:$B$166,0))),INDEX(PCDDs!$G$4:$G$166,MATCH($B11,PCDDs!$B$4:$B$166,0)),"---")</f>
        <v>---</v>
      </c>
      <c r="E11" s="15" t="str">
        <f>IF(ISNUMBER(INDEX(PCDDs!$K$4:$K$166,MATCH($B11,PCDDs!$B$4:$B$166,0))),INDEX(PCDDs!$K$4:$K$166,MATCH($B11,PCDDs!$B$4:$B$166,0)),"---")</f>
        <v>---</v>
      </c>
      <c r="F11" s="15">
        <f>IF(ISNUMBER(INDEX(PCDDs!$S$4:$S$166,MATCH($B11,PCDDs!$B$4:$B$166,0))),INDEX(PCDDs!$S$4:$S$166,MATCH($B11,PCDDs!$B$4:$B$166,0)),"---")</f>
        <v>7.7135845994355957E-7</v>
      </c>
      <c r="G11" s="37" t="str">
        <f>IF(ISNUMBER(INDEX(PCDDs!$AA$4:$AA$166,MATCH($B11,PCDDs!$B$4:$B$166,0))),INDEX(PCDDs!$AA$4:$AA$166,MATCH($B11,PCDDs!$B$4:$B$166,0)),"---")</f>
        <v>---</v>
      </c>
    </row>
    <row r="12" spans="1:7" x14ac:dyDescent="0.3">
      <c r="A12" s="39"/>
      <c r="B12" s="45" t="s">
        <v>667</v>
      </c>
      <c r="C12" s="15" t="s">
        <v>675</v>
      </c>
      <c r="D12" s="15" t="str">
        <f>IF(ISNUMBER(INDEX(PCDDs!$G$4:$G$166,MATCH($B12,PCDDs!$B$4:$B$166,0))),INDEX(PCDDs!$G$4:$G$166,MATCH($B12,PCDDs!$B$4:$B$166,0)),"---")</f>
        <v>---</v>
      </c>
      <c r="E12" s="15" t="str">
        <f>IF(ISNUMBER(INDEX(PCDDs!$K$4:$K$166,MATCH($B12,PCDDs!$B$4:$B$166,0))),INDEX(PCDDs!$K$4:$K$166,MATCH($B12,PCDDs!$B$4:$B$166,0)),"---")</f>
        <v>---</v>
      </c>
      <c r="F12" s="15" t="str">
        <f>IF(ISNUMBER(INDEX(PCDDs!$S$4:$S$166,MATCH($B12,PCDDs!$B$4:$B$166,0))),INDEX(PCDDs!$S$4:$S$166,MATCH($B12,PCDDs!$B$4:$B$166,0)),"---")</f>
        <v>---</v>
      </c>
      <c r="G12" s="37" t="str">
        <f>IF(ISNUMBER(INDEX(PCDDs!$AA$4:$AA$166,MATCH($B12,PCDDs!$B$4:$B$166,0))),INDEX(PCDDs!$AA$4:$AA$166,MATCH($B12,PCDDs!$B$4:$B$166,0)),"---")</f>
        <v>---</v>
      </c>
    </row>
    <row r="13" spans="1:7" x14ac:dyDescent="0.3">
      <c r="A13" s="39"/>
      <c r="B13" s="45" t="s">
        <v>668</v>
      </c>
      <c r="C13" s="15" t="s">
        <v>676</v>
      </c>
      <c r="D13" s="15" t="str">
        <f>IF(ISNUMBER(INDEX(PCDDs!$G$4:$G$166,MATCH($B13,PCDDs!$B$4:$B$166,0))),INDEX(PCDDs!$G$4:$G$166,MATCH($B13,PCDDs!$B$4:$B$166,0)),"---")</f>
        <v>---</v>
      </c>
      <c r="E13" s="15" t="str">
        <f>IF(ISNUMBER(INDEX(PCDDs!$K$4:$K$166,MATCH($B13,PCDDs!$B$4:$B$166,0))),INDEX(PCDDs!$K$4:$K$166,MATCH($B13,PCDDs!$B$4:$B$166,0)),"---")</f>
        <v>---</v>
      </c>
      <c r="F13" s="15" t="str">
        <f>IF(ISNUMBER(INDEX(PCDDs!$S$4:$S$166,MATCH($B13,PCDDs!$B$4:$B$166,0))),INDEX(PCDDs!$S$4:$S$166,MATCH($B13,PCDDs!$B$4:$B$166,0)),"---")</f>
        <v>---</v>
      </c>
      <c r="G13" s="37" t="str">
        <f>IF(ISNUMBER(INDEX(PCDDs!$AA$4:$AA$166,MATCH($B13,PCDDs!$B$4:$B$166,0))),INDEX(PCDDs!$AA$4:$AA$166,MATCH($B13,PCDDs!$B$4:$B$166,0)),"---")</f>
        <v>---</v>
      </c>
    </row>
    <row r="14" spans="1:7" x14ac:dyDescent="0.3">
      <c r="A14" s="39"/>
      <c r="B14" s="45" t="s">
        <v>669</v>
      </c>
      <c r="C14" s="15" t="s">
        <v>2772</v>
      </c>
      <c r="D14" s="15" t="str">
        <f>IF(ISNUMBER(INDEX(PCDDs!$G$4:$G$166,MATCH($B14,PCDDs!$B$4:$B$166,0))),INDEX(PCDDs!$G$4:$G$166,MATCH($B14,PCDDs!$B$4:$B$166,0)),"---")</f>
        <v>---</v>
      </c>
      <c r="E14" s="15" t="str">
        <f>IF(ISNUMBER(INDEX(PCDDs!$K$4:$K$166,MATCH($B14,PCDDs!$B$4:$B$166,0))),INDEX(PCDDs!$K$4:$K$166,MATCH($B14,PCDDs!$B$4:$B$166,0)),"---")</f>
        <v>---</v>
      </c>
      <c r="F14" s="15" t="str">
        <f>IF(ISNUMBER(INDEX(PCDDs!$S$4:$S$166,MATCH($B14,PCDDs!$B$4:$B$166,0))),INDEX(PCDDs!$S$4:$S$166,MATCH($B14,PCDDs!$B$4:$B$166,0)),"---")</f>
        <v>---</v>
      </c>
      <c r="G14" s="37" t="str">
        <f>IF(ISNUMBER(INDEX(PCDDs!$AA$4:$AA$166,MATCH($B14,PCDDs!$B$4:$B$166,0))),INDEX(PCDDs!$AA$4:$AA$166,MATCH($B14,PCDDs!$B$4:$B$166,0)),"---")</f>
        <v>---</v>
      </c>
    </row>
    <row r="15" spans="1:7" x14ac:dyDescent="0.3">
      <c r="A15" s="39"/>
      <c r="B15" s="45" t="s">
        <v>670</v>
      </c>
      <c r="C15" s="15" t="s">
        <v>2749</v>
      </c>
      <c r="D15" s="15" t="str">
        <f>IF(ISNUMBER(INDEX(PCDDs!$G$4:$G$166,MATCH($B15,PCDDs!$B$4:$B$166,0))),INDEX(PCDDs!$G$4:$G$166,MATCH($B15,PCDDs!$B$4:$B$166,0)),"---")</f>
        <v>---</v>
      </c>
      <c r="E15" s="15" t="str">
        <f>IF(ISNUMBER(INDEX(PCDDs!$K$4:$K$166,MATCH($B15,PCDDs!$B$4:$B$166,0))),INDEX(PCDDs!$K$4:$K$166,MATCH($B15,PCDDs!$B$4:$B$166,0)),"---")</f>
        <v>---</v>
      </c>
      <c r="F15" s="15">
        <f>IF(ISNUMBER(INDEX(PCDDs!$S$4:$S$166,MATCH($B15,PCDDs!$B$4:$B$166,0))),INDEX(PCDDs!$S$4:$S$166,MATCH($B15,PCDDs!$B$4:$B$166,0)),"---")</f>
        <v>3.2206932795829965E-6</v>
      </c>
      <c r="G15" s="37">
        <f>IF(ISNUMBER(INDEX(PCDDs!$AA$4:$AA$166,MATCH($B15,PCDDs!$B$4:$B$166,0))),INDEX(PCDDs!$AA$4:$AA$166,MATCH($B15,PCDDs!$B$4:$B$166,0)),"---")</f>
        <v>1.49E-2</v>
      </c>
    </row>
    <row r="16" spans="1:7" x14ac:dyDescent="0.3">
      <c r="A16" s="39"/>
      <c r="B16" s="45" t="s">
        <v>677</v>
      </c>
      <c r="C16" s="15" t="s">
        <v>2748</v>
      </c>
      <c r="D16" s="15" t="str">
        <f>IF(ISNUMBER(INDEX(PCDDs!$G$4:$G$166,MATCH($B16,PCDDs!$B$4:$B$166,0))),INDEX(PCDDs!$G$4:$G$166,MATCH($B16,PCDDs!$B$4:$B$166,0)),"---")</f>
        <v>---</v>
      </c>
      <c r="E16" s="15" t="str">
        <f>IF(ISNUMBER(INDEX(PCDDs!$K$4:$K$166,MATCH($B16,PCDDs!$B$4:$B$166,0))),INDEX(PCDDs!$K$4:$K$166,MATCH($B16,PCDDs!$B$4:$B$166,0)),"---")</f>
        <v>---</v>
      </c>
      <c r="F16" s="15">
        <f>IF(ISNUMBER(INDEX(PCDDs!$S$4:$S$166,MATCH($B16,PCDDs!$B$4:$B$166,0))),INDEX(PCDDs!$S$4:$S$166,MATCH($B16,PCDDs!$B$4:$B$166,0)),"---")</f>
        <v>5.0291787271550346E-7</v>
      </c>
      <c r="G16" s="37">
        <f>IF(ISNUMBER(INDEX(PCDDs!$AA$4:$AA$166,MATCH($B16,PCDDs!$B$4:$B$166,0))),INDEX(PCDDs!$AA$4:$AA$166,MATCH($B16,PCDDs!$B$4:$B$166,0)),"---")</f>
        <v>3.9199999999999999E-3</v>
      </c>
    </row>
    <row r="17" spans="1:7" x14ac:dyDescent="0.3">
      <c r="A17" s="39"/>
      <c r="B17" s="45" t="s">
        <v>678</v>
      </c>
      <c r="C17" s="15" t="s">
        <v>2746</v>
      </c>
      <c r="D17" s="15" t="str">
        <f>IF(ISNUMBER(INDEX(PCDDs!$G$4:$G$166,MATCH($B17,PCDDs!$B$4:$B$166,0))),INDEX(PCDDs!$G$4:$G$166,MATCH($B17,PCDDs!$B$4:$B$166,0)),"---")</f>
        <v>---</v>
      </c>
      <c r="E17" s="15">
        <f>IF(ISNUMBER(INDEX(PCDDs!$K$4:$K$166,MATCH($B17,PCDDs!$B$4:$B$166,0))),INDEX(PCDDs!$K$4:$K$166,MATCH($B17,PCDDs!$B$4:$B$166,0)),"---")</f>
        <v>151</v>
      </c>
      <c r="F17" s="15">
        <f>IF(ISNUMBER(INDEX(PCDDs!$S$4:$S$166,MATCH($B17,PCDDs!$B$4:$B$166,0))),INDEX(PCDDs!$S$4:$S$166,MATCH($B17,PCDDs!$B$4:$B$166,0)),"---")</f>
        <v>1.0500863433495817E-6</v>
      </c>
      <c r="G17" s="37">
        <f>IF(ISNUMBER(INDEX(PCDDs!$AA$4:$AA$166,MATCH($B17,PCDDs!$B$4:$B$166,0))),INDEX(PCDDs!$AA$4:$AA$166,MATCH($B17,PCDDs!$B$4:$B$166,0)),"---")</f>
        <v>1.67E-2</v>
      </c>
    </row>
    <row r="18" spans="1:7" x14ac:dyDescent="0.3">
      <c r="A18" s="39"/>
      <c r="B18" s="15" t="s">
        <v>742</v>
      </c>
      <c r="C18" s="15" t="s">
        <v>2773</v>
      </c>
      <c r="D18" s="15" t="str">
        <f>IF(ISNUMBER(INDEX(PCDDs!$G$4:$G$166,MATCH($B18,PCDDs!$B$4:$B$166,0))),INDEX(PCDDs!$G$4:$G$166,MATCH($B18,PCDDs!$B$4:$B$166,0)),"---")</f>
        <v>---</v>
      </c>
      <c r="E18" s="15" t="str">
        <f>IF(ISNUMBER(INDEX(PCDDs!$K$4:$K$166,MATCH($B18,PCDDs!$B$4:$B$166,0))),INDEX(PCDDs!$K$4:$K$166,MATCH($B18,PCDDs!$B$4:$B$166,0)),"---")</f>
        <v>---</v>
      </c>
      <c r="F18" s="15">
        <f>IF(ISNUMBER(INDEX(PCDDs!$S$4:$S$166,MATCH($B18,PCDDs!$B$4:$B$166,0))),INDEX(PCDDs!$S$4:$S$166,MATCH($B18,PCDDs!$B$4:$B$166,0)),"---")</f>
        <v>4.0274291205019215E-7</v>
      </c>
      <c r="G18" s="37" t="str">
        <f>IF(ISNUMBER(INDEX(PCDDs!$AA$4:$AA$166,MATCH($B18,PCDDs!$B$4:$B$166,0))),INDEX(PCDDs!$AA$4:$AA$166,MATCH($B18,PCDDs!$B$4:$B$166,0)),"---")</f>
        <v>---</v>
      </c>
    </row>
    <row r="19" spans="1:7" x14ac:dyDescent="0.3">
      <c r="A19" s="39"/>
      <c r="B19" s="15" t="s">
        <v>743</v>
      </c>
      <c r="C19" s="15" t="s">
        <v>2750</v>
      </c>
      <c r="D19" s="15" t="str">
        <f>IF(ISNUMBER(INDEX(PCDDs!$G$4:$G$166,MATCH($B19,PCDDs!$B$4:$B$166,0))),INDEX(PCDDs!$G$4:$G$166,MATCH($B19,PCDDs!$B$4:$B$166,0)),"---")</f>
        <v>---</v>
      </c>
      <c r="E19" s="15" t="str">
        <f>IF(ISNUMBER(INDEX(PCDDs!$K$4:$K$166,MATCH($B19,PCDDs!$B$4:$B$166,0))),INDEX(PCDDs!$K$4:$K$166,MATCH($B19,PCDDs!$B$4:$B$166,0)),"---")</f>
        <v>---</v>
      </c>
      <c r="F19" s="15">
        <f>IF(ISNUMBER(INDEX(PCDDs!$S$4:$S$166,MATCH($B19,PCDDs!$B$4:$B$166,0))),INDEX(PCDDs!$S$4:$S$166,MATCH($B19,PCDDs!$B$4:$B$166,0)),"---")</f>
        <v>5.6259312857480839E-7</v>
      </c>
      <c r="G19" s="37">
        <f>IF(ISNUMBER(INDEX(PCDDs!$AA$4:$AA$166,MATCH($B19,PCDDs!$B$4:$B$166,0))),INDEX(PCDDs!$AA$4:$AA$166,MATCH($B19,PCDDs!$B$4:$B$166,0)),"---")</f>
        <v>8.4100000000000008E-3</v>
      </c>
    </row>
    <row r="20" spans="1:7" x14ac:dyDescent="0.3">
      <c r="A20" s="39"/>
      <c r="B20" s="15" t="s">
        <v>744</v>
      </c>
      <c r="C20" s="15"/>
      <c r="D20" s="15" t="str">
        <f>IF(ISNUMBER(INDEX(PCDDs!$G$4:$G$166,MATCH($B20,PCDDs!$B$4:$B$166,0))),INDEX(PCDDs!$G$4:$G$166,MATCH($B20,PCDDs!$B$4:$B$166,0)),"---")</f>
        <v>---</v>
      </c>
      <c r="E20" s="15" t="str">
        <f>IF(ISNUMBER(INDEX(PCDDs!$K$4:$K$166,MATCH($B20,PCDDs!$B$4:$B$166,0))),INDEX(PCDDs!$K$4:$K$166,MATCH($B20,PCDDs!$B$4:$B$166,0)),"---")</f>
        <v>---</v>
      </c>
      <c r="F20" s="15" t="str">
        <f>IF(ISNUMBER(INDEX(PCDDs!$S$4:$S$166,MATCH($B20,PCDDs!$B$4:$B$166,0))),INDEX(PCDDs!$S$4:$S$166,MATCH($B20,PCDDs!$B$4:$B$166,0)),"---")</f>
        <v>---</v>
      </c>
      <c r="G20" s="37" t="str">
        <f>IF(ISNUMBER(INDEX(PCDDs!$AA$4:$AA$166,MATCH($B20,PCDDs!$B$4:$B$166,0))),INDEX(PCDDs!$AA$4:$AA$166,MATCH($B20,PCDDs!$B$4:$B$166,0)),"---")</f>
        <v>---</v>
      </c>
    </row>
    <row r="21" spans="1:7" x14ac:dyDescent="0.3">
      <c r="A21" s="39"/>
      <c r="B21" s="15" t="s">
        <v>745</v>
      </c>
      <c r="C21" s="15" t="s">
        <v>3209</v>
      </c>
      <c r="D21" s="15" t="str">
        <f>IF(ISNUMBER(INDEX(PCDDs!$G$4:$G$166,MATCH($B21,PCDDs!$B$4:$B$166,0))),INDEX(PCDDs!$G$4:$G$166,MATCH($B21,PCDDs!$B$4:$B$166,0)),"---")</f>
        <v>---</v>
      </c>
      <c r="E21" s="15" t="str">
        <f>IF(ISNUMBER(INDEX(PCDDs!$K$4:$K$166,MATCH($B21,PCDDs!$B$4:$B$166,0))),INDEX(PCDDs!$K$4:$K$166,MATCH($B21,PCDDs!$B$4:$B$166,0)),"---")</f>
        <v>---</v>
      </c>
      <c r="F21" s="15" t="str">
        <f>IF(ISNUMBER(INDEX(PCDDs!$S$4:$S$166,MATCH($B21,PCDDs!$B$4:$B$166,0))),INDEX(PCDDs!$S$4:$S$166,MATCH($B21,PCDDs!$B$4:$B$166,0)),"---")</f>
        <v>---</v>
      </c>
      <c r="G21" s="37" t="str">
        <f>IF(ISNUMBER(INDEX(PCDDs!$AA$4:$AA$166,MATCH($B21,PCDDs!$B$4:$B$166,0))),INDEX(PCDDs!$AA$4:$AA$166,MATCH($B21,PCDDs!$B$4:$B$166,0)),"---")</f>
        <v>---</v>
      </c>
    </row>
    <row r="22" spans="1:7" x14ac:dyDescent="0.3">
      <c r="A22" s="39"/>
      <c r="B22" s="15" t="s">
        <v>746</v>
      </c>
      <c r="C22" s="15" t="s">
        <v>3210</v>
      </c>
      <c r="D22" s="15" t="str">
        <f>IF(ISNUMBER(INDEX(PCDDs!$G$4:$G$166,MATCH($B22,PCDDs!$B$4:$B$166,0))),INDEX(PCDDs!$G$4:$G$166,MATCH($B22,PCDDs!$B$4:$B$166,0)),"---")</f>
        <v>---</v>
      </c>
      <c r="E22" s="15" t="str">
        <f>IF(ISNUMBER(INDEX(PCDDs!$K$4:$K$166,MATCH($B22,PCDDs!$B$4:$B$166,0))),INDEX(PCDDs!$K$4:$K$166,MATCH($B22,PCDDs!$B$4:$B$166,0)),"---")</f>
        <v>---</v>
      </c>
      <c r="F22" s="15" t="str">
        <f>IF(ISNUMBER(INDEX(PCDDs!$S$4:$S$166,MATCH($B22,PCDDs!$B$4:$B$166,0))),INDEX(PCDDs!$S$4:$S$166,MATCH($B22,PCDDs!$B$4:$B$166,0)),"---")</f>
        <v>---</v>
      </c>
      <c r="G22" s="37" t="str">
        <f>IF(ISNUMBER(INDEX(PCDDs!$AA$4:$AA$166,MATCH($B22,PCDDs!$B$4:$B$166,0))),INDEX(PCDDs!$AA$4:$AA$166,MATCH($B22,PCDDs!$B$4:$B$166,0)),"---")</f>
        <v>---</v>
      </c>
    </row>
    <row r="23" spans="1:7" x14ac:dyDescent="0.3">
      <c r="A23" s="39"/>
      <c r="B23" s="15" t="s">
        <v>747</v>
      </c>
      <c r="C23" s="15" t="s">
        <v>3211</v>
      </c>
      <c r="D23" s="15" t="str">
        <f>IF(ISNUMBER(INDEX(PCDDs!$G$4:$G$166,MATCH($B23,PCDDs!$B$4:$B$166,0))),INDEX(PCDDs!$G$4:$G$166,MATCH($B23,PCDDs!$B$4:$B$166,0)),"---")</f>
        <v>---</v>
      </c>
      <c r="E23" s="15" t="str">
        <f>IF(ISNUMBER(INDEX(PCDDs!$K$4:$K$166,MATCH($B23,PCDDs!$B$4:$B$166,0))),INDEX(PCDDs!$K$4:$K$166,MATCH($B23,PCDDs!$B$4:$B$166,0)),"---")</f>
        <v>---</v>
      </c>
      <c r="F23" s="15" t="str">
        <f>IF(ISNUMBER(INDEX(PCDDs!$S$4:$S$166,MATCH($B23,PCDDs!$B$4:$B$166,0))),INDEX(PCDDs!$S$4:$S$166,MATCH($B23,PCDDs!$B$4:$B$166,0)),"---")</f>
        <v>---</v>
      </c>
      <c r="G23" s="37" t="str">
        <f>IF(ISNUMBER(INDEX(PCDDs!$AA$4:$AA$166,MATCH($B23,PCDDs!$B$4:$B$166,0))),INDEX(PCDDs!$AA$4:$AA$166,MATCH($B23,PCDDs!$B$4:$B$166,0)),"---")</f>
        <v>---</v>
      </c>
    </row>
    <row r="24" spans="1:7" x14ac:dyDescent="0.3">
      <c r="A24" s="39"/>
      <c r="B24" s="15" t="s">
        <v>748</v>
      </c>
      <c r="C24" s="15" t="s">
        <v>3212</v>
      </c>
      <c r="D24" s="15" t="str">
        <f>IF(ISNUMBER(INDEX(PCDDs!$G$4:$G$166,MATCH($B24,PCDDs!$B$4:$B$166,0))),INDEX(PCDDs!$G$4:$G$166,MATCH($B24,PCDDs!$B$4:$B$166,0)),"---")</f>
        <v>---</v>
      </c>
      <c r="E24" s="15" t="str">
        <f>IF(ISNUMBER(INDEX(PCDDs!$K$4:$K$166,MATCH($B24,PCDDs!$B$4:$B$166,0))),INDEX(PCDDs!$K$4:$K$166,MATCH($B24,PCDDs!$B$4:$B$166,0)),"---")</f>
        <v>---</v>
      </c>
      <c r="F24" s="15" t="str">
        <f>IF(ISNUMBER(INDEX(PCDDs!$S$4:$S$166,MATCH($B24,PCDDs!$B$4:$B$166,0))),INDEX(PCDDs!$S$4:$S$166,MATCH($B24,PCDDs!$B$4:$B$166,0)),"---")</f>
        <v>---</v>
      </c>
      <c r="G24" s="37" t="str">
        <f>IF(ISNUMBER(INDEX(PCDDs!$AA$4:$AA$166,MATCH($B24,PCDDs!$B$4:$B$166,0))),INDEX(PCDDs!$AA$4:$AA$166,MATCH($B24,PCDDs!$B$4:$B$166,0)),"---")</f>
        <v>---</v>
      </c>
    </row>
    <row r="25" spans="1:7" x14ac:dyDescent="0.3">
      <c r="A25" s="39"/>
      <c r="B25" s="15" t="s">
        <v>749</v>
      </c>
      <c r="C25" s="15" t="s">
        <v>2747</v>
      </c>
      <c r="D25" s="15" t="str">
        <f>IF(ISNUMBER(INDEX(PCDDs!$G$4:$G$166,MATCH($B25,PCDDs!$B$4:$B$166,0))),INDEX(PCDDs!$G$4:$G$166,MATCH($B25,PCDDs!$B$4:$B$166,0)),"---")</f>
        <v>---</v>
      </c>
      <c r="E25" s="15">
        <f>IF(ISNUMBER(INDEX(PCDDs!$K$4:$K$166,MATCH($B25,PCDDs!$B$4:$B$166,0))),INDEX(PCDDs!$K$4:$K$166,MATCH($B25,PCDDs!$B$4:$B$166,0)),"---")</f>
        <v>148.55000000000001</v>
      </c>
      <c r="F25" s="15">
        <f>IF(ISNUMBER(INDEX(PCDDs!$S$4:$S$166,MATCH($B25,PCDDs!$B$4:$B$166,0))),INDEX(PCDDs!$S$4:$S$166,MATCH($B25,PCDDs!$B$4:$B$166,0)),"---")</f>
        <v>2.7002220257560677E-7</v>
      </c>
      <c r="G25" s="37" t="str">
        <f>IF(ISNUMBER(INDEX(PCDDs!$AA$4:$AA$166,MATCH($B25,PCDDs!$B$4:$B$166,0))),INDEX(PCDDs!$AA$4:$AA$166,MATCH($B25,PCDDs!$B$4:$B$166,0)),"---")</f>
        <v>---</v>
      </c>
    </row>
    <row r="26" spans="1:7" x14ac:dyDescent="0.3">
      <c r="A26" s="39"/>
      <c r="B26" s="15" t="s">
        <v>750</v>
      </c>
      <c r="C26" s="15" t="s">
        <v>3213</v>
      </c>
      <c r="D26" s="15" t="str">
        <f>IF(ISNUMBER(INDEX(PCDDs!$G$4:$G$166,MATCH($B26,PCDDs!$B$4:$B$166,0))),INDEX(PCDDs!$G$4:$G$166,MATCH($B26,PCDDs!$B$4:$B$166,0)),"---")</f>
        <v>---</v>
      </c>
      <c r="E26" s="15" t="str">
        <f>IF(ISNUMBER(INDEX(PCDDs!$K$4:$K$166,MATCH($B26,PCDDs!$B$4:$B$166,0))),INDEX(PCDDs!$K$4:$K$166,MATCH($B26,PCDDs!$B$4:$B$166,0)),"---")</f>
        <v>---</v>
      </c>
      <c r="F26" s="15" t="str">
        <f>IF(ISNUMBER(INDEX(PCDDs!$S$4:$S$166,MATCH($B26,PCDDs!$B$4:$B$166,0))),INDEX(PCDDs!$S$4:$S$166,MATCH($B26,PCDDs!$B$4:$B$166,0)),"---")</f>
        <v>---</v>
      </c>
      <c r="G26" s="37" t="str">
        <f>IF(ISNUMBER(INDEX(PCDDs!$AA$4:$AA$166,MATCH($B26,PCDDs!$B$4:$B$166,0))),INDEX(PCDDs!$AA$4:$AA$166,MATCH($B26,PCDDs!$B$4:$B$166,0)),"---")</f>
        <v>---</v>
      </c>
    </row>
    <row r="27" spans="1:7" x14ac:dyDescent="0.3">
      <c r="A27" s="39"/>
      <c r="B27" s="15" t="s">
        <v>751</v>
      </c>
      <c r="C27" s="15" t="s">
        <v>3214</v>
      </c>
      <c r="D27" s="15" t="str">
        <f>IF(ISNUMBER(INDEX(PCDDs!$G$4:$G$166,MATCH($B27,PCDDs!$B$4:$B$166,0))),INDEX(PCDDs!$G$4:$G$166,MATCH($B27,PCDDs!$B$4:$B$166,0)),"---")</f>
        <v>---</v>
      </c>
      <c r="E27" s="15" t="str">
        <f>IF(ISNUMBER(INDEX(PCDDs!$K$4:$K$166,MATCH($B27,PCDDs!$B$4:$B$166,0))),INDEX(PCDDs!$K$4:$K$166,MATCH($B27,PCDDs!$B$4:$B$166,0)),"---")</f>
        <v>---</v>
      </c>
      <c r="F27" s="15" t="str">
        <f>IF(ISNUMBER(INDEX(PCDDs!$S$4:$S$166,MATCH($B27,PCDDs!$B$4:$B$166,0))),INDEX(PCDDs!$S$4:$S$166,MATCH($B27,PCDDs!$B$4:$B$166,0)),"---")</f>
        <v>---</v>
      </c>
      <c r="G27" s="37" t="str">
        <f>IF(ISNUMBER(INDEX(PCDDs!$AA$4:$AA$166,MATCH($B27,PCDDs!$B$4:$B$166,0))),INDEX(PCDDs!$AA$4:$AA$166,MATCH($B27,PCDDs!$B$4:$B$166,0)),"---")</f>
        <v>---</v>
      </c>
    </row>
    <row r="28" spans="1:7" x14ac:dyDescent="0.3">
      <c r="A28" s="39"/>
      <c r="B28" s="15" t="s">
        <v>752</v>
      </c>
      <c r="C28" s="15" t="s">
        <v>3215</v>
      </c>
      <c r="D28" s="15" t="str">
        <f>IF(ISNUMBER(INDEX(PCDDs!$G$4:$G$166,MATCH($B28,PCDDs!$B$4:$B$166,0))),INDEX(PCDDs!$G$4:$G$166,MATCH($B28,PCDDs!$B$4:$B$166,0)),"---")</f>
        <v>---</v>
      </c>
      <c r="E28" s="15" t="str">
        <f>IF(ISNUMBER(INDEX(PCDDs!$K$4:$K$166,MATCH($B28,PCDDs!$B$4:$B$166,0))),INDEX(PCDDs!$K$4:$K$166,MATCH($B28,PCDDs!$B$4:$B$166,0)),"---")</f>
        <v>---</v>
      </c>
      <c r="F28" s="15" t="str">
        <f>IF(ISNUMBER(INDEX(PCDDs!$S$4:$S$166,MATCH($B28,PCDDs!$B$4:$B$166,0))),INDEX(PCDDs!$S$4:$S$166,MATCH($B28,PCDDs!$B$4:$B$166,0)),"---")</f>
        <v>---</v>
      </c>
      <c r="G28" s="37" t="str">
        <f>IF(ISNUMBER(INDEX(PCDDs!$AA$4:$AA$166,MATCH($B28,PCDDs!$B$4:$B$166,0))),INDEX(PCDDs!$AA$4:$AA$166,MATCH($B28,PCDDs!$B$4:$B$166,0)),"---")</f>
        <v>---</v>
      </c>
    </row>
    <row r="29" spans="1:7" x14ac:dyDescent="0.3">
      <c r="A29" s="39"/>
      <c r="B29" s="15" t="s">
        <v>753</v>
      </c>
      <c r="C29" s="15" t="s">
        <v>3216</v>
      </c>
      <c r="D29" s="15" t="str">
        <f>IF(ISNUMBER(INDEX(PCDDs!$G$4:$G$166,MATCH($B29,PCDDs!$B$4:$B$166,0))),INDEX(PCDDs!$G$4:$G$166,MATCH($B29,PCDDs!$B$4:$B$166,0)),"---")</f>
        <v>---</v>
      </c>
      <c r="E29" s="15" t="str">
        <f>IF(ISNUMBER(INDEX(PCDDs!$K$4:$K$166,MATCH($B29,PCDDs!$B$4:$B$166,0))),INDEX(PCDDs!$K$4:$K$166,MATCH($B29,PCDDs!$B$4:$B$166,0)),"---")</f>
        <v>---</v>
      </c>
      <c r="F29" s="15" t="str">
        <f>IF(ISNUMBER(INDEX(PCDDs!$S$4:$S$166,MATCH($B29,PCDDs!$B$4:$B$166,0))),INDEX(PCDDs!$S$4:$S$166,MATCH($B29,PCDDs!$B$4:$B$166,0)),"---")</f>
        <v>---</v>
      </c>
      <c r="G29" s="37" t="str">
        <f>IF(ISNUMBER(INDEX(PCDDs!$AA$4:$AA$166,MATCH($B29,PCDDs!$B$4:$B$166,0))),INDEX(PCDDs!$AA$4:$AA$166,MATCH($B29,PCDDs!$B$4:$B$166,0)),"---")</f>
        <v>---</v>
      </c>
    </row>
    <row r="30" spans="1:7" x14ac:dyDescent="0.3">
      <c r="A30" s="39"/>
      <c r="B30" s="15" t="s">
        <v>754</v>
      </c>
      <c r="C30" s="15"/>
      <c r="D30" s="15" t="str">
        <f>IF(ISNUMBER(INDEX(PCDDs!$G$4:$G$166,MATCH($B30,PCDDs!$B$4:$B$166,0))),INDEX(PCDDs!$G$4:$G$166,MATCH($B30,PCDDs!$B$4:$B$166,0)),"---")</f>
        <v>---</v>
      </c>
      <c r="E30" s="15" t="str">
        <f>IF(ISNUMBER(INDEX(PCDDs!$K$4:$K$166,MATCH($B30,PCDDs!$B$4:$B$166,0))),INDEX(PCDDs!$K$4:$K$166,MATCH($B30,PCDDs!$B$4:$B$166,0)),"---")</f>
        <v>---</v>
      </c>
      <c r="F30" s="15">
        <f>IF(ISNUMBER(INDEX(PCDDs!$S$4:$S$166,MATCH($B30,PCDDs!$B$4:$B$166,0))),INDEX(PCDDs!$S$4:$S$166,MATCH($B30,PCDDs!$B$4:$B$166,0)),"---")</f>
        <v>4.3232234263002869E-7</v>
      </c>
      <c r="G30" s="37" t="str">
        <f>IF(ISNUMBER(INDEX(PCDDs!$AA$4:$AA$166,MATCH($B30,PCDDs!$B$4:$B$166,0))),INDEX(PCDDs!$AA$4:$AA$166,MATCH($B30,PCDDs!$B$4:$B$166,0)),"---")</f>
        <v>---</v>
      </c>
    </row>
    <row r="31" spans="1:7" x14ac:dyDescent="0.3">
      <c r="A31" s="39"/>
      <c r="B31" s="15" t="s">
        <v>755</v>
      </c>
      <c r="C31" s="15" t="s">
        <v>2751</v>
      </c>
      <c r="D31" s="15" t="str">
        <f>IF(ISNUMBER(INDEX(PCDDs!$G$4:$G$166,MATCH($B31,PCDDs!$B$4:$B$166,0))),INDEX(PCDDs!$G$4:$G$166,MATCH($B31,PCDDs!$B$4:$B$166,0)),"---")</f>
        <v>---</v>
      </c>
      <c r="E31" s="15" t="str">
        <f>IF(ISNUMBER(INDEX(PCDDs!$K$4:$K$166,MATCH($B31,PCDDs!$B$4:$B$166,0))),INDEX(PCDDs!$K$4:$K$166,MATCH($B31,PCDDs!$B$4:$B$166,0)),"---")</f>
        <v>---</v>
      </c>
      <c r="F31" s="15" t="str">
        <f>IF(ISNUMBER(INDEX(PCDDs!$S$4:$S$166,MATCH($B31,PCDDs!$B$4:$B$166,0))),INDEX(PCDDs!$S$4:$S$166,MATCH($B31,PCDDs!$B$4:$B$166,0)),"---")</f>
        <v>---</v>
      </c>
      <c r="G31" s="37" t="str">
        <f>IF(ISNUMBER(INDEX(PCDDs!$AA$4:$AA$166,MATCH($B31,PCDDs!$B$4:$B$166,0))),INDEX(PCDDs!$AA$4:$AA$166,MATCH($B31,PCDDs!$B$4:$B$166,0)),"---")</f>
        <v>---</v>
      </c>
    </row>
    <row r="32" spans="1:7" x14ac:dyDescent="0.3">
      <c r="A32" s="39"/>
      <c r="B32" s="15" t="s">
        <v>756</v>
      </c>
      <c r="C32" s="15" t="s">
        <v>2752</v>
      </c>
      <c r="D32" s="15" t="str">
        <f>IF(ISNUMBER(INDEX(PCDDs!$G$4:$G$166,MATCH($B32,PCDDs!$B$4:$B$166,0))),INDEX(PCDDs!$G$4:$G$166,MATCH($B32,PCDDs!$B$4:$B$166,0)),"---")</f>
        <v>---</v>
      </c>
      <c r="E32" s="15" t="str">
        <f>IF(ISNUMBER(INDEX(PCDDs!$K$4:$K$166,MATCH($B32,PCDDs!$B$4:$B$166,0))),INDEX(PCDDs!$K$4:$K$166,MATCH($B32,PCDDs!$B$4:$B$166,0)),"---")</f>
        <v>---</v>
      </c>
      <c r="F32" s="15">
        <f>IF(ISNUMBER(INDEX(PCDDs!$S$4:$S$166,MATCH($B32,PCDDs!$B$4:$B$166,0))),INDEX(PCDDs!$S$4:$S$166,MATCH($B32,PCDDs!$B$4:$B$166,0)),"---")</f>
        <v>6.3474091340480155E-8</v>
      </c>
      <c r="G32" s="37">
        <f>IF(ISNUMBER(INDEX(PCDDs!$AA$4:$AA$166,MATCH($B32,PCDDs!$B$4:$B$166,0))),INDEX(PCDDs!$AA$4:$AA$166,MATCH($B32,PCDDs!$B$4:$B$166,0)),"---")</f>
        <v>5.2335386666666666E-4</v>
      </c>
    </row>
    <row r="33" spans="1:7" x14ac:dyDescent="0.3">
      <c r="A33" s="39"/>
      <c r="B33" s="15" t="s">
        <v>757</v>
      </c>
      <c r="C33" s="15" t="s">
        <v>2755</v>
      </c>
      <c r="D33" s="15" t="str">
        <f>IF(ISNUMBER(INDEX(PCDDs!$G$4:$G$166,MATCH($B33,PCDDs!$B$4:$B$166,0))),INDEX(PCDDs!$G$4:$G$166,MATCH($B33,PCDDs!$B$4:$B$166,0)),"---")</f>
        <v>---</v>
      </c>
      <c r="E33" s="15">
        <f>IF(ISNUMBER(INDEX(PCDDs!$K$4:$K$166,MATCH($B33,PCDDs!$B$4:$B$166,0))),INDEX(PCDDs!$K$4:$K$166,MATCH($B33,PCDDs!$B$4:$B$166,0)),"---")</f>
        <v>173.5</v>
      </c>
      <c r="F33" s="15" t="str">
        <f>IF(ISNUMBER(INDEX(PCDDs!$S$4:$S$166,MATCH($B33,PCDDs!$B$4:$B$166,0))),INDEX(PCDDs!$S$4:$S$166,MATCH($B33,PCDDs!$B$4:$B$166,0)),"---")</f>
        <v>---</v>
      </c>
      <c r="G33" s="37">
        <f>IF(ISNUMBER(INDEX(PCDDs!$AA$4:$AA$166,MATCH($B33,PCDDs!$B$4:$B$166,0))),INDEX(PCDDs!$AA$4:$AA$166,MATCH($B33,PCDDs!$B$4:$B$166,0)),"---")</f>
        <v>5.2854138066387498E-4</v>
      </c>
    </row>
    <row r="34" spans="1:7" x14ac:dyDescent="0.3">
      <c r="A34" s="39"/>
      <c r="B34" s="15" t="s">
        <v>758</v>
      </c>
      <c r="C34" s="15" t="s">
        <v>2754</v>
      </c>
      <c r="D34" s="15">
        <f>IF(ISNUMBER(INDEX(PCDDs!$G$4:$G$166,MATCH($B34,PCDDs!$B$4:$B$166,0))),INDEX(PCDDs!$G$4:$G$166,MATCH($B34,PCDDs!$B$4:$B$166,0)),"---")</f>
        <v>6.39</v>
      </c>
      <c r="E34" s="15" t="str">
        <f>IF(ISNUMBER(INDEX(PCDDs!$K$4:$K$166,MATCH($B34,PCDDs!$B$4:$B$166,0))),INDEX(PCDDs!$K$4:$K$166,MATCH($B34,PCDDs!$B$4:$B$166,0)),"---")</f>
        <v>---</v>
      </c>
      <c r="F34" s="15" t="str">
        <f>IF(ISNUMBER(INDEX(PCDDs!$S$4:$S$166,MATCH($B34,PCDDs!$B$4:$B$166,0))),INDEX(PCDDs!$S$4:$S$166,MATCH($B34,PCDDs!$B$4:$B$166,0)),"---")</f>
        <v>---</v>
      </c>
      <c r="G34" s="37" t="str">
        <f>IF(ISNUMBER(INDEX(PCDDs!$AA$4:$AA$166,MATCH($B34,PCDDs!$B$4:$B$166,0))),INDEX(PCDDs!$AA$4:$AA$166,MATCH($B34,PCDDs!$B$4:$B$166,0)),"---")</f>
        <v>---</v>
      </c>
    </row>
    <row r="35" spans="1:7" x14ac:dyDescent="0.3">
      <c r="A35" s="39"/>
      <c r="B35" s="15" t="s">
        <v>759</v>
      </c>
      <c r="C35" s="15" t="s">
        <v>3217</v>
      </c>
      <c r="D35" s="15" t="str">
        <f>IF(ISNUMBER(INDEX(PCDDs!$G$4:$G$166,MATCH($B35,PCDDs!$B$4:$B$166,0))),INDEX(PCDDs!$G$4:$G$166,MATCH($B35,PCDDs!$B$4:$B$166,0)),"---")</f>
        <v>---</v>
      </c>
      <c r="E35" s="15" t="str">
        <f>IF(ISNUMBER(INDEX(PCDDs!$K$4:$K$166,MATCH($B35,PCDDs!$B$4:$B$166,0))),INDEX(PCDDs!$K$4:$K$166,MATCH($B35,PCDDs!$B$4:$B$166,0)),"---")</f>
        <v>---</v>
      </c>
      <c r="F35" s="15" t="str">
        <f>IF(ISNUMBER(INDEX(PCDDs!$S$4:$S$166,MATCH($B35,PCDDs!$B$4:$B$166,0))),INDEX(PCDDs!$S$4:$S$166,MATCH($B35,PCDDs!$B$4:$B$166,0)),"---")</f>
        <v>---</v>
      </c>
      <c r="G35" s="37" t="str">
        <f>IF(ISNUMBER(INDEX(PCDDs!$AA$4:$AA$166,MATCH($B35,PCDDs!$B$4:$B$166,0))),INDEX(PCDDs!$AA$4:$AA$166,MATCH($B35,PCDDs!$B$4:$B$166,0)),"---")</f>
        <v>---</v>
      </c>
    </row>
    <row r="36" spans="1:7" x14ac:dyDescent="0.3">
      <c r="A36" s="39"/>
      <c r="B36" s="15" t="s">
        <v>760</v>
      </c>
      <c r="C36" s="15" t="s">
        <v>3218</v>
      </c>
      <c r="D36" s="15" t="str">
        <f>IF(ISNUMBER(INDEX(PCDDs!$G$4:$G$166,MATCH($B36,PCDDs!$B$4:$B$166,0))),INDEX(PCDDs!$G$4:$G$166,MATCH($B36,PCDDs!$B$4:$B$166,0)),"---")</f>
        <v>---</v>
      </c>
      <c r="E36" s="15" t="str">
        <f>IF(ISNUMBER(INDEX(PCDDs!$K$4:$K$166,MATCH($B36,PCDDs!$B$4:$B$166,0))),INDEX(PCDDs!$K$4:$K$166,MATCH($B36,PCDDs!$B$4:$B$166,0)),"---")</f>
        <v>---</v>
      </c>
      <c r="F36" s="15" t="str">
        <f>IF(ISNUMBER(INDEX(PCDDs!$S$4:$S$166,MATCH($B36,PCDDs!$B$4:$B$166,0))),INDEX(PCDDs!$S$4:$S$166,MATCH($B36,PCDDs!$B$4:$B$166,0)),"---")</f>
        <v>---</v>
      </c>
      <c r="G36" s="37" t="str">
        <f>IF(ISNUMBER(INDEX(PCDDs!$AA$4:$AA$166,MATCH($B36,PCDDs!$B$4:$B$166,0))),INDEX(PCDDs!$AA$4:$AA$166,MATCH($B36,PCDDs!$B$4:$B$166,0)),"---")</f>
        <v>---</v>
      </c>
    </row>
    <row r="37" spans="1:7" x14ac:dyDescent="0.3">
      <c r="A37" s="39"/>
      <c r="B37" s="15" t="s">
        <v>761</v>
      </c>
      <c r="C37" s="15" t="s">
        <v>3219</v>
      </c>
      <c r="D37" s="15" t="str">
        <f>IF(ISNUMBER(INDEX(PCDDs!$G$4:$G$166,MATCH($B37,PCDDs!$B$4:$B$166,0))),INDEX(PCDDs!$G$4:$G$166,MATCH($B37,PCDDs!$B$4:$B$166,0)),"---")</f>
        <v>---</v>
      </c>
      <c r="E37" s="15" t="str">
        <f>IF(ISNUMBER(INDEX(PCDDs!$K$4:$K$166,MATCH($B37,PCDDs!$B$4:$B$166,0))),INDEX(PCDDs!$K$4:$K$166,MATCH($B37,PCDDs!$B$4:$B$166,0)),"---")</f>
        <v>---</v>
      </c>
      <c r="F37" s="15">
        <f>IF(ISNUMBER(INDEX(PCDDs!$S$4:$S$166,MATCH($B37,PCDDs!$B$4:$B$166,0))),INDEX(PCDDs!$S$4:$S$166,MATCH($B37,PCDDs!$B$4:$B$166,0)),"---")</f>
        <v>1.6726324844137757E-8</v>
      </c>
      <c r="G37" s="37" t="str">
        <f>IF(ISNUMBER(INDEX(PCDDs!$AA$4:$AA$166,MATCH($B37,PCDDs!$B$4:$B$166,0))),INDEX(PCDDs!$AA$4:$AA$166,MATCH($B37,PCDDs!$B$4:$B$166,0)),"---")</f>
        <v>---</v>
      </c>
    </row>
    <row r="38" spans="1:7" x14ac:dyDescent="0.3">
      <c r="A38" s="39"/>
      <c r="B38" s="15" t="s">
        <v>762</v>
      </c>
      <c r="C38" s="15"/>
      <c r="D38" s="15" t="str">
        <f>IF(ISNUMBER(INDEX(PCDDs!$G$4:$G$166,MATCH($B38,PCDDs!$B$4:$B$166,0))),INDEX(PCDDs!$G$4:$G$166,MATCH($B38,PCDDs!$B$4:$B$166,0)),"---")</f>
        <v>---</v>
      </c>
      <c r="E38" s="15" t="str">
        <f>IF(ISNUMBER(INDEX(PCDDs!$K$4:$K$166,MATCH($B38,PCDDs!$B$4:$B$166,0))),INDEX(PCDDs!$K$4:$K$166,MATCH($B38,PCDDs!$B$4:$B$166,0)),"---")</f>
        <v>---</v>
      </c>
      <c r="F38" s="15" t="str">
        <f>IF(ISNUMBER(INDEX(PCDDs!$S$4:$S$166,MATCH($B38,PCDDs!$B$4:$B$166,0))),INDEX(PCDDs!$S$4:$S$166,MATCH($B38,PCDDs!$B$4:$B$166,0)),"---")</f>
        <v>---</v>
      </c>
      <c r="G38" s="37" t="str">
        <f>IF(ISNUMBER(INDEX(PCDDs!$AA$4:$AA$166,MATCH($B38,PCDDs!$B$4:$B$166,0))),INDEX(PCDDs!$AA$4:$AA$166,MATCH($B38,PCDDs!$B$4:$B$166,0)),"---")</f>
        <v>---</v>
      </c>
    </row>
    <row r="39" spans="1:7" x14ac:dyDescent="0.3">
      <c r="A39" s="39"/>
      <c r="B39" s="15" t="s">
        <v>763</v>
      </c>
      <c r="C39" s="15" t="s">
        <v>2753</v>
      </c>
      <c r="D39" s="15" t="str">
        <f>IF(ISNUMBER(INDEX(PCDDs!$G$4:$G$166,MATCH($B39,PCDDs!$B$4:$B$166,0))),INDEX(PCDDs!$G$4:$G$166,MATCH($B39,PCDDs!$B$4:$B$166,0)),"---")</f>
        <v>---</v>
      </c>
      <c r="E39" s="15" t="str">
        <f>IF(ISNUMBER(INDEX(PCDDs!$K$4:$K$166,MATCH($B39,PCDDs!$B$4:$B$166,0))),INDEX(PCDDs!$K$4:$K$166,MATCH($B39,PCDDs!$B$4:$B$166,0)),"---")</f>
        <v>---</v>
      </c>
      <c r="F39" s="15" t="str">
        <f>IF(ISNUMBER(INDEX(PCDDs!$S$4:$S$166,MATCH($B39,PCDDs!$B$4:$B$166,0))),INDEX(PCDDs!$S$4:$S$166,MATCH($B39,PCDDs!$B$4:$B$166,0)),"---")</f>
        <v>---</v>
      </c>
      <c r="G39" s="37" t="str">
        <f>IF(ISNUMBER(INDEX(PCDDs!$AA$4:$AA$166,MATCH($B39,PCDDs!$B$4:$B$166,0))),INDEX(PCDDs!$AA$4:$AA$166,MATCH($B39,PCDDs!$B$4:$B$166,0)),"---")</f>
        <v>---</v>
      </c>
    </row>
    <row r="40" spans="1:7" x14ac:dyDescent="0.3">
      <c r="A40" s="39"/>
      <c r="B40" s="15" t="s">
        <v>764</v>
      </c>
      <c r="C40" s="15" t="s">
        <v>2756</v>
      </c>
      <c r="D40" s="15">
        <f>IF(ISNUMBER(INDEX(PCDDs!$G$4:$G$166,MATCH($B40,PCDDs!$B$4:$B$166,0))),INDEX(PCDDs!$G$4:$G$166,MATCH($B40,PCDDs!$B$4:$B$166,0)),"---")</f>
        <v>6.29</v>
      </c>
      <c r="E40" s="15">
        <f>IF(ISNUMBER(INDEX(PCDDs!$K$4:$K$166,MATCH($B40,PCDDs!$B$4:$B$166,0))),INDEX(PCDDs!$K$4:$K$166,MATCH($B40,PCDDs!$B$4:$B$166,0)),"---")</f>
        <v>219.5</v>
      </c>
      <c r="F40" s="15">
        <f>IF(ISNUMBER(INDEX(PCDDs!$S$4:$S$166,MATCH($B40,PCDDs!$B$4:$B$166,0))),INDEX(PCDDs!$S$4:$S$166,MATCH($B40,PCDDs!$B$4:$B$166,0)),"---")</f>
        <v>4.5309350114016165E-8</v>
      </c>
      <c r="G40" s="37">
        <f>IF(ISNUMBER(INDEX(PCDDs!$AA$4:$AA$166,MATCH($B40,PCDDs!$B$4:$B$166,0))),INDEX(PCDDs!$AA$4:$AA$166,MATCH($B40,PCDDs!$B$4:$B$166,0)),"---")</f>
        <v>3.2000000000000003E-4</v>
      </c>
    </row>
    <row r="41" spans="1:7" x14ac:dyDescent="0.3">
      <c r="A41" s="39"/>
      <c r="B41" s="15" t="s">
        <v>765</v>
      </c>
      <c r="C41" s="15" t="s">
        <v>2757</v>
      </c>
      <c r="D41" s="15">
        <f>IF(ISNUMBER(INDEX(PCDDs!$G$4:$G$166,MATCH($B41,PCDDs!$B$4:$B$166,0))),INDEX(PCDDs!$G$4:$G$166,MATCH($B41,PCDDs!$B$4:$B$166,0)),"---")</f>
        <v>6.3</v>
      </c>
      <c r="E41" s="15">
        <f>IF(ISNUMBER(INDEX(PCDDs!$K$4:$K$166,MATCH($B41,PCDDs!$B$4:$B$166,0))),INDEX(PCDDs!$K$4:$K$166,MATCH($B41,PCDDs!$B$4:$B$166,0)),"---")</f>
        <v>194</v>
      </c>
      <c r="F41" s="15" t="str">
        <f>IF(ISNUMBER(INDEX(PCDDs!$S$4:$S$166,MATCH($B41,PCDDs!$B$4:$B$166,0))),INDEX(PCDDs!$S$4:$S$166,MATCH($B41,PCDDs!$B$4:$B$166,0)),"---")</f>
        <v>---</v>
      </c>
      <c r="G41" s="37" t="str">
        <f>IF(ISNUMBER(INDEX(PCDDs!$AA$4:$AA$166,MATCH($B41,PCDDs!$B$4:$B$166,0))),INDEX(PCDDs!$AA$4:$AA$166,MATCH($B41,PCDDs!$B$4:$B$166,0)),"---")</f>
        <v>---</v>
      </c>
    </row>
    <row r="42" spans="1:7" x14ac:dyDescent="0.3">
      <c r="A42" s="39"/>
      <c r="B42" s="15" t="s">
        <v>766</v>
      </c>
      <c r="C42" s="15" t="s">
        <v>3220</v>
      </c>
      <c r="D42" s="15" t="str">
        <f>IF(ISNUMBER(INDEX(PCDDs!$G$4:$G$166,MATCH($B42,PCDDs!$B$4:$B$166,0))),INDEX(PCDDs!$G$4:$G$166,MATCH($B42,PCDDs!$B$4:$B$166,0)),"---")</f>
        <v>---</v>
      </c>
      <c r="E42" s="15" t="str">
        <f>IF(ISNUMBER(INDEX(PCDDs!$K$4:$K$166,MATCH($B42,PCDDs!$B$4:$B$166,0))),INDEX(PCDDs!$K$4:$K$166,MATCH($B42,PCDDs!$B$4:$B$166,0)),"---")</f>
        <v>---</v>
      </c>
      <c r="F42" s="15" t="str">
        <f>IF(ISNUMBER(INDEX(PCDDs!$S$4:$S$166,MATCH($B42,PCDDs!$B$4:$B$166,0))),INDEX(PCDDs!$S$4:$S$166,MATCH($B42,PCDDs!$B$4:$B$166,0)),"---")</f>
        <v>---</v>
      </c>
      <c r="G42" s="37" t="str">
        <f>IF(ISNUMBER(INDEX(PCDDs!$AA$4:$AA$166,MATCH($B42,PCDDs!$B$4:$B$166,0))),INDEX(PCDDs!$AA$4:$AA$166,MATCH($B42,PCDDs!$B$4:$B$166,0)),"---")</f>
        <v>---</v>
      </c>
    </row>
    <row r="43" spans="1:7" x14ac:dyDescent="0.3">
      <c r="A43" s="39"/>
      <c r="B43" s="15" t="s">
        <v>767</v>
      </c>
      <c r="C43" s="15" t="s">
        <v>3221</v>
      </c>
      <c r="D43" s="15" t="str">
        <f>IF(ISNUMBER(INDEX(PCDDs!$G$4:$G$166,MATCH($B43,PCDDs!$B$4:$B$166,0))),INDEX(PCDDs!$G$4:$G$166,MATCH($B43,PCDDs!$B$4:$B$166,0)),"---")</f>
        <v>---</v>
      </c>
      <c r="E43" s="15" t="str">
        <f>IF(ISNUMBER(INDEX(PCDDs!$K$4:$K$166,MATCH($B43,PCDDs!$B$4:$B$166,0))),INDEX(PCDDs!$K$4:$K$166,MATCH($B43,PCDDs!$B$4:$B$166,0)),"---")</f>
        <v>---</v>
      </c>
      <c r="F43" s="15" t="str">
        <f>IF(ISNUMBER(INDEX(PCDDs!$S$4:$S$166,MATCH($B43,PCDDs!$B$4:$B$166,0))),INDEX(PCDDs!$S$4:$S$166,MATCH($B43,PCDDs!$B$4:$B$166,0)),"---")</f>
        <v>---</v>
      </c>
      <c r="G43" s="37" t="str">
        <f>IF(ISNUMBER(INDEX(PCDDs!$AA$4:$AA$166,MATCH($B43,PCDDs!$B$4:$B$166,0))),INDEX(PCDDs!$AA$4:$AA$166,MATCH($B43,PCDDs!$B$4:$B$166,0)),"---")</f>
        <v>---</v>
      </c>
    </row>
    <row r="44" spans="1:7" x14ac:dyDescent="0.3">
      <c r="A44" s="39"/>
      <c r="B44" s="15" t="s">
        <v>768</v>
      </c>
      <c r="C44" s="15" t="s">
        <v>2900</v>
      </c>
      <c r="D44" s="15" t="str">
        <f>IF(ISNUMBER(INDEX(PCDDs!$G$4:$G$166,MATCH($B44,PCDDs!$B$4:$B$166,0))),INDEX(PCDDs!$G$4:$G$166,MATCH($B44,PCDDs!$B$4:$B$166,0)),"---")</f>
        <v>---</v>
      </c>
      <c r="E44" s="15" t="str">
        <f>IF(ISNUMBER(INDEX(PCDDs!$K$4:$K$166,MATCH($B44,PCDDs!$B$4:$B$166,0))),INDEX(PCDDs!$K$4:$K$166,MATCH($B44,PCDDs!$B$4:$B$166,0)),"---")</f>
        <v>---</v>
      </c>
      <c r="F44" s="15" t="str">
        <f>IF(ISNUMBER(INDEX(PCDDs!$S$4:$S$166,MATCH($B44,PCDDs!$B$4:$B$166,0))),INDEX(PCDDs!$S$4:$S$166,MATCH($B44,PCDDs!$B$4:$B$166,0)),"---")</f>
        <v>---</v>
      </c>
      <c r="G44" s="37" t="str">
        <f>IF(ISNUMBER(INDEX(PCDDs!$AA$4:$AA$166,MATCH($B44,PCDDs!$B$4:$B$166,0))),INDEX(PCDDs!$AA$4:$AA$166,MATCH($B44,PCDDs!$B$4:$B$166,0)),"---")</f>
        <v>---</v>
      </c>
    </row>
    <row r="45" spans="1:7" x14ac:dyDescent="0.3">
      <c r="A45" s="39"/>
      <c r="B45" s="15" t="s">
        <v>769</v>
      </c>
      <c r="C45" s="15" t="s">
        <v>3222</v>
      </c>
      <c r="D45" s="15" t="str">
        <f>IF(ISNUMBER(INDEX(PCDDs!$G$4:$G$166,MATCH($B45,PCDDs!$B$4:$B$166,0))),INDEX(PCDDs!$G$4:$G$166,MATCH($B45,PCDDs!$B$4:$B$166,0)),"---")</f>
        <v>---</v>
      </c>
      <c r="E45" s="15" t="str">
        <f>IF(ISNUMBER(INDEX(PCDDs!$K$4:$K$166,MATCH($B45,PCDDs!$B$4:$B$166,0))),INDEX(PCDDs!$K$4:$K$166,MATCH($B45,PCDDs!$B$4:$B$166,0)),"---")</f>
        <v>---</v>
      </c>
      <c r="F45" s="15" t="str">
        <f>IF(ISNUMBER(INDEX(PCDDs!$S$4:$S$166,MATCH($B45,PCDDs!$B$4:$B$166,0))),INDEX(PCDDs!$S$4:$S$166,MATCH($B45,PCDDs!$B$4:$B$166,0)),"---")</f>
        <v>---</v>
      </c>
      <c r="G45" s="37" t="str">
        <f>IF(ISNUMBER(INDEX(PCDDs!$AA$4:$AA$166,MATCH($B45,PCDDs!$B$4:$B$166,0))),INDEX(PCDDs!$AA$4:$AA$166,MATCH($B45,PCDDs!$B$4:$B$166,0)),"---")</f>
        <v>---</v>
      </c>
    </row>
    <row r="46" spans="1:7" x14ac:dyDescent="0.3">
      <c r="A46" s="39"/>
      <c r="B46" s="15" t="s">
        <v>770</v>
      </c>
      <c r="C46" s="15" t="s">
        <v>3223</v>
      </c>
      <c r="D46" s="15" t="str">
        <f>IF(ISNUMBER(INDEX(PCDDs!$G$4:$G$166,MATCH($B46,PCDDs!$B$4:$B$166,0))),INDEX(PCDDs!$G$4:$G$166,MATCH($B46,PCDDs!$B$4:$B$166,0)),"---")</f>
        <v>---</v>
      </c>
      <c r="E46" s="15" t="str">
        <f>IF(ISNUMBER(INDEX(PCDDs!$K$4:$K$166,MATCH($B46,PCDDs!$B$4:$B$166,0))),INDEX(PCDDs!$K$4:$K$166,MATCH($B46,PCDDs!$B$4:$B$166,0)),"---")</f>
        <v>---</v>
      </c>
      <c r="F46" s="15" t="str">
        <f>IF(ISNUMBER(INDEX(PCDDs!$S$4:$S$166,MATCH($B46,PCDDs!$B$4:$B$166,0))),INDEX(PCDDs!$S$4:$S$166,MATCH($B46,PCDDs!$B$4:$B$166,0)),"---")</f>
        <v>---</v>
      </c>
      <c r="G46" s="37" t="str">
        <f>IF(ISNUMBER(INDEX(PCDDs!$AA$4:$AA$166,MATCH($B46,PCDDs!$B$4:$B$166,0))),INDEX(PCDDs!$AA$4:$AA$166,MATCH($B46,PCDDs!$B$4:$B$166,0)),"---")</f>
        <v>---</v>
      </c>
    </row>
    <row r="47" spans="1:7" x14ac:dyDescent="0.3">
      <c r="A47" s="39"/>
      <c r="B47" s="15" t="s">
        <v>771</v>
      </c>
      <c r="C47" s="15" t="s">
        <v>2907</v>
      </c>
      <c r="D47" s="15">
        <f>IF(ISNUMBER(INDEX(PCDDs!$G$4:$G$166,MATCH($B47,PCDDs!$B$4:$B$166,0))),INDEX(PCDDs!$G$4:$G$166,MATCH($B47,PCDDs!$B$4:$B$166,0)),"---")</f>
        <v>6.43</v>
      </c>
      <c r="E47" s="15" t="str">
        <f>IF(ISNUMBER(INDEX(PCDDs!$K$4:$K$166,MATCH($B47,PCDDs!$B$4:$B$166,0))),INDEX(PCDDs!$K$4:$K$166,MATCH($B47,PCDDs!$B$4:$B$166,0)),"---")</f>
        <v>---</v>
      </c>
      <c r="F47" s="15" t="str">
        <f>IF(ISNUMBER(INDEX(PCDDs!$S$4:$S$166,MATCH($B47,PCDDs!$B$4:$B$166,0))),INDEX(PCDDs!$S$4:$S$166,MATCH($B47,PCDDs!$B$4:$B$166,0)),"---")</f>
        <v>---</v>
      </c>
      <c r="G47" s="37" t="str">
        <f>IF(ISNUMBER(INDEX(PCDDs!$AA$4:$AA$166,MATCH($B47,PCDDs!$B$4:$B$166,0))),INDEX(PCDDs!$AA$4:$AA$166,MATCH($B47,PCDDs!$B$4:$B$166,0)),"---")</f>
        <v>---</v>
      </c>
    </row>
    <row r="48" spans="1:7" x14ac:dyDescent="0.3">
      <c r="A48" s="39"/>
      <c r="B48" s="15" t="s">
        <v>772</v>
      </c>
      <c r="C48" s="15" t="s">
        <v>3224</v>
      </c>
      <c r="D48" s="15" t="str">
        <f>IF(ISNUMBER(INDEX(PCDDs!$G$4:$G$166,MATCH($B48,PCDDs!$B$4:$B$166,0))),INDEX(PCDDs!$G$4:$G$166,MATCH($B48,PCDDs!$B$4:$B$166,0)),"---")</f>
        <v>---</v>
      </c>
      <c r="E48" s="15" t="str">
        <f>IF(ISNUMBER(INDEX(PCDDs!$K$4:$K$166,MATCH($B48,PCDDs!$B$4:$B$166,0))),INDEX(PCDDs!$K$4:$K$166,MATCH($B48,PCDDs!$B$4:$B$166,0)),"---")</f>
        <v>---</v>
      </c>
      <c r="F48" s="15" t="str">
        <f>IF(ISNUMBER(INDEX(PCDDs!$S$4:$S$166,MATCH($B48,PCDDs!$B$4:$B$166,0))),INDEX(PCDDs!$S$4:$S$166,MATCH($B48,PCDDs!$B$4:$B$166,0)),"---")</f>
        <v>---</v>
      </c>
      <c r="G48" s="37" t="str">
        <f>IF(ISNUMBER(INDEX(PCDDs!$AA$4:$AA$166,MATCH($B48,PCDDs!$B$4:$B$166,0))),INDEX(PCDDs!$AA$4:$AA$166,MATCH($B48,PCDDs!$B$4:$B$166,0)),"---")</f>
        <v>---</v>
      </c>
    </row>
    <row r="49" spans="1:7" x14ac:dyDescent="0.3">
      <c r="A49" s="39"/>
      <c r="B49" s="15" t="s">
        <v>773</v>
      </c>
      <c r="C49" s="15"/>
      <c r="D49" s="15" t="str">
        <f>IF(ISNUMBER(INDEX(PCDDs!$G$4:$G$166,MATCH($B49,PCDDs!$B$4:$B$166,0))),INDEX(PCDDs!$G$4:$G$166,MATCH($B49,PCDDs!$B$4:$B$166,0)),"---")</f>
        <v>---</v>
      </c>
      <c r="E49" s="15" t="str">
        <f>IF(ISNUMBER(INDEX(PCDDs!$K$4:$K$166,MATCH($B49,PCDDs!$B$4:$B$166,0))),INDEX(PCDDs!$K$4:$K$166,MATCH($B49,PCDDs!$B$4:$B$166,0)),"---")</f>
        <v>---</v>
      </c>
      <c r="F49" s="15" t="str">
        <f>IF(ISNUMBER(INDEX(PCDDs!$S$4:$S$166,MATCH($B49,PCDDs!$B$4:$B$166,0))),INDEX(PCDDs!$S$4:$S$166,MATCH($B49,PCDDs!$B$4:$B$166,0)),"---")</f>
        <v>---</v>
      </c>
      <c r="G49" s="37" t="str">
        <f>IF(ISNUMBER(INDEX(PCDDs!$AA$4:$AA$166,MATCH($B49,PCDDs!$B$4:$B$166,0))),INDEX(PCDDs!$AA$4:$AA$166,MATCH($B49,PCDDs!$B$4:$B$166,0)),"---")</f>
        <v>---</v>
      </c>
    </row>
    <row r="50" spans="1:7" x14ac:dyDescent="0.3">
      <c r="A50" s="39"/>
      <c r="B50" s="15" t="s">
        <v>774</v>
      </c>
      <c r="C50" s="15" t="s">
        <v>3225</v>
      </c>
      <c r="D50" s="15" t="str">
        <f>IF(ISNUMBER(INDEX(PCDDs!$G$4:$G$166,MATCH($B50,PCDDs!$B$4:$B$166,0))),INDEX(PCDDs!$G$4:$G$166,MATCH($B50,PCDDs!$B$4:$B$166,0)),"---")</f>
        <v>---</v>
      </c>
      <c r="E50" s="15" t="str">
        <f>IF(ISNUMBER(INDEX(PCDDs!$K$4:$K$166,MATCH($B50,PCDDs!$B$4:$B$166,0))),INDEX(PCDDs!$K$4:$K$166,MATCH($B50,PCDDs!$B$4:$B$166,0)),"---")</f>
        <v>---</v>
      </c>
      <c r="F50" s="15" t="str">
        <f>IF(ISNUMBER(INDEX(PCDDs!$S$4:$S$166,MATCH($B50,PCDDs!$B$4:$B$166,0))),INDEX(PCDDs!$S$4:$S$166,MATCH($B50,PCDDs!$B$4:$B$166,0)),"---")</f>
        <v>---</v>
      </c>
      <c r="G50" s="37" t="str">
        <f>IF(ISNUMBER(INDEX(PCDDs!$AA$4:$AA$166,MATCH($B50,PCDDs!$B$4:$B$166,0))),INDEX(PCDDs!$AA$4:$AA$166,MATCH($B50,PCDDs!$B$4:$B$166,0)),"---")</f>
        <v>---</v>
      </c>
    </row>
    <row r="51" spans="1:7" x14ac:dyDescent="0.3">
      <c r="A51" s="39"/>
      <c r="B51" s="15" t="s">
        <v>775</v>
      </c>
      <c r="C51" s="15" t="s">
        <v>2758</v>
      </c>
      <c r="D51" s="15">
        <f>IF(ISNUMBER(INDEX(PCDDs!$G$4:$G$166,MATCH($B51,PCDDs!$B$4:$B$166,0))),INDEX(PCDDs!$G$4:$G$166,MATCH($B51,PCDDs!$B$4:$B$166,0)),"---")</f>
        <v>6.39</v>
      </c>
      <c r="E51" s="15" t="str">
        <f>IF(ISNUMBER(INDEX(PCDDs!$K$4:$K$166,MATCH($B51,PCDDs!$B$4:$B$166,0))),INDEX(PCDDs!$K$4:$K$166,MATCH($B51,PCDDs!$B$4:$B$166,0)),"---")</f>
        <v>---</v>
      </c>
      <c r="F51" s="15">
        <f>IF(ISNUMBER(INDEX(PCDDs!$S$4:$S$166,MATCH($B51,PCDDs!$B$4:$B$166,0))),INDEX(PCDDs!$S$4:$S$166,MATCH($B51,PCDDs!$B$4:$B$166,0)),"---")</f>
        <v>2.4468718890566545E-8</v>
      </c>
      <c r="G51" s="37" t="str">
        <f>IF(ISNUMBER(INDEX(PCDDs!$AA$4:$AA$166,MATCH($B51,PCDDs!$B$4:$B$166,0))),INDEX(PCDDs!$AA$4:$AA$166,MATCH($B51,PCDDs!$B$4:$B$166,0)),"---")</f>
        <v>---</v>
      </c>
    </row>
    <row r="52" spans="1:7" x14ac:dyDescent="0.3">
      <c r="A52" s="39"/>
      <c r="B52" s="15" t="s">
        <v>776</v>
      </c>
      <c r="C52" s="15" t="s">
        <v>2908</v>
      </c>
      <c r="D52" s="15">
        <f>IF(ISNUMBER(INDEX(PCDDs!$G$4:$G$166,MATCH($B52,PCDDs!$B$4:$B$166,0))),INDEX(PCDDs!$G$4:$G$166,MATCH($B52,PCDDs!$B$4:$B$166,0)),"---")</f>
        <v>6.39</v>
      </c>
      <c r="E52" s="15" t="str">
        <f>IF(ISNUMBER(INDEX(PCDDs!$K$4:$K$166,MATCH($B52,PCDDs!$B$4:$B$166,0))),INDEX(PCDDs!$K$4:$K$166,MATCH($B52,PCDDs!$B$4:$B$166,0)),"---")</f>
        <v>---</v>
      </c>
      <c r="F52" s="15" t="str">
        <f>IF(ISNUMBER(INDEX(PCDDs!$S$4:$S$166,MATCH($B52,PCDDs!$B$4:$B$166,0))),INDEX(PCDDs!$S$4:$S$166,MATCH($B52,PCDDs!$B$4:$B$166,0)),"---")</f>
        <v>---</v>
      </c>
      <c r="G52" s="37" t="str">
        <f>IF(ISNUMBER(INDEX(PCDDs!$AA$4:$AA$166,MATCH($B52,PCDDs!$B$4:$B$166,0))),INDEX(PCDDs!$AA$4:$AA$166,MATCH($B52,PCDDs!$B$4:$B$166,0)),"---")</f>
        <v>---</v>
      </c>
    </row>
    <row r="53" spans="1:7" x14ac:dyDescent="0.3">
      <c r="A53" s="39"/>
      <c r="B53" s="15" t="s">
        <v>777</v>
      </c>
      <c r="C53" s="15" t="s">
        <v>2759</v>
      </c>
      <c r="D53" s="15">
        <f>IF(ISNUMBER(INDEX(PCDDs!$G$4:$G$166,MATCH($B53,PCDDs!$B$4:$B$166,0))),INDEX(PCDDs!$G$4:$G$166,MATCH($B53,PCDDs!$B$4:$B$166,0)),"---")</f>
        <v>6.5236829282963669</v>
      </c>
      <c r="E53" s="15" t="str">
        <f>IF(ISNUMBER(INDEX(PCDDs!$K$4:$K$166,MATCH($B53,PCDDs!$B$4:$B$166,0))),INDEX(PCDDs!$K$4:$K$166,MATCH($B53,PCDDs!$B$4:$B$166,0)),"---")</f>
        <v>---</v>
      </c>
      <c r="F53" s="15">
        <f>IF(ISNUMBER(INDEX(PCDDs!$S$4:$S$166,MATCH($B53,PCDDs!$B$4:$B$166,0))),INDEX(PCDDs!$S$4:$S$166,MATCH($B53,PCDDs!$B$4:$B$166,0)),"---")</f>
        <v>1.5001233476422598E-9</v>
      </c>
      <c r="G53" s="37">
        <f>IF(ISNUMBER(INDEX(PCDDs!$AA$4:$AA$166,MATCH($B53,PCDDs!$B$4:$B$166,0))),INDEX(PCDDs!$AA$4:$AA$166,MATCH($B53,PCDDs!$B$4:$B$166,0)),"---")</f>
        <v>2.0000000000000001E-4</v>
      </c>
    </row>
    <row r="54" spans="1:7" x14ac:dyDescent="0.3">
      <c r="A54" s="39"/>
      <c r="B54" s="15" t="s">
        <v>778</v>
      </c>
      <c r="C54" s="15" t="s">
        <v>2760</v>
      </c>
      <c r="D54" s="15">
        <f>IF(ISNUMBER(INDEX(PCDDs!$G$4:$G$166,MATCH($B54,PCDDs!$B$4:$B$166,0))),INDEX(PCDDs!$G$4:$G$166,MATCH($B54,PCDDs!$B$4:$B$166,0)),"---")</f>
        <v>6.3</v>
      </c>
      <c r="E54" s="15" t="str">
        <f>IF(ISNUMBER(INDEX(PCDDs!$K$4:$K$166,MATCH($B54,PCDDs!$B$4:$B$166,0))),INDEX(PCDDs!$K$4:$K$166,MATCH($B54,PCDDs!$B$4:$B$166,0)),"---")</f>
        <v>---</v>
      </c>
      <c r="F54" s="15" t="str">
        <f>IF(ISNUMBER(INDEX(PCDDs!$S$4:$S$166,MATCH($B54,PCDDs!$B$4:$B$166,0))),INDEX(PCDDs!$S$4:$S$166,MATCH($B54,PCDDs!$B$4:$B$166,0)),"---")</f>
        <v>---</v>
      </c>
      <c r="G54" s="37" t="str">
        <f>IF(ISNUMBER(INDEX(PCDDs!$AA$4:$AA$166,MATCH($B54,PCDDs!$B$4:$B$166,0))),INDEX(PCDDs!$AA$4:$AA$166,MATCH($B54,PCDDs!$B$4:$B$166,0)),"---")</f>
        <v>---</v>
      </c>
    </row>
    <row r="55" spans="1:7" x14ac:dyDescent="0.3">
      <c r="A55" s="39"/>
      <c r="B55" s="15" t="s">
        <v>779</v>
      </c>
      <c r="C55" s="15" t="s">
        <v>2909</v>
      </c>
      <c r="D55" s="15">
        <f>IF(ISNUMBER(INDEX(PCDDs!$G$4:$G$166,MATCH($B55,PCDDs!$B$4:$B$166,0))),INDEX(PCDDs!$G$4:$G$166,MATCH($B55,PCDDs!$B$4:$B$166,0)),"---")</f>
        <v>6.74</v>
      </c>
      <c r="E55" s="15" t="str">
        <f>IF(ISNUMBER(INDEX(PCDDs!$K$4:$K$166,MATCH($B55,PCDDs!$B$4:$B$166,0))),INDEX(PCDDs!$K$4:$K$166,MATCH($B55,PCDDs!$B$4:$B$166,0)),"---")</f>
        <v>---</v>
      </c>
      <c r="F55" s="15" t="str">
        <f>IF(ISNUMBER(INDEX(PCDDs!$S$4:$S$166,MATCH($B55,PCDDs!$B$4:$B$166,0))),INDEX(PCDDs!$S$4:$S$166,MATCH($B55,PCDDs!$B$4:$B$166,0)),"---")</f>
        <v>---</v>
      </c>
      <c r="G55" s="37" t="str">
        <f>IF(ISNUMBER(INDEX(PCDDs!$AA$4:$AA$166,MATCH($B55,PCDDs!$B$4:$B$166,0))),INDEX(PCDDs!$AA$4:$AA$166,MATCH($B55,PCDDs!$B$4:$B$166,0)),"---")</f>
        <v>---</v>
      </c>
    </row>
    <row r="56" spans="1:7" x14ac:dyDescent="0.3">
      <c r="A56" s="39"/>
      <c r="B56" s="15" t="s">
        <v>780</v>
      </c>
      <c r="C56" s="15" t="s">
        <v>3226</v>
      </c>
      <c r="D56" s="15">
        <f>IF(ISNUMBER(INDEX(PCDDs!$G$4:$G$166,MATCH($B56,PCDDs!$B$4:$B$166,0))),INDEX(PCDDs!$G$4:$G$166,MATCH($B56,PCDDs!$B$4:$B$166,0)),"---")</f>
        <v>6.24</v>
      </c>
      <c r="E56" s="15" t="str">
        <f>IF(ISNUMBER(INDEX(PCDDs!$K$4:$K$166,MATCH($B56,PCDDs!$B$4:$B$166,0))),INDEX(PCDDs!$K$4:$K$166,MATCH($B56,PCDDs!$B$4:$B$166,0)),"---")</f>
        <v>---</v>
      </c>
      <c r="F56" s="15" t="str">
        <f>IF(ISNUMBER(INDEX(PCDDs!$S$4:$S$166,MATCH($B56,PCDDs!$B$4:$B$166,0))),INDEX(PCDDs!$S$4:$S$166,MATCH($B56,PCDDs!$B$4:$B$166,0)),"---")</f>
        <v>---</v>
      </c>
      <c r="G56" s="37" t="str">
        <f>IF(ISNUMBER(INDEX(PCDDs!$AA$4:$AA$166,MATCH($B56,PCDDs!$B$4:$B$166,0))),INDEX(PCDDs!$AA$4:$AA$166,MATCH($B56,PCDDs!$B$4:$B$166,0)),"---")</f>
        <v>---</v>
      </c>
    </row>
    <row r="57" spans="1:7" x14ac:dyDescent="0.3">
      <c r="A57" s="39"/>
      <c r="B57" s="15" t="s">
        <v>781</v>
      </c>
      <c r="C57" s="15" t="s">
        <v>3227</v>
      </c>
      <c r="D57" s="15">
        <f>IF(ISNUMBER(INDEX(PCDDs!$G$4:$G$166,MATCH($B57,PCDDs!$B$4:$B$166,0))),INDEX(PCDDs!$G$4:$G$166,MATCH($B57,PCDDs!$B$4:$B$166,0)),"---")</f>
        <v>6.4</v>
      </c>
      <c r="E57" s="15" t="str">
        <f>IF(ISNUMBER(INDEX(PCDDs!$K$4:$K$166,MATCH($B57,PCDDs!$B$4:$B$166,0))),INDEX(PCDDs!$K$4:$K$166,MATCH($B57,PCDDs!$B$4:$B$166,0)),"---")</f>
        <v>---</v>
      </c>
      <c r="F57" s="15" t="str">
        <f>IF(ISNUMBER(INDEX(PCDDs!$S$4:$S$166,MATCH($B57,PCDDs!$B$4:$B$166,0))),INDEX(PCDDs!$S$4:$S$166,MATCH($B57,PCDDs!$B$4:$B$166,0)),"---")</f>
        <v>---</v>
      </c>
      <c r="G57" s="37" t="str">
        <f>IF(ISNUMBER(INDEX(PCDDs!$AA$4:$AA$166,MATCH($B57,PCDDs!$B$4:$B$166,0))),INDEX(PCDDs!$AA$4:$AA$166,MATCH($B57,PCDDs!$B$4:$B$166,0)),"---")</f>
        <v>---</v>
      </c>
    </row>
    <row r="58" spans="1:7" x14ac:dyDescent="0.3">
      <c r="A58" s="39"/>
      <c r="B58" s="15" t="s">
        <v>782</v>
      </c>
      <c r="C58" s="15" t="s">
        <v>3228</v>
      </c>
      <c r="D58" s="15" t="str">
        <f>IF(ISNUMBER(INDEX(PCDDs!$G$4:$G$166,MATCH($B58,PCDDs!$B$4:$B$166,0))),INDEX(PCDDs!$G$4:$G$166,MATCH($B58,PCDDs!$B$4:$B$166,0)),"---")</f>
        <v>---</v>
      </c>
      <c r="E58" s="15" t="str">
        <f>IF(ISNUMBER(INDEX(PCDDs!$K$4:$K$166,MATCH($B58,PCDDs!$B$4:$B$166,0))),INDEX(PCDDs!$K$4:$K$166,MATCH($B58,PCDDs!$B$4:$B$166,0)),"---")</f>
        <v>---</v>
      </c>
      <c r="F58" s="15" t="str">
        <f>IF(ISNUMBER(INDEX(PCDDs!$S$4:$S$166,MATCH($B58,PCDDs!$B$4:$B$166,0))),INDEX(PCDDs!$S$4:$S$166,MATCH($B58,PCDDs!$B$4:$B$166,0)),"---")</f>
        <v>---</v>
      </c>
      <c r="G58" s="37" t="str">
        <f>IF(ISNUMBER(INDEX(PCDDs!$AA$4:$AA$166,MATCH($B58,PCDDs!$B$4:$B$166,0))),INDEX(PCDDs!$AA$4:$AA$166,MATCH($B58,PCDDs!$B$4:$B$166,0)),"---")</f>
        <v>---</v>
      </c>
    </row>
    <row r="59" spans="1:7" x14ac:dyDescent="0.3">
      <c r="A59" s="39"/>
      <c r="B59" s="15" t="s">
        <v>783</v>
      </c>
      <c r="C59" s="15" t="s">
        <v>3229</v>
      </c>
      <c r="D59" s="15" t="str">
        <f>IF(ISNUMBER(INDEX(PCDDs!$G$4:$G$166,MATCH($B59,PCDDs!$B$4:$B$166,0))),INDEX(PCDDs!$G$4:$G$166,MATCH($B59,PCDDs!$B$4:$B$166,0)),"---")</f>
        <v>---</v>
      </c>
      <c r="E59" s="15" t="str">
        <f>IF(ISNUMBER(INDEX(PCDDs!$K$4:$K$166,MATCH($B59,PCDDs!$B$4:$B$166,0))),INDEX(PCDDs!$K$4:$K$166,MATCH($B59,PCDDs!$B$4:$B$166,0)),"---")</f>
        <v>---</v>
      </c>
      <c r="F59" s="15" t="str">
        <f>IF(ISNUMBER(INDEX(PCDDs!$S$4:$S$166,MATCH($B59,PCDDs!$B$4:$B$166,0))),INDEX(PCDDs!$S$4:$S$166,MATCH($B59,PCDDs!$B$4:$B$166,0)),"---")</f>
        <v>---</v>
      </c>
      <c r="G59" s="37" t="str">
        <f>IF(ISNUMBER(INDEX(PCDDs!$AA$4:$AA$166,MATCH($B59,PCDDs!$B$4:$B$166,0))),INDEX(PCDDs!$AA$4:$AA$166,MATCH($B59,PCDDs!$B$4:$B$166,0)),"---")</f>
        <v>---</v>
      </c>
    </row>
    <row r="60" spans="1:7" x14ac:dyDescent="0.3">
      <c r="A60" s="39"/>
      <c r="B60" s="15" t="s">
        <v>784</v>
      </c>
      <c r="C60" s="15" t="s">
        <v>3230</v>
      </c>
      <c r="D60" s="15" t="str">
        <f>IF(ISNUMBER(INDEX(PCDDs!$G$4:$G$166,MATCH($B60,PCDDs!$B$4:$B$166,0))),INDEX(PCDDs!$G$4:$G$166,MATCH($B60,PCDDs!$B$4:$B$166,0)),"---")</f>
        <v>---</v>
      </c>
      <c r="E60" s="15" t="str">
        <f>IF(ISNUMBER(INDEX(PCDDs!$K$4:$K$166,MATCH($B60,PCDDs!$B$4:$B$166,0))),INDEX(PCDDs!$K$4:$K$166,MATCH($B60,PCDDs!$B$4:$B$166,0)),"---")</f>
        <v>---</v>
      </c>
      <c r="F60" s="15" t="str">
        <f>IF(ISNUMBER(INDEX(PCDDs!$S$4:$S$166,MATCH($B60,PCDDs!$B$4:$B$166,0))),INDEX(PCDDs!$S$4:$S$166,MATCH($B60,PCDDs!$B$4:$B$166,0)),"---")</f>
        <v>---</v>
      </c>
      <c r="G60" s="37" t="str">
        <f>IF(ISNUMBER(INDEX(PCDDs!$AA$4:$AA$166,MATCH($B60,PCDDs!$B$4:$B$166,0))),INDEX(PCDDs!$AA$4:$AA$166,MATCH($B60,PCDDs!$B$4:$B$166,0)),"---")</f>
        <v>---</v>
      </c>
    </row>
    <row r="61" spans="1:7" x14ac:dyDescent="0.3">
      <c r="A61" s="39"/>
      <c r="B61" s="15" t="s">
        <v>785</v>
      </c>
      <c r="C61" s="15" t="s">
        <v>2762</v>
      </c>
      <c r="D61" s="15" t="str">
        <f>IF(ISNUMBER(INDEX(PCDDs!$G$4:$G$166,MATCH($B61,PCDDs!$B$4:$B$166,0))),INDEX(PCDDs!$G$4:$G$166,MATCH($B61,PCDDs!$B$4:$B$166,0)),"---")</f>
        <v>---</v>
      </c>
      <c r="E61" s="15">
        <f>IF(ISNUMBER(INDEX(PCDDs!$K$4:$K$166,MATCH($B61,PCDDs!$B$4:$B$166,0))),INDEX(PCDDs!$K$4:$K$166,MATCH($B61,PCDDs!$B$4:$B$166,0)),"---")</f>
        <v>187.5</v>
      </c>
      <c r="F61" s="15" t="str">
        <f>IF(ISNUMBER(INDEX(PCDDs!$S$4:$S$166,MATCH($B61,PCDDs!$B$4:$B$166,0))),INDEX(PCDDs!$S$4:$S$166,MATCH($B61,PCDDs!$B$4:$B$166,0)),"---")</f>
        <v>---</v>
      </c>
      <c r="G61" s="37">
        <f>IF(ISNUMBER(INDEX(PCDDs!$AA$4:$AA$166,MATCH($B61,PCDDs!$B$4:$B$166,0))),INDEX(PCDDs!$AA$4:$AA$166,MATCH($B61,PCDDs!$B$4:$B$166,0)),"---")</f>
        <v>1.4104207204452299E-4</v>
      </c>
    </row>
    <row r="62" spans="1:7" x14ac:dyDescent="0.3">
      <c r="A62" s="39"/>
      <c r="B62" s="15" t="s">
        <v>786</v>
      </c>
      <c r="C62" s="15" t="s">
        <v>2910</v>
      </c>
      <c r="D62" s="15">
        <f>IF(ISNUMBER(INDEX(PCDDs!$G$4:$G$166,MATCH($B62,PCDDs!$B$4:$B$166,0))),INDEX(PCDDs!$G$4:$G$166,MATCH($B62,PCDDs!$B$4:$B$166,0)),"---")</f>
        <v>6.53</v>
      </c>
      <c r="E62" s="15" t="str">
        <f>IF(ISNUMBER(INDEX(PCDDs!$K$4:$K$166,MATCH($B62,PCDDs!$B$4:$B$166,0))),INDEX(PCDDs!$K$4:$K$166,MATCH($B62,PCDDs!$B$4:$B$166,0)),"---")</f>
        <v>---</v>
      </c>
      <c r="F62" s="15" t="str">
        <f>IF(ISNUMBER(INDEX(PCDDs!$S$4:$S$166,MATCH($B62,PCDDs!$B$4:$B$166,0))),INDEX(PCDDs!$S$4:$S$166,MATCH($B62,PCDDs!$B$4:$B$166,0)),"---")</f>
        <v>---</v>
      </c>
      <c r="G62" s="37" t="str">
        <f>IF(ISNUMBER(INDEX(PCDDs!$AA$4:$AA$166,MATCH($B62,PCDDs!$B$4:$B$166,0))),INDEX(PCDDs!$AA$4:$AA$166,MATCH($B62,PCDDs!$B$4:$B$166,0)),"---")</f>
        <v>---</v>
      </c>
    </row>
    <row r="63" spans="1:7" x14ac:dyDescent="0.3">
      <c r="A63" s="39"/>
      <c r="B63" s="15" t="s">
        <v>1792</v>
      </c>
      <c r="C63" s="410" t="s">
        <v>2763</v>
      </c>
      <c r="D63" s="15">
        <f>IF(ISNUMBER(INDEX(PCDDs!$G$4:$G$166,MATCH($B63,PCDDs!$B$4:$B$166,0))),INDEX(PCDDs!$G$4:$G$166,MATCH($B63,PCDDs!$B$4:$B$166,0)),"---")</f>
        <v>6.64</v>
      </c>
      <c r="E63" s="15" t="str">
        <f>IF(ISNUMBER(INDEX(PCDDs!$K$4:$K$166,MATCH($B63,PCDDs!$B$4:$B$166,0))),INDEX(PCDDs!$K$4:$K$166,MATCH($B63,PCDDs!$B$4:$B$166,0)),"---")</f>
        <v>---</v>
      </c>
      <c r="F63" s="15" t="str">
        <f>IF(ISNUMBER(INDEX(PCDDs!$S$4:$S$166,MATCH($B63,PCDDs!$B$4:$B$166,0))),INDEX(PCDDs!$S$4:$S$166,MATCH($B63,PCDDs!$B$4:$B$166,0)),"---")</f>
        <v>---</v>
      </c>
      <c r="G63" s="37" t="str">
        <f>IF(ISNUMBER(INDEX(PCDDs!$AA$4:$AA$166,MATCH($B63,PCDDs!$B$4:$B$166,0))),INDEX(PCDDs!$AA$4:$AA$166,MATCH($B63,PCDDs!$B$4:$B$166,0)),"---")</f>
        <v>---</v>
      </c>
    </row>
    <row r="64" spans="1:7" x14ac:dyDescent="0.3">
      <c r="A64" s="39"/>
      <c r="B64" s="15" t="s">
        <v>787</v>
      </c>
      <c r="C64" s="15" t="s">
        <v>3231</v>
      </c>
      <c r="D64" s="15" t="str">
        <f>IF(ISNUMBER(INDEX(PCDDs!$G$4:$G$166,MATCH($B64,PCDDs!$B$4:$B$166,0))),INDEX(PCDDs!$G$4:$G$166,MATCH($B64,PCDDs!$B$4:$B$166,0)),"---")</f>
        <v>---</v>
      </c>
      <c r="E64" s="15" t="str">
        <f>IF(ISNUMBER(INDEX(PCDDs!$K$4:$K$166,MATCH($B64,PCDDs!$B$4:$B$166,0))),INDEX(PCDDs!$K$4:$K$166,MATCH($B64,PCDDs!$B$4:$B$166,0)),"---")</f>
        <v>---</v>
      </c>
      <c r="F64" s="15" t="str">
        <f>IF(ISNUMBER(INDEX(PCDDs!$S$4:$S$166,MATCH($B64,PCDDs!$B$4:$B$166,0))),INDEX(PCDDs!$S$4:$S$166,MATCH($B64,PCDDs!$B$4:$B$166,0)),"---")</f>
        <v>---</v>
      </c>
      <c r="G64" s="37" t="str">
        <f>IF(ISNUMBER(INDEX(PCDDs!$AA$4:$AA$166,MATCH($B64,PCDDs!$B$4:$B$166,0))),INDEX(PCDDs!$AA$4:$AA$166,MATCH($B64,PCDDs!$B$4:$B$166,0)),"---")</f>
        <v>---</v>
      </c>
    </row>
    <row r="65" spans="1:7" x14ac:dyDescent="0.3">
      <c r="A65" s="39"/>
      <c r="B65" s="15" t="s">
        <v>788</v>
      </c>
      <c r="C65" s="15" t="s">
        <v>3232</v>
      </c>
      <c r="D65" s="15" t="str">
        <f>IF(ISNUMBER(INDEX(PCDDs!$G$4:$G$166,MATCH($B65,PCDDs!$B$4:$B$166,0))),INDEX(PCDDs!$G$4:$G$166,MATCH($B65,PCDDs!$B$4:$B$166,0)),"---")</f>
        <v>---</v>
      </c>
      <c r="E65" s="15" t="str">
        <f>IF(ISNUMBER(INDEX(PCDDs!$K$4:$K$166,MATCH($B65,PCDDs!$B$4:$B$166,0))),INDEX(PCDDs!$K$4:$K$166,MATCH($B65,PCDDs!$B$4:$B$166,0)),"---")</f>
        <v>---</v>
      </c>
      <c r="F65" s="15" t="str">
        <f>IF(ISNUMBER(INDEX(PCDDs!$S$4:$S$166,MATCH($B65,PCDDs!$B$4:$B$166,0))),INDEX(PCDDs!$S$4:$S$166,MATCH($B65,PCDDs!$B$4:$B$166,0)),"---")</f>
        <v>---</v>
      </c>
      <c r="G65" s="37" t="str">
        <f>IF(ISNUMBER(INDEX(PCDDs!$AA$4:$AA$166,MATCH($B65,PCDDs!$B$4:$B$166,0))),INDEX(PCDDs!$AA$4:$AA$166,MATCH($B65,PCDDs!$B$4:$B$166,0)),"---")</f>
        <v>---</v>
      </c>
    </row>
    <row r="66" spans="1:7" x14ac:dyDescent="0.3">
      <c r="A66" s="39"/>
      <c r="B66" s="15" t="s">
        <v>789</v>
      </c>
      <c r="C66" s="15" t="s">
        <v>2764</v>
      </c>
      <c r="D66" s="15">
        <f>IF(ISNUMBER(INDEX(PCDDs!$G$4:$G$166,MATCH($B66,PCDDs!$B$4:$B$166,0))),INDEX(PCDDs!$G$4:$G$166,MATCH($B66,PCDDs!$B$4:$B$166,0)),"---")</f>
        <v>6.2</v>
      </c>
      <c r="E66" s="15" t="str">
        <f>IF(ISNUMBER(INDEX(PCDDs!$K$4:$K$166,MATCH($B66,PCDDs!$B$4:$B$166,0))),INDEX(PCDDs!$K$4:$K$166,MATCH($B66,PCDDs!$B$4:$B$166,0)),"---")</f>
        <v>---</v>
      </c>
      <c r="F66" s="15">
        <f>IF(ISNUMBER(INDEX(PCDDs!$S$4:$S$166,MATCH($B66,PCDDs!$B$4:$B$166,0))),INDEX(PCDDs!$S$4:$S$166,MATCH($B66,PCDDs!$B$4:$B$166,0)),"---")</f>
        <v>5.7396950798756536E-9</v>
      </c>
      <c r="G66" s="37" t="str">
        <f>IF(ISNUMBER(INDEX(PCDDs!$AA$4:$AA$166,MATCH($B66,PCDDs!$B$4:$B$166,0))),INDEX(PCDDs!$AA$4:$AA$166,MATCH($B66,PCDDs!$B$4:$B$166,0)),"---")</f>
        <v>---</v>
      </c>
    </row>
    <row r="67" spans="1:7" x14ac:dyDescent="0.3">
      <c r="A67" s="39"/>
      <c r="B67" s="15" t="s">
        <v>790</v>
      </c>
      <c r="C67" s="15" t="s">
        <v>3233</v>
      </c>
      <c r="D67" s="15" t="str">
        <f>IF(ISNUMBER(INDEX(PCDDs!$G$4:$G$166,MATCH($B67,PCDDs!$B$4:$B$166,0))),INDEX(PCDDs!$G$4:$G$166,MATCH($B67,PCDDs!$B$4:$B$166,0)),"---")</f>
        <v>---</v>
      </c>
      <c r="E67" s="15" t="str">
        <f>IF(ISNUMBER(INDEX(PCDDs!$K$4:$K$166,MATCH($B67,PCDDs!$B$4:$B$166,0))),INDEX(PCDDs!$K$4:$K$166,MATCH($B67,PCDDs!$B$4:$B$166,0)),"---")</f>
        <v>---</v>
      </c>
      <c r="F67" s="15" t="str">
        <f>IF(ISNUMBER(INDEX(PCDDs!$S$4:$S$166,MATCH($B67,PCDDs!$B$4:$B$166,0))),INDEX(PCDDs!$S$4:$S$166,MATCH($B67,PCDDs!$B$4:$B$166,0)),"---")</f>
        <v>---</v>
      </c>
      <c r="G67" s="37" t="str">
        <f>IF(ISNUMBER(INDEX(PCDDs!$AA$4:$AA$166,MATCH($B67,PCDDs!$B$4:$B$166,0))),INDEX(PCDDs!$AA$4:$AA$166,MATCH($B67,PCDDs!$B$4:$B$166,0)),"---")</f>
        <v>---</v>
      </c>
    </row>
    <row r="68" spans="1:7" x14ac:dyDescent="0.3">
      <c r="A68" s="39"/>
      <c r="B68" s="15" t="s">
        <v>791</v>
      </c>
      <c r="C68" s="15" t="s">
        <v>2766</v>
      </c>
      <c r="D68" s="15" t="str">
        <f>IF(ISNUMBER(INDEX(PCDDs!$G$4:$G$166,MATCH($B68,PCDDs!$B$4:$B$166,0))),INDEX(PCDDs!$G$4:$G$166,MATCH($B68,PCDDs!$B$4:$B$166,0)),"---")</f>
        <v>---</v>
      </c>
      <c r="E68" s="15" t="str">
        <f>IF(ISNUMBER(INDEX(PCDDs!$K$4:$K$166,MATCH($B68,PCDDs!$B$4:$B$166,0))),INDEX(PCDDs!$K$4:$K$166,MATCH($B68,PCDDs!$B$4:$B$166,0)),"---")</f>
        <v>---</v>
      </c>
      <c r="F68" s="15" t="str">
        <f>IF(ISNUMBER(INDEX(PCDDs!$S$4:$S$166,MATCH($B68,PCDDs!$B$4:$B$166,0))),INDEX(PCDDs!$S$4:$S$166,MATCH($B68,PCDDs!$B$4:$B$166,0)),"---")</f>
        <v>---</v>
      </c>
      <c r="G68" s="37" t="str">
        <f>IF(ISNUMBER(INDEX(PCDDs!$AA$4:$AA$166,MATCH($B68,PCDDs!$B$4:$B$166,0))),INDEX(PCDDs!$AA$4:$AA$166,MATCH($B68,PCDDs!$B$4:$B$166,0)),"---")</f>
        <v>---</v>
      </c>
    </row>
    <row r="69" spans="1:7" x14ac:dyDescent="0.3">
      <c r="A69" s="39"/>
      <c r="B69" s="15" t="s">
        <v>792</v>
      </c>
      <c r="C69" s="15" t="s">
        <v>2768</v>
      </c>
      <c r="D69" s="15" t="str">
        <f>IF(ISNUMBER(INDEX(PCDDs!$G$4:$G$166,MATCH($B69,PCDDs!$B$4:$B$166,0))),INDEX(PCDDs!$G$4:$G$166,MATCH($B69,PCDDs!$B$4:$B$166,0)),"---")</f>
        <v>---</v>
      </c>
      <c r="E69" s="15" t="str">
        <f>IF(ISNUMBER(INDEX(PCDDs!$K$4:$K$166,MATCH($B69,PCDDs!$B$4:$B$166,0))),INDEX(PCDDs!$K$4:$K$166,MATCH($B69,PCDDs!$B$4:$B$166,0)),"---")</f>
        <v>---</v>
      </c>
      <c r="F69" s="15" t="str">
        <f>IF(ISNUMBER(INDEX(PCDDs!$S$4:$S$166,MATCH($B69,PCDDs!$B$4:$B$166,0))),INDEX(PCDDs!$S$4:$S$166,MATCH($B69,PCDDs!$B$4:$B$166,0)),"---")</f>
        <v>---</v>
      </c>
      <c r="G69" s="37" t="str">
        <f>IF(ISNUMBER(INDEX(PCDDs!$AA$4:$AA$166,MATCH($B69,PCDDs!$B$4:$B$166,0))),INDEX(PCDDs!$AA$4:$AA$166,MATCH($B69,PCDDs!$B$4:$B$166,0)),"---")</f>
        <v>---</v>
      </c>
    </row>
    <row r="70" spans="1:7" x14ac:dyDescent="0.3">
      <c r="A70" s="39"/>
      <c r="B70" s="15" t="s">
        <v>793</v>
      </c>
      <c r="C70" s="15" t="s">
        <v>3234</v>
      </c>
      <c r="D70" s="15" t="str">
        <f>IF(ISNUMBER(INDEX(PCDDs!$G$4:$G$166,MATCH($B70,PCDDs!$B$4:$B$166,0))),INDEX(PCDDs!$G$4:$G$166,MATCH($B70,PCDDs!$B$4:$B$166,0)),"---")</f>
        <v>---</v>
      </c>
      <c r="E70" s="15" t="str">
        <f>IF(ISNUMBER(INDEX(PCDDs!$K$4:$K$166,MATCH($B70,PCDDs!$B$4:$B$166,0))),INDEX(PCDDs!$K$4:$K$166,MATCH($B70,PCDDs!$B$4:$B$166,0)),"---")</f>
        <v>---</v>
      </c>
      <c r="F70" s="15">
        <f>IF(ISNUMBER(INDEX(PCDDs!$S$4:$S$166,MATCH($B70,PCDDs!$B$4:$B$166,0))),INDEX(PCDDs!$S$4:$S$166,MATCH($B70,PCDDs!$B$4:$B$166,0)),"---")</f>
        <v>8.5792014335452E-10</v>
      </c>
      <c r="G70" s="37">
        <f>IF(ISNUMBER(INDEX(PCDDs!$AA$4:$AA$166,MATCH($B70,PCDDs!$B$4:$B$166,0))),INDEX(PCDDs!$AA$4:$AA$166,MATCH($B70,PCDDs!$B$4:$B$166,0)),"---")</f>
        <v>1.2300000000000001E-6</v>
      </c>
    </row>
    <row r="71" spans="1:7" x14ac:dyDescent="0.3">
      <c r="A71" s="39"/>
      <c r="B71" s="15" t="s">
        <v>794</v>
      </c>
      <c r="C71" s="15" t="s">
        <v>2767</v>
      </c>
      <c r="D71" s="15" t="str">
        <f>IF(ISNUMBER(INDEX(PCDDs!$G$4:$G$166,MATCH($B71,PCDDs!$B$4:$B$166,0))),INDEX(PCDDs!$G$4:$G$166,MATCH($B71,PCDDs!$B$4:$B$166,0)),"---")</f>
        <v>---</v>
      </c>
      <c r="E71" s="15">
        <f>IF(ISNUMBER(INDEX(PCDDs!$K$4:$K$166,MATCH($B71,PCDDs!$B$4:$B$166,0))),INDEX(PCDDs!$K$4:$K$166,MATCH($B71,PCDDs!$B$4:$B$166,0)),"---")</f>
        <v>260</v>
      </c>
      <c r="F71" s="15" t="str">
        <f>IF(ISNUMBER(INDEX(PCDDs!$S$4:$S$166,MATCH($B71,PCDDs!$B$4:$B$166,0))),INDEX(PCDDs!$S$4:$S$166,MATCH($B71,PCDDs!$B$4:$B$166,0)),"---")</f>
        <v>---</v>
      </c>
      <c r="G71" s="37">
        <f>IF(ISNUMBER(INDEX(PCDDs!$AA$4:$AA$166,MATCH($B71,PCDDs!$B$4:$B$166,0))),INDEX(PCDDs!$AA$4:$AA$166,MATCH($B71,PCDDs!$B$4:$B$166,0)),"---")</f>
        <v>5.7786034028017483E-6</v>
      </c>
    </row>
    <row r="72" spans="1:7" x14ac:dyDescent="0.3">
      <c r="A72" s="39"/>
      <c r="B72" s="15" t="s">
        <v>795</v>
      </c>
      <c r="C72" s="15" t="s">
        <v>2769</v>
      </c>
      <c r="D72" s="15" t="str">
        <f>IF(ISNUMBER(INDEX(PCDDs!$G$4:$G$166,MATCH($B72,PCDDs!$B$4:$B$166,0))),INDEX(PCDDs!$G$4:$G$166,MATCH($B72,PCDDs!$B$4:$B$166,0)),"---")</f>
        <v>---</v>
      </c>
      <c r="E72" s="15" t="str">
        <f>IF(ISNUMBER(INDEX(PCDDs!$K$4:$K$166,MATCH($B72,PCDDs!$B$4:$B$166,0))),INDEX(PCDDs!$K$4:$K$166,MATCH($B72,PCDDs!$B$4:$B$166,0)),"---")</f>
        <v>---</v>
      </c>
      <c r="F72" s="15" t="str">
        <f>IF(ISNUMBER(INDEX(PCDDs!$S$4:$S$166,MATCH($B72,PCDDs!$B$4:$B$166,0))),INDEX(PCDDs!$S$4:$S$166,MATCH($B72,PCDDs!$B$4:$B$166,0)),"---")</f>
        <v>---</v>
      </c>
      <c r="G72" s="37" t="str">
        <f>IF(ISNUMBER(INDEX(PCDDs!$AA$4:$AA$166,MATCH($B72,PCDDs!$B$4:$B$166,0))),INDEX(PCDDs!$AA$4:$AA$166,MATCH($B72,PCDDs!$B$4:$B$166,0)),"---")</f>
        <v>---</v>
      </c>
    </row>
    <row r="73" spans="1:7" x14ac:dyDescent="0.3">
      <c r="A73" s="39"/>
      <c r="B73" s="15" t="s">
        <v>796</v>
      </c>
      <c r="C73" s="15" t="s">
        <v>3235</v>
      </c>
      <c r="D73" s="15" t="str">
        <f>IF(ISNUMBER(INDEX(PCDDs!$G$4:$G$166,MATCH($B73,PCDDs!$B$4:$B$166,0))),INDEX(PCDDs!$G$4:$G$166,MATCH($B73,PCDDs!$B$4:$B$166,0)),"---")</f>
        <v>---</v>
      </c>
      <c r="E73" s="15" t="str">
        <f>IF(ISNUMBER(INDEX(PCDDs!$K$4:$K$166,MATCH($B73,PCDDs!$B$4:$B$166,0))),INDEX(PCDDs!$K$4:$K$166,MATCH($B73,PCDDs!$B$4:$B$166,0)),"---")</f>
        <v>---</v>
      </c>
      <c r="F73" s="15" t="str">
        <f>IF(ISNUMBER(INDEX(PCDDs!$S$4:$S$166,MATCH($B73,PCDDs!$B$4:$B$166,0))),INDEX(PCDDs!$S$4:$S$166,MATCH($B73,PCDDs!$B$4:$B$166,0)),"---")</f>
        <v>---</v>
      </c>
      <c r="G73" s="37" t="str">
        <f>IF(ISNUMBER(INDEX(PCDDs!$AA$4:$AA$166,MATCH($B73,PCDDs!$B$4:$B$166,0))),INDEX(PCDDs!$AA$4:$AA$166,MATCH($B73,PCDDs!$B$4:$B$166,0)),"---")</f>
        <v>---</v>
      </c>
    </row>
    <row r="74" spans="1:7" x14ac:dyDescent="0.3">
      <c r="A74" s="39"/>
      <c r="B74" s="15" t="s">
        <v>797</v>
      </c>
      <c r="C74" s="40" t="s">
        <v>2905</v>
      </c>
      <c r="D74" s="15" t="str">
        <f>IF(ISNUMBER(INDEX(PCDDs!$G$4:$G$166,MATCH($B74,PCDDs!$B$4:$B$166,0))),INDEX(PCDDs!$G$4:$G$166,MATCH($B74,PCDDs!$B$4:$B$166,0)),"---")</f>
        <v>---</v>
      </c>
      <c r="E74" s="15" t="str">
        <f>IF(ISNUMBER(INDEX(PCDDs!$K$4:$K$166,MATCH($B74,PCDDs!$B$4:$B$166,0))),INDEX(PCDDs!$K$4:$K$166,MATCH($B74,PCDDs!$B$4:$B$166,0)),"---")</f>
        <v>---</v>
      </c>
      <c r="F74" s="15" t="str">
        <f>IF(ISNUMBER(INDEX(PCDDs!$S$4:$S$166,MATCH($B74,PCDDs!$B$4:$B$166,0))),INDEX(PCDDs!$S$4:$S$166,MATCH($B74,PCDDs!$B$4:$B$166,0)),"---")</f>
        <v>---</v>
      </c>
      <c r="G74" s="37" t="str">
        <f>IF(ISNUMBER(INDEX(PCDDs!$AA$4:$AA$166,MATCH($B74,PCDDs!$B$4:$B$166,0))),INDEX(PCDDs!$AA$4:$AA$166,MATCH($B74,PCDDs!$B$4:$B$166,0)),"---")</f>
        <v>---</v>
      </c>
    </row>
    <row r="75" spans="1:7" x14ac:dyDescent="0.3">
      <c r="A75" s="39"/>
      <c r="B75" s="15" t="s">
        <v>798</v>
      </c>
      <c r="C75" s="40" t="s">
        <v>2771</v>
      </c>
      <c r="D75" s="15" t="str">
        <f>IF(ISNUMBER(INDEX(PCDDs!$G$4:$G$166,MATCH($B75,PCDDs!$B$4:$B$166,0))),INDEX(PCDDs!$G$4:$G$166,MATCH($B75,PCDDs!$B$4:$B$166,0)),"---")</f>
        <v>---</v>
      </c>
      <c r="E75" s="15" t="str">
        <f>IF(ISNUMBER(INDEX(PCDDs!$K$4:$K$166,MATCH($B75,PCDDs!$B$4:$B$166,0))),INDEX(PCDDs!$K$4:$K$166,MATCH($B75,PCDDs!$B$4:$B$166,0)),"---")</f>
        <v>---</v>
      </c>
      <c r="F75" s="15" t="str">
        <f>IF(ISNUMBER(INDEX(PCDDs!$S$4:$S$166,MATCH($B75,PCDDs!$B$4:$B$166,0))),INDEX(PCDDs!$S$4:$S$166,MATCH($B75,PCDDs!$B$4:$B$166,0)),"---")</f>
        <v>---</v>
      </c>
      <c r="G75" s="37" t="str">
        <f>IF(ISNUMBER(INDEX(PCDDs!$AA$4:$AA$166,MATCH($B75,PCDDs!$B$4:$B$166,0))),INDEX(PCDDs!$AA$4:$AA$166,MATCH($B75,PCDDs!$B$4:$B$166,0)),"---")</f>
        <v>---</v>
      </c>
    </row>
    <row r="76" spans="1:7" x14ac:dyDescent="0.3">
      <c r="A76" s="39"/>
      <c r="B76" s="15" t="s">
        <v>799</v>
      </c>
      <c r="C76" s="40" t="s">
        <v>2770</v>
      </c>
      <c r="D76" s="15" t="str">
        <f>IF(ISNUMBER(INDEX(PCDDs!$G$4:$G$166,MATCH($B76,PCDDs!$B$4:$B$166,0))),INDEX(PCDDs!$G$4:$G$166,MATCH($B76,PCDDs!$B$4:$B$166,0)),"---")</f>
        <v>---</v>
      </c>
      <c r="E76" s="15" t="str">
        <f>IF(ISNUMBER(INDEX(PCDDs!$K$4:$K$166,MATCH($B76,PCDDs!$B$4:$B$166,0))),INDEX(PCDDs!$K$4:$K$166,MATCH($B76,PCDDs!$B$4:$B$166,0)),"---")</f>
        <v>---</v>
      </c>
      <c r="F76" s="15" t="str">
        <f>IF(ISNUMBER(INDEX(PCDDs!$S$4:$S$166,MATCH($B76,PCDDs!$B$4:$B$166,0))),INDEX(PCDDs!$S$4:$S$166,MATCH($B76,PCDDs!$B$4:$B$166,0)),"---")</f>
        <v>---</v>
      </c>
      <c r="G76" s="37" t="str">
        <f>IF(ISNUMBER(INDEX(PCDDs!$AA$4:$AA$166,MATCH($B76,PCDDs!$B$4:$B$166,0))),INDEX(PCDDs!$AA$4:$AA$166,MATCH($B76,PCDDs!$B$4:$B$166,0)),"---")</f>
        <v>---</v>
      </c>
    </row>
    <row r="77" spans="1:7" x14ac:dyDescent="0.3">
      <c r="A77" s="39"/>
      <c r="B77" s="15" t="s">
        <v>800</v>
      </c>
      <c r="C77" s="40" t="s">
        <v>2765</v>
      </c>
      <c r="D77" s="15" t="str">
        <f>IF(ISNUMBER(INDEX(PCDDs!$G$4:$G$166,MATCH($B77,PCDDs!$B$4:$B$166,0))),INDEX(PCDDs!$G$4:$G$166,MATCH($B77,PCDDs!$B$4:$B$166,0)),"---")</f>
        <v>---</v>
      </c>
      <c r="E77" s="15" t="str">
        <f>IF(ISNUMBER(INDEX(PCDDs!$K$4:$K$166,MATCH($B77,PCDDs!$B$4:$B$166,0))),INDEX(PCDDs!$K$4:$K$166,MATCH($B77,PCDDs!$B$4:$B$166,0)),"---")</f>
        <v>---</v>
      </c>
      <c r="F77" s="15" t="str">
        <f>IF(ISNUMBER(INDEX(PCDDs!$S$4:$S$166,MATCH($B77,PCDDs!$B$4:$B$166,0))),INDEX(PCDDs!$S$4:$S$166,MATCH($B77,PCDDs!$B$4:$B$166,0)),"---")</f>
        <v>---</v>
      </c>
      <c r="G77" s="37" t="str">
        <f>IF(ISNUMBER(INDEX(PCDDs!$AA$4:$AA$166,MATCH($B77,PCDDs!$B$4:$B$166,0))),INDEX(PCDDs!$AA$4:$AA$166,MATCH($B77,PCDDs!$B$4:$B$166,0)),"---")</f>
        <v>---</v>
      </c>
    </row>
    <row r="78" spans="1:7" x14ac:dyDescent="0.3">
      <c r="A78" s="39"/>
      <c r="B78" s="15" t="s">
        <v>801</v>
      </c>
      <c r="C78" s="410" t="s">
        <v>805</v>
      </c>
      <c r="D78" s="15" t="str">
        <f>IF(ISNUMBER(INDEX(PCDDs!$G$4:$G$166,MATCH($B78,PCDDs!$B$4:$B$166,0))),INDEX(PCDDs!$G$4:$G$166,MATCH($B78,PCDDs!$B$4:$B$166,0)),"---")</f>
        <v>---</v>
      </c>
      <c r="E78" s="15">
        <f>IF(ISNUMBER(INDEX(PCDDs!$K$4:$K$166,MATCH($B78,PCDDs!$B$4:$B$166,0))),INDEX(PCDDs!$K$4:$K$166,MATCH($B78,PCDDs!$B$4:$B$166,0)),"---")</f>
        <v>264.5</v>
      </c>
      <c r="F78" s="15" t="str">
        <f>IF(ISNUMBER(INDEX(PCDDs!$S$4:$S$166,MATCH($B78,PCDDs!$B$4:$B$166,0))),INDEX(PCDDs!$S$4:$S$166,MATCH($B78,PCDDs!$B$4:$B$166,0)),"---")</f>
        <v>---</v>
      </c>
      <c r="G78" s="37">
        <f>IF(ISNUMBER(INDEX(PCDDs!$AA$4:$AA$166,MATCH($B78,PCDDs!$B$4:$B$166,0))),INDEX(PCDDs!$AA$4:$AA$166,MATCH($B78,PCDDs!$B$4:$B$166,0)),"---")</f>
        <v>2.4753166366478506E-6</v>
      </c>
    </row>
    <row r="79" spans="1:7" x14ac:dyDescent="0.3">
      <c r="A79" s="39"/>
      <c r="B79" s="15" t="s">
        <v>802</v>
      </c>
      <c r="C79" s="410" t="s">
        <v>806</v>
      </c>
      <c r="D79" s="15" t="str">
        <f>IF(ISNUMBER(INDEX(PCDDs!$G$4:$G$166,MATCH($B79,PCDDs!$B$4:$B$166,0))),INDEX(PCDDs!$G$4:$G$166,MATCH($B79,PCDDs!$B$4:$B$166,0)),"---")</f>
        <v>---</v>
      </c>
      <c r="E79" s="15" t="str">
        <f>IF(ISNUMBER(INDEX(PCDDs!$K$4:$K$166,MATCH($B79,PCDDs!$B$4:$B$166,0))),INDEX(PCDDs!$K$4:$K$166,MATCH($B79,PCDDs!$B$4:$B$166,0)),"---")</f>
        <v>---</v>
      </c>
      <c r="F79" s="15">
        <f>IF(ISNUMBER(INDEX(PCDDs!$S$4:$S$166,MATCH($B79,PCDDs!$B$4:$B$166,0))),INDEX(PCDDs!$S$4:$S$166,MATCH($B79,PCDDs!$B$4:$B$166,0)),"---")</f>
        <v>3.0761136524152322E-11</v>
      </c>
      <c r="G79" s="37" t="str">
        <f>IF(ISNUMBER(INDEX(PCDDs!$AA$4:$AA$166,MATCH($B79,PCDDs!$B$4:$B$166,0))),INDEX(PCDDs!$AA$4:$AA$166,MATCH($B79,PCDDs!$B$4:$B$166,0)),"---")</f>
        <v>---</v>
      </c>
    </row>
    <row r="80" spans="1:7" ht="15" thickBot="1" x14ac:dyDescent="0.35">
      <c r="A80" s="42"/>
      <c r="B80" s="28" t="s">
        <v>803</v>
      </c>
      <c r="C80" s="411" t="s">
        <v>804</v>
      </c>
      <c r="D80" s="28" t="str">
        <f>IF(ISNUMBER(INDEX(PCDDs!$G$4:$G$166,MATCH($B80,PCDDs!$B$4:$B$166,0))),INDEX(PCDDs!$G$4:$G$166,MATCH($B80,PCDDs!$B$4:$B$166,0)),"---")</f>
        <v>---</v>
      </c>
      <c r="E80" s="28">
        <f>IF(ISNUMBER(INDEX(PCDDs!$K$4:$K$166,MATCH($B80,PCDDs!$B$4:$B$166,0))),INDEX(PCDDs!$K$4:$K$166,MATCH($B80,PCDDs!$B$4:$B$166,0)),"---")</f>
        <v>325.5</v>
      </c>
      <c r="F80" s="28">
        <f>IF(ISNUMBER(INDEX(PCDDs!$S$4:$S$166,MATCH($B80,PCDDs!$B$4:$B$166,0))),INDEX(PCDDs!$S$4:$S$166,MATCH($B80,PCDDs!$B$4:$B$166,0)),"---")</f>
        <v>1.5018489800093229E-12</v>
      </c>
      <c r="G80" s="56">
        <f>IF(ISNUMBER(INDEX(PCDDs!$AA$4:$AA$166,MATCH($B80,PCDDs!$B$4:$B$166,0))),INDEX(PCDDs!$AA$4:$AA$166,MATCH($B80,PCDDs!$B$4:$B$166,0)),"---")</f>
        <v>1.9399999999999999E-7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Key</vt:lpstr>
      <vt:lpstr>Name-to-SMILES</vt:lpstr>
      <vt:lpstr>PCBs</vt:lpstr>
      <vt:lpstr>PBDEs</vt:lpstr>
      <vt:lpstr>PCDDs</vt:lpstr>
      <vt:lpstr>PAHs</vt:lpstr>
      <vt:lpstr>PCBs_selected</vt:lpstr>
      <vt:lpstr>PBDEs_selected</vt:lpstr>
      <vt:lpstr>PCDDs_selected</vt:lpstr>
      <vt:lpstr>PAHs_selected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Caroline</dc:creator>
  <cp:lastModifiedBy>Stevens, Caroline</cp:lastModifiedBy>
  <dcterms:created xsi:type="dcterms:W3CDTF">2015-07-07T14:00:37Z</dcterms:created>
  <dcterms:modified xsi:type="dcterms:W3CDTF">2017-12-08T15:49:51Z</dcterms:modified>
</cp:coreProperties>
</file>