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defaultThemeVersion="124226"/>
  <bookViews>
    <workbookView xWindow="0" yWindow="0" windowWidth="20490" windowHeight="7530"/>
  </bookViews>
  <sheets>
    <sheet name="Figure 1" sheetId="1" r:id="rId1"/>
    <sheet name="Figure 2" sheetId="3" r:id="rId2"/>
    <sheet name="Figure 3" sheetId="9" r:id="rId3"/>
    <sheet name="Figure 4" sheetId="4" r:id="rId4"/>
    <sheet name="Figure 5" sheetId="5" r:id="rId5"/>
  </sheets>
  <calcPr calcId="171027"/>
</workbook>
</file>

<file path=xl/calcChain.xml><?xml version="1.0" encoding="utf-8"?>
<calcChain xmlns="http://schemas.openxmlformats.org/spreadsheetml/2006/main">
  <c r="C13" i="3" l="1"/>
  <c r="C12" i="3"/>
  <c r="E39" i="9"/>
  <c r="E36" i="9" l="1"/>
  <c r="F38" i="9" l="1"/>
  <c r="E38" i="9" s="1"/>
  <c r="D28" i="9"/>
  <c r="F28" i="9" s="1"/>
  <c r="D22" i="9"/>
  <c r="D27" i="9"/>
  <c r="F27" i="9"/>
  <c r="D21" i="9"/>
  <c r="F21" i="9"/>
  <c r="F22" i="9" l="1"/>
  <c r="C29" i="1" l="1"/>
  <c r="P10" i="1" l="1"/>
  <c r="P29" i="1" s="1"/>
  <c r="O10" i="1"/>
  <c r="O29" i="1" s="1"/>
  <c r="N10" i="1"/>
  <c r="N29" i="1" s="1"/>
  <c r="M10" i="1"/>
  <c r="M29" i="1" s="1"/>
  <c r="L10" i="1"/>
  <c r="L29" i="1" s="1"/>
  <c r="K10" i="1"/>
  <c r="K29" i="1" s="1"/>
  <c r="J10" i="1"/>
  <c r="J29" i="1" s="1"/>
  <c r="I10" i="1"/>
  <c r="I29" i="1" s="1"/>
  <c r="H10" i="1"/>
  <c r="G10" i="1"/>
  <c r="G29" i="1" s="1"/>
  <c r="F10" i="1"/>
  <c r="F29" i="1" s="1"/>
  <c r="E10" i="1"/>
  <c r="E29" i="1" s="1"/>
  <c r="D10" i="1"/>
  <c r="D29" i="1" s="1"/>
  <c r="D53" i="5" l="1"/>
  <c r="E53" i="5"/>
  <c r="E22" i="5"/>
  <c r="D22" i="5"/>
  <c r="B18" i="4" l="1"/>
  <c r="C19" i="4"/>
  <c r="D19" i="4"/>
  <c r="E19" i="4"/>
  <c r="F19" i="4"/>
  <c r="G19" i="4"/>
  <c r="H19" i="4"/>
  <c r="I19" i="4"/>
  <c r="J19" i="4"/>
  <c r="K19" i="4"/>
  <c r="L19" i="4"/>
  <c r="M19" i="4"/>
  <c r="B19" i="4"/>
  <c r="C18" i="4"/>
  <c r="D18" i="4"/>
  <c r="E18" i="4"/>
  <c r="G18" i="4"/>
  <c r="H18" i="4"/>
  <c r="I18" i="4"/>
  <c r="J18" i="4"/>
  <c r="K18" i="4"/>
  <c r="L18" i="4"/>
  <c r="M18" i="4"/>
  <c r="C17" i="4"/>
  <c r="D17" i="4"/>
  <c r="E17" i="4"/>
  <c r="F17" i="4"/>
  <c r="G17" i="4"/>
  <c r="H17" i="4"/>
  <c r="I17" i="4"/>
  <c r="J17" i="4"/>
  <c r="K17" i="4"/>
  <c r="L17" i="4"/>
  <c r="M17" i="4"/>
  <c r="B17" i="4"/>
  <c r="C16" i="4"/>
  <c r="D16" i="4"/>
  <c r="E16" i="4"/>
  <c r="F16" i="4"/>
  <c r="G16" i="4"/>
  <c r="H16" i="4"/>
  <c r="H20" i="4" s="1"/>
  <c r="I16" i="4"/>
  <c r="J16" i="4"/>
  <c r="K16" i="4"/>
  <c r="L16" i="4"/>
  <c r="M16" i="4"/>
  <c r="B16" i="4"/>
  <c r="B20" i="4" s="1"/>
  <c r="H11" i="4" l="1"/>
  <c r="H12" i="4"/>
  <c r="B11" i="4"/>
  <c r="L20" i="4"/>
  <c r="J20" i="4"/>
  <c r="F20" i="4"/>
  <c r="D20" i="4"/>
  <c r="M20" i="4"/>
  <c r="K20" i="4"/>
  <c r="I20" i="4"/>
  <c r="G20" i="4"/>
  <c r="G11" i="4" s="1"/>
  <c r="E20" i="4"/>
  <c r="C20" i="4"/>
  <c r="D13" i="3"/>
  <c r="E13" i="3"/>
  <c r="F13" i="3"/>
  <c r="G13" i="3"/>
  <c r="H13" i="3"/>
  <c r="I13" i="3"/>
  <c r="J13" i="3"/>
  <c r="K13" i="3"/>
  <c r="L13" i="3"/>
  <c r="M13" i="3"/>
  <c r="N13" i="3"/>
  <c r="O13" i="3"/>
  <c r="D12" i="3"/>
  <c r="E12" i="3"/>
  <c r="F12" i="3"/>
  <c r="G12" i="3"/>
  <c r="H12" i="3"/>
  <c r="I12" i="3"/>
  <c r="J12" i="3"/>
  <c r="K12" i="3"/>
  <c r="L12" i="3"/>
  <c r="M12" i="3"/>
  <c r="N12" i="3"/>
  <c r="O12" i="3"/>
  <c r="B12" i="4" l="1"/>
  <c r="G12" i="4"/>
  <c r="K12" i="4"/>
  <c r="K11" i="4"/>
  <c r="I12" i="4"/>
  <c r="I11" i="4"/>
  <c r="M12" i="4"/>
  <c r="M11" i="4"/>
  <c r="J11" i="4"/>
  <c r="J12" i="4"/>
  <c r="L11" i="4"/>
  <c r="L12" i="4"/>
  <c r="C12" i="4"/>
  <c r="C11" i="4"/>
  <c r="E12" i="4"/>
  <c r="E11" i="4"/>
  <c r="D12" i="4"/>
  <c r="D11" i="4"/>
  <c r="F12" i="4"/>
  <c r="F11" i="4"/>
  <c r="H9" i="1" l="1"/>
  <c r="H29" i="1" l="1"/>
  <c r="F18" i="4"/>
  <c r="D28" i="1" l="1"/>
  <c r="F33" i="9" s="1"/>
  <c r="E28" i="1"/>
  <c r="F28" i="1"/>
  <c r="G28" i="1"/>
  <c r="E15" i="4" s="1"/>
  <c r="H28" i="1"/>
  <c r="I28" i="1"/>
  <c r="G15" i="4" s="1"/>
  <c r="J28" i="1"/>
  <c r="K28" i="1"/>
  <c r="I15" i="4" s="1"/>
  <c r="L28" i="1"/>
  <c r="J15" i="4" s="1"/>
  <c r="M28" i="1"/>
  <c r="K15" i="4" s="1"/>
  <c r="N28" i="1"/>
  <c r="L15" i="4" s="1"/>
  <c r="O28" i="1"/>
  <c r="M15" i="4" s="1"/>
  <c r="P28" i="1"/>
  <c r="P35" i="1" s="1"/>
  <c r="C28" i="1"/>
  <c r="C42" i="1" l="1"/>
  <c r="C61" i="1" s="1"/>
  <c r="C34" i="1"/>
  <c r="D15" i="4"/>
  <c r="D22" i="4" s="1"/>
  <c r="F35" i="9"/>
  <c r="E35" i="9" s="1"/>
  <c r="C15" i="4"/>
  <c r="C21" i="4" s="1"/>
  <c r="F34" i="9"/>
  <c r="E34" i="9" s="1"/>
  <c r="B15" i="4"/>
  <c r="B21" i="4" s="1"/>
  <c r="B24" i="4" s="1"/>
  <c r="B31" i="4" s="1"/>
  <c r="E33" i="9"/>
  <c r="M21" i="4"/>
  <c r="M22" i="4"/>
  <c r="K21" i="4"/>
  <c r="K22" i="4"/>
  <c r="I21" i="4"/>
  <c r="I22" i="4"/>
  <c r="G21" i="4"/>
  <c r="G22" i="4"/>
  <c r="E21" i="4"/>
  <c r="E22" i="4"/>
  <c r="C22" i="4"/>
  <c r="D34" i="1"/>
  <c r="L34" i="1"/>
  <c r="P34" i="1"/>
  <c r="N55" i="1"/>
  <c r="N65" i="1" s="1"/>
  <c r="F55" i="1"/>
  <c r="F65" i="1" s="1"/>
  <c r="P53" i="1"/>
  <c r="L53" i="1"/>
  <c r="D53" i="1"/>
  <c r="N51" i="1"/>
  <c r="F51" i="1"/>
  <c r="P49" i="1"/>
  <c r="L49" i="1"/>
  <c r="P48" i="1"/>
  <c r="D48" i="1"/>
  <c r="F46" i="1"/>
  <c r="L44" i="1"/>
  <c r="L63" i="1" s="1"/>
  <c r="N41" i="1"/>
  <c r="P39" i="1"/>
  <c r="D39" i="1"/>
  <c r="F37" i="1"/>
  <c r="L35" i="1"/>
  <c r="L21" i="4"/>
  <c r="L22" i="4"/>
  <c r="J22" i="4"/>
  <c r="J21" i="4"/>
  <c r="J34" i="1"/>
  <c r="H15" i="4"/>
  <c r="H35" i="1"/>
  <c r="F15" i="4"/>
  <c r="F34" i="1"/>
  <c r="N34" i="1"/>
  <c r="P55" i="1"/>
  <c r="P65" i="1" s="1"/>
  <c r="L55" i="1"/>
  <c r="L65" i="1" s="1"/>
  <c r="D55" i="1"/>
  <c r="D65" i="1" s="1"/>
  <c r="N53" i="1"/>
  <c r="F53" i="1"/>
  <c r="P51" i="1"/>
  <c r="L51" i="1"/>
  <c r="D51" i="1"/>
  <c r="N49" i="1"/>
  <c r="F49" i="1"/>
  <c r="L48" i="1"/>
  <c r="N46" i="1"/>
  <c r="P44" i="1"/>
  <c r="P63" i="1" s="1"/>
  <c r="D44" i="1"/>
  <c r="D63" i="1" s="1"/>
  <c r="F41" i="1"/>
  <c r="L39" i="1"/>
  <c r="N37" i="1"/>
  <c r="D35" i="1"/>
  <c r="J55" i="1"/>
  <c r="J65" i="1" s="1"/>
  <c r="J53" i="1"/>
  <c r="J51" i="1"/>
  <c r="J49" i="1"/>
  <c r="J46" i="1"/>
  <c r="J41" i="1"/>
  <c r="J37" i="1"/>
  <c r="H53" i="1"/>
  <c r="H39" i="1"/>
  <c r="H34" i="1"/>
  <c r="H49" i="1"/>
  <c r="H48" i="1"/>
  <c r="H55" i="1"/>
  <c r="H65" i="1" s="1"/>
  <c r="H51" i="1"/>
  <c r="H44" i="1"/>
  <c r="H63" i="1" s="1"/>
  <c r="O42" i="1"/>
  <c r="O61" i="1" s="1"/>
  <c r="O35" i="1"/>
  <c r="O37" i="1"/>
  <c r="O39" i="1"/>
  <c r="O41" i="1"/>
  <c r="O44" i="1"/>
  <c r="O63" i="1" s="1"/>
  <c r="O46" i="1"/>
  <c r="O48" i="1"/>
  <c r="M42" i="1"/>
  <c r="M61" i="1" s="1"/>
  <c r="M35" i="1"/>
  <c r="M37" i="1"/>
  <c r="M39" i="1"/>
  <c r="M41" i="1"/>
  <c r="M44" i="1"/>
  <c r="M63" i="1" s="1"/>
  <c r="M46" i="1"/>
  <c r="M48" i="1"/>
  <c r="K42" i="1"/>
  <c r="K61" i="1" s="1"/>
  <c r="K35" i="1"/>
  <c r="K37" i="1"/>
  <c r="K39" i="1"/>
  <c r="K41" i="1"/>
  <c r="K44" i="1"/>
  <c r="K63" i="1" s="1"/>
  <c r="K46" i="1"/>
  <c r="K48" i="1"/>
  <c r="I42" i="1"/>
  <c r="I61" i="1" s="1"/>
  <c r="I35" i="1"/>
  <c r="I37" i="1"/>
  <c r="I39" i="1"/>
  <c r="I41" i="1"/>
  <c r="I44" i="1"/>
  <c r="I63" i="1" s="1"/>
  <c r="I46" i="1"/>
  <c r="I48" i="1"/>
  <c r="G42" i="1"/>
  <c r="G61" i="1" s="1"/>
  <c r="G35" i="1"/>
  <c r="G37" i="1"/>
  <c r="G39" i="1"/>
  <c r="G41" i="1"/>
  <c r="G44" i="1"/>
  <c r="G63" i="1" s="1"/>
  <c r="G46" i="1"/>
  <c r="G48" i="1"/>
  <c r="E42" i="1"/>
  <c r="E61" i="1" s="1"/>
  <c r="E35" i="1"/>
  <c r="E37" i="1"/>
  <c r="E39" i="1"/>
  <c r="E41" i="1"/>
  <c r="E44" i="1"/>
  <c r="E63" i="1" s="1"/>
  <c r="E46" i="1"/>
  <c r="E48" i="1"/>
  <c r="C55" i="1"/>
  <c r="C65" i="1" s="1"/>
  <c r="C53" i="1"/>
  <c r="C51" i="1"/>
  <c r="C49" i="1"/>
  <c r="C47" i="1"/>
  <c r="C45" i="1"/>
  <c r="C43" i="1"/>
  <c r="C62" i="1" s="1"/>
  <c r="C40" i="1"/>
  <c r="C38" i="1"/>
  <c r="C36" i="1"/>
  <c r="O56" i="1"/>
  <c r="M56" i="1"/>
  <c r="K56" i="1"/>
  <c r="I56" i="1"/>
  <c r="G56" i="1"/>
  <c r="E56" i="1"/>
  <c r="O54" i="1"/>
  <c r="M54" i="1"/>
  <c r="K54" i="1"/>
  <c r="I54" i="1"/>
  <c r="G54" i="1"/>
  <c r="E54" i="1"/>
  <c r="O52" i="1"/>
  <c r="M52" i="1"/>
  <c r="K52" i="1"/>
  <c r="I52" i="1"/>
  <c r="G52" i="1"/>
  <c r="E52" i="1"/>
  <c r="O50" i="1"/>
  <c r="M50" i="1"/>
  <c r="K50" i="1"/>
  <c r="I50" i="1"/>
  <c r="G50" i="1"/>
  <c r="E50" i="1"/>
  <c r="M47" i="1"/>
  <c r="I47" i="1"/>
  <c r="E47" i="1"/>
  <c r="O45" i="1"/>
  <c r="K45" i="1"/>
  <c r="G45" i="1"/>
  <c r="M43" i="1"/>
  <c r="M62" i="1" s="1"/>
  <c r="I43" i="1"/>
  <c r="I62" i="1" s="1"/>
  <c r="E43" i="1"/>
  <c r="E62" i="1" s="1"/>
  <c r="O40" i="1"/>
  <c r="K40" i="1"/>
  <c r="G40" i="1"/>
  <c r="M38" i="1"/>
  <c r="I38" i="1"/>
  <c r="E38" i="1"/>
  <c r="O36" i="1"/>
  <c r="K36" i="1"/>
  <c r="G36" i="1"/>
  <c r="P42" i="1"/>
  <c r="P61" i="1" s="1"/>
  <c r="P36" i="1"/>
  <c r="P38" i="1"/>
  <c r="P40" i="1"/>
  <c r="P43" i="1"/>
  <c r="P62" i="1" s="1"/>
  <c r="P45" i="1"/>
  <c r="P47" i="1"/>
  <c r="N42" i="1"/>
  <c r="N61" i="1" s="1"/>
  <c r="N36" i="1"/>
  <c r="N38" i="1"/>
  <c r="N40" i="1"/>
  <c r="N43" i="1"/>
  <c r="N62" i="1" s="1"/>
  <c r="N45" i="1"/>
  <c r="N64" i="1" s="1"/>
  <c r="N47" i="1"/>
  <c r="L42" i="1"/>
  <c r="L61" i="1" s="1"/>
  <c r="L36" i="1"/>
  <c r="L38" i="1"/>
  <c r="L40" i="1"/>
  <c r="L43" i="1"/>
  <c r="L62" i="1" s="1"/>
  <c r="L45" i="1"/>
  <c r="L47" i="1"/>
  <c r="J42" i="1"/>
  <c r="J61" i="1" s="1"/>
  <c r="J36" i="1"/>
  <c r="J38" i="1"/>
  <c r="J40" i="1"/>
  <c r="J43" i="1"/>
  <c r="J62" i="1" s="1"/>
  <c r="J45" i="1"/>
  <c r="J47" i="1"/>
  <c r="H42" i="1"/>
  <c r="H61" i="1" s="1"/>
  <c r="H36" i="1"/>
  <c r="H38" i="1"/>
  <c r="H40" i="1"/>
  <c r="H43" i="1"/>
  <c r="H62" i="1" s="1"/>
  <c r="H45" i="1"/>
  <c r="H47" i="1"/>
  <c r="F42" i="1"/>
  <c r="F61" i="1" s="1"/>
  <c r="F36" i="1"/>
  <c r="F38" i="1"/>
  <c r="F40" i="1"/>
  <c r="F43" i="1"/>
  <c r="F62" i="1" s="1"/>
  <c r="F45" i="1"/>
  <c r="F64" i="1" s="1"/>
  <c r="F47" i="1"/>
  <c r="D42" i="1"/>
  <c r="D61" i="1" s="1"/>
  <c r="D36" i="1"/>
  <c r="D38" i="1"/>
  <c r="D40" i="1"/>
  <c r="D43" i="1"/>
  <c r="D62" i="1" s="1"/>
  <c r="D45" i="1"/>
  <c r="D47" i="1"/>
  <c r="D49" i="1"/>
  <c r="C56" i="1"/>
  <c r="C54" i="1"/>
  <c r="C52" i="1"/>
  <c r="C50" i="1"/>
  <c r="C48" i="1"/>
  <c r="C46" i="1"/>
  <c r="C44" i="1"/>
  <c r="C63" i="1" s="1"/>
  <c r="C41" i="1"/>
  <c r="C39" i="1"/>
  <c r="C37" i="1"/>
  <c r="C35" i="1"/>
  <c r="E34" i="1"/>
  <c r="G34" i="1"/>
  <c r="I34" i="1"/>
  <c r="K34" i="1"/>
  <c r="K60" i="1" s="1"/>
  <c r="M34" i="1"/>
  <c r="O34" i="1"/>
  <c r="P56" i="1"/>
  <c r="N56" i="1"/>
  <c r="L56" i="1"/>
  <c r="J56" i="1"/>
  <c r="H56" i="1"/>
  <c r="F56" i="1"/>
  <c r="D56" i="1"/>
  <c r="O55" i="1"/>
  <c r="O65" i="1" s="1"/>
  <c r="M55" i="1"/>
  <c r="M65" i="1" s="1"/>
  <c r="K55" i="1"/>
  <c r="K65" i="1" s="1"/>
  <c r="I55" i="1"/>
  <c r="I65" i="1" s="1"/>
  <c r="G55" i="1"/>
  <c r="G65" i="1" s="1"/>
  <c r="E55" i="1"/>
  <c r="E65" i="1" s="1"/>
  <c r="P54" i="1"/>
  <c r="N54" i="1"/>
  <c r="L54" i="1"/>
  <c r="J54" i="1"/>
  <c r="H54" i="1"/>
  <c r="F54" i="1"/>
  <c r="D54" i="1"/>
  <c r="O53" i="1"/>
  <c r="M53" i="1"/>
  <c r="K53" i="1"/>
  <c r="I53" i="1"/>
  <c r="G53" i="1"/>
  <c r="E53" i="1"/>
  <c r="P52" i="1"/>
  <c r="N52" i="1"/>
  <c r="L52" i="1"/>
  <c r="J52" i="1"/>
  <c r="H52" i="1"/>
  <c r="F52" i="1"/>
  <c r="D52" i="1"/>
  <c r="O51" i="1"/>
  <c r="M51" i="1"/>
  <c r="K51" i="1"/>
  <c r="I51" i="1"/>
  <c r="G51" i="1"/>
  <c r="E51" i="1"/>
  <c r="P50" i="1"/>
  <c r="N50" i="1"/>
  <c r="L50" i="1"/>
  <c r="J50" i="1"/>
  <c r="H50" i="1"/>
  <c r="F50" i="1"/>
  <c r="D50" i="1"/>
  <c r="O49" i="1"/>
  <c r="M49" i="1"/>
  <c r="K49" i="1"/>
  <c r="I49" i="1"/>
  <c r="G49" i="1"/>
  <c r="E49" i="1"/>
  <c r="N48" i="1"/>
  <c r="J48" i="1"/>
  <c r="F48" i="1"/>
  <c r="O47" i="1"/>
  <c r="K47" i="1"/>
  <c r="G47" i="1"/>
  <c r="P46" i="1"/>
  <c r="L46" i="1"/>
  <c r="H46" i="1"/>
  <c r="D46" i="1"/>
  <c r="M45" i="1"/>
  <c r="I45" i="1"/>
  <c r="E45" i="1"/>
  <c r="N44" i="1"/>
  <c r="J44" i="1"/>
  <c r="J63" i="1" s="1"/>
  <c r="F44" i="1"/>
  <c r="O43" i="1"/>
  <c r="O62" i="1" s="1"/>
  <c r="K43" i="1"/>
  <c r="K62" i="1" s="1"/>
  <c r="G43" i="1"/>
  <c r="G62" i="1" s="1"/>
  <c r="P41" i="1"/>
  <c r="L41" i="1"/>
  <c r="H41" i="1"/>
  <c r="D41" i="1"/>
  <c r="M40" i="1"/>
  <c r="I40" i="1"/>
  <c r="E40" i="1"/>
  <c r="N39" i="1"/>
  <c r="J39" i="1"/>
  <c r="F39" i="1"/>
  <c r="O38" i="1"/>
  <c r="K38" i="1"/>
  <c r="G38" i="1"/>
  <c r="P37" i="1"/>
  <c r="L37" i="1"/>
  <c r="H37" i="1"/>
  <c r="D37" i="1"/>
  <c r="M36" i="1"/>
  <c r="I36" i="1"/>
  <c r="E36" i="1"/>
  <c r="N35" i="1"/>
  <c r="J35" i="1"/>
  <c r="F35" i="1"/>
  <c r="D30" i="5" l="1"/>
  <c r="E30" i="5" s="1"/>
  <c r="B22" i="4"/>
  <c r="D21" i="4"/>
  <c r="C60" i="1"/>
  <c r="F60" i="1"/>
  <c r="D25" i="5" s="1"/>
  <c r="E25" i="5" s="1"/>
  <c r="J60" i="1"/>
  <c r="D29" i="5" s="1"/>
  <c r="L60" i="1"/>
  <c r="D31" i="5" s="1"/>
  <c r="E31" i="5" s="1"/>
  <c r="N63" i="1"/>
  <c r="E64" i="1"/>
  <c r="I60" i="1"/>
  <c r="D28" i="5" s="1"/>
  <c r="E28" i="5" s="1"/>
  <c r="D64" i="1"/>
  <c r="L64" i="1"/>
  <c r="G64" i="1"/>
  <c r="D60" i="1"/>
  <c r="D23" i="5" s="1"/>
  <c r="I64" i="1"/>
  <c r="O60" i="1"/>
  <c r="D34" i="5" s="1"/>
  <c r="E34" i="5" s="1"/>
  <c r="F44" i="9" s="1"/>
  <c r="E44" i="9" s="1"/>
  <c r="G60" i="1"/>
  <c r="D26" i="5" s="1"/>
  <c r="E26" i="5" s="1"/>
  <c r="J64" i="1"/>
  <c r="K64" i="1"/>
  <c r="J43" i="5"/>
  <c r="F63" i="1"/>
  <c r="F37" i="9"/>
  <c r="E37" i="9" s="1"/>
  <c r="M64" i="1"/>
  <c r="M60" i="1"/>
  <c r="D32" i="5" s="1"/>
  <c r="E32" i="5" s="1"/>
  <c r="E60" i="1"/>
  <c r="D24" i="5" s="1"/>
  <c r="E24" i="5" s="1"/>
  <c r="H64" i="1"/>
  <c r="P64" i="1"/>
  <c r="O64" i="1"/>
  <c r="C64" i="1"/>
  <c r="H60" i="1"/>
  <c r="D27" i="5" s="1"/>
  <c r="E27" i="5" s="1"/>
  <c r="N60" i="1"/>
  <c r="D33" i="5" s="1"/>
  <c r="E33" i="5" s="1"/>
  <c r="K51" i="5" s="1"/>
  <c r="P60" i="1"/>
  <c r="D35" i="5" s="1"/>
  <c r="E35" i="5" s="1"/>
  <c r="K43" i="5"/>
  <c r="B27" i="4"/>
  <c r="B34" i="4" s="1"/>
  <c r="B26" i="4"/>
  <c r="B33" i="4" s="1"/>
  <c r="D25" i="4"/>
  <c r="D32" i="4" s="1"/>
  <c r="D24" i="4"/>
  <c r="D31" i="4" s="1"/>
  <c r="J26" i="4"/>
  <c r="J33" i="4" s="1"/>
  <c r="J27" i="4"/>
  <c r="J34" i="4" s="1"/>
  <c r="L25" i="4"/>
  <c r="L32" i="4" s="1"/>
  <c r="L24" i="4"/>
  <c r="L31" i="4" s="1"/>
  <c r="C27" i="4"/>
  <c r="C34" i="4" s="1"/>
  <c r="C26" i="4"/>
  <c r="C33" i="4" s="1"/>
  <c r="E26" i="4"/>
  <c r="E33" i="4" s="1"/>
  <c r="E27" i="4"/>
  <c r="E34" i="4" s="1"/>
  <c r="G27" i="4"/>
  <c r="G34" i="4" s="1"/>
  <c r="G26" i="4"/>
  <c r="G33" i="4" s="1"/>
  <c r="I27" i="4"/>
  <c r="I34" i="4" s="1"/>
  <c r="I26" i="4"/>
  <c r="I33" i="4" s="1"/>
  <c r="K27" i="4"/>
  <c r="K34" i="4" s="1"/>
  <c r="K26" i="4"/>
  <c r="K33" i="4" s="1"/>
  <c r="M27" i="4"/>
  <c r="M34" i="4" s="1"/>
  <c r="M26" i="4"/>
  <c r="M33" i="4" s="1"/>
  <c r="B25" i="4"/>
  <c r="B32" i="4" s="1"/>
  <c r="D27" i="4"/>
  <c r="D34" i="4" s="1"/>
  <c r="D26" i="4"/>
  <c r="D33" i="4" s="1"/>
  <c r="F22" i="4"/>
  <c r="F21" i="4"/>
  <c r="H22" i="4"/>
  <c r="H21" i="4"/>
  <c r="J25" i="4"/>
  <c r="J32" i="4" s="1"/>
  <c r="J24" i="4"/>
  <c r="J31" i="4" s="1"/>
  <c r="L26" i="4"/>
  <c r="L33" i="4" s="1"/>
  <c r="L27" i="4"/>
  <c r="L34" i="4" s="1"/>
  <c r="D41" i="5"/>
  <c r="C24" i="4"/>
  <c r="C31" i="4" s="1"/>
  <c r="C25" i="4"/>
  <c r="C32" i="4" s="1"/>
  <c r="E24" i="4"/>
  <c r="E31" i="4" s="1"/>
  <c r="E25" i="4"/>
  <c r="E32" i="4" s="1"/>
  <c r="G24" i="4"/>
  <c r="G31" i="4" s="1"/>
  <c r="G25" i="4"/>
  <c r="G32" i="4" s="1"/>
  <c r="I24" i="4"/>
  <c r="I31" i="4" s="1"/>
  <c r="I25" i="4"/>
  <c r="I32" i="4" s="1"/>
  <c r="K24" i="4"/>
  <c r="K31" i="4" s="1"/>
  <c r="K25" i="4"/>
  <c r="K32" i="4" s="1"/>
  <c r="M24" i="4"/>
  <c r="M31" i="4" s="1"/>
  <c r="M25" i="4"/>
  <c r="M32" i="4" s="1"/>
  <c r="J51" i="5" l="1"/>
  <c r="H41" i="5"/>
  <c r="I41" i="5"/>
  <c r="K41" i="5"/>
  <c r="E23" i="5"/>
  <c r="J41" i="5"/>
  <c r="I51" i="5"/>
  <c r="H51" i="5"/>
  <c r="E29" i="5"/>
  <c r="F41" i="9" s="1"/>
  <c r="E41" i="9" s="1"/>
  <c r="J35" i="4"/>
  <c r="B35" i="4"/>
  <c r="I43" i="5"/>
  <c r="H43" i="5"/>
  <c r="M35" i="4"/>
  <c r="K35" i="4"/>
  <c r="I35" i="4"/>
  <c r="G35" i="4"/>
  <c r="E35" i="4"/>
  <c r="E41" i="5"/>
  <c r="G41" i="5"/>
  <c r="F41" i="5"/>
  <c r="H25" i="4"/>
  <c r="H32" i="4" s="1"/>
  <c r="H24" i="4"/>
  <c r="H31" i="4" s="1"/>
  <c r="F25" i="4"/>
  <c r="F32" i="4" s="1"/>
  <c r="F24" i="4"/>
  <c r="F31" i="4" s="1"/>
  <c r="E50" i="5"/>
  <c r="F51" i="5"/>
  <c r="G51" i="5"/>
  <c r="D50" i="5"/>
  <c r="F45" i="5"/>
  <c r="G45" i="5"/>
  <c r="E45" i="5"/>
  <c r="D45" i="5"/>
  <c r="F46" i="5"/>
  <c r="G46" i="5"/>
  <c r="H47" i="5"/>
  <c r="J47" i="5"/>
  <c r="I47" i="5"/>
  <c r="K47" i="5"/>
  <c r="H49" i="5"/>
  <c r="J49" i="5"/>
  <c r="I49" i="5"/>
  <c r="K49" i="5"/>
  <c r="D35" i="4"/>
  <c r="E43" i="5"/>
  <c r="F43" i="5"/>
  <c r="G43" i="5"/>
  <c r="D43" i="5"/>
  <c r="H45" i="5"/>
  <c r="J45" i="5"/>
  <c r="I45" i="5"/>
  <c r="K45" i="5"/>
  <c r="H50" i="5"/>
  <c r="J50" i="5"/>
  <c r="I50" i="5"/>
  <c r="K50" i="5"/>
  <c r="H46" i="5"/>
  <c r="J46" i="5"/>
  <c r="I46" i="5"/>
  <c r="K46" i="5"/>
  <c r="H42" i="5"/>
  <c r="J42" i="5"/>
  <c r="I42" i="5"/>
  <c r="K42" i="5"/>
  <c r="F48" i="5"/>
  <c r="G48" i="5"/>
  <c r="E47" i="5"/>
  <c r="D47" i="5"/>
  <c r="C35" i="4"/>
  <c r="F53" i="5"/>
  <c r="G53" i="5"/>
  <c r="E52" i="5"/>
  <c r="D52" i="5"/>
  <c r="H26" i="4"/>
  <c r="H33" i="4" s="1"/>
  <c r="H27" i="4"/>
  <c r="H34" i="4" s="1"/>
  <c r="F26" i="4"/>
  <c r="F33" i="4" s="1"/>
  <c r="F27" i="4"/>
  <c r="F34" i="4" s="1"/>
  <c r="F42" i="5"/>
  <c r="G42" i="5"/>
  <c r="E42" i="5"/>
  <c r="D42" i="5"/>
  <c r="E49" i="5"/>
  <c r="F50" i="5"/>
  <c r="G50" i="5"/>
  <c r="D49" i="5"/>
  <c r="F49" i="5"/>
  <c r="G49" i="5"/>
  <c r="E48" i="5"/>
  <c r="D48" i="5"/>
  <c r="L35" i="4"/>
  <c r="F47" i="5"/>
  <c r="G47" i="5"/>
  <c r="E46" i="5"/>
  <c r="D46" i="5"/>
  <c r="H53" i="5"/>
  <c r="J53" i="5"/>
  <c r="I53" i="5"/>
  <c r="K53" i="5"/>
  <c r="H52" i="5"/>
  <c r="J52" i="5"/>
  <c r="I52" i="5"/>
  <c r="K52" i="5"/>
  <c r="H48" i="5"/>
  <c r="J48" i="5"/>
  <c r="I48" i="5"/>
  <c r="K48" i="5"/>
  <c r="H44" i="5"/>
  <c r="J44" i="5"/>
  <c r="I44" i="5"/>
  <c r="K44" i="5"/>
  <c r="F44" i="5"/>
  <c r="G44" i="5"/>
  <c r="E44" i="5"/>
  <c r="D44" i="5"/>
  <c r="F52" i="5"/>
  <c r="G52" i="5"/>
  <c r="E51" i="5"/>
  <c r="D51" i="5"/>
  <c r="F35" i="4" l="1"/>
  <c r="H35" i="4"/>
</calcChain>
</file>

<file path=xl/comments1.xml><?xml version="1.0" encoding="utf-8"?>
<comments xmlns="http://schemas.openxmlformats.org/spreadsheetml/2006/main">
  <authors>
    <author>Author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sewage pipe network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unspecified materials, labor (other than disinfection), service (other than disinfection), waste disposal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sewage pipe network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unspecified materials, labor (other than disinfection), service (other than disinfection), waste disposal</t>
        </r>
      </text>
    </comment>
  </commentList>
</comments>
</file>

<file path=xl/sharedStrings.xml><?xml version="1.0" encoding="utf-8"?>
<sst xmlns="http://schemas.openxmlformats.org/spreadsheetml/2006/main" count="404" uniqueCount="177">
  <si>
    <t>Cost</t>
  </si>
  <si>
    <t>Global Warming</t>
  </si>
  <si>
    <t>Energy Demand</t>
  </si>
  <si>
    <t>Fossil Depletion</t>
  </si>
  <si>
    <t>Acidification</t>
  </si>
  <si>
    <t>Eutrophication</t>
  </si>
  <si>
    <t>Blue Water Use</t>
  </si>
  <si>
    <t xml:space="preserve">Smog </t>
  </si>
  <si>
    <t xml:space="preserve">Ozone Depletion </t>
  </si>
  <si>
    <t>Metal Depletion</t>
  </si>
  <si>
    <t xml:space="preserve">Human Health, Cancer, Total </t>
  </si>
  <si>
    <t>Human Health, NonCancer, Total</t>
  </si>
  <si>
    <t>Human Health, Criteria</t>
  </si>
  <si>
    <t xml:space="preserve">Ecotoxicity, total </t>
  </si>
  <si>
    <t>Life Cycle Stage</t>
  </si>
  <si>
    <t>$</t>
  </si>
  <si>
    <t>kg CO2 eq</t>
  </si>
  <si>
    <t>MJ</t>
  </si>
  <si>
    <t>kg oil eq</t>
  </si>
  <si>
    <t>kg H+ mole eq</t>
  </si>
  <si>
    <t>kg N eq</t>
  </si>
  <si>
    <t>m3</t>
  </si>
  <si>
    <t>kg O3 eq</t>
  </si>
  <si>
    <t>kg CFC11 eq</t>
  </si>
  <si>
    <t>kg Fe eq</t>
  </si>
  <si>
    <t>CTU</t>
  </si>
  <si>
    <t>kg PM10 eq</t>
  </si>
  <si>
    <t>Source Water Acquisition</t>
  </si>
  <si>
    <t>Wastewater Collection</t>
  </si>
  <si>
    <t>DWTP, Plant Energy Usage</t>
  </si>
  <si>
    <t>DWTP, Primary Disinfection</t>
  </si>
  <si>
    <t>WWTP, In Plant Pumping</t>
  </si>
  <si>
    <t xml:space="preserve">WWTP, Mobile Fuel Combustion </t>
  </si>
  <si>
    <t>WWTP, Screening and Grit Removal</t>
  </si>
  <si>
    <t>WWTP, Primary Sedimentation</t>
  </si>
  <si>
    <t>WWTP, Secondary Clarifiers</t>
  </si>
  <si>
    <t>WWTP, Sludge Thickening and Dewatering</t>
  </si>
  <si>
    <t>WWTP, Aeration</t>
  </si>
  <si>
    <t>WWTP, Sludge Incineration</t>
  </si>
  <si>
    <t>WWTP, Primary Disinfection</t>
  </si>
  <si>
    <t>Wastewater Effluent Discharge</t>
  </si>
  <si>
    <t>Wastewater System Overhead</t>
  </si>
  <si>
    <t>DWTP, Flocculation</t>
  </si>
  <si>
    <t>DWTP, Fluoridation</t>
  </si>
  <si>
    <t>DWTP, Sedimentation</t>
  </si>
  <si>
    <t>DWTP, Filtration</t>
  </si>
  <si>
    <t>DWTP, Adsorption</t>
  </si>
  <si>
    <t>DWTP, Conditioning</t>
  </si>
  <si>
    <t>Water Distribution</t>
  </si>
  <si>
    <t>Water System Overhead</t>
  </si>
  <si>
    <t>total</t>
  </si>
  <si>
    <t>Distribution</t>
  </si>
  <si>
    <t>infrastructure</t>
  </si>
  <si>
    <t>operation</t>
  </si>
  <si>
    <t>GWP</t>
  </si>
  <si>
    <t>DWTP, total</t>
  </si>
  <si>
    <t>DWTP, infrastructure</t>
  </si>
  <si>
    <t>WWTP, total</t>
  </si>
  <si>
    <t>WWTP, infrastructure</t>
  </si>
  <si>
    <t xml:space="preserve">Global Warming </t>
  </si>
  <si>
    <t>Smog</t>
  </si>
  <si>
    <t>Ozone Depletion</t>
  </si>
  <si>
    <t>Human Health, Cancer</t>
  </si>
  <si>
    <t>Human Health, NonCancer</t>
  </si>
  <si>
    <t>Ecotoxicity</t>
  </si>
  <si>
    <t>water acquisition &amp; treatment</t>
  </si>
  <si>
    <t>water distribution</t>
  </si>
  <si>
    <t>wastewater collection</t>
  </si>
  <si>
    <t>wastewater treatment &amp; discharge</t>
  </si>
  <si>
    <t>Acquisition &amp; treatment</t>
  </si>
  <si>
    <t>wastewater collection and treatment</t>
  </si>
  <si>
    <t>wastewater collection/ wastewater collection and treatment</t>
  </si>
  <si>
    <t>drinking water acquisition&amp;treatment&amp;distribution/total</t>
  </si>
  <si>
    <t>wastewater collection&amp;treatment&amp;discharge/total</t>
  </si>
  <si>
    <t>total impact</t>
  </si>
  <si>
    <t>wastewater collection impact</t>
  </si>
  <si>
    <t>wastewater treatment impact</t>
  </si>
  <si>
    <t>drinking water treatment impact</t>
  </si>
  <si>
    <t>drinking water distribution impact</t>
  </si>
  <si>
    <t>DWTP Electricity</t>
  </si>
  <si>
    <t>Minimum DWTP Electricity Usage (-10%)</t>
  </si>
  <si>
    <t>Maximum DWTP Electricity Usage (+10%)</t>
  </si>
  <si>
    <t>Minimum Distribution Electricity Usage (-10%)</t>
  </si>
  <si>
    <t>Maximum Distribution Electricity Usage (+10%)</t>
  </si>
  <si>
    <t>distribution electricity</t>
  </si>
  <si>
    <t>Minimum Electricity Usage at WWTP % Change</t>
  </si>
  <si>
    <t>Maximum Electricity Usage at WWTP % Change</t>
  </si>
  <si>
    <t>Minimum Electricity Usage at Collection System % Change</t>
  </si>
  <si>
    <t>Maximum Electricity Usage at Collection System % Change</t>
  </si>
  <si>
    <t>WWTP Electricity</t>
  </si>
  <si>
    <t>collection electricity</t>
  </si>
  <si>
    <t>percentage based on either water or wastewater system</t>
  </si>
  <si>
    <t>percentage based on total water or wastewater system</t>
  </si>
  <si>
    <t>drinking water distribution</t>
  </si>
  <si>
    <t>wastewater treatment and discharge</t>
  </si>
  <si>
    <t>water acquisition and treatment</t>
  </si>
  <si>
    <t>water system overhead</t>
  </si>
  <si>
    <t>wastewater system overhead</t>
  </si>
  <si>
    <t>Human Health, Criteria Pollutants</t>
  </si>
  <si>
    <t xml:space="preserve">water </t>
  </si>
  <si>
    <t>global warming</t>
  </si>
  <si>
    <t>energy demand</t>
  </si>
  <si>
    <t>fossil depletion</t>
  </si>
  <si>
    <t>acidification</t>
  </si>
  <si>
    <t>eutrophication</t>
  </si>
  <si>
    <t>blue water use</t>
  </si>
  <si>
    <t>smog</t>
  </si>
  <si>
    <t>ozone depletion</t>
  </si>
  <si>
    <t>metal deleption</t>
  </si>
  <si>
    <t>human health, cancer</t>
  </si>
  <si>
    <t>human health, noncancer</t>
  </si>
  <si>
    <t>human health, criteria</t>
  </si>
  <si>
    <t>ecotoxicity</t>
  </si>
  <si>
    <t>local energy consumption</t>
  </si>
  <si>
    <t>energy use for drinking water, normalized to 1000 cu ft water delivered to consumer</t>
  </si>
  <si>
    <t>purchased from electricity grid</t>
  </si>
  <si>
    <t>purchased from hydroelectric cogeneration</t>
  </si>
  <si>
    <t>natural gas</t>
  </si>
  <si>
    <t>cu ft</t>
  </si>
  <si>
    <t>kwh</t>
  </si>
  <si>
    <t>energy use for sewer, normalized to 1m3 sewer treated</t>
  </si>
  <si>
    <t>Purchased electricity</t>
  </si>
  <si>
    <t>Natural gas</t>
  </si>
  <si>
    <t>Diesel</t>
  </si>
  <si>
    <t>Gasoline</t>
  </si>
  <si>
    <t>kWh</t>
  </si>
  <si>
    <t>liters</t>
  </si>
  <si>
    <t>conversoin</t>
  </si>
  <si>
    <t>eletricity</t>
  </si>
  <si>
    <t>gallon</t>
  </si>
  <si>
    <t>petroleum</t>
  </si>
  <si>
    <t>cu m</t>
  </si>
  <si>
    <t>energy demand for drinking water</t>
  </si>
  <si>
    <t xml:space="preserve">energy demand for sewer </t>
  </si>
  <si>
    <t>fossil fuel</t>
  </si>
  <si>
    <t>fossil fuel drinking water</t>
  </si>
  <si>
    <t>fossil fuel wastewater</t>
  </si>
  <si>
    <t>energy demand normalized to 1m3 drinking water and sewer</t>
  </si>
  <si>
    <t>fossil fuel consumption normalized to 1m3 drinking water and sewer</t>
  </si>
  <si>
    <t xml:space="preserve">supply chain </t>
  </si>
  <si>
    <t xml:space="preserve">utility </t>
  </si>
  <si>
    <t>ED</t>
  </si>
  <si>
    <t>FDP</t>
  </si>
  <si>
    <t>Acid</t>
  </si>
  <si>
    <t>Eutro</t>
  </si>
  <si>
    <t>BWater</t>
  </si>
  <si>
    <t>ODP</t>
  </si>
  <si>
    <t>MD</t>
  </si>
  <si>
    <t>HHC</t>
  </si>
  <si>
    <t>HHNC</t>
  </si>
  <si>
    <t>HHCP</t>
  </si>
  <si>
    <t>Ecoto</t>
  </si>
  <si>
    <t>References</t>
  </si>
  <si>
    <t>Figure 3</t>
  </si>
  <si>
    <t>pg  27</t>
  </si>
  <si>
    <t>EPA 600/R-14/376 report</t>
  </si>
  <si>
    <t>EPA 600/R-14/377</t>
  </si>
  <si>
    <t>pg 26</t>
  </si>
  <si>
    <t>Figure 8/Table 13</t>
  </si>
  <si>
    <t>pg  32/33</t>
  </si>
  <si>
    <t>EPA 600/R-14/377 report</t>
  </si>
  <si>
    <t>Figure 4/Table 15</t>
  </si>
  <si>
    <t>pg  29/30</t>
  </si>
  <si>
    <t>Figure 9</t>
  </si>
  <si>
    <t>pg  37</t>
  </si>
  <si>
    <t>Figure 7</t>
  </si>
  <si>
    <t>calcualted, based on above two references</t>
  </si>
  <si>
    <t>calcualted, based on above two references and numbers in Tab Figure 1</t>
  </si>
  <si>
    <t>calculated, based on numbers in Tab Figure 1</t>
  </si>
  <si>
    <t>Figure 11&amp;12</t>
  </si>
  <si>
    <t>pg  38</t>
  </si>
  <si>
    <t>Figure 8&amp;9</t>
  </si>
  <si>
    <t xml:space="preserve">calcualted, based on above two references </t>
  </si>
  <si>
    <t>contribution</t>
  </si>
  <si>
    <t>pg 13</t>
  </si>
  <si>
    <t>Table 5</t>
  </si>
  <si>
    <t>pg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</si>
</sst>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164" fontId="0" fillId="3" borderId="0" xfId="0" applyNumberFormat="1" applyFill="1" applyBorder="1"/>
    <xf numFmtId="11" fontId="0" fillId="3" borderId="0" xfId="0" applyNumberFormat="1" applyFill="1"/>
    <xf numFmtId="10" fontId="0" fillId="2" borderId="0" xfId="0" applyNumberFormat="1" applyFill="1"/>
    <xf numFmtId="10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0" borderId="0" xfId="0" applyFill="1"/>
    <xf numFmtId="10" fontId="0" fillId="3" borderId="0" xfId="0" applyNumberFormat="1" applyFill="1"/>
    <xf numFmtId="0" fontId="0" fillId="4" borderId="0" xfId="0" applyFill="1" applyBorder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wrapText="1"/>
    </xf>
    <xf numFmtId="10" fontId="0" fillId="4" borderId="0" xfId="0" applyNumberFormat="1" applyFill="1"/>
    <xf numFmtId="0" fontId="0" fillId="4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4" borderId="0" xfId="0" applyFont="1" applyFill="1" applyBorder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84442841103648E-2"/>
          <c:y val="5.5802417570602079E-2"/>
          <c:w val="0.90313386011264607"/>
          <c:h val="0.51091458569123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1'!$B$60</c:f>
              <c:strCache>
                <c:ptCount val="1"/>
                <c:pt idx="0">
                  <c:v>water acquisition and 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1'!$C$60:$P$60</c:f>
              <c:numCache>
                <c:formatCode>0.00%</c:formatCode>
                <c:ptCount val="14"/>
                <c:pt idx="0">
                  <c:v>0.21357782370851269</c:v>
                </c:pt>
                <c:pt idx="1">
                  <c:v>0.21850111079196025</c:v>
                </c:pt>
                <c:pt idx="2">
                  <c:v>0.29019217755246779</c:v>
                </c:pt>
                <c:pt idx="3">
                  <c:v>0.28575094107459886</c:v>
                </c:pt>
                <c:pt idx="4">
                  <c:v>0.28637180586710304</c:v>
                </c:pt>
                <c:pt idx="5">
                  <c:v>8.226686517603686E-2</c:v>
                </c:pt>
                <c:pt idx="6">
                  <c:v>0.99043944124645444</c:v>
                </c:pt>
                <c:pt idx="7">
                  <c:v>0.29338316249034302</c:v>
                </c:pt>
                <c:pt idx="8">
                  <c:v>0.34295781289992083</c:v>
                </c:pt>
                <c:pt idx="9">
                  <c:v>0.17242390633202653</c:v>
                </c:pt>
                <c:pt idx="10">
                  <c:v>0.30852168517932377</c:v>
                </c:pt>
                <c:pt idx="11">
                  <c:v>0.45605490139053806</c:v>
                </c:pt>
                <c:pt idx="12">
                  <c:v>0.31433595929131969</c:v>
                </c:pt>
                <c:pt idx="13">
                  <c:v>0.32584919281716329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B-47EC-8A71-EC9907E70392}"/>
            </c:ext>
          </c:extLst>
        </c:ser>
        <c:ser>
          <c:idx val="1"/>
          <c:order val="1"/>
          <c:tx>
            <c:strRef>
              <c:f>'Figure 1'!$B$61</c:f>
              <c:strCache>
                <c:ptCount val="1"/>
                <c:pt idx="0">
                  <c:v>drinking water distribution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1'!$C$61:$P$61</c:f>
              <c:numCache>
                <c:formatCode>0.00%</c:formatCode>
                <c:ptCount val="14"/>
                <c:pt idx="0">
                  <c:v>0.12506095311047541</c:v>
                </c:pt>
                <c:pt idx="1">
                  <c:v>0.31185183488604351</c:v>
                </c:pt>
                <c:pt idx="2">
                  <c:v>0.43285667112465198</c:v>
                </c:pt>
                <c:pt idx="3">
                  <c:v>0.42927421945692762</c:v>
                </c:pt>
                <c:pt idx="4">
                  <c:v>0.47148864137012664</c:v>
                </c:pt>
                <c:pt idx="5">
                  <c:v>7.2178161715093026E-3</c:v>
                </c:pt>
                <c:pt idx="6">
                  <c:v>6.7320514030849632E-3</c:v>
                </c:pt>
                <c:pt idx="7">
                  <c:v>0.42683735443440612</c:v>
                </c:pt>
                <c:pt idx="8">
                  <c:v>0.4149283715392037</c:v>
                </c:pt>
                <c:pt idx="9">
                  <c:v>0.61025149893600716</c:v>
                </c:pt>
                <c:pt idx="10">
                  <c:v>0.43625754248902199</c:v>
                </c:pt>
                <c:pt idx="11">
                  <c:v>0.32217903849174062</c:v>
                </c:pt>
                <c:pt idx="12">
                  <c:v>0.45276456772511797</c:v>
                </c:pt>
                <c:pt idx="13">
                  <c:v>0.31694757607598917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B-47EC-8A71-EC9907E70392}"/>
            </c:ext>
          </c:extLst>
        </c:ser>
        <c:ser>
          <c:idx val="2"/>
          <c:order val="2"/>
          <c:tx>
            <c:strRef>
              <c:f>'Figure 1'!$B$62</c:f>
              <c:strCache>
                <c:ptCount val="1"/>
                <c:pt idx="0">
                  <c:v>water system overhead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1'!$C$62:$P$62</c:f>
              <c:numCache>
                <c:formatCode>0.00%</c:formatCode>
                <c:ptCount val="14"/>
                <c:pt idx="0">
                  <c:v>9.630448809554043E-2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B-47EC-8A71-EC9907E70392}"/>
            </c:ext>
          </c:extLst>
        </c:ser>
        <c:ser>
          <c:idx val="3"/>
          <c:order val="3"/>
          <c:tx>
            <c:strRef>
              <c:f>'Figure 1'!$B$63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1'!$C$63:$P$63</c:f>
              <c:numCache>
                <c:formatCode>0.00%</c:formatCode>
                <c:ptCount val="14"/>
                <c:pt idx="0">
                  <c:v>0.18825991391482766</c:v>
                </c:pt>
                <c:pt idx="1">
                  <c:v>6.5976104392050632E-3</c:v>
                </c:pt>
                <c:pt idx="2">
                  <c:v>8.0385634898068933E-3</c:v>
                </c:pt>
                <c:pt idx="3">
                  <c:v>9.0693098304112374E-3</c:v>
                </c:pt>
                <c:pt idx="4">
                  <c:v>1.0366542788169324E-2</c:v>
                </c:pt>
                <c:pt idx="5">
                  <c:v>4.6437974071882618E-4</c:v>
                </c:pt>
                <c:pt idx="6">
                  <c:v>4.8109740039266469E-5</c:v>
                </c:pt>
                <c:pt idx="7">
                  <c:v>3.0031969548528579E-2</c:v>
                </c:pt>
                <c:pt idx="8">
                  <c:v>5.1900209297388216E-3</c:v>
                </c:pt>
                <c:pt idx="9">
                  <c:v>5.6808231193470051E-3</c:v>
                </c:pt>
                <c:pt idx="10">
                  <c:v>6.7427824502804467E-3</c:v>
                </c:pt>
                <c:pt idx="11">
                  <c:v>5.0124740770345179E-3</c:v>
                </c:pt>
                <c:pt idx="12">
                  <c:v>6.6383091914152727E-3</c:v>
                </c:pt>
                <c:pt idx="13">
                  <c:v>6.4037817075353262E-3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B-47EC-8A71-EC9907E70392}"/>
            </c:ext>
          </c:extLst>
        </c:ser>
        <c:ser>
          <c:idx val="4"/>
          <c:order val="4"/>
          <c:tx>
            <c:strRef>
              <c:f>'Figure 1'!$B$64</c:f>
              <c:strCache>
                <c:ptCount val="1"/>
                <c:pt idx="0">
                  <c:v>wastewater treatment and discharge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1'!$C$64:$P$64</c:f>
              <c:numCache>
                <c:formatCode>0.00%</c:formatCode>
                <c:ptCount val="14"/>
                <c:pt idx="0">
                  <c:v>0.26367163895425816</c:v>
                </c:pt>
                <c:pt idx="1">
                  <c:v>0.46304944388279107</c:v>
                </c:pt>
                <c:pt idx="2">
                  <c:v>0.26891258783307359</c:v>
                </c:pt>
                <c:pt idx="3">
                  <c:v>0.2759055296380622</c:v>
                </c:pt>
                <c:pt idx="4">
                  <c:v>0.2317730099746011</c:v>
                </c:pt>
                <c:pt idx="5">
                  <c:v>0.91005093891173494</c:v>
                </c:pt>
                <c:pt idx="6">
                  <c:v>2.7803976104216954E-3</c:v>
                </c:pt>
                <c:pt idx="7">
                  <c:v>0.24974751352672198</c:v>
                </c:pt>
                <c:pt idx="8">
                  <c:v>0.23692379463113675</c:v>
                </c:pt>
                <c:pt idx="9">
                  <c:v>0.21164377161261896</c:v>
                </c:pt>
                <c:pt idx="10">
                  <c:v>0.24847798988137387</c:v>
                </c:pt>
                <c:pt idx="11">
                  <c:v>0.21675358604068676</c:v>
                </c:pt>
                <c:pt idx="12">
                  <c:v>0.22626116379214703</c:v>
                </c:pt>
                <c:pt idx="13">
                  <c:v>0.35079944939931224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B-47EC-8A71-EC9907E70392}"/>
            </c:ext>
          </c:extLst>
        </c:ser>
        <c:ser>
          <c:idx val="5"/>
          <c:order val="5"/>
          <c:tx>
            <c:strRef>
              <c:f>'Figure 1'!$B$65</c:f>
              <c:strCache>
                <c:ptCount val="1"/>
                <c:pt idx="0">
                  <c:v>wastewater system overhead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1'!$C$59:$P$59</c:f>
              <c:strCache>
                <c:ptCount val="14"/>
                <c:pt idx="0">
                  <c:v>Cost</c:v>
                </c:pt>
                <c:pt idx="1">
                  <c:v>Global Warming</c:v>
                </c:pt>
                <c:pt idx="2">
                  <c:v>Energy Demand</c:v>
                </c:pt>
                <c:pt idx="3">
                  <c:v>Fossil Depletion</c:v>
                </c:pt>
                <c:pt idx="4">
                  <c:v>Acidification</c:v>
                </c:pt>
                <c:pt idx="5">
                  <c:v>Eutrophication</c:v>
                </c:pt>
                <c:pt idx="6">
                  <c:v>Blue Water Use</c:v>
                </c:pt>
                <c:pt idx="7">
                  <c:v>Smog </c:v>
                </c:pt>
                <c:pt idx="8">
                  <c:v>Ozone Depletion </c:v>
                </c:pt>
                <c:pt idx="9">
                  <c:v>Metal Depletion</c:v>
                </c:pt>
                <c:pt idx="10">
                  <c:v>Human Health, Cancer</c:v>
                </c:pt>
                <c:pt idx="11">
                  <c:v>Human Health, NonCancer</c:v>
                </c:pt>
                <c:pt idx="12">
                  <c:v>Human Health, Criteria Pollutants</c:v>
                </c:pt>
                <c:pt idx="13">
                  <c:v>Ecotoxicity</c:v>
                </c:pt>
              </c:strCache>
            </c:strRef>
          </c:cat>
          <c:val>
            <c:numRef>
              <c:f>'Figure 1'!$C$65:$P$65</c:f>
              <c:numCache>
                <c:formatCode>0.00%</c:formatCode>
                <c:ptCount val="14"/>
                <c:pt idx="0">
                  <c:v>0.11312518221638564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B-47EC-8A71-EC9907E70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896344"/>
        <c:axId val="346897912"/>
      </c:barChart>
      <c:catAx>
        <c:axId val="34689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97912"/>
        <c:crosses val="autoZero"/>
        <c:auto val="1"/>
        <c:lblAlgn val="ctr"/>
        <c:lblOffset val="100"/>
        <c:noMultiLvlLbl val="0"/>
      </c:catAx>
      <c:valAx>
        <c:axId val="346897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96344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17587590142285E-3"/>
          <c:y val="0.81905129170061164"/>
          <c:w val="0.99796824124098582"/>
          <c:h val="0.1612537373921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2'!$B$12</c:f>
              <c:strCache>
                <c:ptCount val="1"/>
                <c:pt idx="0">
                  <c:v>infrastructure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2'!$C$11:$O$11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 </c:v>
                </c:pt>
                <c:pt idx="7">
                  <c:v>Ozone Depletion </c:v>
                </c:pt>
                <c:pt idx="8">
                  <c:v>Metal Depletion</c:v>
                </c:pt>
                <c:pt idx="9">
                  <c:v>Human Health, Cancer, Total </c:v>
                </c:pt>
                <c:pt idx="10">
                  <c:v>Human Health, NonCancer, Total</c:v>
                </c:pt>
                <c:pt idx="11">
                  <c:v>Human Health, Criteria</c:v>
                </c:pt>
                <c:pt idx="12">
                  <c:v>Ecotoxicity, total </c:v>
                </c:pt>
              </c:strCache>
            </c:strRef>
          </c:cat>
          <c:val>
            <c:numRef>
              <c:f>'Figure 2'!$C$12:$O$12</c:f>
              <c:numCache>
                <c:formatCode>General</c:formatCode>
                <c:ptCount val="13"/>
                <c:pt idx="0">
                  <c:v>3.1819532600000006E-2</c:v>
                </c:pt>
                <c:pt idx="1">
                  <c:v>0.51017971901244008</c:v>
                </c:pt>
                <c:pt idx="2">
                  <c:v>1.0847477889800002E-2</c:v>
                </c:pt>
                <c:pt idx="3">
                  <c:v>7.7355578161335606E-3</c:v>
                </c:pt>
                <c:pt idx="4">
                  <c:v>6.426063778869364E-6</c:v>
                </c:pt>
                <c:pt idx="5">
                  <c:v>3.0457510748230801E-4</c:v>
                </c:pt>
                <c:pt idx="6">
                  <c:v>2.77951961418584E-3</c:v>
                </c:pt>
                <c:pt idx="7">
                  <c:v>1.1336172400642802E-9</c:v>
                </c:pt>
                <c:pt idx="8">
                  <c:v>3.098880299366949E-2</c:v>
                </c:pt>
                <c:pt idx="9">
                  <c:v>1.75875790188992E-12</c:v>
                </c:pt>
                <c:pt idx="10">
                  <c:v>4.6852241885191205E-12</c:v>
                </c:pt>
                <c:pt idx="11">
                  <c:v>4.9029401124312003E-5</c:v>
                </c:pt>
                <c:pt idx="12">
                  <c:v>4.6459363291377114E-5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6-4988-8792-EE1D81E523D9}"/>
            </c:ext>
          </c:extLst>
        </c:ser>
        <c:ser>
          <c:idx val="1"/>
          <c:order val="1"/>
          <c:tx>
            <c:strRef>
              <c:f>'Figure 2'!$B$13</c:f>
              <c:strCache>
                <c:ptCount val="1"/>
                <c:pt idx="0">
                  <c:v>operation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2'!$C$11:$O$11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 </c:v>
                </c:pt>
                <c:pt idx="7">
                  <c:v>Ozone Depletion </c:v>
                </c:pt>
                <c:pt idx="8">
                  <c:v>Metal Depletion</c:v>
                </c:pt>
                <c:pt idx="9">
                  <c:v>Human Health, Cancer, Total </c:v>
                </c:pt>
                <c:pt idx="10">
                  <c:v>Human Health, NonCancer, Total</c:v>
                </c:pt>
                <c:pt idx="11">
                  <c:v>Human Health, Criteria</c:v>
                </c:pt>
                <c:pt idx="12">
                  <c:v>Ecotoxicity, total </c:v>
                </c:pt>
              </c:strCache>
            </c:strRef>
          </c:cat>
          <c:val>
            <c:numRef>
              <c:f>'Figure 2'!$C$13:$O$13</c:f>
              <c:numCache>
                <c:formatCode>General</c:formatCode>
                <c:ptCount val="13"/>
                <c:pt idx="0">
                  <c:v>1.9655211244766224</c:v>
                </c:pt>
                <c:pt idx="1">
                  <c:v>27.085182239230004</c:v>
                </c:pt>
                <c:pt idx="2">
                  <c:v>0.49515117772999995</c:v>
                </c:pt>
                <c:pt idx="3">
                  <c:v>0.62434871516726997</c:v>
                </c:pt>
                <c:pt idx="4">
                  <c:v>1.0996298553958714E-2</c:v>
                </c:pt>
                <c:pt idx="5">
                  <c:v>1.2073410878119109</c:v>
                </c:pt>
                <c:pt idx="6">
                  <c:v>9.0222415767779993E-2</c:v>
                </c:pt>
                <c:pt idx="7">
                  <c:v>3.5444600581210003E-8</c:v>
                </c:pt>
                <c:pt idx="8">
                  <c:v>1.4619212404402998E-2</c:v>
                </c:pt>
                <c:pt idx="9">
                  <c:v>3.7465341087640005E-11</c:v>
                </c:pt>
                <c:pt idx="10">
                  <c:v>3.6205676196339999E-11</c:v>
                </c:pt>
                <c:pt idx="11">
                  <c:v>1.8624990532140001E-3</c:v>
                </c:pt>
                <c:pt idx="12">
                  <c:v>6.4466653624104019E-4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6-4988-8792-EE1D81E5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894776"/>
        <c:axId val="346895560"/>
      </c:barChart>
      <c:catAx>
        <c:axId val="34689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95560"/>
        <c:crosses val="autoZero"/>
        <c:auto val="1"/>
        <c:lblAlgn val="ctr"/>
        <c:lblOffset val="100"/>
        <c:noMultiLvlLbl val="0"/>
      </c:catAx>
      <c:valAx>
        <c:axId val="34689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9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3'!$E$32</c:f>
              <c:strCache>
                <c:ptCount val="1"/>
                <c:pt idx="0">
                  <c:v>supply chain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3'!$D$33:$D$45</c:f>
              <c:strCache>
                <c:ptCount val="13"/>
                <c:pt idx="0">
                  <c:v>GWP</c:v>
                </c:pt>
                <c:pt idx="1">
                  <c:v>ED</c:v>
                </c:pt>
                <c:pt idx="2">
                  <c:v>FDP</c:v>
                </c:pt>
                <c:pt idx="3">
                  <c:v>Acid</c:v>
                </c:pt>
                <c:pt idx="4">
                  <c:v>Eutro</c:v>
                </c:pt>
                <c:pt idx="5">
                  <c:v>BWater</c:v>
                </c:pt>
                <c:pt idx="6">
                  <c:v>Smog </c:v>
                </c:pt>
                <c:pt idx="7">
                  <c:v>ODP</c:v>
                </c:pt>
                <c:pt idx="8">
                  <c:v>MD</c:v>
                </c:pt>
                <c:pt idx="9">
                  <c:v>HHC</c:v>
                </c:pt>
                <c:pt idx="10">
                  <c:v>HHNC</c:v>
                </c:pt>
                <c:pt idx="11">
                  <c:v>HHCP</c:v>
                </c:pt>
                <c:pt idx="12">
                  <c:v>Ecoto</c:v>
                </c:pt>
              </c:strCache>
            </c:strRef>
          </c:cat>
          <c:val>
            <c:numRef>
              <c:f>'Figure 3'!$E$33:$E$45</c:f>
              <c:numCache>
                <c:formatCode>0.00%</c:formatCode>
                <c:ptCount val="13"/>
                <c:pt idx="0">
                  <c:v>0.72837174204668198</c:v>
                </c:pt>
                <c:pt idx="1">
                  <c:v>0.90648698163508568</c:v>
                </c:pt>
                <c:pt idx="2">
                  <c:v>0.98704346348422223</c:v>
                </c:pt>
                <c:pt idx="3" formatCode="0%">
                  <c:v>1</c:v>
                </c:pt>
                <c:pt idx="4">
                  <c:v>3.9614447778903106E-2</c:v>
                </c:pt>
                <c:pt idx="5">
                  <c:v>1.0499999999999954E-2</c:v>
                </c:pt>
                <c:pt idx="6" formatCode="0%">
                  <c:v>1</c:v>
                </c:pt>
                <c:pt idx="7" formatCode="0%">
                  <c:v>1</c:v>
                </c:pt>
                <c:pt idx="8" formatCode="0%">
                  <c:v>0.68154634529827096</c:v>
                </c:pt>
                <c:pt idx="9" formatCode="0%">
                  <c:v>1</c:v>
                </c:pt>
                <c:pt idx="10" formatCode="0%">
                  <c:v>1</c:v>
                </c:pt>
                <c:pt idx="11" formatCode="0%">
                  <c:v>0.9998272356367397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7-4D20-A1E0-353979BF41B2}"/>
            </c:ext>
          </c:extLst>
        </c:ser>
        <c:ser>
          <c:idx val="1"/>
          <c:order val="1"/>
          <c:tx>
            <c:strRef>
              <c:f>'Figure 3'!$F$32</c:f>
              <c:strCache>
                <c:ptCount val="1"/>
                <c:pt idx="0">
                  <c:v>utility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3'!$D$33:$D$45</c:f>
              <c:strCache>
                <c:ptCount val="13"/>
                <c:pt idx="0">
                  <c:v>GWP</c:v>
                </c:pt>
                <c:pt idx="1">
                  <c:v>ED</c:v>
                </c:pt>
                <c:pt idx="2">
                  <c:v>FDP</c:v>
                </c:pt>
                <c:pt idx="3">
                  <c:v>Acid</c:v>
                </c:pt>
                <c:pt idx="4">
                  <c:v>Eutro</c:v>
                </c:pt>
                <c:pt idx="5">
                  <c:v>BWater</c:v>
                </c:pt>
                <c:pt idx="6">
                  <c:v>Smog </c:v>
                </c:pt>
                <c:pt idx="7">
                  <c:v>ODP</c:v>
                </c:pt>
                <c:pt idx="8">
                  <c:v>MD</c:v>
                </c:pt>
                <c:pt idx="9">
                  <c:v>HHC</c:v>
                </c:pt>
                <c:pt idx="10">
                  <c:v>HHNC</c:v>
                </c:pt>
                <c:pt idx="11">
                  <c:v>HHCP</c:v>
                </c:pt>
                <c:pt idx="12">
                  <c:v>Ecoto</c:v>
                </c:pt>
              </c:strCache>
            </c:strRef>
          </c:cat>
          <c:val>
            <c:numRef>
              <c:f>'Figure 3'!$F$33:$F$45</c:f>
              <c:numCache>
                <c:formatCode>0.00%</c:formatCode>
                <c:ptCount val="13"/>
                <c:pt idx="0">
                  <c:v>0.27162825795331802</c:v>
                </c:pt>
                <c:pt idx="1">
                  <c:v>9.3513018364914352E-2</c:v>
                </c:pt>
                <c:pt idx="2">
                  <c:v>1.2956536515777778E-2</c:v>
                </c:pt>
                <c:pt idx="3" formatCode="0%">
                  <c:v>0</c:v>
                </c:pt>
                <c:pt idx="4">
                  <c:v>0.96038555222109689</c:v>
                </c:pt>
                <c:pt idx="5">
                  <c:v>0.98950000000000005</c:v>
                </c:pt>
                <c:pt idx="6" formatCode="0%">
                  <c:v>0</c:v>
                </c:pt>
                <c:pt idx="7" formatCode="0%">
                  <c:v>0</c:v>
                </c:pt>
                <c:pt idx="8" formatCode="0%">
                  <c:v>0.31845365470172904</c:v>
                </c:pt>
                <c:pt idx="9" formatCode="0%">
                  <c:v>0</c:v>
                </c:pt>
                <c:pt idx="10" formatCode="0%">
                  <c:v>0</c:v>
                </c:pt>
                <c:pt idx="11">
                  <c:v>1.7276436326026052E-4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7-4D20-A1E0-353979BF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964328"/>
        <c:axId val="348963152"/>
      </c:barChart>
      <c:catAx>
        <c:axId val="34896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963152"/>
        <c:crosses val="autoZero"/>
        <c:auto val="1"/>
        <c:lblAlgn val="ctr"/>
        <c:lblOffset val="100"/>
        <c:noMultiLvlLbl val="0"/>
      </c:catAx>
      <c:valAx>
        <c:axId val="348963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964328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29311073468351E-2"/>
          <c:y val="0.14470432572540154"/>
          <c:w val="0.71435316981454478"/>
          <c:h val="0.826897804053886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4'!$A$31</c:f>
              <c:strCache>
                <c:ptCount val="1"/>
                <c:pt idx="0">
                  <c:v>water acquisition &amp; treatment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4'!$B$30:$M$30</c:f>
              <c:strCache>
                <c:ptCount val="12"/>
                <c:pt idx="0">
                  <c:v>Global Warming 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Smog</c:v>
                </c:pt>
                <c:pt idx="6">
                  <c:v>Ozone Depletion</c:v>
                </c:pt>
                <c:pt idx="7">
                  <c:v>Metal Depletion</c:v>
                </c:pt>
                <c:pt idx="8">
                  <c:v>Human Health, Cancer</c:v>
                </c:pt>
                <c:pt idx="9">
                  <c:v>Human Health, NonCancer</c:v>
                </c:pt>
                <c:pt idx="10">
                  <c:v>Human Health, Criteria</c:v>
                </c:pt>
                <c:pt idx="11">
                  <c:v>Ecotoxicity</c:v>
                </c:pt>
              </c:strCache>
            </c:strRef>
          </c:cat>
          <c:val>
            <c:numRef>
              <c:f>'Figure 4'!$B$31:$M$31</c:f>
              <c:numCache>
                <c:formatCode>0.00%</c:formatCode>
                <c:ptCount val="12"/>
                <c:pt idx="0">
                  <c:v>3.936388363618528E-2</c:v>
                </c:pt>
                <c:pt idx="1">
                  <c:v>1.8660436621542768E-2</c:v>
                </c:pt>
                <c:pt idx="2">
                  <c:v>3.9217424386289855E-2</c:v>
                </c:pt>
                <c:pt idx="3">
                  <c:v>5.6999140641726447E-2</c:v>
                </c:pt>
                <c:pt idx="4">
                  <c:v>1.1467121635567027E-3</c:v>
                </c:pt>
                <c:pt idx="5">
                  <c:v>0.1174537751046577</c:v>
                </c:pt>
                <c:pt idx="6" formatCode="General">
                  <c:v>-1.248772691437351E-2</c:v>
                </c:pt>
                <c:pt idx="7" formatCode="General">
                  <c:v>-4.6754892692850115E-3</c:v>
                </c:pt>
                <c:pt idx="8" formatCode="General">
                  <c:v>-0.1240361966575171</c:v>
                </c:pt>
                <c:pt idx="9">
                  <c:v>1.9880262842611445E-3</c:v>
                </c:pt>
                <c:pt idx="10">
                  <c:v>4.2526285328740324E-2</c:v>
                </c:pt>
                <c:pt idx="11">
                  <c:v>-0.10747663014660845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9-4975-87CD-863C66CA452D}"/>
            </c:ext>
          </c:extLst>
        </c:ser>
        <c:ser>
          <c:idx val="1"/>
          <c:order val="1"/>
          <c:tx>
            <c:strRef>
              <c:f>'Figure 4'!$A$32</c:f>
              <c:strCache>
                <c:ptCount val="1"/>
                <c:pt idx="0">
                  <c:v>water distribution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4'!$B$30:$M$30</c:f>
              <c:strCache>
                <c:ptCount val="12"/>
                <c:pt idx="0">
                  <c:v>Global Warming 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Smog</c:v>
                </c:pt>
                <c:pt idx="6">
                  <c:v>Ozone Depletion</c:v>
                </c:pt>
                <c:pt idx="7">
                  <c:v>Metal Depletion</c:v>
                </c:pt>
                <c:pt idx="8">
                  <c:v>Human Health, Cancer</c:v>
                </c:pt>
                <c:pt idx="9">
                  <c:v>Human Health, NonCancer</c:v>
                </c:pt>
                <c:pt idx="10">
                  <c:v>Human Health, Criteria</c:v>
                </c:pt>
                <c:pt idx="11">
                  <c:v>Ecotoxicity</c:v>
                </c:pt>
              </c:strCache>
            </c:strRef>
          </c:cat>
          <c:val>
            <c:numRef>
              <c:f>'Figure 4'!$B$32:$M$32</c:f>
              <c:numCache>
                <c:formatCode>0.00%</c:formatCode>
                <c:ptCount val="12"/>
                <c:pt idx="0">
                  <c:v>7.6384678960692953E-2</c:v>
                </c:pt>
                <c:pt idx="1">
                  <c:v>3.6209802726772711E-2</c:v>
                </c:pt>
                <c:pt idx="2">
                  <c:v>7.6102139747060676E-2</c:v>
                </c:pt>
                <c:pt idx="3">
                  <c:v>0.1105764318174683</c:v>
                </c:pt>
                <c:pt idx="4">
                  <c:v>1.8927288206255853E-3</c:v>
                </c:pt>
                <c:pt idx="5">
                  <c:v>0.22773480058460352</c:v>
                </c:pt>
                <c:pt idx="6" formatCode="General">
                  <c:v>-2.4244305238654031E-2</c:v>
                </c:pt>
                <c:pt idx="7" formatCode="General">
                  <c:v>-9.1384562990570635E-3</c:v>
                </c:pt>
                <c:pt idx="8" formatCode="General">
                  <c:v>-0.24067407256068121</c:v>
                </c:pt>
                <c:pt idx="9">
                  <c:v>3.8566304949094188E-3</c:v>
                </c:pt>
                <c:pt idx="10">
                  <c:v>8.5052570657480689E-2</c:v>
                </c:pt>
                <c:pt idx="11">
                  <c:v>-0.2161686888200644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9-4975-87CD-863C66CA452D}"/>
            </c:ext>
          </c:extLst>
        </c:ser>
        <c:ser>
          <c:idx val="3"/>
          <c:order val="2"/>
          <c:tx>
            <c:strRef>
              <c:f>'Figure 4'!$A$33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4'!$B$30:$M$30</c:f>
              <c:strCache>
                <c:ptCount val="12"/>
                <c:pt idx="0">
                  <c:v>Global Warming 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Smog</c:v>
                </c:pt>
                <c:pt idx="6">
                  <c:v>Ozone Depletion</c:v>
                </c:pt>
                <c:pt idx="7">
                  <c:v>Metal Depletion</c:v>
                </c:pt>
                <c:pt idx="8">
                  <c:v>Human Health, Cancer</c:v>
                </c:pt>
                <c:pt idx="9">
                  <c:v>Human Health, NonCancer</c:v>
                </c:pt>
                <c:pt idx="10">
                  <c:v>Human Health, Criteria</c:v>
                </c:pt>
                <c:pt idx="11">
                  <c:v>Ecotoxicity</c:v>
                </c:pt>
              </c:strCache>
            </c:strRef>
          </c:cat>
          <c:val>
            <c:numRef>
              <c:f>'Figure 4'!$B$33:$M$33</c:f>
              <c:numCache>
                <c:formatCode>0.00%</c:formatCode>
                <c:ptCount val="12"/>
                <c:pt idx="0">
                  <c:v>5.9638415216895445E-4</c:v>
                </c:pt>
                <c:pt idx="1">
                  <c:v>5.2576765268738288E-4</c:v>
                </c:pt>
                <c:pt idx="2">
                  <c:v>1.2038373569825209E-3</c:v>
                </c:pt>
                <c:pt idx="3">
                  <c:v>2.4143901301465279E-3</c:v>
                </c:pt>
                <c:pt idx="4">
                  <c:v>6.3113692808821859E-7</c:v>
                </c:pt>
                <c:pt idx="5">
                  <c:v>1.4298214739669995E-5</c:v>
                </c:pt>
                <c:pt idx="6" formatCode="General">
                  <c:v>-1.6247295525753961E-3</c:v>
                </c:pt>
                <c:pt idx="7" formatCode="General">
                  <c:v>-1.1314245626830632E-4</c:v>
                </c:pt>
                <c:pt idx="8" formatCode="General">
                  <c:v>-2.6001127417251239E-3</c:v>
                </c:pt>
                <c:pt idx="9">
                  <c:v>6.0010763807495974E-5</c:v>
                </c:pt>
                <c:pt idx="10">
                  <c:v>9.2379897239746158E-4</c:v>
                </c:pt>
                <c:pt idx="11">
                  <c:v>-1.5507090271146078E-3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9-4975-87CD-863C66CA452D}"/>
            </c:ext>
          </c:extLst>
        </c:ser>
        <c:ser>
          <c:idx val="2"/>
          <c:order val="3"/>
          <c:tx>
            <c:strRef>
              <c:f>'Figure 4'!$A$34</c:f>
              <c:strCache>
                <c:ptCount val="1"/>
                <c:pt idx="0">
                  <c:v>wastewater treatment &amp; discharge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4'!$B$30:$M$30</c:f>
              <c:strCache>
                <c:ptCount val="12"/>
                <c:pt idx="0">
                  <c:v>Global Warming 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Smog</c:v>
                </c:pt>
                <c:pt idx="6">
                  <c:v>Ozone Depletion</c:v>
                </c:pt>
                <c:pt idx="7">
                  <c:v>Metal Depletion</c:v>
                </c:pt>
                <c:pt idx="8">
                  <c:v>Human Health, Cancer</c:v>
                </c:pt>
                <c:pt idx="9">
                  <c:v>Human Health, NonCancer</c:v>
                </c:pt>
                <c:pt idx="10">
                  <c:v>Human Health, Criteria</c:v>
                </c:pt>
                <c:pt idx="11">
                  <c:v>Ecotoxicity</c:v>
                </c:pt>
              </c:strCache>
            </c:strRef>
          </c:cat>
          <c:val>
            <c:numRef>
              <c:f>'Figure 4'!$B$34:$M$34</c:f>
              <c:numCache>
                <c:formatCode>0.00%</c:formatCode>
                <c:ptCount val="12"/>
                <c:pt idx="0">
                  <c:v>4.1856874173919513E-2</c:v>
                </c:pt>
                <c:pt idx="1">
                  <c:v>1.7588408707894802E-2</c:v>
                </c:pt>
                <c:pt idx="2">
                  <c:v>3.66230054753005E-2</c:v>
                </c:pt>
                <c:pt idx="3">
                  <c:v>5.3980432932342184E-2</c:v>
                </c:pt>
                <c:pt idx="4">
                  <c:v>1.2368471395833795E-3</c:v>
                </c:pt>
                <c:pt idx="5">
                  <c:v>8.2633416981732781E-4</c:v>
                </c:pt>
                <c:pt idx="6" formatCode="General">
                  <c:v>-1.3511340481795661E-2</c:v>
                </c:pt>
                <c:pt idx="7" formatCode="General">
                  <c:v>-5.1649387229587814E-3</c:v>
                </c:pt>
                <c:pt idx="8" formatCode="General">
                  <c:v>-9.6869354267095711E-2</c:v>
                </c:pt>
                <c:pt idx="9">
                  <c:v>2.2114541099442281E-3</c:v>
                </c:pt>
                <c:pt idx="10">
                  <c:v>3.9947685907298566E-2</c:v>
                </c:pt>
                <c:pt idx="11">
                  <c:v>-5.2854607861845551E-2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9-4975-87CD-863C66CA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962760"/>
        <c:axId val="348963936"/>
      </c:barChart>
      <c:catAx>
        <c:axId val="348962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48963936"/>
        <c:crosses val="autoZero"/>
        <c:auto val="1"/>
        <c:lblAlgn val="ctr"/>
        <c:lblOffset val="100"/>
        <c:noMultiLvlLbl val="0"/>
      </c:catAx>
      <c:valAx>
        <c:axId val="3489639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</a:t>
                </a:r>
              </a:p>
            </c:rich>
          </c:tx>
          <c:layout>
            <c:manualLayout>
              <c:xMode val="edge"/>
              <c:yMode val="edge"/>
              <c:x val="0.49693305130643789"/>
              <c:y val="4.0303428295784302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348962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33565434715089"/>
          <c:y val="0.21353206286235502"/>
          <c:w val="0.2742929965732821"/>
          <c:h val="0.2347428529146846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79596170810598"/>
          <c:y val="8.0980524085759481E-2"/>
          <c:w val="0.57788675793119226"/>
          <c:h val="0.863402617397998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5'!$D$39:$D$40</c:f>
              <c:strCache>
                <c:ptCount val="2"/>
                <c:pt idx="0">
                  <c:v>DWTP Electricity</c:v>
                </c:pt>
                <c:pt idx="1">
                  <c:v>Minimum DWTP Electricity Usage (-10%)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5'!$D$41:$D$53</c:f>
              <c:numCache>
                <c:formatCode>0.00%</c:formatCode>
                <c:ptCount val="13"/>
                <c:pt idx="0">
                  <c:v>-1.572416003945443E-2</c:v>
                </c:pt>
                <c:pt idx="1">
                  <c:v>-2.1530458786381067E-2</c:v>
                </c:pt>
                <c:pt idx="2">
                  <c:v>-2.1413072593225928E-2</c:v>
                </c:pt>
                <c:pt idx="3">
                  <c:v>-2.1497452432135255E-2</c:v>
                </c:pt>
                <c:pt idx="4">
                  <c:v>-3.309497458373703E-4</c:v>
                </c:pt>
                <c:pt idx="5">
                  <c:v>-1.8540345060942326E-4</c:v>
                </c:pt>
                <c:pt idx="6">
                  <c:v>-2.1351894717443955E-2</c:v>
                </c:pt>
                <c:pt idx="7">
                  <c:v>-1.8782352724367225E-2</c:v>
                </c:pt>
                <c:pt idx="8">
                  <c:v>-1.6707748752426354E-3</c:v>
                </c:pt>
                <c:pt idx="9">
                  <c:v>-2.1604437757162923E-2</c:v>
                </c:pt>
                <c:pt idx="10">
                  <c:v>-3.5171106632658163E-3</c:v>
                </c:pt>
                <c:pt idx="11">
                  <c:v>-1.7562687388369122E-2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7-4E7B-BAD7-B3D7D59A82FC}"/>
            </c:ext>
          </c:extLst>
        </c:ser>
        <c:ser>
          <c:idx val="1"/>
          <c:order val="1"/>
          <c:tx>
            <c:strRef>
              <c:f>'Figure 5'!$E$39:$E$40</c:f>
              <c:strCache>
                <c:ptCount val="2"/>
                <c:pt idx="0">
                  <c:v>DWTP Electricity</c:v>
                </c:pt>
                <c:pt idx="1">
                  <c:v>Maximum DWTP Electricity Usage (+10%)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5'!$E$41:$E$53</c:f>
              <c:numCache>
                <c:formatCode>0.00%</c:formatCode>
                <c:ptCount val="13"/>
                <c:pt idx="0">
                  <c:v>1.5724160039454541E-2</c:v>
                </c:pt>
                <c:pt idx="1">
                  <c:v>2.1530823789835823E-2</c:v>
                </c:pt>
                <c:pt idx="2">
                  <c:v>2.1433010277204633E-2</c:v>
                </c:pt>
                <c:pt idx="3">
                  <c:v>2.1513294327811128E-2</c:v>
                </c:pt>
                <c:pt idx="4">
                  <c:v>3.3426479925118213E-4</c:v>
                </c:pt>
                <c:pt idx="5">
                  <c:v>1.8540345060942326E-4</c:v>
                </c:pt>
                <c:pt idx="6">
                  <c:v>2.1465468625515578E-2</c:v>
                </c:pt>
                <c:pt idx="7">
                  <c:v>1.8795341122222441E-2</c:v>
                </c:pt>
                <c:pt idx="8">
                  <c:v>1.67077487524278E-3</c:v>
                </c:pt>
                <c:pt idx="9">
                  <c:v>2.1590295059867436E-2</c:v>
                </c:pt>
                <c:pt idx="10">
                  <c:v>3.5175930208961926E-3</c:v>
                </c:pt>
                <c:pt idx="11">
                  <c:v>1.7562687388369028E-2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7-4E7B-BAD7-B3D7D59A82FC}"/>
            </c:ext>
          </c:extLst>
        </c:ser>
        <c:ser>
          <c:idx val="2"/>
          <c:order val="2"/>
          <c:tx>
            <c:strRef>
              <c:f>'Figure 5'!$F$39:$F$40</c:f>
              <c:strCache>
                <c:ptCount val="2"/>
                <c:pt idx="0">
                  <c:v>distribution electricity</c:v>
                </c:pt>
                <c:pt idx="1">
                  <c:v>Minimum Distribution Electricity Usage (-10%)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5'!$F$41:$F$53</c:f>
              <c:numCache>
                <c:formatCode>0.00%</c:formatCode>
                <c:ptCount val="13"/>
                <c:pt idx="0">
                  <c:v>-3.0505991083994991E-2</c:v>
                </c:pt>
                <c:pt idx="1">
                  <c:v>-4.1806400698725529E-2</c:v>
                </c:pt>
                <c:pt idx="2">
                  <c:v>-4.1550133411808916E-2</c:v>
                </c:pt>
                <c:pt idx="3">
                  <c:v>-4.1711711314526292E-2</c:v>
                </c:pt>
                <c:pt idx="4">
                  <c:v>-1.5153868468462633E-3</c:v>
                </c:pt>
                <c:pt idx="5">
                  <c:v>-4.9666887606585682E-4</c:v>
                </c:pt>
                <c:pt idx="6">
                  <c:v>-3.9509311574106254E-2</c:v>
                </c:pt>
                <c:pt idx="7">
                  <c:v>-3.528147761615303E-2</c:v>
                </c:pt>
                <c:pt idx="8">
                  <c:v>1.8655247100597309E-4</c:v>
                </c:pt>
                <c:pt idx="9">
                  <c:v>-4.0207089624609067E-2</c:v>
                </c:pt>
                <c:pt idx="10">
                  <c:v>-6.8216070279949314E-3</c:v>
                </c:pt>
                <c:pt idx="11">
                  <c:v>-3.8776938180136125E-2</c:v>
                </c:pt>
                <c:pt idx="12">
                  <c:v>-3.3625664783875714E-2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7-4E7B-BAD7-B3D7D59A82FC}"/>
            </c:ext>
          </c:extLst>
        </c:ser>
        <c:ser>
          <c:idx val="3"/>
          <c:order val="3"/>
          <c:tx>
            <c:strRef>
              <c:f>'Figure 5'!$G$39:$G$40</c:f>
              <c:strCache>
                <c:ptCount val="2"/>
                <c:pt idx="0">
                  <c:v>distribution electricity</c:v>
                </c:pt>
                <c:pt idx="1">
                  <c:v>Maximum Distribution Electricity Usage (+10%)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5'!$G$41:$G$53</c:f>
              <c:numCache>
                <c:formatCode>0.00%</c:formatCode>
                <c:ptCount val="13"/>
                <c:pt idx="0">
                  <c:v>3.0516178424480671E-2</c:v>
                </c:pt>
                <c:pt idx="1">
                  <c:v>4.1779390443072703E-2</c:v>
                </c:pt>
                <c:pt idx="2">
                  <c:v>4.1590008779766437E-2</c:v>
                </c:pt>
                <c:pt idx="3">
                  <c:v>4.1727553210202245E-2</c:v>
                </c:pt>
                <c:pt idx="4">
                  <c:v>3.3659830053689752E-4</c:v>
                </c:pt>
                <c:pt idx="5">
                  <c:v>4.9700009905794191E-4</c:v>
                </c:pt>
                <c:pt idx="6">
                  <c:v>3.949506488326969E-2</c:v>
                </c:pt>
                <c:pt idx="7">
                  <c:v>3.5335777549852891E-2</c:v>
                </c:pt>
                <c:pt idx="8">
                  <c:v>6.9902308253401635E-3</c:v>
                </c:pt>
                <c:pt idx="9">
                  <c:v>4.0099833264341252E-2</c:v>
                </c:pt>
                <c:pt idx="10">
                  <c:v>7.0272354236909406E-3</c:v>
                </c:pt>
                <c:pt idx="11">
                  <c:v>3.9819132557594249E-2</c:v>
                </c:pt>
                <c:pt idx="12">
                  <c:v>9.8865569382154302E-3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7-4E7B-BAD7-B3D7D59A82FC}"/>
            </c:ext>
          </c:extLst>
        </c:ser>
        <c:ser>
          <c:idx val="4"/>
          <c:order val="4"/>
          <c:tx>
            <c:strRef>
              <c:f>'Figure 5'!$H$39:$H$40</c:f>
              <c:strCache>
                <c:ptCount val="2"/>
                <c:pt idx="0">
                  <c:v>WWTP Electricity</c:v>
                </c:pt>
                <c:pt idx="1">
                  <c:v>Minimum Electricity Usage at WWTP % Change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5'!$H$41:$H$53</c:f>
              <c:numCache>
                <c:formatCode>0.00%</c:formatCode>
                <c:ptCount val="13"/>
                <c:pt idx="0">
                  <c:v>-1.1781786461382988E-2</c:v>
                </c:pt>
                <c:pt idx="1">
                  <c:v>-3.5407054820731247E-2</c:v>
                </c:pt>
                <c:pt idx="2">
                  <c:v>-2.0707913791714432E-2</c:v>
                </c:pt>
                <c:pt idx="3">
                  <c:v>-2.1322738600184927E-2</c:v>
                </c:pt>
                <c:pt idx="4">
                  <c:v>-5.7695515021276766E-4</c:v>
                </c:pt>
                <c:pt idx="5">
                  <c:v>-2.5326997486508067E-4</c:v>
                </c:pt>
                <c:pt idx="6">
                  <c:v>-2.0141391730170176E-2</c:v>
                </c:pt>
                <c:pt idx="7">
                  <c:v>-1.8114807977203284E-2</c:v>
                </c:pt>
                <c:pt idx="8">
                  <c:v>-1.6718093936777553E-3</c:v>
                </c:pt>
                <c:pt idx="9">
                  <c:v>-2.0516025943633096E-2</c:v>
                </c:pt>
                <c:pt idx="10">
                  <c:v>-3.6275627725027163E-3</c:v>
                </c:pt>
                <c:pt idx="11">
                  <c:v>-1.9527665205058452E-2</c:v>
                </c:pt>
                <c:pt idx="12">
                  <c:v>-1.1442239023950375E-2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C7-4E7B-BAD7-B3D7D59A82FC}"/>
            </c:ext>
          </c:extLst>
        </c:ser>
        <c:ser>
          <c:idx val="5"/>
          <c:order val="5"/>
          <c:tx>
            <c:strRef>
              <c:f>'Figure 5'!$I$39:$I$40</c:f>
              <c:strCache>
                <c:ptCount val="2"/>
                <c:pt idx="0">
                  <c:v>WWTP Electricity</c:v>
                </c:pt>
                <c:pt idx="1">
                  <c:v>Maximum Electricity Usage at WWTP % Change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5'!$I$41:$I$53</c:f>
              <c:numCache>
                <c:formatCode>0.00%</c:formatCode>
                <c:ptCount val="13"/>
                <c:pt idx="0">
                  <c:v>2.230890071954925E-2</c:v>
                </c:pt>
                <c:pt idx="1">
                  <c:v>3.5439994299177227E-2</c:v>
                </c:pt>
                <c:pt idx="2">
                  <c:v>2.0655100552101412E-2</c:v>
                </c:pt>
                <c:pt idx="3">
                  <c:v>2.1246256253361413E-2</c:v>
                </c:pt>
                <c:pt idx="4">
                  <c:v>3.3026156314934989E-4</c:v>
                </c:pt>
                <c:pt idx="5">
                  <c:v>2.6012139904784938E-4</c:v>
                </c:pt>
                <c:pt idx="6">
                  <c:v>1.990123433453464E-2</c:v>
                </c:pt>
                <c:pt idx="7">
                  <c:v>1.8096998401290903E-2</c:v>
                </c:pt>
                <c:pt idx="8">
                  <c:v>1.8240817566896467E-3</c:v>
                </c:pt>
                <c:pt idx="9">
                  <c:v>2.0371463979503329E-2</c:v>
                </c:pt>
                <c:pt idx="10">
                  <c:v>3.4660882954859785E-3</c:v>
                </c:pt>
                <c:pt idx="11">
                  <c:v>2.2105858263917904E-2</c:v>
                </c:pt>
                <c:pt idx="12">
                  <c:v>1.7371176982957686E-2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C7-4E7B-BAD7-B3D7D59A82FC}"/>
            </c:ext>
          </c:extLst>
        </c:ser>
        <c:ser>
          <c:idx val="6"/>
          <c:order val="6"/>
          <c:tx>
            <c:strRef>
              <c:f>'Figure 5'!$J$39:$J$40</c:f>
              <c:strCache>
                <c:ptCount val="2"/>
                <c:pt idx="0">
                  <c:v>collection electricity</c:v>
                </c:pt>
                <c:pt idx="1">
                  <c:v>Minimum Electricity Usage at Collection System % Change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5'!$J$41:$J$53</c:f>
              <c:numCache>
                <c:formatCode>0.00%</c:formatCode>
                <c:ptCount val="13"/>
                <c:pt idx="0">
                  <c:v>-2.7734044240911525E-4</c:v>
                </c:pt>
                <c:pt idx="1">
                  <c:v>-5.1524655409604706E-4</c:v>
                </c:pt>
                <c:pt idx="2">
                  <c:v>-3.4547615541801786E-4</c:v>
                </c:pt>
                <c:pt idx="3">
                  <c:v>-3.5333365937436099E-4</c:v>
                </c:pt>
                <c:pt idx="4">
                  <c:v>0</c:v>
                </c:pt>
                <c:pt idx="5">
                  <c:v>0</c:v>
                </c:pt>
                <c:pt idx="6">
                  <c:v>-4.3956773556805929E-4</c:v>
                </c:pt>
                <c:pt idx="7">
                  <c:v>-2.8015785655889213E-4</c:v>
                </c:pt>
                <c:pt idx="8">
                  <c:v>0</c:v>
                </c:pt>
                <c:pt idx="9">
                  <c:v>-3.7926697615145119E-4</c:v>
                </c:pt>
                <c:pt idx="10">
                  <c:v>-1.3163459380879437E-4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C7-4E7B-BAD7-B3D7D59A82FC}"/>
            </c:ext>
          </c:extLst>
        </c:ser>
        <c:ser>
          <c:idx val="7"/>
          <c:order val="7"/>
          <c:tx>
            <c:strRef>
              <c:f>'Figure 5'!$K$39:$K$40</c:f>
              <c:strCache>
                <c:ptCount val="2"/>
                <c:pt idx="0">
                  <c:v>collection electricity</c:v>
                </c:pt>
                <c:pt idx="1">
                  <c:v>Maximum Electricity Usage at Collection System % Change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5'!$C$41:$C$53</c:f>
              <c:strCache>
                <c:ptCount val="13"/>
                <c:pt idx="0">
                  <c:v>Global Warming</c:v>
                </c:pt>
                <c:pt idx="1">
                  <c:v>Energy Demand</c:v>
                </c:pt>
                <c:pt idx="2">
                  <c:v>Fossil Depletion</c:v>
                </c:pt>
                <c:pt idx="3">
                  <c:v>Acidification</c:v>
                </c:pt>
                <c:pt idx="4">
                  <c:v>Eutrophication</c:v>
                </c:pt>
                <c:pt idx="5">
                  <c:v>Blue Water Use</c:v>
                </c:pt>
                <c:pt idx="6">
                  <c:v>Smog</c:v>
                </c:pt>
                <c:pt idx="7">
                  <c:v>Ozone Depletion</c:v>
                </c:pt>
                <c:pt idx="8">
                  <c:v>Metal Depletion</c:v>
                </c:pt>
                <c:pt idx="9">
                  <c:v>Human Health, Cancer</c:v>
                </c:pt>
                <c:pt idx="10">
                  <c:v>Human Health, NonCancer</c:v>
                </c:pt>
                <c:pt idx="11">
                  <c:v>Human Health, Criteria</c:v>
                </c:pt>
                <c:pt idx="12">
                  <c:v>Ecotoxicity</c:v>
                </c:pt>
              </c:strCache>
            </c:strRef>
          </c:cat>
          <c:val>
            <c:numRef>
              <c:f>'Figure 5'!$K$41:$K$53</c:f>
              <c:numCache>
                <c:formatCode>0.00%</c:formatCode>
                <c:ptCount val="13"/>
                <c:pt idx="0">
                  <c:v>2.2741916277551141E-4</c:v>
                </c:pt>
                <c:pt idx="1">
                  <c:v>5.481860325419755E-4</c:v>
                </c:pt>
                <c:pt idx="2">
                  <c:v>2.733253681921591E-4</c:v>
                </c:pt>
                <c:pt idx="3">
                  <c:v>2.9260593684894535E-4</c:v>
                </c:pt>
                <c:pt idx="4">
                  <c:v>3.3026156314934989E-4</c:v>
                </c:pt>
                <c:pt idx="5">
                  <c:v>3.4257120913843569E-6</c:v>
                </c:pt>
                <c:pt idx="6">
                  <c:v>1.9941033993256052E-4</c:v>
                </c:pt>
                <c:pt idx="7">
                  <c:v>2.6344149200614692E-4</c:v>
                </c:pt>
                <c:pt idx="8">
                  <c:v>7.6136181505945572E-5</c:v>
                </c:pt>
                <c:pt idx="9">
                  <c:v>2.3470501202172713E-4</c:v>
                </c:pt>
                <c:pt idx="10">
                  <c:v>-2.5201754907148445E-5</c:v>
                </c:pt>
                <c:pt idx="11">
                  <c:v>1.2890965294297247E-3</c:v>
                </c:pt>
                <c:pt idx="12">
                  <c:v>2.964468979503674E-3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C7-4E7B-BAD7-B3D7D59A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965112"/>
        <c:axId val="348965896"/>
      </c:barChart>
      <c:catAx>
        <c:axId val="348965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48965896"/>
        <c:crosses val="autoZero"/>
        <c:auto val="1"/>
        <c:lblAlgn val="ctr"/>
        <c:lblOffset val="100"/>
        <c:noMultiLvlLbl val="0"/>
      </c:catAx>
      <c:valAx>
        <c:axId val="3489658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</a:t>
                </a:r>
              </a:p>
            </c:rich>
          </c:tx>
          <c:layout>
            <c:manualLayout>
              <c:xMode val="edge"/>
              <c:yMode val="edge"/>
              <c:x val="0.46549516431366988"/>
              <c:y val="2.4182997818740885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348965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12870796810773"/>
          <c:y val="5.9970199687034369E-2"/>
          <c:w val="0.21886792452830189"/>
          <c:h val="0.875460876179076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71978</xdr:colOff>
      <xdr:row>66</xdr:row>
      <xdr:rowOff>3163</xdr:rowOff>
    </xdr:from>
    <xdr:to>
      <xdr:col>11</xdr:col>
      <xdr:colOff>495523</xdr:colOff>
      <xdr:row>92</xdr:row>
      <xdr:rowOff>101252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14</xdr:row>
      <xdr:rowOff>38099</xdr:rowOff>
    </xdr:from>
    <xdr:to>
      <xdr:col>12</xdr:col>
      <xdr:colOff>390526</xdr:colOff>
      <xdr:row>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1500745</xdr:colOff>
      <xdr:row>48</xdr:row>
      <xdr:rowOff>12603</xdr:rowOff>
    </xdr:from>
    <xdr:to>
      <xdr:col>9</xdr:col>
      <xdr:colOff>223444</xdr:colOff>
      <xdr:row>69</xdr:row>
      <xdr:rowOff>91887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214215</xdr:colOff>
      <xdr:row>37</xdr:row>
      <xdr:rowOff>114496</xdr:rowOff>
    </xdr:from>
    <xdr:to>
      <xdr:col>9</xdr:col>
      <xdr:colOff>591511</xdr:colOff>
      <xdr:row>69</xdr:row>
      <xdr:rowOff>116256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54</xdr:row>
      <xdr:rowOff>85725</xdr:rowOff>
    </xdr:from>
    <xdr:to>
      <xdr:col>9</xdr:col>
      <xdr:colOff>857250</xdr:colOff>
      <xdr:row>76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129"/>
  <sheetViews>
    <sheetView tabSelected="1" zoomScale="70" zoomScaleNormal="70" workbookViewId="0">
      <selection activeCell="A25" sqref="A25"/>
    </sheetView>
  </sheetViews>
  <sheetFormatPr defaultRowHeight="15" x14ac:dyDescent="0.25"/>
  <cols>
    <col min="1" max="1" width="24.7109375" customWidth="1"/>
    <col min="2" max="2" width="29.42578125" customWidth="1"/>
    <col min="8" max="8" width="12" bestFit="1" customWidth="1"/>
  </cols>
  <sheetData>
    <row r="3" spans="1:22" x14ac:dyDescent="0.25">
      <c r="B3" s="6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S3" s="12" t="s">
        <v>152</v>
      </c>
    </row>
    <row r="4" spans="1:22" x14ac:dyDescent="0.25"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25</v>
      </c>
      <c r="O4" s="6" t="s">
        <v>26</v>
      </c>
      <c r="P4" s="6" t="s">
        <v>25</v>
      </c>
      <c r="S4" s="6" t="s">
        <v>153</v>
      </c>
      <c r="T4" s="6" t="s">
        <v>154</v>
      </c>
      <c r="U4" s="6" t="s">
        <v>155</v>
      </c>
      <c r="V4" s="6"/>
    </row>
    <row r="5" spans="1:22" x14ac:dyDescent="0.25">
      <c r="B5" s="6" t="s">
        <v>27</v>
      </c>
      <c r="C5" s="6">
        <v>0</v>
      </c>
      <c r="D5" s="6">
        <v>8.4000000000000003E-4</v>
      </c>
      <c r="E5" s="6">
        <v>1.004E-2</v>
      </c>
      <c r="F5" s="6">
        <v>2.0000000000000001E-4</v>
      </c>
      <c r="G5" s="6">
        <v>1.3999999999999999E-4</v>
      </c>
      <c r="H5" s="6">
        <v>1.4700000000000001E-7</v>
      </c>
      <c r="I5" s="6">
        <v>1.1906699999999999</v>
      </c>
      <c r="J5" s="6">
        <v>5.0659999999999999E-5</v>
      </c>
      <c r="K5" s="6">
        <v>6.4606999999999997E-11</v>
      </c>
      <c r="L5" s="6">
        <v>7.1500000000000003E-5</v>
      </c>
      <c r="M5" s="6">
        <v>7.5789999999999998E-14</v>
      </c>
      <c r="N5" s="6">
        <v>2.9897999999999998E-14</v>
      </c>
      <c r="O5" s="6">
        <v>7.0289000000000002E-7</v>
      </c>
      <c r="P5" s="6">
        <v>1.6657E-6</v>
      </c>
    </row>
    <row r="6" spans="1:22" x14ac:dyDescent="0.25">
      <c r="B6" s="6" t="s">
        <v>29</v>
      </c>
      <c r="C6" s="6">
        <v>1.0386016850733627E-2</v>
      </c>
      <c r="D6" s="6">
        <v>0.30869000000000002</v>
      </c>
      <c r="E6" s="6">
        <v>5.89879</v>
      </c>
      <c r="F6" s="6">
        <v>0.10743999999999999</v>
      </c>
      <c r="G6" s="6">
        <v>0.13572000000000001</v>
      </c>
      <c r="H6" s="6">
        <v>3.5899999999999998E-5</v>
      </c>
      <c r="I6" s="6">
        <v>3.0799999999999998E-3</v>
      </c>
      <c r="J6" s="6">
        <v>1.8870000000000001E-2</v>
      </c>
      <c r="K6" s="6">
        <v>6.6540000000000004E-9</v>
      </c>
      <c r="L6" s="6">
        <v>8.0000000000000004E-4</v>
      </c>
      <c r="M6" s="6">
        <v>8.094E-12</v>
      </c>
      <c r="N6" s="6">
        <v>1.4583999999999999E-12</v>
      </c>
      <c r="O6" s="6">
        <v>3.8000000000000002E-4</v>
      </c>
      <c r="P6" s="6">
        <v>7.8949999999999995E-5</v>
      </c>
    </row>
    <row r="7" spans="1:22" x14ac:dyDescent="0.25">
      <c r="B7" s="6" t="s">
        <v>42</v>
      </c>
      <c r="C7" s="6">
        <v>7.9529373520454711E-3</v>
      </c>
      <c r="D7" s="6">
        <v>1.4449999999999999E-2</v>
      </c>
      <c r="E7" s="6">
        <v>0.26778999999999997</v>
      </c>
      <c r="F7" s="6">
        <v>4.3699999999999998E-3</v>
      </c>
      <c r="G7" s="6">
        <v>1.264E-2</v>
      </c>
      <c r="H7" s="6">
        <v>3.9500000000000003E-6</v>
      </c>
      <c r="I7" s="6">
        <v>7.6999999999999996E-4</v>
      </c>
      <c r="J7" s="6">
        <v>1.0399999999999999E-3</v>
      </c>
      <c r="K7" s="6">
        <v>1.3865400000000001E-9</v>
      </c>
      <c r="L7" s="6">
        <v>1.1100000000000001E-3</v>
      </c>
      <c r="M7" s="6">
        <v>9.3592499999999997E-13</v>
      </c>
      <c r="N7" s="6">
        <v>1.7282E-12</v>
      </c>
      <c r="O7" s="6">
        <v>6.0430999999999998E-5</v>
      </c>
      <c r="P7" s="6">
        <v>1.46066E-5</v>
      </c>
    </row>
    <row r="8" spans="1:22" x14ac:dyDescent="0.25">
      <c r="B8" s="6" t="s">
        <v>44</v>
      </c>
      <c r="C8" s="6">
        <v>5.5830603529229584E-4</v>
      </c>
      <c r="D8" s="6">
        <v>7.2300000000000021E-3</v>
      </c>
      <c r="E8" s="6">
        <v>4.8390000000000044E-2</v>
      </c>
      <c r="F8" s="6">
        <v>1.0700000000000006E-3</v>
      </c>
      <c r="G8" s="6">
        <v>1.2799999999999999E-3</v>
      </c>
      <c r="H8" s="6">
        <v>6.0605000000000001E-4</v>
      </c>
      <c r="I8" s="6">
        <v>1.0000000000000026E-5</v>
      </c>
      <c r="J8" s="6">
        <v>2.400000000000002E-4</v>
      </c>
      <c r="K8" s="6">
        <v>1.3368999999999998E-10</v>
      </c>
      <c r="L8" s="6">
        <v>2.1999999999999993E-4</v>
      </c>
      <c r="M8" s="6">
        <v>5.3843999999999987E-14</v>
      </c>
      <c r="N8" s="6">
        <v>3.2076999999999985E-13</v>
      </c>
      <c r="O8" s="6">
        <v>5.3425999999999986E-6</v>
      </c>
      <c r="P8" s="6">
        <v>1.7530999999999985E-6</v>
      </c>
    </row>
    <row r="9" spans="1:22" x14ac:dyDescent="0.25">
      <c r="B9" s="6" t="s">
        <v>45</v>
      </c>
      <c r="C9" s="6">
        <v>2.4279453589575814E-4</v>
      </c>
      <c r="D9" s="6">
        <v>4.7999999999999779E-4</v>
      </c>
      <c r="E9" s="6">
        <v>4.799999999999971E-3</v>
      </c>
      <c r="F9" s="6">
        <v>8.9999999999999802E-5</v>
      </c>
      <c r="G9" s="6">
        <v>8.000000000000021E-5</v>
      </c>
      <c r="H9" s="7">
        <f>0.0008-0.00078</f>
        <v>2.0000000000000052E-5</v>
      </c>
      <c r="I9" s="6">
        <v>2.0000000000000052E-5</v>
      </c>
      <c r="J9" s="8">
        <v>2.8E-5</v>
      </c>
      <c r="K9" s="6">
        <v>2.4459999999999934E-11</v>
      </c>
      <c r="L9" s="6">
        <v>1.0000000000000005E-4</v>
      </c>
      <c r="M9" s="6">
        <v>3.1161000000000012E-14</v>
      </c>
      <c r="N9" s="6">
        <v>2.4430000000000129E-14</v>
      </c>
      <c r="O9" s="6">
        <v>6.1130000000000548E-7</v>
      </c>
      <c r="P9" s="6">
        <v>4.6799999999999958E-7</v>
      </c>
    </row>
    <row r="10" spans="1:22" x14ac:dyDescent="0.25">
      <c r="B10" s="6" t="s">
        <v>46</v>
      </c>
      <c r="C10" s="6">
        <v>1.22607663454529E-2</v>
      </c>
      <c r="D10" s="6">
        <f>0.07097-0.02216</f>
        <v>4.8810000000000006E-2</v>
      </c>
      <c r="E10" s="6">
        <f>1.12246-0.32098</f>
        <v>0.80147999999999997</v>
      </c>
      <c r="F10" s="6">
        <f>0.02332-0.00553</f>
        <v>1.779E-2</v>
      </c>
      <c r="G10" s="6">
        <f>0.02267-0.014</f>
        <v>8.6699999999999989E-3</v>
      </c>
      <c r="H10" s="6">
        <f>0</f>
        <v>0</v>
      </c>
      <c r="I10" s="6">
        <f>0.00083-0.0008</f>
        <v>2.999999999999997E-5</v>
      </c>
      <c r="J10" s="6">
        <f>0.00575-0.0013</f>
        <v>4.45E-3</v>
      </c>
      <c r="K10" s="6">
        <f>0.00000000161715-0.00000000154469</f>
        <v>7.2459999999999975E-11</v>
      </c>
      <c r="L10" s="6">
        <f>0.00168-0.00143</f>
        <v>2.5000000000000001E-4</v>
      </c>
      <c r="M10" s="6">
        <f>0.00000000000134-0.00000000000102093</f>
        <v>3.1906999999999997E-13</v>
      </c>
      <c r="N10" s="6">
        <f>0.00000000000221048-0.0000000000020734</f>
        <v>1.3708000000000006E-13</v>
      </c>
      <c r="O10" s="6">
        <f>0.00012-0.0000663849</f>
        <v>5.3615100000000001E-5</v>
      </c>
      <c r="P10" s="6">
        <f>0.0000216215-0.000016827</f>
        <v>4.7944999999999996E-6</v>
      </c>
    </row>
    <row r="11" spans="1:22" x14ac:dyDescent="0.25">
      <c r="B11" s="6" t="s">
        <v>47</v>
      </c>
      <c r="C11" s="6">
        <v>7.2712350404597536E-3</v>
      </c>
      <c r="D11" s="6">
        <v>6.1490000000000003E-2</v>
      </c>
      <c r="E11" s="6">
        <v>1.0684100000000001</v>
      </c>
      <c r="F11" s="6">
        <v>1.5990000000000001E-2</v>
      </c>
      <c r="G11" s="6">
        <v>2.2509999999999999E-2</v>
      </c>
      <c r="H11" s="6">
        <v>2.3999999999999998E-4</v>
      </c>
      <c r="I11" s="6">
        <v>1.49E-3</v>
      </c>
      <c r="J11" s="6">
        <v>2.7300000000000007E-3</v>
      </c>
      <c r="K11" s="6">
        <v>4.0340800000000006E-9</v>
      </c>
      <c r="L11" s="6">
        <v>5.0899999999999999E-3</v>
      </c>
      <c r="M11" s="6">
        <v>2.2326800000000001E-12</v>
      </c>
      <c r="N11" s="6">
        <v>1.3263420000000001E-11</v>
      </c>
      <c r="O11" s="6">
        <v>1E-4</v>
      </c>
      <c r="P11" s="6">
        <v>1.2137299999999999E-4</v>
      </c>
    </row>
    <row r="12" spans="1:22" x14ac:dyDescent="0.25">
      <c r="B12" s="6" t="s">
        <v>30</v>
      </c>
      <c r="C12" s="6">
        <v>1.036943090205997E-3</v>
      </c>
      <c r="D12" s="6">
        <v>2.8500000000000001E-3</v>
      </c>
      <c r="E12" s="6">
        <v>5.8540000000000002E-2</v>
      </c>
      <c r="F12" s="6">
        <v>8.1999999999999998E-4</v>
      </c>
      <c r="G12" s="6">
        <v>7.2999999999999996E-4</v>
      </c>
      <c r="H12" s="6">
        <v>7.5799999999999998E-7</v>
      </c>
      <c r="I12" s="6">
        <v>3.9799999999999998E-5</v>
      </c>
      <c r="J12" s="6">
        <v>1.3999999999999999E-4</v>
      </c>
      <c r="K12" s="6">
        <v>1.7879999999999999E-10</v>
      </c>
      <c r="L12" s="6">
        <v>2.5000000000000001E-4</v>
      </c>
      <c r="M12" s="6">
        <v>4.1805999999999999E-13</v>
      </c>
      <c r="N12" s="6">
        <v>1.7199999999999999E-12</v>
      </c>
      <c r="O12" s="6">
        <v>3.3025999999999999E-6</v>
      </c>
      <c r="P12" s="6">
        <v>2.5679E-6</v>
      </c>
    </row>
    <row r="13" spans="1:22" x14ac:dyDescent="0.25">
      <c r="B13" s="6" t="s">
        <v>43</v>
      </c>
      <c r="C13" s="6">
        <v>2.9523491838876329E-3</v>
      </c>
      <c r="D13" s="6">
        <v>1.9599999999999999E-2</v>
      </c>
      <c r="E13" s="6">
        <v>0.37885999999999997</v>
      </c>
      <c r="F13" s="6">
        <v>6.0400000000000002E-3</v>
      </c>
      <c r="G13" s="6">
        <v>3.107E-2</v>
      </c>
      <c r="H13" s="6">
        <v>5.9795400000000004E-6</v>
      </c>
      <c r="I13" s="6">
        <v>2.0699999999999998E-3</v>
      </c>
      <c r="J13" s="6">
        <v>1.6900000000000001E-3</v>
      </c>
      <c r="K13" s="6">
        <v>1.8035800000000001E-9</v>
      </c>
      <c r="L13" s="6">
        <v>2.9299999999999999E-3</v>
      </c>
      <c r="M13" s="6">
        <v>7.1928999999999996E-13</v>
      </c>
      <c r="N13" s="6">
        <v>7.4478500000000004E-12</v>
      </c>
      <c r="O13" s="6">
        <v>1.1E-4</v>
      </c>
      <c r="P13" s="6">
        <v>3.2177900000000002E-5</v>
      </c>
    </row>
    <row r="14" spans="1:22" x14ac:dyDescent="0.25">
      <c r="B14" s="6" t="s">
        <v>48</v>
      </c>
      <c r="C14" s="6">
        <v>2.0299340561094763E-2</v>
      </c>
      <c r="D14" s="6">
        <v>0.61529</v>
      </c>
      <c r="E14" s="6">
        <v>11.790140000000001</v>
      </c>
      <c r="F14" s="6">
        <v>0.21595</v>
      </c>
      <c r="G14" s="6">
        <v>0.26819999999999999</v>
      </c>
      <c r="H14" s="6">
        <v>7.3580460000000002E-5</v>
      </c>
      <c r="I14" s="6">
        <v>6.0600000000000003E-3</v>
      </c>
      <c r="J14" s="6">
        <v>3.8390000000000001E-2</v>
      </c>
      <c r="K14" s="6">
        <v>1.3378420000000001E-8</v>
      </c>
      <c r="L14" s="6">
        <v>2.5000000000000001E-2</v>
      </c>
      <c r="M14" s="6">
        <v>1.6476010000000001E-11</v>
      </c>
      <c r="N14" s="6">
        <v>5.7501499999999989E-12</v>
      </c>
      <c r="O14" s="6">
        <v>7.6000000000000004E-4</v>
      </c>
      <c r="P14" s="6">
        <v>1.8782210000000001E-4</v>
      </c>
    </row>
    <row r="15" spans="1:22" x14ac:dyDescent="0.25">
      <c r="B15" s="6" t="s">
        <v>49</v>
      </c>
      <c r="C15" s="6">
        <v>1.790520560217362E-2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22" x14ac:dyDescent="0.25">
      <c r="A16" s="1"/>
      <c r="B16" s="14" t="s">
        <v>28</v>
      </c>
      <c r="C16" s="15">
        <v>3.5001821119161204E-2</v>
      </c>
      <c r="D16" s="15">
        <v>1.3431881499999999E-2</v>
      </c>
      <c r="E16" s="15">
        <v>0.22599</v>
      </c>
      <c r="F16" s="15">
        <v>4.6899999999999997E-3</v>
      </c>
      <c r="G16" s="15">
        <v>6.5799999999999999E-3</v>
      </c>
      <c r="H16" s="15">
        <v>5.1187300000000002E-6</v>
      </c>
      <c r="I16" s="15">
        <v>5.8100000000000003E-5</v>
      </c>
      <c r="J16" s="15">
        <v>2.82E-3</v>
      </c>
      <c r="K16" s="15">
        <v>1.8990000000000001E-10</v>
      </c>
      <c r="L16" s="15">
        <v>2.5999999999999998E-4</v>
      </c>
      <c r="M16" s="15">
        <v>2.6576999999999999E-13</v>
      </c>
      <c r="N16" s="15">
        <v>2.05335E-13</v>
      </c>
      <c r="O16" s="15">
        <v>1.2755700000000001E-5</v>
      </c>
      <c r="P16" s="15">
        <v>4.4449999999999998E-6</v>
      </c>
      <c r="S16" s="15" t="s">
        <v>153</v>
      </c>
      <c r="T16" s="15" t="s">
        <v>157</v>
      </c>
      <c r="U16" s="15" t="s">
        <v>156</v>
      </c>
      <c r="V16" s="15"/>
    </row>
    <row r="17" spans="1:16" x14ac:dyDescent="0.25">
      <c r="A17" s="1"/>
      <c r="B17" s="14" t="s">
        <v>31</v>
      </c>
      <c r="C17" s="15">
        <v>4.0533153862274303E-3</v>
      </c>
      <c r="D17" s="15">
        <v>5.3039999999999997E-2</v>
      </c>
      <c r="E17" s="15">
        <v>1.0257753222936001</v>
      </c>
      <c r="F17" s="15">
        <v>1.8691561174928002E-2</v>
      </c>
      <c r="G17" s="15">
        <v>2.3581864865760003E-2</v>
      </c>
      <c r="H17" s="15">
        <v>6.2578381733600008E-6</v>
      </c>
      <c r="I17" s="15">
        <v>5.3120356187587997E-4</v>
      </c>
      <c r="J17" s="15">
        <v>3.287633830204E-3</v>
      </c>
      <c r="K17" s="15">
        <v>1.1615372031999999E-9</v>
      </c>
      <c r="L17" s="15">
        <v>3.3850011272000004E-4</v>
      </c>
      <c r="M17" s="15">
        <v>1.4241321746955999E-12</v>
      </c>
      <c r="N17" s="15">
        <v>3.9281798800000007E-13</v>
      </c>
      <c r="O17" s="15">
        <v>6.6214947526799996E-5</v>
      </c>
      <c r="P17" s="15">
        <v>1.4164388047759998E-5</v>
      </c>
    </row>
    <row r="18" spans="1:16" x14ac:dyDescent="0.25">
      <c r="A18" s="1"/>
      <c r="B18" s="14" t="s">
        <v>32</v>
      </c>
      <c r="C18" s="15">
        <v>1.9471998208508829E-3</v>
      </c>
      <c r="D18" s="15">
        <v>4.0200000000000001E-3</v>
      </c>
      <c r="E18" s="15">
        <v>5.8119999999999998E-2</v>
      </c>
      <c r="F18" s="15">
        <v>1.34E-3</v>
      </c>
      <c r="G18" s="15">
        <v>2.7399999999999998E-3</v>
      </c>
      <c r="H18" s="15">
        <v>3.0025000000000001E-6</v>
      </c>
      <c r="I18" s="15">
        <v>1.54588E-6</v>
      </c>
      <c r="J18" s="15">
        <v>1.67E-3</v>
      </c>
      <c r="K18" s="15">
        <v>2.9698E-11</v>
      </c>
      <c r="L18" s="15">
        <v>4.023E-7</v>
      </c>
      <c r="M18" s="15">
        <v>7.3087700000000005E-14</v>
      </c>
      <c r="N18" s="15">
        <v>1.1445700000000001E-13</v>
      </c>
      <c r="O18" s="15">
        <v>3.8199999999999998E-6</v>
      </c>
      <c r="P18" s="15">
        <v>1.5437900000000001E-6</v>
      </c>
    </row>
    <row r="19" spans="1:16" x14ac:dyDescent="0.25">
      <c r="A19" s="1"/>
      <c r="B19" s="14" t="s">
        <v>33</v>
      </c>
      <c r="C19" s="15">
        <v>3.2220313086068593E-5</v>
      </c>
      <c r="D19" s="15">
        <v>1.1400000000000002E-3</v>
      </c>
      <c r="E19" s="15">
        <v>2.1579163319999997E-2</v>
      </c>
      <c r="F19" s="15">
        <v>4.2903370966399998E-4</v>
      </c>
      <c r="G19" s="15">
        <v>3.90411922116E-4</v>
      </c>
      <c r="H19" s="15">
        <v>3.4054555559999996E-7</v>
      </c>
      <c r="I19" s="15">
        <v>1.6969129445600001E-5</v>
      </c>
      <c r="J19" s="15">
        <v>1.171887152E-4</v>
      </c>
      <c r="K19" s="15">
        <v>1.4517886279999999E-10</v>
      </c>
      <c r="L19" s="15">
        <v>3.2500614916000002E-4</v>
      </c>
      <c r="M19" s="15">
        <v>5.2131699380000001E-14</v>
      </c>
      <c r="N19" s="15">
        <v>6.9416631600000009E-14</v>
      </c>
      <c r="O19" s="15">
        <v>1.8283646679999999E-6</v>
      </c>
      <c r="P19" s="15">
        <v>1.568181112E-6</v>
      </c>
    </row>
    <row r="20" spans="1:16" x14ac:dyDescent="0.25">
      <c r="A20" s="1"/>
      <c r="B20" s="14" t="s">
        <v>34</v>
      </c>
      <c r="C20" s="15">
        <v>1.0467739285604444E-3</v>
      </c>
      <c r="D20" s="15">
        <v>1.218E-2</v>
      </c>
      <c r="E20" s="15">
        <v>0.19759579999999999</v>
      </c>
      <c r="F20" s="15">
        <v>3.4472253316E-3</v>
      </c>
      <c r="G20" s="15">
        <v>3.7420854376000001E-3</v>
      </c>
      <c r="H20" s="15">
        <v>1.79767356E-6</v>
      </c>
      <c r="I20" s="15">
        <v>1.4158396959999998E-4</v>
      </c>
      <c r="J20" s="15">
        <v>6.6206082988000013E-4</v>
      </c>
      <c r="K20" s="15">
        <v>4.6188424720000001E-10</v>
      </c>
      <c r="L20" s="15">
        <v>2.9006716000000003E-3</v>
      </c>
      <c r="M20" s="15">
        <v>5.2138151388000001E-13</v>
      </c>
      <c r="N20" s="15">
        <v>9.7299491920000008E-13</v>
      </c>
      <c r="O20" s="15">
        <v>1.6402568800000003E-5</v>
      </c>
      <c r="P20" s="15">
        <v>7.6094573600000001E-6</v>
      </c>
    </row>
    <row r="21" spans="1:16" x14ac:dyDescent="0.25">
      <c r="A21" s="1"/>
      <c r="B21" s="14" t="s">
        <v>35</v>
      </c>
      <c r="C21" s="15">
        <v>5.0779213423644105E-4</v>
      </c>
      <c r="D21" s="15">
        <v>7.9000000000000008E-3</v>
      </c>
      <c r="E21" s="15">
        <v>0.13988012757599999</v>
      </c>
      <c r="F21" s="15">
        <v>2.5641114950720003E-3</v>
      </c>
      <c r="G21" s="15">
        <v>3.1280571845879999E-3</v>
      </c>
      <c r="H21" s="15">
        <v>9.5866758872000001E-7</v>
      </c>
      <c r="I21" s="15">
        <v>8.3394155879999997E-5</v>
      </c>
      <c r="J21" s="15">
        <v>4.7196911084000003E-4</v>
      </c>
      <c r="K21" s="15">
        <v>2.052122696E-10</v>
      </c>
      <c r="L21" s="15">
        <v>8.6690273480000005E-4</v>
      </c>
      <c r="M21" s="15">
        <v>2.6692227E-13</v>
      </c>
      <c r="N21" s="15">
        <v>1.8579460392000003E-13</v>
      </c>
      <c r="O21" s="15">
        <v>1.0289811916799999E-5</v>
      </c>
      <c r="P21" s="15">
        <v>3.0623896720000003E-6</v>
      </c>
    </row>
    <row r="22" spans="1:16" x14ac:dyDescent="0.25">
      <c r="A22" s="1"/>
      <c r="B22" s="14" t="s">
        <v>36</v>
      </c>
      <c r="C22" s="15">
        <v>1.9617581144265293E-2</v>
      </c>
      <c r="D22" s="15">
        <v>5.6765370000000002E-2</v>
      </c>
      <c r="E22" s="15">
        <v>1.2420583752523999</v>
      </c>
      <c r="F22" s="15">
        <v>2.4522229699399999E-2</v>
      </c>
      <c r="G22" s="15">
        <v>1.9969161601599998E-2</v>
      </c>
      <c r="H22" s="15">
        <v>5.9495570928280005E-6</v>
      </c>
      <c r="I22" s="15">
        <v>4.4407390256000001E-4</v>
      </c>
      <c r="J22" s="15">
        <v>2.9798431687999998E-3</v>
      </c>
      <c r="K22" s="15">
        <v>1.08218250524E-9</v>
      </c>
      <c r="L22" s="15">
        <v>9.21599936E-4</v>
      </c>
      <c r="M22" s="15">
        <v>1.21720965324E-12</v>
      </c>
      <c r="N22" s="15">
        <v>1.4152414108399999E-12</v>
      </c>
      <c r="O22" s="15">
        <v>5.8991625663999998E-5</v>
      </c>
      <c r="P22" s="15">
        <v>1.4062108591999999E-4</v>
      </c>
    </row>
    <row r="23" spans="1:16" x14ac:dyDescent="0.25">
      <c r="A23" s="1"/>
      <c r="B23" s="14" t="s">
        <v>37</v>
      </c>
      <c r="C23" s="15">
        <v>1.4402479949472661E-2</v>
      </c>
      <c r="D23" s="15">
        <v>0.29046802001369637</v>
      </c>
      <c r="E23" s="15">
        <v>3.6658989200000005</v>
      </c>
      <c r="F23" s="15">
        <v>6.6810964276599993E-2</v>
      </c>
      <c r="G23" s="15">
        <v>8.4142393203999993E-2</v>
      </c>
      <c r="H23" s="15">
        <v>2.2581089076839999E-5</v>
      </c>
      <c r="I23" s="15">
        <v>1.9391994693999999E-3</v>
      </c>
      <c r="J23" s="15">
        <v>1.1788115306976E-2</v>
      </c>
      <c r="K23" s="15">
        <v>4.2444814280000003E-9</v>
      </c>
      <c r="L23" s="15">
        <v>2.5782692840000008E-3</v>
      </c>
      <c r="M23" s="15">
        <v>5.2111296952000002E-12</v>
      </c>
      <c r="N23" s="15">
        <v>1.6915652043200001E-12</v>
      </c>
      <c r="O23" s="15">
        <v>2.3507008753160001E-4</v>
      </c>
      <c r="P23" s="15">
        <v>5.2479676800000006E-5</v>
      </c>
    </row>
    <row r="24" spans="1:16" x14ac:dyDescent="0.25">
      <c r="A24" s="1"/>
      <c r="B24" s="14" t="s">
        <v>38</v>
      </c>
      <c r="C24" s="15">
        <v>4.6488832231416262E-3</v>
      </c>
      <c r="D24" s="15">
        <v>0.50498063406292626</v>
      </c>
      <c r="E24" s="15">
        <v>0.96824937899588004</v>
      </c>
      <c r="F24" s="15">
        <v>2.1164636593264001E-2</v>
      </c>
      <c r="G24" s="15">
        <v>6.4831178969475996E-3</v>
      </c>
      <c r="H24" s="15">
        <v>7.3125299581547998E-6</v>
      </c>
      <c r="I24" s="15">
        <v>6.9479099470279998E-5</v>
      </c>
      <c r="J24" s="15">
        <v>1.8361737519480001E-3</v>
      </c>
      <c r="K24" s="15">
        <v>3.4785635124000004E-10</v>
      </c>
      <c r="L24" s="15">
        <v>2.4036367880000002E-4</v>
      </c>
      <c r="M24" s="15">
        <v>4.5913321156680004E-13</v>
      </c>
      <c r="N24" s="15">
        <v>1.9252255456000002E-13</v>
      </c>
      <c r="O24" s="15">
        <v>2.83828626256E-5</v>
      </c>
      <c r="P24" s="15">
        <v>7.3571049184399994E-6</v>
      </c>
    </row>
    <row r="25" spans="1:16" x14ac:dyDescent="0.25">
      <c r="A25" s="1"/>
      <c r="B25" s="14" t="s">
        <v>39</v>
      </c>
      <c r="C25" s="15">
        <v>2.7663386162041855E-3</v>
      </c>
      <c r="D25" s="15">
        <v>1.21437999E-2</v>
      </c>
      <c r="E25" s="15">
        <v>0.23964552992456001</v>
      </c>
      <c r="F25" s="15">
        <v>3.6836701967120004E-3</v>
      </c>
      <c r="G25" s="15">
        <v>2.9105993558079602E-3</v>
      </c>
      <c r="H25" s="15">
        <v>3.0250177450915636E-6</v>
      </c>
      <c r="I25" s="15">
        <v>1.3000566056654798E-4</v>
      </c>
      <c r="J25" s="15">
        <v>6.3011269551383994E-4</v>
      </c>
      <c r="K25" s="15">
        <v>9.8962355126228013E-10</v>
      </c>
      <c r="L25" s="15">
        <v>1.5100014729736841E-3</v>
      </c>
      <c r="M25" s="15">
        <v>5.6772951844351996E-13</v>
      </c>
      <c r="N25" s="15">
        <v>3.84401754304552E-12</v>
      </c>
      <c r="O25" s="15">
        <v>1.3682206960391999E-5</v>
      </c>
      <c r="P25" s="15">
        <v>1.5064797142821119E-5</v>
      </c>
    </row>
    <row r="26" spans="1:16" x14ac:dyDescent="0.25">
      <c r="A26" s="1"/>
      <c r="B26" s="14" t="s">
        <v>40</v>
      </c>
      <c r="C26" s="15">
        <v>0</v>
      </c>
      <c r="D26" s="15">
        <v>7.0951599999999993E-5</v>
      </c>
      <c r="E26" s="15">
        <v>1.1993408800000001E-3</v>
      </c>
      <c r="F26" s="15">
        <v>2.5223142560000004E-5</v>
      </c>
      <c r="G26" s="15">
        <v>2.6581514984000002E-5</v>
      </c>
      <c r="H26" s="15">
        <v>9.9800154689869865E-3</v>
      </c>
      <c r="I26" s="15">
        <v>3.0809059500000004E-7</v>
      </c>
      <c r="J26" s="15">
        <v>8.1779726039999996E-6</v>
      </c>
      <c r="K26" s="15">
        <v>1.2564027320000001E-12</v>
      </c>
      <c r="L26" s="15">
        <v>4.7981296188000001E-6</v>
      </c>
      <c r="M26" s="15">
        <v>1.0215531240000001E-15</v>
      </c>
      <c r="N26" s="15">
        <v>4.3952937360000005E-16</v>
      </c>
      <c r="O26" s="15">
        <v>8.4788645120000006E-8</v>
      </c>
      <c r="P26" s="15">
        <v>2.6428559396000003E-8</v>
      </c>
    </row>
    <row r="27" spans="1:16" x14ac:dyDescent="0.25">
      <c r="A27" s="1"/>
      <c r="B27" s="14" t="s">
        <v>41</v>
      </c>
      <c r="C27" s="15">
        <v>2.1032557115700363E-2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x14ac:dyDescent="0.25">
      <c r="B28" s="14" t="s">
        <v>50</v>
      </c>
      <c r="C28" s="15">
        <f>SUM(C5:C27)</f>
        <v>0.18592285734814842</v>
      </c>
      <c r="D28" s="15">
        <f t="shared" ref="D28:P28" si="0">SUM(D5:D27)</f>
        <v>2.035870657076623</v>
      </c>
      <c r="E28" s="15">
        <f t="shared" si="0"/>
        <v>28.113231958242434</v>
      </c>
      <c r="F28" s="15">
        <f t="shared" si="0"/>
        <v>0.51712865561980004</v>
      </c>
      <c r="G28" s="15">
        <f t="shared" si="0"/>
        <v>0.63473427298340346</v>
      </c>
      <c r="H28" s="15">
        <f t="shared" si="0"/>
        <v>1.1022724617737581E-2</v>
      </c>
      <c r="I28" s="15">
        <f t="shared" si="0"/>
        <v>1.2076556629193929</v>
      </c>
      <c r="J28" s="15">
        <f t="shared" si="0"/>
        <v>9.3899935381965866E-2</v>
      </c>
      <c r="K28" s="15">
        <f t="shared" si="0"/>
        <v>3.6589447821274276E-8</v>
      </c>
      <c r="L28" s="15">
        <f t="shared" si="0"/>
        <v>4.5768015398072501E-2</v>
      </c>
      <c r="M28" s="15">
        <f t="shared" si="0"/>
        <v>3.9415478989529915E-11</v>
      </c>
      <c r="N28" s="15">
        <f t="shared" si="0"/>
        <v>4.0964800384859123E-11</v>
      </c>
      <c r="O28" s="15">
        <f t="shared" si="0"/>
        <v>1.9215284543383122E-3</v>
      </c>
      <c r="P28" s="15">
        <f t="shared" si="0"/>
        <v>6.9412109953241705E-4</v>
      </c>
    </row>
    <row r="29" spans="1:16" x14ac:dyDescent="0.25">
      <c r="B29" s="14" t="s">
        <v>99</v>
      </c>
      <c r="C29" s="15">
        <f>SUM(C5:C15)</f>
        <v>8.0865894597241819E-2</v>
      </c>
      <c r="D29" s="15">
        <f t="shared" ref="D29:O29" si="1">SUM(D5:D15)</f>
        <v>1.0797300000000001</v>
      </c>
      <c r="E29" s="15">
        <f t="shared" si="1"/>
        <v>20.327240000000003</v>
      </c>
      <c r="F29" s="15">
        <f t="shared" si="1"/>
        <v>0.36975999999999998</v>
      </c>
      <c r="G29" s="15">
        <f t="shared" si="1"/>
        <v>0.48104000000000002</v>
      </c>
      <c r="H29" s="15">
        <f t="shared" si="1"/>
        <v>9.8636500000000011E-4</v>
      </c>
      <c r="I29" s="15">
        <f t="shared" si="1"/>
        <v>1.2042397999999996</v>
      </c>
      <c r="J29" s="15">
        <f t="shared" si="1"/>
        <v>6.7628660000000007E-2</v>
      </c>
      <c r="K29" s="15">
        <f t="shared" si="1"/>
        <v>2.7730637000000002E-8</v>
      </c>
      <c r="L29" s="15">
        <f t="shared" si="1"/>
        <v>3.5821500000000006E-2</v>
      </c>
      <c r="M29" s="15">
        <f t="shared" si="1"/>
        <v>2.9355829999999999E-11</v>
      </c>
      <c r="N29" s="15">
        <f t="shared" si="1"/>
        <v>3.1880198000000002E-11</v>
      </c>
      <c r="O29" s="15">
        <f t="shared" si="1"/>
        <v>1.4740054900000002E-3</v>
      </c>
      <c r="P29" s="15">
        <f>SUM(P5:P15)</f>
        <v>4.4617880000000004E-4</v>
      </c>
    </row>
    <row r="30" spans="1:16" x14ac:dyDescent="0.25">
      <c r="B30" s="1"/>
    </row>
    <row r="33" spans="2:22" x14ac:dyDescent="0.25">
      <c r="B33" s="4" t="s">
        <v>14</v>
      </c>
      <c r="C33" s="4" t="s">
        <v>0</v>
      </c>
      <c r="D33" s="4" t="s">
        <v>1</v>
      </c>
      <c r="E33" s="4" t="s">
        <v>2</v>
      </c>
      <c r="F33" s="4" t="s">
        <v>3</v>
      </c>
      <c r="G33" s="4" t="s">
        <v>4</v>
      </c>
      <c r="H33" s="4" t="s">
        <v>5</v>
      </c>
      <c r="I33" s="4" t="s">
        <v>6</v>
      </c>
      <c r="J33" s="4" t="s">
        <v>7</v>
      </c>
      <c r="K33" s="4" t="s">
        <v>8</v>
      </c>
      <c r="L33" s="4" t="s">
        <v>9</v>
      </c>
      <c r="M33" s="4" t="s">
        <v>10</v>
      </c>
      <c r="N33" s="4" t="s">
        <v>11</v>
      </c>
      <c r="O33" s="4" t="s">
        <v>12</v>
      </c>
      <c r="P33" s="4" t="s">
        <v>13</v>
      </c>
      <c r="S33" s="4" t="s">
        <v>166</v>
      </c>
      <c r="T33" s="4"/>
      <c r="U33" s="4"/>
      <c r="V33" s="4"/>
    </row>
    <row r="34" spans="2:22" x14ac:dyDescent="0.25">
      <c r="B34" s="4" t="s">
        <v>27</v>
      </c>
      <c r="C34" s="9">
        <f>C5/$C$28</f>
        <v>0</v>
      </c>
      <c r="D34" s="9">
        <f>D5/$D$28</f>
        <v>4.1259988549871096E-4</v>
      </c>
      <c r="E34" s="9">
        <f>E5/$E$28</f>
        <v>3.5712720668021249E-4</v>
      </c>
      <c r="F34" s="9">
        <f>F5/$F$28</f>
        <v>3.8675095225634278E-4</v>
      </c>
      <c r="G34" s="9">
        <f>G5/$G$28</f>
        <v>2.2056474017381538E-4</v>
      </c>
      <c r="H34" s="9">
        <f>H5/$H$28</f>
        <v>1.3336085686423672E-5</v>
      </c>
      <c r="I34" s="9">
        <f>I5/$I$28</f>
        <v>0.98593501157579</v>
      </c>
      <c r="J34" s="9">
        <f>J5/$J$28</f>
        <v>5.3951048841434672E-4</v>
      </c>
      <c r="K34" s="9">
        <f>K5/$K$28</f>
        <v>1.7657276577547972E-3</v>
      </c>
      <c r="L34" s="9">
        <f>L5/$L$28</f>
        <v>1.5622263578204266E-3</v>
      </c>
      <c r="M34" s="9">
        <f>M5/$M$28</f>
        <v>1.9228486356878318E-3</v>
      </c>
      <c r="N34" s="9">
        <f>N5/$N$28</f>
        <v>7.2984610492696331E-4</v>
      </c>
      <c r="O34" s="9">
        <f>O5/$O$28</f>
        <v>3.6579734138885995E-4</v>
      </c>
      <c r="P34" s="9">
        <f>P5/$P$28</f>
        <v>2.3997253521353414E-3</v>
      </c>
    </row>
    <row r="35" spans="2:22" x14ac:dyDescent="0.25">
      <c r="B35" s="4" t="s">
        <v>29</v>
      </c>
      <c r="C35" s="9">
        <f t="shared" ref="C35:C41" si="2">C6/$C$28</f>
        <v>5.5861968769581521E-2</v>
      </c>
      <c r="D35" s="9">
        <f t="shared" ref="D35:D41" si="3">D6/$D$28</f>
        <v>0.15162554601737749</v>
      </c>
      <c r="E35" s="9">
        <f t="shared" ref="E35:E41" si="4">E6/$E$28</f>
        <v>0.20982254935190942</v>
      </c>
      <c r="F35" s="9">
        <f t="shared" ref="F35:F41" si="5">F6/$F$28</f>
        <v>0.20776261155210732</v>
      </c>
      <c r="G35" s="9">
        <f t="shared" ref="G35:G41" si="6">G6/$G$28</f>
        <v>0.2138217609742159</v>
      </c>
      <c r="H35" s="9">
        <f t="shared" ref="H35:H41" si="7">H6/$H$28</f>
        <v>3.2569080009701348E-3</v>
      </c>
      <c r="I35" s="9">
        <f t="shared" ref="I35:I41" si="8">I6/$I$28</f>
        <v>2.5503958575032824E-3</v>
      </c>
      <c r="J35" s="9">
        <f t="shared" ref="J35:J41" si="9">J6/$J$28</f>
        <v>0.20095860474494123</v>
      </c>
      <c r="K35" s="9">
        <f t="shared" ref="K35:K41" si="10">K6/$K$28</f>
        <v>0.18185570967078524</v>
      </c>
      <c r="L35" s="9">
        <f t="shared" ref="L35:L41" si="11">L6/$L$28</f>
        <v>1.7479455751836941E-2</v>
      </c>
      <c r="M35" s="9">
        <f t="shared" ref="M35:M41" si="12">M6/$M$28</f>
        <v>0.20535079637494802</v>
      </c>
      <c r="N35" s="9">
        <f t="shared" ref="N35:N41" si="13">N6/$N$28</f>
        <v>3.5601296388570583E-2</v>
      </c>
      <c r="O35" s="9">
        <f t="shared" ref="O35:O41" si="14">O6/$O$28</f>
        <v>0.19775923647763774</v>
      </c>
      <c r="P35" s="9">
        <f t="shared" ref="P35:P41" si="15">P6/$P$28</f>
        <v>0.11374095968726974</v>
      </c>
    </row>
    <row r="36" spans="2:22" x14ac:dyDescent="0.25">
      <c r="B36" s="4" t="s">
        <v>42</v>
      </c>
      <c r="C36" s="9">
        <f t="shared" si="2"/>
        <v>4.2775468629729904E-2</v>
      </c>
      <c r="D36" s="9">
        <f t="shared" si="3"/>
        <v>7.0977004112575863E-3</v>
      </c>
      <c r="E36" s="9">
        <f t="shared" si="4"/>
        <v>9.5254078363440318E-3</v>
      </c>
      <c r="F36" s="9">
        <f t="shared" si="5"/>
        <v>8.4505083068010887E-3</v>
      </c>
      <c r="G36" s="9">
        <f t="shared" si="6"/>
        <v>1.9913845112835907E-2</v>
      </c>
      <c r="H36" s="9">
        <f t="shared" si="7"/>
        <v>3.5835060177805107E-4</v>
      </c>
      <c r="I36" s="9">
        <f t="shared" si="8"/>
        <v>6.3759896437582059E-4</v>
      </c>
      <c r="J36" s="9">
        <f t="shared" si="9"/>
        <v>1.1075619975343872E-2</v>
      </c>
      <c r="K36" s="9">
        <f t="shared" si="10"/>
        <v>3.7894531963770746E-2</v>
      </c>
      <c r="L36" s="9">
        <f t="shared" si="11"/>
        <v>2.4252744855673757E-2</v>
      </c>
      <c r="M36" s="9">
        <f t="shared" si="12"/>
        <v>2.3745112935164719E-2</v>
      </c>
      <c r="N36" s="9">
        <f t="shared" si="13"/>
        <v>4.2187438575649813E-2</v>
      </c>
      <c r="O36" s="9">
        <f t="shared" si="14"/>
        <v>3.1449443209421384E-2</v>
      </c>
      <c r="P36" s="9">
        <f t="shared" si="15"/>
        <v>2.1043302112325198E-2</v>
      </c>
    </row>
    <row r="37" spans="2:22" x14ac:dyDescent="0.25">
      <c r="B37" s="4" t="s">
        <v>44</v>
      </c>
      <c r="C37" s="9">
        <f t="shared" si="2"/>
        <v>3.002890786294469E-3</v>
      </c>
      <c r="D37" s="9">
        <f t="shared" si="3"/>
        <v>3.5513061573281914E-3</v>
      </c>
      <c r="E37" s="9">
        <f t="shared" si="4"/>
        <v>1.721253538969671E-3</v>
      </c>
      <c r="F37" s="9">
        <f t="shared" si="5"/>
        <v>2.0691175945714351E-3</v>
      </c>
      <c r="G37" s="9">
        <f t="shared" si="6"/>
        <v>2.0165919101605978E-3</v>
      </c>
      <c r="H37" s="9">
        <f t="shared" si="7"/>
        <v>5.4981868913313379E-2</v>
      </c>
      <c r="I37" s="9">
        <f t="shared" si="8"/>
        <v>8.2805060308548348E-6</v>
      </c>
      <c r="J37" s="9">
        <f t="shared" si="9"/>
        <v>2.5559123020024344E-3</v>
      </c>
      <c r="K37" s="9">
        <f t="shared" si="10"/>
        <v>3.6537856666497255E-3</v>
      </c>
      <c r="L37" s="9">
        <f t="shared" si="11"/>
        <v>4.8068503317551569E-3</v>
      </c>
      <c r="M37" s="9">
        <f t="shared" si="12"/>
        <v>1.3660623029420186E-3</v>
      </c>
      <c r="N37" s="9">
        <f t="shared" si="13"/>
        <v>7.8303811317620552E-3</v>
      </c>
      <c r="O37" s="9">
        <f t="shared" si="14"/>
        <v>2.7803907810669132E-3</v>
      </c>
      <c r="P37" s="9">
        <f t="shared" si="15"/>
        <v>2.525639980085528E-3</v>
      </c>
    </row>
    <row r="38" spans="2:22" x14ac:dyDescent="0.25">
      <c r="B38" s="4" t="s">
        <v>45</v>
      </c>
      <c r="C38" s="9">
        <f t="shared" si="2"/>
        <v>1.3058885785146637E-3</v>
      </c>
      <c r="D38" s="9">
        <f t="shared" si="3"/>
        <v>2.3577136314211945E-4</v>
      </c>
      <c r="E38" s="9">
        <f t="shared" si="4"/>
        <v>1.7073810677938341E-4</v>
      </c>
      <c r="F38" s="9">
        <f t="shared" si="5"/>
        <v>1.7403792851535387E-4</v>
      </c>
      <c r="G38" s="9">
        <f t="shared" si="6"/>
        <v>1.2603699438503771E-4</v>
      </c>
      <c r="H38" s="9">
        <f t="shared" si="7"/>
        <v>1.8144334267243139E-3</v>
      </c>
      <c r="I38" s="9">
        <f t="shared" si="8"/>
        <v>1.656101206170967E-5</v>
      </c>
      <c r="J38" s="9">
        <f t="shared" si="9"/>
        <v>2.981897685669504E-4</v>
      </c>
      <c r="K38" s="9">
        <f t="shared" si="10"/>
        <v>6.6849874640026972E-4</v>
      </c>
      <c r="L38" s="9">
        <f t="shared" si="11"/>
        <v>2.1849319689796185E-3</v>
      </c>
      <c r="M38" s="9">
        <f t="shared" si="12"/>
        <v>7.9057773237456853E-4</v>
      </c>
      <c r="N38" s="9">
        <f t="shared" si="13"/>
        <v>5.9636565467140971E-4</v>
      </c>
      <c r="O38" s="9">
        <f t="shared" si="14"/>
        <v>3.1813216120731849E-4</v>
      </c>
      <c r="P38" s="9">
        <f t="shared" si="15"/>
        <v>6.7423393456164909E-4</v>
      </c>
    </row>
    <row r="39" spans="2:22" x14ac:dyDescent="0.25">
      <c r="B39" s="4" t="s">
        <v>46</v>
      </c>
      <c r="C39" s="9">
        <f t="shared" si="2"/>
        <v>6.5945449205818171E-2</v>
      </c>
      <c r="D39" s="9">
        <f t="shared" si="3"/>
        <v>2.3975000489514384E-2</v>
      </c>
      <c r="E39" s="9">
        <f t="shared" si="4"/>
        <v>2.8508995379487718E-2</v>
      </c>
      <c r="F39" s="9">
        <f t="shared" si="5"/>
        <v>3.4401497203201688E-2</v>
      </c>
      <c r="G39" s="9">
        <f t="shared" si="6"/>
        <v>1.3659259266478423E-2</v>
      </c>
      <c r="H39" s="9">
        <f t="shared" si="7"/>
        <v>0</v>
      </c>
      <c r="I39" s="9">
        <f t="shared" si="8"/>
        <v>2.4841518092564416E-5</v>
      </c>
      <c r="J39" s="9">
        <f t="shared" si="9"/>
        <v>4.7390873932961763E-2</v>
      </c>
      <c r="K39" s="9">
        <f t="shared" si="10"/>
        <v>1.9803523779298306E-3</v>
      </c>
      <c r="L39" s="9">
        <f t="shared" si="11"/>
        <v>5.4623299224490435E-3</v>
      </c>
      <c r="M39" s="9">
        <f t="shared" si="12"/>
        <v>8.0950430688602245E-3</v>
      </c>
      <c r="N39" s="9">
        <f t="shared" si="13"/>
        <v>3.3462875129904399E-3</v>
      </c>
      <c r="O39" s="9">
        <f t="shared" si="14"/>
        <v>2.7902319051768935E-2</v>
      </c>
      <c r="P39" s="9">
        <f t="shared" si="15"/>
        <v>6.9072961522560448E-3</v>
      </c>
    </row>
    <row r="40" spans="2:22" x14ac:dyDescent="0.25">
      <c r="B40" s="4" t="s">
        <v>47</v>
      </c>
      <c r="C40" s="9">
        <f t="shared" si="2"/>
        <v>3.9108881738214994E-2</v>
      </c>
      <c r="D40" s="9">
        <f t="shared" si="3"/>
        <v>3.02032939991854E-2</v>
      </c>
      <c r="E40" s="9">
        <f t="shared" si="4"/>
        <v>3.8003812638367114E-2</v>
      </c>
      <c r="F40" s="9">
        <f t="shared" si="5"/>
        <v>3.0920738632894604E-2</v>
      </c>
      <c r="G40" s="9">
        <f t="shared" si="6"/>
        <v>3.5463659295089892E-2</v>
      </c>
      <c r="H40" s="9">
        <f t="shared" si="7"/>
        <v>2.1773201120691709E-2</v>
      </c>
      <c r="I40" s="9">
        <f t="shared" si="8"/>
        <v>1.2337953985973671E-3</v>
      </c>
      <c r="J40" s="9">
        <f t="shared" si="9"/>
        <v>2.9073502435277673E-2</v>
      </c>
      <c r="K40" s="9">
        <f t="shared" si="10"/>
        <v>0.11025255203918266</v>
      </c>
      <c r="L40" s="9">
        <f t="shared" si="11"/>
        <v>0.11121303722106253</v>
      </c>
      <c r="M40" s="9">
        <f t="shared" si="12"/>
        <v>5.6644751179938099E-2</v>
      </c>
      <c r="N40" s="9">
        <f t="shared" si="13"/>
        <v>0.32377601929929711</v>
      </c>
      <c r="O40" s="9">
        <f t="shared" si="14"/>
        <v>5.2041904336220454E-2</v>
      </c>
      <c r="P40" s="9">
        <f t="shared" si="15"/>
        <v>0.17485853705032287</v>
      </c>
    </row>
    <row r="41" spans="2:22" x14ac:dyDescent="0.25">
      <c r="B41" s="4" t="s">
        <v>30</v>
      </c>
      <c r="C41" s="9">
        <f t="shared" si="2"/>
        <v>5.577276000358994E-3</v>
      </c>
      <c r="D41" s="9">
        <f t="shared" si="3"/>
        <v>1.3998924686563408E-3</v>
      </c>
      <c r="E41" s="9">
        <f t="shared" si="4"/>
        <v>2.0822934939302429E-3</v>
      </c>
      <c r="F41" s="9">
        <f t="shared" si="5"/>
        <v>1.5856789042510053E-3</v>
      </c>
      <c r="G41" s="9">
        <f t="shared" si="6"/>
        <v>1.1500875737634659E-3</v>
      </c>
      <c r="H41" s="9">
        <f t="shared" si="7"/>
        <v>6.8767026872851316E-5</v>
      </c>
      <c r="I41" s="9">
        <f t="shared" si="8"/>
        <v>3.2956414002802154E-5</v>
      </c>
      <c r="J41" s="9">
        <f t="shared" si="9"/>
        <v>1.4909488428347518E-3</v>
      </c>
      <c r="K41" s="9">
        <f t="shared" si="10"/>
        <v>4.8866547774476105E-3</v>
      </c>
      <c r="L41" s="9">
        <f t="shared" si="11"/>
        <v>5.4623299224490435E-3</v>
      </c>
      <c r="M41" s="9">
        <f t="shared" si="12"/>
        <v>1.0606492949408299E-2</v>
      </c>
      <c r="N41" s="9">
        <f t="shared" si="13"/>
        <v>4.1987266722669642E-2</v>
      </c>
      <c r="O41" s="9">
        <f t="shared" si="14"/>
        <v>1.7187359326080167E-3</v>
      </c>
      <c r="P41" s="9">
        <f t="shared" si="15"/>
        <v>3.6994985482069662E-3</v>
      </c>
    </row>
    <row r="42" spans="2:22" x14ac:dyDescent="0.25">
      <c r="B42" s="4" t="s">
        <v>48</v>
      </c>
      <c r="C42" s="9">
        <f>(C13+C14)/C28</f>
        <v>0.12506095311047541</v>
      </c>
      <c r="D42" s="9">
        <f>(D13+D14)/D28</f>
        <v>0.31185183488604351</v>
      </c>
      <c r="E42" s="9">
        <f t="shared" ref="E42:P42" si="16">(E13+E14)/E28</f>
        <v>0.43285667112465198</v>
      </c>
      <c r="F42" s="9">
        <f t="shared" si="16"/>
        <v>0.42927421945692762</v>
      </c>
      <c r="G42" s="9">
        <f t="shared" si="16"/>
        <v>0.47148864137012664</v>
      </c>
      <c r="H42" s="9">
        <f t="shared" si="16"/>
        <v>7.2178161715093026E-3</v>
      </c>
      <c r="I42" s="9">
        <f t="shared" si="16"/>
        <v>6.7320514030849632E-3</v>
      </c>
      <c r="J42" s="9">
        <f t="shared" si="16"/>
        <v>0.42683735443440612</v>
      </c>
      <c r="K42" s="9">
        <f t="shared" si="16"/>
        <v>0.4149283715392037</v>
      </c>
      <c r="L42" s="9">
        <f t="shared" si="16"/>
        <v>0.61025149893600716</v>
      </c>
      <c r="M42" s="9">
        <f t="shared" si="16"/>
        <v>0.43625754248902199</v>
      </c>
      <c r="N42" s="9">
        <f t="shared" si="16"/>
        <v>0.32217903849174062</v>
      </c>
      <c r="O42" s="9">
        <f t="shared" si="16"/>
        <v>0.45276456772511797</v>
      </c>
      <c r="P42" s="9">
        <f t="shared" si="16"/>
        <v>0.31694757607598917</v>
      </c>
    </row>
    <row r="43" spans="2:22" x14ac:dyDescent="0.25">
      <c r="B43" s="4" t="s">
        <v>49</v>
      </c>
      <c r="C43" s="9">
        <f t="shared" ref="C43:C56" si="17">C15/$C$28</f>
        <v>9.630448809554043E-2</v>
      </c>
      <c r="D43" s="9">
        <f t="shared" ref="D43:D56" si="18">D15/$D$28</f>
        <v>0</v>
      </c>
      <c r="E43" s="9">
        <f t="shared" ref="E43:E56" si="19">E15/$E$28</f>
        <v>0</v>
      </c>
      <c r="F43" s="9">
        <f t="shared" ref="F43:F56" si="20">F15/$F$28</f>
        <v>0</v>
      </c>
      <c r="G43" s="9">
        <f t="shared" ref="G43:G56" si="21">G15/$G$28</f>
        <v>0</v>
      </c>
      <c r="H43" s="9">
        <f t="shared" ref="H43:H56" si="22">H15/$H$28</f>
        <v>0</v>
      </c>
      <c r="I43" s="9">
        <f t="shared" ref="I43:I56" si="23">I15/$I$28</f>
        <v>0</v>
      </c>
      <c r="J43" s="9">
        <f t="shared" ref="J43:J56" si="24">J15/$J$28</f>
        <v>0</v>
      </c>
      <c r="K43" s="9">
        <f t="shared" ref="K43:K56" si="25">K15/$K$28</f>
        <v>0</v>
      </c>
      <c r="L43" s="9">
        <f t="shared" ref="L43:L56" si="26">L15/$L$28</f>
        <v>0</v>
      </c>
      <c r="M43" s="9">
        <f t="shared" ref="M43:M56" si="27">M15/$M$28</f>
        <v>0</v>
      </c>
      <c r="N43" s="9">
        <f t="shared" ref="N43:N56" si="28">N15/$N$28</f>
        <v>0</v>
      </c>
      <c r="O43" s="9">
        <f t="shared" ref="O43:O56" si="29">O15/$O$28</f>
        <v>0</v>
      </c>
      <c r="P43" s="9">
        <f t="shared" ref="P43:P56" si="30">P15/$P$28</f>
        <v>0</v>
      </c>
    </row>
    <row r="44" spans="2:22" x14ac:dyDescent="0.25">
      <c r="B44" s="5" t="s">
        <v>28</v>
      </c>
      <c r="C44" s="9">
        <f t="shared" si="17"/>
        <v>0.18825991391482766</v>
      </c>
      <c r="D44" s="9">
        <f t="shared" si="18"/>
        <v>6.5976104392050632E-3</v>
      </c>
      <c r="E44" s="9">
        <f t="shared" si="19"/>
        <v>8.0385634898068933E-3</v>
      </c>
      <c r="F44" s="9">
        <f t="shared" si="20"/>
        <v>9.0693098304112374E-3</v>
      </c>
      <c r="G44" s="9">
        <f t="shared" si="21"/>
        <v>1.0366542788169324E-2</v>
      </c>
      <c r="H44" s="9">
        <f t="shared" si="22"/>
        <v>4.6437974071882618E-4</v>
      </c>
      <c r="I44" s="9">
        <f t="shared" si="23"/>
        <v>4.8109740039266469E-5</v>
      </c>
      <c r="J44" s="9">
        <f t="shared" si="24"/>
        <v>3.0031969548528579E-2</v>
      </c>
      <c r="K44" s="9">
        <f t="shared" si="25"/>
        <v>5.1900209297388216E-3</v>
      </c>
      <c r="L44" s="9">
        <f t="shared" si="26"/>
        <v>5.6808231193470051E-3</v>
      </c>
      <c r="M44" s="9">
        <f t="shared" si="27"/>
        <v>6.7427824502804467E-3</v>
      </c>
      <c r="N44" s="9">
        <f t="shared" si="28"/>
        <v>5.0124740770345179E-3</v>
      </c>
      <c r="O44" s="9">
        <f t="shared" si="29"/>
        <v>6.6383091914152727E-3</v>
      </c>
      <c r="P44" s="9">
        <f t="shared" si="30"/>
        <v>6.4037817075353262E-3</v>
      </c>
    </row>
    <row r="45" spans="2:22" x14ac:dyDescent="0.25">
      <c r="B45" s="5" t="s">
        <v>31</v>
      </c>
      <c r="C45" s="9">
        <f t="shared" si="17"/>
        <v>2.180106009578707E-2</v>
      </c>
      <c r="D45" s="9">
        <f t="shared" si="18"/>
        <v>2.6052735627204317E-2</v>
      </c>
      <c r="E45" s="9">
        <f t="shared" si="19"/>
        <v>3.6487278439462957E-2</v>
      </c>
      <c r="F45" s="9">
        <f t="shared" si="20"/>
        <v>3.6144895417805446E-2</v>
      </c>
      <c r="G45" s="9">
        <f t="shared" si="21"/>
        <v>3.7152342120931298E-2</v>
      </c>
      <c r="H45" s="9">
        <f t="shared" si="22"/>
        <v>5.6772153803878885E-4</v>
      </c>
      <c r="I45" s="9">
        <f t="shared" si="23"/>
        <v>4.3986342977247821E-4</v>
      </c>
      <c r="J45" s="9">
        <f t="shared" si="24"/>
        <v>3.5012098962907412E-2</v>
      </c>
      <c r="K45" s="9">
        <f t="shared" si="25"/>
        <v>3.1745141628637667E-2</v>
      </c>
      <c r="L45" s="9">
        <f t="shared" si="26"/>
        <v>7.3959971778513219E-3</v>
      </c>
      <c r="M45" s="9">
        <f t="shared" si="27"/>
        <v>3.6131291847903146E-2</v>
      </c>
      <c r="N45" s="9">
        <f t="shared" si="28"/>
        <v>9.5891590904758402E-3</v>
      </c>
      <c r="O45" s="9">
        <f t="shared" si="29"/>
        <v>3.4459519648175826E-2</v>
      </c>
      <c r="P45" s="9">
        <f t="shared" si="30"/>
        <v>2.0406220265169289E-2</v>
      </c>
    </row>
    <row r="46" spans="2:22" x14ac:dyDescent="0.25">
      <c r="B46" s="5" t="s">
        <v>32</v>
      </c>
      <c r="C46" s="9">
        <f t="shared" si="17"/>
        <v>1.0473159936460469E-2</v>
      </c>
      <c r="D46" s="9">
        <f t="shared" si="18"/>
        <v>1.9745851663152594E-3</v>
      </c>
      <c r="E46" s="9">
        <f t="shared" si="19"/>
        <v>2.0673539095870468E-3</v>
      </c>
      <c r="F46" s="9">
        <f t="shared" si="20"/>
        <v>2.5912313801174968E-3</v>
      </c>
      <c r="G46" s="9">
        <f t="shared" si="21"/>
        <v>4.3167670576875301E-3</v>
      </c>
      <c r="H46" s="9">
        <f t="shared" si="22"/>
        <v>2.7239181818698694E-4</v>
      </c>
      <c r="I46" s="9">
        <f t="shared" si="23"/>
        <v>1.2800668662977839E-6</v>
      </c>
      <c r="J46" s="9">
        <f t="shared" si="24"/>
        <v>1.7784889768100259E-2</v>
      </c>
      <c r="K46" s="9">
        <f t="shared" si="25"/>
        <v>8.1165477394093475E-4</v>
      </c>
      <c r="L46" s="9">
        <f t="shared" si="26"/>
        <v>8.7899813112050008E-6</v>
      </c>
      <c r="M46" s="9">
        <f t="shared" si="27"/>
        <v>1.8542892760332703E-3</v>
      </c>
      <c r="N46" s="9">
        <f t="shared" si="28"/>
        <v>2.7940328995794184E-3</v>
      </c>
      <c r="O46" s="9">
        <f t="shared" si="29"/>
        <v>1.9880007456436212E-3</v>
      </c>
      <c r="P46" s="9">
        <f t="shared" si="30"/>
        <v>2.2240931748652333E-3</v>
      </c>
    </row>
    <row r="47" spans="2:22" x14ac:dyDescent="0.25">
      <c r="B47" s="5" t="s">
        <v>33</v>
      </c>
      <c r="C47" s="9">
        <f t="shared" si="17"/>
        <v>1.7329936483137569E-4</v>
      </c>
      <c r="D47" s="9">
        <f t="shared" si="18"/>
        <v>5.5995698746253634E-4</v>
      </c>
      <c r="E47" s="9">
        <f t="shared" si="19"/>
        <v>7.6758031065415325E-4</v>
      </c>
      <c r="F47" s="9">
        <f t="shared" si="20"/>
        <v>8.2964597881311634E-4</v>
      </c>
      <c r="G47" s="9">
        <f t="shared" si="21"/>
        <v>6.1507931544482427E-4</v>
      </c>
      <c r="H47" s="9">
        <f t="shared" si="22"/>
        <v>3.0894861970152081E-5</v>
      </c>
      <c r="I47" s="9">
        <f t="shared" si="23"/>
        <v>1.405129787126468E-5</v>
      </c>
      <c r="J47" s="9">
        <f t="shared" si="24"/>
        <v>1.2480169951480809E-3</v>
      </c>
      <c r="K47" s="9">
        <f t="shared" si="25"/>
        <v>3.9677795496981605E-3</v>
      </c>
      <c r="L47" s="9">
        <f t="shared" si="26"/>
        <v>7.1011632541464207E-3</v>
      </c>
      <c r="M47" s="9">
        <f t="shared" si="27"/>
        <v>1.3226199634374085E-3</v>
      </c>
      <c r="N47" s="9">
        <f t="shared" si="28"/>
        <v>1.6945433871968013E-3</v>
      </c>
      <c r="O47" s="9">
        <f t="shared" si="29"/>
        <v>9.515157914378147E-4</v>
      </c>
      <c r="P47" s="9">
        <f t="shared" si="30"/>
        <v>2.2592327377115875E-3</v>
      </c>
    </row>
    <row r="48" spans="2:22" x14ac:dyDescent="0.25">
      <c r="B48" s="5" t="s">
        <v>34</v>
      </c>
      <c r="C48" s="9">
        <f t="shared" si="17"/>
        <v>5.630151900044845E-3</v>
      </c>
      <c r="D48" s="9">
        <f t="shared" si="18"/>
        <v>5.982698339731308E-3</v>
      </c>
      <c r="E48" s="9">
        <f t="shared" si="19"/>
        <v>7.0285693332412273E-3</v>
      </c>
      <c r="F48" s="9">
        <f t="shared" si="20"/>
        <v>6.6660883981924345E-3</v>
      </c>
      <c r="G48" s="9">
        <f t="shared" si="21"/>
        <v>5.8955150160890169E-3</v>
      </c>
      <c r="H48" s="9">
        <f t="shared" si="22"/>
        <v>1.6308794988012439E-4</v>
      </c>
      <c r="I48" s="9">
        <f t="shared" si="23"/>
        <v>1.1723869141451644E-4</v>
      </c>
      <c r="J48" s="9">
        <f t="shared" si="24"/>
        <v>7.0507059156842992E-3</v>
      </c>
      <c r="K48" s="9">
        <f t="shared" si="25"/>
        <v>1.2623427646575354E-2</v>
      </c>
      <c r="L48" s="9">
        <f t="shared" si="26"/>
        <v>6.3377701103512582E-2</v>
      </c>
      <c r="M48" s="9">
        <f t="shared" si="27"/>
        <v>1.3227836556762296E-2</v>
      </c>
      <c r="N48" s="9">
        <f t="shared" si="28"/>
        <v>2.3751975111774883E-2</v>
      </c>
      <c r="O48" s="9">
        <f t="shared" si="29"/>
        <v>8.5362091635787455E-3</v>
      </c>
      <c r="P48" s="9">
        <f t="shared" si="30"/>
        <v>1.0962723025025435E-2</v>
      </c>
    </row>
    <row r="49" spans="2:16" x14ac:dyDescent="0.25">
      <c r="B49" s="5" t="s">
        <v>35</v>
      </c>
      <c r="C49" s="9">
        <f t="shared" si="17"/>
        <v>2.731197989742481E-3</v>
      </c>
      <c r="D49" s="9">
        <f t="shared" si="18"/>
        <v>3.8804036850474009E-3</v>
      </c>
      <c r="E49" s="9">
        <f t="shared" si="19"/>
        <v>4.9755975329968758E-3</v>
      </c>
      <c r="F49" s="9">
        <f t="shared" si="20"/>
        <v>4.9583628120526543E-3</v>
      </c>
      <c r="G49" s="9">
        <f t="shared" si="21"/>
        <v>4.9281365726249193E-3</v>
      </c>
      <c r="H49" s="9">
        <f t="shared" si="22"/>
        <v>8.6971925904538009E-5</v>
      </c>
      <c r="I49" s="9">
        <f t="shared" si="23"/>
        <v>6.9054581070238631E-5</v>
      </c>
      <c r="J49" s="9">
        <f t="shared" si="24"/>
        <v>5.0262985690046067E-3</v>
      </c>
      <c r="K49" s="9">
        <f t="shared" si="25"/>
        <v>5.6085096064413141E-3</v>
      </c>
      <c r="L49" s="9">
        <f t="shared" si="26"/>
        <v>1.8941234992603792E-2</v>
      </c>
      <c r="M49" s="9">
        <f t="shared" si="27"/>
        <v>6.7720163966776496E-3</v>
      </c>
      <c r="N49" s="9">
        <f t="shared" si="28"/>
        <v>4.5354695293150019E-3</v>
      </c>
      <c r="O49" s="9">
        <f t="shared" si="29"/>
        <v>5.3550140741180684E-3</v>
      </c>
      <c r="P49" s="9">
        <f t="shared" si="30"/>
        <v>4.4118953797297441E-3</v>
      </c>
    </row>
    <row r="50" spans="2:16" x14ac:dyDescent="0.25">
      <c r="B50" s="5" t="s">
        <v>36</v>
      </c>
      <c r="C50" s="9">
        <f t="shared" si="17"/>
        <v>0.10551462807787286</v>
      </c>
      <c r="D50" s="9">
        <f t="shared" si="18"/>
        <v>2.7882601383680906E-2</v>
      </c>
      <c r="E50" s="9">
        <f t="shared" si="19"/>
        <v>4.4180561562515215E-2</v>
      </c>
      <c r="F50" s="9">
        <f t="shared" si="20"/>
        <v>4.7419978438458597E-2</v>
      </c>
      <c r="G50" s="9">
        <f t="shared" si="21"/>
        <v>3.1460663858184537E-2</v>
      </c>
      <c r="H50" s="9">
        <f t="shared" si="22"/>
        <v>5.3975376317159137E-4</v>
      </c>
      <c r="I50" s="9">
        <f t="shared" si="23"/>
        <v>3.6771566282933126E-4</v>
      </c>
      <c r="J50" s="9">
        <f t="shared" si="24"/>
        <v>3.173424088822429E-2</v>
      </c>
      <c r="K50" s="9">
        <f t="shared" si="25"/>
        <v>2.9576355197434394E-2</v>
      </c>
      <c r="L50" s="9">
        <f t="shared" si="26"/>
        <v>2.0136331627759695E-2</v>
      </c>
      <c r="M50" s="9">
        <f t="shared" si="27"/>
        <v>3.0881513670386503E-2</v>
      </c>
      <c r="N50" s="9">
        <f t="shared" si="28"/>
        <v>3.454774336855021E-2</v>
      </c>
      <c r="O50" s="9">
        <f t="shared" si="29"/>
        <v>3.0700365394440154E-2</v>
      </c>
      <c r="P50" s="9">
        <f t="shared" si="30"/>
        <v>0.20258869239780639</v>
      </c>
    </row>
    <row r="51" spans="2:16" x14ac:dyDescent="0.25">
      <c r="B51" s="5" t="s">
        <v>37</v>
      </c>
      <c r="C51" s="9">
        <f t="shared" si="17"/>
        <v>7.7464816079624937E-2</v>
      </c>
      <c r="D51" s="9">
        <f t="shared" si="18"/>
        <v>0.14267508547462904</v>
      </c>
      <c r="E51" s="9">
        <f t="shared" si="19"/>
        <v>0.13039763359278964</v>
      </c>
      <c r="F51" s="9">
        <f t="shared" si="20"/>
        <v>0.12919602027569774</v>
      </c>
      <c r="G51" s="9">
        <f t="shared" si="21"/>
        <v>0.13256317924745192</v>
      </c>
      <c r="H51" s="9">
        <f t="shared" si="22"/>
        <v>2.0485941416428836E-3</v>
      </c>
      <c r="I51" s="9">
        <f t="shared" si="23"/>
        <v>1.6057552901397154E-3</v>
      </c>
      <c r="J51" s="9">
        <f t="shared" si="24"/>
        <v>0.12553912054384639</v>
      </c>
      <c r="K51" s="9">
        <f t="shared" si="25"/>
        <v>0.11600288281836608</v>
      </c>
      <c r="L51" s="9">
        <f t="shared" si="26"/>
        <v>5.6333429832497901E-2</v>
      </c>
      <c r="M51" s="9">
        <f t="shared" si="27"/>
        <v>0.13221023386736597</v>
      </c>
      <c r="N51" s="9">
        <f t="shared" si="28"/>
        <v>4.1293139193355241E-2</v>
      </c>
      <c r="O51" s="9">
        <f t="shared" si="29"/>
        <v>0.12233495007626496</v>
      </c>
      <c r="P51" s="9">
        <f t="shared" si="30"/>
        <v>7.5605937977324206E-2</v>
      </c>
    </row>
    <row r="52" spans="2:16" x14ac:dyDescent="0.25">
      <c r="B52" s="5" t="s">
        <v>38</v>
      </c>
      <c r="C52" s="9">
        <f t="shared" si="17"/>
        <v>2.50043662702343E-2</v>
      </c>
      <c r="D52" s="9">
        <f t="shared" si="18"/>
        <v>0.24804160927789265</v>
      </c>
      <c r="E52" s="9">
        <f t="shared" si="19"/>
        <v>3.4441055387514845E-2</v>
      </c>
      <c r="F52" s="9">
        <f t="shared" si="20"/>
        <v>4.0927216783021456E-2</v>
      </c>
      <c r="G52" s="9">
        <f t="shared" si="21"/>
        <v>1.0213908674688998E-2</v>
      </c>
      <c r="H52" s="9">
        <f t="shared" si="22"/>
        <v>6.6340493949994912E-4</v>
      </c>
      <c r="I52" s="9">
        <f t="shared" si="23"/>
        <v>5.75322102182015E-5</v>
      </c>
      <c r="J52" s="9">
        <f t="shared" si="24"/>
        <v>1.9554579505074398E-2</v>
      </c>
      <c r="K52" s="9">
        <f t="shared" si="25"/>
        <v>9.5070128671836691E-3</v>
      </c>
      <c r="L52" s="9">
        <f t="shared" si="26"/>
        <v>5.2517828599166838E-3</v>
      </c>
      <c r="M52" s="9">
        <f t="shared" si="27"/>
        <v>1.164855085710772E-2</v>
      </c>
      <c r="N52" s="9">
        <f t="shared" si="28"/>
        <v>4.699706888628162E-3</v>
      </c>
      <c r="O52" s="9">
        <f t="shared" si="29"/>
        <v>1.4770982215495622E-2</v>
      </c>
      <c r="P52" s="9">
        <f t="shared" si="30"/>
        <v>1.0599166231074071E-2</v>
      </c>
    </row>
    <row r="53" spans="2:16" x14ac:dyDescent="0.25">
      <c r="B53" s="5" t="s">
        <v>39</v>
      </c>
      <c r="C53" s="9">
        <f t="shared" si="17"/>
        <v>1.4878959239659808E-2</v>
      </c>
      <c r="D53" s="9">
        <f t="shared" si="18"/>
        <v>5.9649172003086396E-3</v>
      </c>
      <c r="E53" s="9">
        <f t="shared" si="19"/>
        <v>8.5242966828045202E-3</v>
      </c>
      <c r="F53" s="9">
        <f t="shared" si="20"/>
        <v>7.1233147818833779E-3</v>
      </c>
      <c r="G53" s="9">
        <f t="shared" si="21"/>
        <v>4.5855399333132657E-3</v>
      </c>
      <c r="H53" s="9">
        <f t="shared" si="22"/>
        <v>2.7443466565641643E-4</v>
      </c>
      <c r="I53" s="9">
        <f t="shared" si="23"/>
        <v>1.0765126563665643E-4</v>
      </c>
      <c r="J53" s="9">
        <f t="shared" si="24"/>
        <v>6.7104699587989007E-3</v>
      </c>
      <c r="K53" s="9">
        <f t="shared" si="25"/>
        <v>2.7046692699387535E-2</v>
      </c>
      <c r="L53" s="9">
        <f t="shared" si="26"/>
        <v>3.2992504915065141E-2</v>
      </c>
      <c r="M53" s="9">
        <f t="shared" si="27"/>
        <v>1.4403719883610399E-2</v>
      </c>
      <c r="N53" s="9">
        <f t="shared" si="28"/>
        <v>9.3837087131670632E-2</v>
      </c>
      <c r="O53" s="9">
        <f t="shared" si="29"/>
        <v>7.1204810574109004E-3</v>
      </c>
      <c r="P53" s="9">
        <f t="shared" si="30"/>
        <v>2.1703413356789276E-2</v>
      </c>
    </row>
    <row r="54" spans="2:16" x14ac:dyDescent="0.25">
      <c r="B54" s="5" t="s">
        <v>40</v>
      </c>
      <c r="C54" s="9">
        <f t="shared" si="17"/>
        <v>0</v>
      </c>
      <c r="D54" s="9">
        <f t="shared" si="18"/>
        <v>3.4850740518988496E-5</v>
      </c>
      <c r="E54" s="9">
        <f t="shared" si="19"/>
        <v>4.2661081507150195E-5</v>
      </c>
      <c r="F54" s="9">
        <f t="shared" si="20"/>
        <v>4.8775372019887443E-5</v>
      </c>
      <c r="G54" s="9">
        <f t="shared" si="21"/>
        <v>4.1878178184802438E-5</v>
      </c>
      <c r="H54" s="9">
        <f t="shared" si="22"/>
        <v>0.90540368330778354</v>
      </c>
      <c r="I54" s="9">
        <f t="shared" si="23"/>
        <v>2.5511460299471481E-7</v>
      </c>
      <c r="J54" s="9">
        <f t="shared" si="24"/>
        <v>8.709241993334359E-5</v>
      </c>
      <c r="K54" s="9">
        <f t="shared" si="25"/>
        <v>3.433784347162209E-5</v>
      </c>
      <c r="L54" s="9">
        <f t="shared" si="26"/>
        <v>1.0483586795424105E-4</v>
      </c>
      <c r="M54" s="9">
        <f t="shared" si="27"/>
        <v>2.5917562089537444E-5</v>
      </c>
      <c r="N54" s="9">
        <f t="shared" si="28"/>
        <v>1.0729440140576229E-5</v>
      </c>
      <c r="O54" s="9">
        <f t="shared" si="29"/>
        <v>4.4125625581327858E-5</v>
      </c>
      <c r="P54" s="9">
        <f t="shared" si="30"/>
        <v>3.8074853817011404E-5</v>
      </c>
    </row>
    <row r="55" spans="2:16" x14ac:dyDescent="0.25">
      <c r="B55" s="5" t="s">
        <v>41</v>
      </c>
      <c r="C55" s="9">
        <f t="shared" si="17"/>
        <v>0.11312518221638564</v>
      </c>
      <c r="D55" s="9">
        <f t="shared" si="18"/>
        <v>0</v>
      </c>
      <c r="E55" s="9">
        <f t="shared" si="19"/>
        <v>0</v>
      </c>
      <c r="F55" s="9">
        <f t="shared" si="20"/>
        <v>0</v>
      </c>
      <c r="G55" s="9">
        <f t="shared" si="21"/>
        <v>0</v>
      </c>
      <c r="H55" s="9">
        <f t="shared" si="22"/>
        <v>0</v>
      </c>
      <c r="I55" s="9">
        <f t="shared" si="23"/>
        <v>0</v>
      </c>
      <c r="J55" s="9">
        <f t="shared" si="24"/>
        <v>0</v>
      </c>
      <c r="K55" s="9">
        <f t="shared" si="25"/>
        <v>0</v>
      </c>
      <c r="L55" s="9">
        <f t="shared" si="26"/>
        <v>0</v>
      </c>
      <c r="M55" s="9">
        <f t="shared" si="27"/>
        <v>0</v>
      </c>
      <c r="N55" s="9">
        <f t="shared" si="28"/>
        <v>0</v>
      </c>
      <c r="O55" s="9">
        <f t="shared" si="29"/>
        <v>0</v>
      </c>
      <c r="P55" s="9">
        <f t="shared" si="30"/>
        <v>0</v>
      </c>
    </row>
    <row r="56" spans="2:16" x14ac:dyDescent="0.25">
      <c r="B56" s="5" t="s">
        <v>50</v>
      </c>
      <c r="C56" s="9">
        <f t="shared" si="17"/>
        <v>1</v>
      </c>
      <c r="D56" s="9">
        <f t="shared" si="18"/>
        <v>1</v>
      </c>
      <c r="E56" s="9">
        <f t="shared" si="19"/>
        <v>1</v>
      </c>
      <c r="F56" s="9">
        <f t="shared" si="20"/>
        <v>1</v>
      </c>
      <c r="G56" s="9">
        <f t="shared" si="21"/>
        <v>1</v>
      </c>
      <c r="H56" s="9">
        <f t="shared" si="22"/>
        <v>1</v>
      </c>
      <c r="I56" s="9">
        <f t="shared" si="23"/>
        <v>1</v>
      </c>
      <c r="J56" s="9">
        <f t="shared" si="24"/>
        <v>1</v>
      </c>
      <c r="K56" s="9">
        <f t="shared" si="25"/>
        <v>1</v>
      </c>
      <c r="L56" s="9">
        <f t="shared" si="26"/>
        <v>1</v>
      </c>
      <c r="M56" s="9">
        <f t="shared" si="27"/>
        <v>1</v>
      </c>
      <c r="N56" s="9">
        <f t="shared" si="28"/>
        <v>1</v>
      </c>
      <c r="O56" s="9">
        <f t="shared" si="29"/>
        <v>1</v>
      </c>
      <c r="P56" s="9">
        <f t="shared" si="30"/>
        <v>1</v>
      </c>
    </row>
    <row r="59" spans="2:16" x14ac:dyDescent="0.25">
      <c r="B59" s="4"/>
      <c r="C59" s="4" t="s">
        <v>0</v>
      </c>
      <c r="D59" s="4" t="s">
        <v>1</v>
      </c>
      <c r="E59" s="4" t="s">
        <v>2</v>
      </c>
      <c r="F59" s="4" t="s">
        <v>3</v>
      </c>
      <c r="G59" s="4" t="s">
        <v>4</v>
      </c>
      <c r="H59" s="4" t="s">
        <v>5</v>
      </c>
      <c r="I59" s="4" t="s">
        <v>6</v>
      </c>
      <c r="J59" s="4" t="s">
        <v>7</v>
      </c>
      <c r="K59" s="4" t="s">
        <v>8</v>
      </c>
      <c r="L59" s="4" t="s">
        <v>9</v>
      </c>
      <c r="M59" s="4" t="s">
        <v>62</v>
      </c>
      <c r="N59" s="4" t="s">
        <v>63</v>
      </c>
      <c r="O59" s="4" t="s">
        <v>98</v>
      </c>
      <c r="P59" s="4" t="s">
        <v>64</v>
      </c>
    </row>
    <row r="60" spans="2:16" x14ac:dyDescent="0.25">
      <c r="B60" s="4" t="s">
        <v>95</v>
      </c>
      <c r="C60" s="9">
        <f t="shared" ref="C60:P60" si="31">SUM(C34:C41)</f>
        <v>0.21357782370851269</v>
      </c>
      <c r="D60" s="9">
        <f t="shared" si="31"/>
        <v>0.21850111079196025</v>
      </c>
      <c r="E60" s="9">
        <f t="shared" si="31"/>
        <v>0.29019217755246779</v>
      </c>
      <c r="F60" s="9">
        <f t="shared" si="31"/>
        <v>0.28575094107459886</v>
      </c>
      <c r="G60" s="9">
        <f t="shared" si="31"/>
        <v>0.28637180586710304</v>
      </c>
      <c r="H60" s="9">
        <f t="shared" si="31"/>
        <v>8.226686517603686E-2</v>
      </c>
      <c r="I60" s="9">
        <f t="shared" si="31"/>
        <v>0.99043944124645444</v>
      </c>
      <c r="J60" s="9">
        <f t="shared" si="31"/>
        <v>0.29338316249034302</v>
      </c>
      <c r="K60" s="9">
        <f t="shared" si="31"/>
        <v>0.34295781289992083</v>
      </c>
      <c r="L60" s="9">
        <f t="shared" si="31"/>
        <v>0.17242390633202653</v>
      </c>
      <c r="M60" s="9">
        <f t="shared" si="31"/>
        <v>0.30852168517932377</v>
      </c>
      <c r="N60" s="9">
        <f t="shared" si="31"/>
        <v>0.45605490139053806</v>
      </c>
      <c r="O60" s="9">
        <f t="shared" si="31"/>
        <v>0.31433595929131969</v>
      </c>
      <c r="P60" s="9">
        <f t="shared" si="31"/>
        <v>0.32584919281716329</v>
      </c>
    </row>
    <row r="61" spans="2:16" x14ac:dyDescent="0.25">
      <c r="B61" s="4" t="s">
        <v>93</v>
      </c>
      <c r="C61" s="9">
        <f t="shared" ref="C61:P61" si="32">C42</f>
        <v>0.12506095311047541</v>
      </c>
      <c r="D61" s="9">
        <f t="shared" si="32"/>
        <v>0.31185183488604351</v>
      </c>
      <c r="E61" s="9">
        <f t="shared" si="32"/>
        <v>0.43285667112465198</v>
      </c>
      <c r="F61" s="9">
        <f t="shared" si="32"/>
        <v>0.42927421945692762</v>
      </c>
      <c r="G61" s="9">
        <f t="shared" si="32"/>
        <v>0.47148864137012664</v>
      </c>
      <c r="H61" s="9">
        <f t="shared" si="32"/>
        <v>7.2178161715093026E-3</v>
      </c>
      <c r="I61" s="9">
        <f t="shared" si="32"/>
        <v>6.7320514030849632E-3</v>
      </c>
      <c r="J61" s="9">
        <f t="shared" si="32"/>
        <v>0.42683735443440612</v>
      </c>
      <c r="K61" s="9">
        <f t="shared" si="32"/>
        <v>0.4149283715392037</v>
      </c>
      <c r="L61" s="9">
        <f t="shared" si="32"/>
        <v>0.61025149893600716</v>
      </c>
      <c r="M61" s="9">
        <f t="shared" si="32"/>
        <v>0.43625754248902199</v>
      </c>
      <c r="N61" s="9">
        <f t="shared" si="32"/>
        <v>0.32217903849174062</v>
      </c>
      <c r="O61" s="9">
        <f t="shared" si="32"/>
        <v>0.45276456772511797</v>
      </c>
      <c r="P61" s="9">
        <f t="shared" si="32"/>
        <v>0.31694757607598917</v>
      </c>
    </row>
    <row r="62" spans="2:16" x14ac:dyDescent="0.25">
      <c r="B62" s="4" t="s">
        <v>96</v>
      </c>
      <c r="C62" s="9">
        <f t="shared" ref="C62:P62" si="33">C43</f>
        <v>9.630448809554043E-2</v>
      </c>
      <c r="D62" s="9">
        <f t="shared" si="33"/>
        <v>0</v>
      </c>
      <c r="E62" s="9">
        <f t="shared" si="33"/>
        <v>0</v>
      </c>
      <c r="F62" s="9">
        <f t="shared" si="33"/>
        <v>0</v>
      </c>
      <c r="G62" s="9">
        <f t="shared" si="33"/>
        <v>0</v>
      </c>
      <c r="H62" s="9">
        <f t="shared" si="33"/>
        <v>0</v>
      </c>
      <c r="I62" s="9">
        <f t="shared" si="33"/>
        <v>0</v>
      </c>
      <c r="J62" s="9">
        <f t="shared" si="33"/>
        <v>0</v>
      </c>
      <c r="K62" s="9">
        <f t="shared" si="33"/>
        <v>0</v>
      </c>
      <c r="L62" s="9">
        <f t="shared" si="33"/>
        <v>0</v>
      </c>
      <c r="M62" s="9">
        <f t="shared" si="33"/>
        <v>0</v>
      </c>
      <c r="N62" s="9">
        <f t="shared" si="33"/>
        <v>0</v>
      </c>
      <c r="O62" s="9">
        <f t="shared" si="33"/>
        <v>0</v>
      </c>
      <c r="P62" s="9">
        <f t="shared" si="33"/>
        <v>0</v>
      </c>
    </row>
    <row r="63" spans="2:16" x14ac:dyDescent="0.25">
      <c r="B63" s="4" t="s">
        <v>67</v>
      </c>
      <c r="C63" s="9">
        <f t="shared" ref="C63:P63" si="34">C44</f>
        <v>0.18825991391482766</v>
      </c>
      <c r="D63" s="9">
        <f t="shared" si="34"/>
        <v>6.5976104392050632E-3</v>
      </c>
      <c r="E63" s="9">
        <f t="shared" si="34"/>
        <v>8.0385634898068933E-3</v>
      </c>
      <c r="F63" s="9">
        <f t="shared" si="34"/>
        <v>9.0693098304112374E-3</v>
      </c>
      <c r="G63" s="9">
        <f t="shared" si="34"/>
        <v>1.0366542788169324E-2</v>
      </c>
      <c r="H63" s="9">
        <f t="shared" si="34"/>
        <v>4.6437974071882618E-4</v>
      </c>
      <c r="I63" s="9">
        <f t="shared" si="34"/>
        <v>4.8109740039266469E-5</v>
      </c>
      <c r="J63" s="9">
        <f t="shared" si="34"/>
        <v>3.0031969548528579E-2</v>
      </c>
      <c r="K63" s="9">
        <f t="shared" si="34"/>
        <v>5.1900209297388216E-3</v>
      </c>
      <c r="L63" s="9">
        <f t="shared" si="34"/>
        <v>5.6808231193470051E-3</v>
      </c>
      <c r="M63" s="9">
        <f t="shared" si="34"/>
        <v>6.7427824502804467E-3</v>
      </c>
      <c r="N63" s="9">
        <f t="shared" si="34"/>
        <v>5.0124740770345179E-3</v>
      </c>
      <c r="O63" s="9">
        <f t="shared" si="34"/>
        <v>6.6383091914152727E-3</v>
      </c>
      <c r="P63" s="9">
        <f t="shared" si="34"/>
        <v>6.4037817075353262E-3</v>
      </c>
    </row>
    <row r="64" spans="2:16" x14ac:dyDescent="0.25">
      <c r="B64" s="4" t="s">
        <v>94</v>
      </c>
      <c r="C64" s="9">
        <f t="shared" ref="C64:P64" si="35">SUM(C45:C54)</f>
        <v>0.26367163895425816</v>
      </c>
      <c r="D64" s="9">
        <f t="shared" si="35"/>
        <v>0.46304944388279107</v>
      </c>
      <c r="E64" s="9">
        <f t="shared" si="35"/>
        <v>0.26891258783307359</v>
      </c>
      <c r="F64" s="9">
        <f t="shared" si="35"/>
        <v>0.2759055296380622</v>
      </c>
      <c r="G64" s="9">
        <f t="shared" si="35"/>
        <v>0.2317730099746011</v>
      </c>
      <c r="H64" s="9">
        <f t="shared" si="35"/>
        <v>0.91005093891173494</v>
      </c>
      <c r="I64" s="9">
        <f t="shared" si="35"/>
        <v>2.7803976104216954E-3</v>
      </c>
      <c r="J64" s="9">
        <f t="shared" si="35"/>
        <v>0.24974751352672198</v>
      </c>
      <c r="K64" s="9">
        <f t="shared" si="35"/>
        <v>0.23692379463113675</v>
      </c>
      <c r="L64" s="9">
        <f t="shared" si="35"/>
        <v>0.21164377161261896</v>
      </c>
      <c r="M64" s="9">
        <f t="shared" si="35"/>
        <v>0.24847798988137387</v>
      </c>
      <c r="N64" s="9">
        <f t="shared" si="35"/>
        <v>0.21675358604068676</v>
      </c>
      <c r="O64" s="9">
        <f t="shared" si="35"/>
        <v>0.22626116379214703</v>
      </c>
      <c r="P64" s="9">
        <f t="shared" si="35"/>
        <v>0.35079944939931224</v>
      </c>
    </row>
    <row r="65" spans="2:16" x14ac:dyDescent="0.25">
      <c r="B65" s="4" t="s">
        <v>97</v>
      </c>
      <c r="C65" s="9">
        <f t="shared" ref="C65:P65" si="36">C55</f>
        <v>0.11312518221638564</v>
      </c>
      <c r="D65" s="9">
        <f t="shared" si="36"/>
        <v>0</v>
      </c>
      <c r="E65" s="9">
        <f t="shared" si="36"/>
        <v>0</v>
      </c>
      <c r="F65" s="9">
        <f t="shared" si="36"/>
        <v>0</v>
      </c>
      <c r="G65" s="9">
        <f t="shared" si="36"/>
        <v>0</v>
      </c>
      <c r="H65" s="9">
        <f t="shared" si="36"/>
        <v>0</v>
      </c>
      <c r="I65" s="9">
        <f t="shared" si="36"/>
        <v>0</v>
      </c>
      <c r="J65" s="9">
        <f t="shared" si="36"/>
        <v>0</v>
      </c>
      <c r="K65" s="9">
        <f t="shared" si="36"/>
        <v>0</v>
      </c>
      <c r="L65" s="9">
        <f t="shared" si="36"/>
        <v>0</v>
      </c>
      <c r="M65" s="9">
        <f t="shared" si="36"/>
        <v>0</v>
      </c>
      <c r="N65" s="9">
        <f t="shared" si="36"/>
        <v>0</v>
      </c>
      <c r="O65" s="9">
        <f t="shared" si="36"/>
        <v>0</v>
      </c>
      <c r="P65" s="9">
        <f t="shared" si="36"/>
        <v>0</v>
      </c>
    </row>
    <row r="66" spans="2:16" x14ac:dyDescent="0.25">
      <c r="D66" s="2"/>
      <c r="E66" s="2"/>
    </row>
    <row r="116" spans="2:16" x14ac:dyDescent="0.25">
      <c r="B116" s="12"/>
    </row>
    <row r="117" spans="2:16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3"/>
  <sheetViews>
    <sheetView zoomScale="73" zoomScaleNormal="73" workbookViewId="0">
      <selection activeCell="R12" sqref="R12"/>
    </sheetView>
  </sheetViews>
  <sheetFormatPr defaultRowHeight="15" x14ac:dyDescent="0.25"/>
  <cols>
    <col min="2" max="2" width="19.5703125" customWidth="1"/>
    <col min="18" max="18" width="15" customWidth="1"/>
  </cols>
  <sheetData>
    <row r="3" spans="2:21" x14ac:dyDescent="0.25"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R3" s="12" t="s">
        <v>152</v>
      </c>
    </row>
    <row r="4" spans="2:21" x14ac:dyDescent="0.25">
      <c r="B4" s="6" t="s">
        <v>55</v>
      </c>
      <c r="C4" s="6">
        <v>1.0411999999999999</v>
      </c>
      <c r="D4" s="6">
        <v>19.809370000000001</v>
      </c>
      <c r="E4" s="6">
        <v>0.35863</v>
      </c>
      <c r="F4" s="6">
        <v>0.47838999999999998</v>
      </c>
      <c r="G4" s="6">
        <v>9.6636499999999995E-4</v>
      </c>
      <c r="H4" s="6">
        <v>1.2042297999999998</v>
      </c>
      <c r="I4" s="6">
        <v>6.6730659999999997E-2</v>
      </c>
      <c r="J4" s="6">
        <v>2.7719406999999999E-8</v>
      </c>
      <c r="K4" s="6">
        <v>3.5661499999999999E-2</v>
      </c>
      <c r="L4" s="6">
        <v>2.9164450000000003E-11</v>
      </c>
      <c r="M4" s="6">
        <v>3.1806298E-11</v>
      </c>
      <c r="N4" s="6">
        <v>1.4640054900000002E-3</v>
      </c>
      <c r="O4" s="6">
        <v>4.4318359999999998E-4</v>
      </c>
      <c r="R4" s="6" t="s">
        <v>158</v>
      </c>
      <c r="S4" s="6" t="s">
        <v>159</v>
      </c>
      <c r="T4" s="6" t="s">
        <v>155</v>
      </c>
      <c r="U4" s="6"/>
    </row>
    <row r="5" spans="2:21" x14ac:dyDescent="0.25">
      <c r="B5" s="6" t="s">
        <v>56</v>
      </c>
      <c r="C5" s="6">
        <v>1.9692899600000001E-2</v>
      </c>
      <c r="D5" s="6">
        <v>0.37231000000000003</v>
      </c>
      <c r="E5" s="6">
        <v>8.0896206000000016E-3</v>
      </c>
      <c r="F5" s="6">
        <v>5.3166210000000005E-3</v>
      </c>
      <c r="G5" s="6">
        <v>4.3890900000000002E-6</v>
      </c>
      <c r="H5" s="6">
        <v>1.2464576E-4</v>
      </c>
      <c r="I5" s="6">
        <v>1.96874587E-3</v>
      </c>
      <c r="J5" s="6">
        <v>6.3256959000000005E-10</v>
      </c>
      <c r="K5" s="6">
        <v>2.4005185200000001E-2</v>
      </c>
      <c r="L5" s="6">
        <v>1.021218E-12</v>
      </c>
      <c r="M5" s="6">
        <v>2.8731507770000001E-12</v>
      </c>
      <c r="N5" s="6">
        <v>2.9980966000000003E-5</v>
      </c>
      <c r="O5" s="6">
        <v>3.4226189999999994E-5</v>
      </c>
    </row>
    <row r="6" spans="2:21" x14ac:dyDescent="0.25">
      <c r="B6" s="15" t="s">
        <v>57</v>
      </c>
      <c r="C6" s="15">
        <v>0.95614065707662266</v>
      </c>
      <c r="D6" s="15">
        <v>7.7859919582424411</v>
      </c>
      <c r="E6" s="15">
        <v>0.1473686556198</v>
      </c>
      <c r="F6" s="15">
        <v>0.15369427298340355</v>
      </c>
      <c r="G6" s="15">
        <v>1.0036359617737581E-2</v>
      </c>
      <c r="H6" s="15">
        <v>3.4158629193933076E-3</v>
      </c>
      <c r="I6" s="15">
        <v>2.6271275381965838E-2</v>
      </c>
      <c r="J6" s="15">
        <v>8.8588108212742824E-9</v>
      </c>
      <c r="K6" s="15">
        <v>9.946515398072486E-3</v>
      </c>
      <c r="L6" s="15">
        <v>1.0059648989529921E-11</v>
      </c>
      <c r="M6" s="15">
        <v>9.0846023848591197E-12</v>
      </c>
      <c r="N6" s="15">
        <v>4.4752296433831201E-4</v>
      </c>
      <c r="O6" s="15">
        <v>2.4794229953241717E-4</v>
      </c>
      <c r="R6" s="15" t="s">
        <v>161</v>
      </c>
      <c r="S6" s="15" t="s">
        <v>162</v>
      </c>
      <c r="T6" s="15" t="s">
        <v>160</v>
      </c>
      <c r="U6" s="15"/>
    </row>
    <row r="7" spans="2:21" x14ac:dyDescent="0.25">
      <c r="B7" s="15" t="s">
        <v>58</v>
      </c>
      <c r="C7" s="15">
        <v>1.2126633000000001E-2</v>
      </c>
      <c r="D7" s="15">
        <v>0.13786971901244002</v>
      </c>
      <c r="E7" s="15">
        <v>2.7578572897999998E-3</v>
      </c>
      <c r="F7" s="15">
        <v>2.41893681613356E-3</v>
      </c>
      <c r="G7" s="15">
        <v>2.0369737788693638E-6</v>
      </c>
      <c r="H7" s="15">
        <v>1.7992934748230801E-4</v>
      </c>
      <c r="I7" s="15">
        <v>8.1077374418583989E-4</v>
      </c>
      <c r="J7" s="15">
        <v>5.0104765006428012E-10</v>
      </c>
      <c r="K7" s="15">
        <v>6.983617793669487E-3</v>
      </c>
      <c r="L7" s="15">
        <v>7.3753990188991994E-13</v>
      </c>
      <c r="M7" s="15">
        <v>1.8120734115191202E-12</v>
      </c>
      <c r="N7" s="15">
        <v>1.9048435124312E-5</v>
      </c>
      <c r="O7" s="15">
        <v>1.2233173291377119E-5</v>
      </c>
    </row>
    <row r="11" spans="2:21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R11" s="4" t="s">
        <v>166</v>
      </c>
      <c r="S11" s="4"/>
      <c r="T11" s="4"/>
      <c r="U11" s="4"/>
    </row>
    <row r="12" spans="2:21" x14ac:dyDescent="0.25">
      <c r="B12" s="4" t="s">
        <v>52</v>
      </c>
      <c r="C12" s="4">
        <f>C5+C7</f>
        <v>3.1819532600000006E-2</v>
      </c>
      <c r="D12" s="4">
        <f t="shared" ref="D12:O12" si="0">D5+D7</f>
        <v>0.51017971901244008</v>
      </c>
      <c r="E12" s="4">
        <f t="shared" si="0"/>
        <v>1.0847477889800002E-2</v>
      </c>
      <c r="F12" s="4">
        <f t="shared" si="0"/>
        <v>7.7355578161335606E-3</v>
      </c>
      <c r="G12" s="4">
        <f t="shared" si="0"/>
        <v>6.426063778869364E-6</v>
      </c>
      <c r="H12" s="4">
        <f t="shared" si="0"/>
        <v>3.0457510748230801E-4</v>
      </c>
      <c r="I12" s="4">
        <f t="shared" si="0"/>
        <v>2.77951961418584E-3</v>
      </c>
      <c r="J12" s="4">
        <f t="shared" si="0"/>
        <v>1.1336172400642802E-9</v>
      </c>
      <c r="K12" s="4">
        <f t="shared" si="0"/>
        <v>3.098880299366949E-2</v>
      </c>
      <c r="L12" s="4">
        <f t="shared" si="0"/>
        <v>1.75875790188992E-12</v>
      </c>
      <c r="M12" s="4">
        <f t="shared" si="0"/>
        <v>4.6852241885191205E-12</v>
      </c>
      <c r="N12" s="4">
        <f t="shared" si="0"/>
        <v>4.9029401124312003E-5</v>
      </c>
      <c r="O12" s="4">
        <f t="shared" si="0"/>
        <v>4.6459363291377114E-5</v>
      </c>
    </row>
    <row r="13" spans="2:21" x14ac:dyDescent="0.25">
      <c r="B13" s="4" t="s">
        <v>53</v>
      </c>
      <c r="C13" s="4">
        <f>C4+C6-C5-C7</f>
        <v>1.9655211244766224</v>
      </c>
      <c r="D13" s="4">
        <f t="shared" ref="D13:O13" si="1">D4+D6-D5-D7</f>
        <v>27.085182239230004</v>
      </c>
      <c r="E13" s="4">
        <f t="shared" si="1"/>
        <v>0.49515117772999995</v>
      </c>
      <c r="F13" s="4">
        <f t="shared" si="1"/>
        <v>0.62434871516726997</v>
      </c>
      <c r="G13" s="4">
        <f t="shared" si="1"/>
        <v>1.0996298553958714E-2</v>
      </c>
      <c r="H13" s="4">
        <f t="shared" si="1"/>
        <v>1.2073410878119109</v>
      </c>
      <c r="I13" s="4">
        <f t="shared" si="1"/>
        <v>9.0222415767779993E-2</v>
      </c>
      <c r="J13" s="4">
        <f t="shared" si="1"/>
        <v>3.5444600581210003E-8</v>
      </c>
      <c r="K13" s="4">
        <f t="shared" si="1"/>
        <v>1.4619212404402998E-2</v>
      </c>
      <c r="L13" s="4">
        <f t="shared" si="1"/>
        <v>3.7465341087640005E-11</v>
      </c>
      <c r="M13" s="4">
        <f t="shared" si="1"/>
        <v>3.6205676196339999E-11</v>
      </c>
      <c r="N13" s="4">
        <f t="shared" si="1"/>
        <v>1.8624990532140001E-3</v>
      </c>
      <c r="O13" s="4">
        <f t="shared" si="1"/>
        <v>6.4466653624104019E-4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zoomScale="55" zoomScaleNormal="55" workbookViewId="0">
      <selection activeCell="T23" sqref="T23"/>
    </sheetView>
  </sheetViews>
  <sheetFormatPr defaultRowHeight="15" x14ac:dyDescent="0.25"/>
  <cols>
    <col min="2" max="2" width="24.28515625" customWidth="1"/>
    <col min="3" max="3" width="14.140625" customWidth="1"/>
    <col min="4" max="4" width="15.28515625" customWidth="1"/>
    <col min="12" max="12" width="8.7109375" customWidth="1"/>
    <col min="13" max="13" width="13" customWidth="1"/>
    <col min="14" max="14" width="12.85546875" customWidth="1"/>
  </cols>
  <sheetData>
    <row r="2" spans="2:14" x14ac:dyDescent="0.25">
      <c r="B2">
        <v>1</v>
      </c>
      <c r="C2" t="s">
        <v>113</v>
      </c>
      <c r="K2" t="s">
        <v>152</v>
      </c>
    </row>
    <row r="4" spans="2:14" x14ac:dyDescent="0.25">
      <c r="C4" s="16" t="s">
        <v>114</v>
      </c>
      <c r="D4" s="16"/>
      <c r="E4" s="16"/>
      <c r="F4" s="16"/>
      <c r="G4" s="16"/>
      <c r="H4" s="16"/>
      <c r="I4" s="16"/>
      <c r="K4" s="6" t="s">
        <v>175</v>
      </c>
      <c r="L4" s="6" t="s">
        <v>174</v>
      </c>
      <c r="M4" s="6" t="s">
        <v>155</v>
      </c>
      <c r="N4" s="6"/>
    </row>
    <row r="5" spans="2:14" x14ac:dyDescent="0.25">
      <c r="C5" s="16" t="s">
        <v>115</v>
      </c>
      <c r="D5" s="16">
        <v>7.55</v>
      </c>
      <c r="E5" s="16" t="s">
        <v>119</v>
      </c>
      <c r="F5" s="16"/>
      <c r="G5" s="16"/>
      <c r="H5" s="16"/>
      <c r="I5" s="16"/>
    </row>
    <row r="6" spans="2:14" x14ac:dyDescent="0.25">
      <c r="C6" s="16" t="s">
        <v>116</v>
      </c>
      <c r="D6" s="16">
        <v>0.44</v>
      </c>
      <c r="E6" s="16" t="s">
        <v>119</v>
      </c>
      <c r="F6" s="16"/>
      <c r="G6" s="16"/>
      <c r="H6" s="16"/>
      <c r="I6" s="16"/>
    </row>
    <row r="7" spans="2:14" x14ac:dyDescent="0.25">
      <c r="C7" s="16" t="s">
        <v>117</v>
      </c>
      <c r="D7" s="16">
        <v>14.59</v>
      </c>
      <c r="E7" s="16" t="s">
        <v>118</v>
      </c>
      <c r="F7" s="16"/>
      <c r="G7" s="16"/>
      <c r="H7" s="16"/>
      <c r="I7" s="16"/>
    </row>
    <row r="8" spans="2:14" x14ac:dyDescent="0.25">
      <c r="C8" s="16"/>
      <c r="D8" s="16"/>
      <c r="E8" s="16"/>
      <c r="F8" s="16"/>
      <c r="G8" s="16"/>
      <c r="H8" s="16"/>
      <c r="I8" s="16"/>
    </row>
    <row r="9" spans="2:14" x14ac:dyDescent="0.25">
      <c r="C9" s="15" t="s">
        <v>120</v>
      </c>
      <c r="D9" s="15"/>
      <c r="E9" s="15"/>
      <c r="F9" s="15"/>
      <c r="G9" s="15"/>
      <c r="H9" s="15"/>
      <c r="I9" s="15"/>
      <c r="K9" s="15" t="s">
        <v>175</v>
      </c>
      <c r="L9" s="15" t="s">
        <v>176</v>
      </c>
      <c r="M9" s="15" t="s">
        <v>160</v>
      </c>
      <c r="N9" s="15"/>
    </row>
    <row r="10" spans="2:14" x14ac:dyDescent="0.25">
      <c r="C10" s="21" t="s">
        <v>121</v>
      </c>
      <c r="D10" s="15">
        <v>0.44627670558286908</v>
      </c>
      <c r="E10" s="21" t="s">
        <v>125</v>
      </c>
      <c r="F10" s="15"/>
      <c r="G10" s="15"/>
      <c r="H10" s="15"/>
      <c r="I10" s="15"/>
    </row>
    <row r="11" spans="2:14" x14ac:dyDescent="0.25">
      <c r="C11" s="21" t="s">
        <v>122</v>
      </c>
      <c r="D11" s="15">
        <v>2.3249551886870879E-2</v>
      </c>
      <c r="E11" s="21" t="s">
        <v>21</v>
      </c>
      <c r="F11" s="15"/>
      <c r="G11" s="15"/>
      <c r="H11" s="15"/>
      <c r="I11" s="15"/>
    </row>
    <row r="12" spans="2:14" x14ac:dyDescent="0.25">
      <c r="C12" s="21" t="s">
        <v>123</v>
      </c>
      <c r="D12" s="15">
        <v>1.7897368421052632E-3</v>
      </c>
      <c r="E12" s="21" t="s">
        <v>126</v>
      </c>
      <c r="F12" s="15"/>
      <c r="G12" s="15"/>
      <c r="H12" s="15"/>
      <c r="I12" s="15"/>
    </row>
    <row r="13" spans="2:14" x14ac:dyDescent="0.25">
      <c r="C13" s="21" t="s">
        <v>124</v>
      </c>
      <c r="D13" s="15">
        <v>1.4796875000000001E-3</v>
      </c>
      <c r="E13" s="21" t="s">
        <v>126</v>
      </c>
      <c r="F13" s="15"/>
      <c r="G13" s="15"/>
      <c r="H13" s="15"/>
      <c r="I13" s="15"/>
    </row>
    <row r="15" spans="2:14" x14ac:dyDescent="0.25">
      <c r="B15">
        <v>2</v>
      </c>
      <c r="C15" t="s">
        <v>127</v>
      </c>
    </row>
    <row r="16" spans="2:14" x14ac:dyDescent="0.25">
      <c r="C16">
        <v>1</v>
      </c>
      <c r="D16" t="s">
        <v>119</v>
      </c>
      <c r="E16" t="s">
        <v>128</v>
      </c>
      <c r="F16">
        <v>1000</v>
      </c>
      <c r="G16" t="s">
        <v>118</v>
      </c>
      <c r="H16" t="s">
        <v>117</v>
      </c>
    </row>
    <row r="17" spans="2:14" x14ac:dyDescent="0.25">
      <c r="C17">
        <v>1</v>
      </c>
      <c r="D17" t="s">
        <v>119</v>
      </c>
      <c r="E17" t="s">
        <v>128</v>
      </c>
      <c r="F17">
        <v>7.0000000000000007E-2</v>
      </c>
      <c r="G17" t="s">
        <v>129</v>
      </c>
      <c r="H17" t="s">
        <v>130</v>
      </c>
    </row>
    <row r="18" spans="2:14" x14ac:dyDescent="0.25">
      <c r="C18">
        <v>1</v>
      </c>
      <c r="D18" t="s">
        <v>131</v>
      </c>
      <c r="F18">
        <v>35.31</v>
      </c>
      <c r="G18" t="s">
        <v>118</v>
      </c>
    </row>
    <row r="20" spans="2:14" x14ac:dyDescent="0.25">
      <c r="C20" s="16" t="s">
        <v>137</v>
      </c>
      <c r="D20" s="16"/>
      <c r="E20" s="16"/>
      <c r="F20" s="16"/>
      <c r="G20" s="16"/>
    </row>
    <row r="21" spans="2:14" x14ac:dyDescent="0.25">
      <c r="C21" s="16" t="s">
        <v>132</v>
      </c>
      <c r="D21" s="16">
        <f>(D5+D6+D7/F16)/1000*F18</f>
        <v>0.28264207290000004</v>
      </c>
      <c r="E21" s="16" t="s">
        <v>119</v>
      </c>
      <c r="F21" s="16">
        <f>D21*3.6</f>
        <v>1.0175114624400001</v>
      </c>
      <c r="G21" s="16" t="s">
        <v>17</v>
      </c>
      <c r="K21" s="6" t="s">
        <v>175</v>
      </c>
      <c r="L21" s="6" t="s">
        <v>174</v>
      </c>
      <c r="M21" s="6" t="s">
        <v>155</v>
      </c>
      <c r="N21" s="6"/>
    </row>
    <row r="22" spans="2:14" x14ac:dyDescent="0.25">
      <c r="C22" s="15" t="s">
        <v>133</v>
      </c>
      <c r="D22" s="15">
        <f>D10+D11/F16+(D12+D13)/F17/F18</f>
        <v>0.44762269832450602</v>
      </c>
      <c r="E22" s="15" t="s">
        <v>119</v>
      </c>
      <c r="F22" s="15">
        <f>D22*3.6</f>
        <v>1.6114417139682218</v>
      </c>
      <c r="G22" s="15" t="s">
        <v>17</v>
      </c>
      <c r="K22" s="15" t="s">
        <v>175</v>
      </c>
      <c r="L22" s="15" t="s">
        <v>176</v>
      </c>
      <c r="M22" s="15" t="s">
        <v>160</v>
      </c>
      <c r="N22" s="15"/>
    </row>
    <row r="24" spans="2:14" x14ac:dyDescent="0.25">
      <c r="B24">
        <v>3</v>
      </c>
      <c r="C24" t="s">
        <v>134</v>
      </c>
    </row>
    <row r="26" spans="2:14" x14ac:dyDescent="0.25">
      <c r="C26" s="16" t="s">
        <v>138</v>
      </c>
      <c r="D26" s="16"/>
      <c r="E26" s="16"/>
      <c r="F26" s="16"/>
      <c r="G26" s="16"/>
    </row>
    <row r="27" spans="2:14" x14ac:dyDescent="0.25">
      <c r="C27" s="16" t="s">
        <v>135</v>
      </c>
      <c r="D27" s="16">
        <f>D7/F16/1000*F18</f>
        <v>5.1517290000000003E-4</v>
      </c>
      <c r="E27" s="16" t="s">
        <v>119</v>
      </c>
      <c r="F27" s="16">
        <f>D27*3.6</f>
        <v>1.8546224400000002E-3</v>
      </c>
      <c r="G27" s="16" t="s">
        <v>17</v>
      </c>
      <c r="K27" s="6" t="s">
        <v>175</v>
      </c>
      <c r="L27" s="6" t="s">
        <v>174</v>
      </c>
      <c r="M27" s="6" t="s">
        <v>155</v>
      </c>
      <c r="N27" s="6"/>
    </row>
    <row r="28" spans="2:14" x14ac:dyDescent="0.25">
      <c r="C28" s="15" t="s">
        <v>136</v>
      </c>
      <c r="D28" s="15">
        <f>D11/F16+(D12+D13)/F17/F18</f>
        <v>1.345992741636947E-3</v>
      </c>
      <c r="E28" s="15" t="s">
        <v>119</v>
      </c>
      <c r="F28" s="15">
        <f>D28*3.6</f>
        <v>4.8455738698930098E-3</v>
      </c>
      <c r="G28" s="15" t="s">
        <v>17</v>
      </c>
      <c r="K28" s="15" t="s">
        <v>175</v>
      </c>
      <c r="L28" s="15" t="s">
        <v>176</v>
      </c>
      <c r="M28" s="15" t="s">
        <v>160</v>
      </c>
      <c r="N28" s="15"/>
    </row>
    <row r="31" spans="2:14" x14ac:dyDescent="0.25">
      <c r="B31">
        <v>4</v>
      </c>
      <c r="C31" t="s">
        <v>173</v>
      </c>
    </row>
    <row r="32" spans="2:14" x14ac:dyDescent="0.25">
      <c r="C32" s="4"/>
      <c r="D32" s="4"/>
      <c r="E32" s="4" t="s">
        <v>139</v>
      </c>
      <c r="F32" s="4" t="s">
        <v>140</v>
      </c>
    </row>
    <row r="33" spans="3:14" x14ac:dyDescent="0.25">
      <c r="C33" s="4" t="s">
        <v>100</v>
      </c>
      <c r="D33" s="4" t="s">
        <v>54</v>
      </c>
      <c r="E33" s="9">
        <f t="shared" ref="E33:E38" si="0">1-F33</f>
        <v>0.72837174204668198</v>
      </c>
      <c r="F33" s="9">
        <f>(0.454+0.099)/'Figure 1'!D28</f>
        <v>0.27162825795331802</v>
      </c>
      <c r="K33" s="4" t="s">
        <v>167</v>
      </c>
      <c r="L33" s="4"/>
      <c r="M33" s="4"/>
      <c r="N33" s="4"/>
    </row>
    <row r="34" spans="3:14" x14ac:dyDescent="0.25">
      <c r="C34" s="4" t="s">
        <v>101</v>
      </c>
      <c r="D34" s="4" t="s">
        <v>141</v>
      </c>
      <c r="E34" s="9">
        <f t="shared" si="0"/>
        <v>0.90648698163508568</v>
      </c>
      <c r="F34" s="9">
        <f>(F21+F22)/'Figure 1'!E28</f>
        <v>9.3513018364914352E-2</v>
      </c>
    </row>
    <row r="35" spans="3:14" x14ac:dyDescent="0.25">
      <c r="C35" s="4" t="s">
        <v>102</v>
      </c>
      <c r="D35" s="4" t="s">
        <v>142</v>
      </c>
      <c r="E35" s="9">
        <f t="shared" si="0"/>
        <v>0.98704346348422223</v>
      </c>
      <c r="F35" s="9">
        <f>(F27+F28)/'Figure 1'!F28</f>
        <v>1.2956536515777778E-2</v>
      </c>
    </row>
    <row r="36" spans="3:14" x14ac:dyDescent="0.25">
      <c r="C36" s="4" t="s">
        <v>103</v>
      </c>
      <c r="D36" s="4" t="s">
        <v>143</v>
      </c>
      <c r="E36" s="22">
        <f t="shared" si="0"/>
        <v>1</v>
      </c>
      <c r="F36" s="22">
        <v>0</v>
      </c>
    </row>
    <row r="37" spans="3:14" x14ac:dyDescent="0.25">
      <c r="C37" s="4" t="s">
        <v>104</v>
      </c>
      <c r="D37" s="4" t="s">
        <v>144</v>
      </c>
      <c r="E37" s="9">
        <f t="shared" si="0"/>
        <v>3.9614447778903106E-2</v>
      </c>
      <c r="F37" s="9">
        <f>'Figure 1'!H37+'Figure 1'!H54</f>
        <v>0.96038555222109689</v>
      </c>
    </row>
    <row r="38" spans="3:14" x14ac:dyDescent="0.25">
      <c r="C38" s="4" t="s">
        <v>105</v>
      </c>
      <c r="D38" s="4" t="s">
        <v>145</v>
      </c>
      <c r="E38" s="9">
        <f t="shared" si="0"/>
        <v>1.0499999999999954E-2</v>
      </c>
      <c r="F38" s="9">
        <f>98.95%</f>
        <v>0.98950000000000005</v>
      </c>
    </row>
    <row r="39" spans="3:14" x14ac:dyDescent="0.25">
      <c r="C39" s="4" t="s">
        <v>106</v>
      </c>
      <c r="D39" s="4" t="s">
        <v>7</v>
      </c>
      <c r="E39" s="22">
        <f>1-F39</f>
        <v>1</v>
      </c>
      <c r="F39" s="22">
        <v>0</v>
      </c>
    </row>
    <row r="40" spans="3:14" x14ac:dyDescent="0.25">
      <c r="C40" s="4" t="s">
        <v>107</v>
      </c>
      <c r="D40" s="4" t="s">
        <v>146</v>
      </c>
      <c r="E40" s="22">
        <v>1</v>
      </c>
      <c r="F40" s="22">
        <v>0</v>
      </c>
    </row>
    <row r="41" spans="3:14" x14ac:dyDescent="0.25">
      <c r="C41" s="4" t="s">
        <v>108</v>
      </c>
      <c r="D41" s="4" t="s">
        <v>147</v>
      </c>
      <c r="E41" s="22">
        <f>1-F41</f>
        <v>0.68154634529827096</v>
      </c>
      <c r="F41" s="22">
        <f>43.271%*'Figure 5'!D29+2.433%*'Figure 5'!E29</f>
        <v>0.31845365470172904</v>
      </c>
    </row>
    <row r="42" spans="3:14" x14ac:dyDescent="0.25">
      <c r="C42" s="4" t="s">
        <v>109</v>
      </c>
      <c r="D42" s="4" t="s">
        <v>148</v>
      </c>
      <c r="E42" s="22">
        <v>1</v>
      </c>
      <c r="F42" s="22">
        <v>0</v>
      </c>
    </row>
    <row r="43" spans="3:14" x14ac:dyDescent="0.25">
      <c r="C43" s="4" t="s">
        <v>110</v>
      </c>
      <c r="D43" s="4" t="s">
        <v>149</v>
      </c>
      <c r="E43" s="22">
        <v>1</v>
      </c>
      <c r="F43" s="22">
        <v>0</v>
      </c>
    </row>
    <row r="44" spans="3:14" x14ac:dyDescent="0.25">
      <c r="C44" s="4" t="s">
        <v>111</v>
      </c>
      <c r="D44" s="4" t="s">
        <v>150</v>
      </c>
      <c r="E44" s="22">
        <f>1-F44</f>
        <v>0.9998272356367397</v>
      </c>
      <c r="F44" s="9">
        <f>3.078%*2.41%*'Figure 5'!E34</f>
        <v>1.7276436326026052E-4</v>
      </c>
    </row>
    <row r="45" spans="3:14" x14ac:dyDescent="0.25">
      <c r="C45" s="4" t="s">
        <v>112</v>
      </c>
      <c r="D45" s="4" t="s">
        <v>151</v>
      </c>
      <c r="E45" s="22">
        <v>1</v>
      </c>
      <c r="F45" s="22"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zoomScale="70" zoomScaleNormal="70" workbookViewId="0">
      <selection activeCell="O14" sqref="O14:U14"/>
    </sheetView>
  </sheetViews>
  <sheetFormatPr defaultRowHeight="15" x14ac:dyDescent="0.25"/>
  <cols>
    <col min="1" max="1" width="37.28515625" customWidth="1"/>
    <col min="2" max="2" width="16.140625" customWidth="1"/>
  </cols>
  <sheetData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12" t="s">
        <v>152</v>
      </c>
    </row>
    <row r="4" spans="1:18" x14ac:dyDescent="0.25">
      <c r="A4" s="6"/>
      <c r="B4" s="6" t="s">
        <v>59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60</v>
      </c>
      <c r="H4" s="6" t="s">
        <v>61</v>
      </c>
      <c r="I4" s="6" t="s">
        <v>9</v>
      </c>
      <c r="J4" s="6" t="s">
        <v>62</v>
      </c>
      <c r="K4" s="6" t="s">
        <v>63</v>
      </c>
      <c r="L4" s="6" t="s">
        <v>12</v>
      </c>
      <c r="M4" s="6" t="s">
        <v>64</v>
      </c>
      <c r="O4" s="6" t="s">
        <v>163</v>
      </c>
      <c r="P4" s="6" t="s">
        <v>164</v>
      </c>
      <c r="Q4" s="6" t="s">
        <v>155</v>
      </c>
      <c r="R4" s="6"/>
    </row>
    <row r="5" spans="1:18" x14ac:dyDescent="0.25">
      <c r="A5" s="6" t="s">
        <v>69</v>
      </c>
      <c r="B5" s="13">
        <v>7.4222051479062592E-2</v>
      </c>
      <c r="C5" s="13">
        <v>2.5807988845682618E-2</v>
      </c>
      <c r="D5" s="13">
        <v>5.484761453308426E-2</v>
      </c>
      <c r="E5" s="13">
        <v>7.5210602228307416E-2</v>
      </c>
      <c r="F5" s="13">
        <v>1.2814619734779304E-2</v>
      </c>
      <c r="G5" s="13">
        <v>0.11778693631982659</v>
      </c>
      <c r="H5" s="13">
        <v>-1.7338754757632469E-2</v>
      </c>
      <c r="I5" s="13">
        <v>-6.1691179563394703E-3</v>
      </c>
      <c r="J5" s="13">
        <v>-0.1584771871233642</v>
      </c>
      <c r="K5" s="13">
        <v>2.6692826684828323E-3</v>
      </c>
      <c r="L5" s="13">
        <v>5.4644603825905039E-2</v>
      </c>
      <c r="M5" s="13">
        <v>-0.14010762131089685</v>
      </c>
    </row>
    <row r="6" spans="1:18" x14ac:dyDescent="0.25">
      <c r="A6" s="6" t="s">
        <v>51</v>
      </c>
      <c r="B6" s="13">
        <v>0.14402612370341925</v>
      </c>
      <c r="C6" s="13">
        <v>5.0079331144806692E-2</v>
      </c>
      <c r="D6" s="13">
        <v>0.10643281376348886</v>
      </c>
      <c r="E6" s="13">
        <v>0.1459060599092791</v>
      </c>
      <c r="F6" s="13">
        <v>2.1151428290552741E-2</v>
      </c>
      <c r="G6" s="13">
        <v>0.22838077729187758</v>
      </c>
      <c r="H6" s="13">
        <v>-3.3662336283023647E-2</v>
      </c>
      <c r="I6" s="13">
        <v>-1.2057821460118051E-2</v>
      </c>
      <c r="J6" s="13">
        <v>-0.30750177013453023</v>
      </c>
      <c r="K6" s="13">
        <v>5.1782197349719821E-3</v>
      </c>
      <c r="L6" s="13">
        <v>0.10928920765181015</v>
      </c>
      <c r="M6" s="13">
        <v>-0.28179968753356399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15" t="s">
        <v>165</v>
      </c>
      <c r="P8" s="15" t="s">
        <v>164</v>
      </c>
      <c r="Q8" s="15" t="s">
        <v>160</v>
      </c>
      <c r="R8" s="15"/>
    </row>
    <row r="9" spans="1:18" x14ac:dyDescent="0.25">
      <c r="A9" s="15"/>
      <c r="B9" s="15" t="s">
        <v>59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60</v>
      </c>
      <c r="H9" s="15" t="s">
        <v>61</v>
      </c>
      <c r="I9" s="15" t="s">
        <v>9</v>
      </c>
      <c r="J9" s="15" t="s">
        <v>62</v>
      </c>
      <c r="K9" s="15" t="s">
        <v>63</v>
      </c>
      <c r="L9" s="15" t="s">
        <v>12</v>
      </c>
      <c r="M9" s="15" t="s">
        <v>64</v>
      </c>
    </row>
    <row r="10" spans="1:18" x14ac:dyDescent="0.25">
      <c r="A10" s="17" t="s">
        <v>70</v>
      </c>
      <c r="B10" s="18">
        <v>9.0393962733090971E-2</v>
      </c>
      <c r="C10" s="18">
        <v>6.5405672711806015E-2</v>
      </c>
      <c r="D10" s="18">
        <v>0.13273748272948069</v>
      </c>
      <c r="E10" s="18">
        <v>0.23290215257703062</v>
      </c>
      <c r="F10" s="18">
        <v>1.3590966029466841E-3</v>
      </c>
      <c r="G10" s="18">
        <v>0.29720000000000002</v>
      </c>
      <c r="H10" s="18">
        <v>-5.4100000000000002E-2</v>
      </c>
      <c r="I10" s="18">
        <v>-2.18E-2</v>
      </c>
      <c r="J10" s="18">
        <v>-0.4577</v>
      </c>
      <c r="K10" s="18">
        <v>8.8999999999999999E-3</v>
      </c>
      <c r="L10" s="18">
        <v>0.18429999999999999</v>
      </c>
      <c r="M10" s="18">
        <v>-0.2336</v>
      </c>
    </row>
    <row r="11" spans="1:18" x14ac:dyDescent="0.25">
      <c r="A11" s="19" t="s">
        <v>67</v>
      </c>
      <c r="B11" s="18">
        <f>B10*B20</f>
        <v>1.2698560476013671E-3</v>
      </c>
      <c r="C11" s="18">
        <f t="shared" ref="C11:F11" si="0">C10*C20</f>
        <v>1.8984129518003785E-3</v>
      </c>
      <c r="D11" s="18">
        <f t="shared" si="0"/>
        <v>4.2243636639216374E-3</v>
      </c>
      <c r="E11" s="18">
        <f t="shared" si="0"/>
        <v>9.9710687601375081E-3</v>
      </c>
      <c r="F11" s="18">
        <f t="shared" si="0"/>
        <v>6.9316453568545091E-7</v>
      </c>
      <c r="G11" s="18">
        <f t="shared" ref="G11:M11" si="1">G10*G20</f>
        <v>5.055038919145753E-3</v>
      </c>
      <c r="H11" s="18">
        <f t="shared" si="1"/>
        <v>-5.8071790494315934E-3</v>
      </c>
      <c r="I11" s="18">
        <f t="shared" si="1"/>
        <v>-4.6731102893159143E-4</v>
      </c>
      <c r="J11" s="18">
        <f t="shared" si="1"/>
        <v>-1.1964189993920999E-2</v>
      </c>
      <c r="K11" s="18">
        <f t="shared" si="1"/>
        <v>2.3513275686476323E-4</v>
      </c>
      <c r="L11" s="18">
        <f t="shared" si="1"/>
        <v>4.1656463207538448E-3</v>
      </c>
      <c r="M11" s="18">
        <f t="shared" si="1"/>
        <v>-6.6582762393114321E-3</v>
      </c>
    </row>
    <row r="12" spans="1:18" x14ac:dyDescent="0.25">
      <c r="A12" s="19" t="s">
        <v>68</v>
      </c>
      <c r="B12" s="18">
        <f>B10*(1-B20)</f>
        <v>8.9124106685489604E-2</v>
      </c>
      <c r="C12" s="18">
        <f t="shared" ref="C12:F12" si="2">C10*(1-C20)</f>
        <v>6.3507259760005638E-2</v>
      </c>
      <c r="D12" s="18">
        <f t="shared" si="2"/>
        <v>0.12851311906555904</v>
      </c>
      <c r="E12" s="18">
        <f t="shared" si="2"/>
        <v>0.22293108381689311</v>
      </c>
      <c r="F12" s="18">
        <f t="shared" si="2"/>
        <v>1.3584034384109987E-3</v>
      </c>
      <c r="G12" s="18">
        <f t="shared" ref="G12:M12" si="3">G10*(1-G20)</f>
        <v>0.2921449610808543</v>
      </c>
      <c r="H12" s="18">
        <f t="shared" si="3"/>
        <v>-4.8292820950568409E-2</v>
      </c>
      <c r="I12" s="18">
        <f t="shared" si="3"/>
        <v>-2.1332688971068409E-2</v>
      </c>
      <c r="J12" s="18">
        <f t="shared" si="3"/>
        <v>-0.44573581000607898</v>
      </c>
      <c r="K12" s="18">
        <f t="shared" si="3"/>
        <v>8.6648672431352373E-3</v>
      </c>
      <c r="L12" s="18">
        <f t="shared" si="3"/>
        <v>0.18013435367924616</v>
      </c>
      <c r="M12" s="18">
        <f t="shared" si="3"/>
        <v>-0.22694172376068858</v>
      </c>
    </row>
    <row r="13" spans="1:18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x14ac:dyDescent="0.25">
      <c r="A14" s="4"/>
      <c r="B14" s="4" t="s">
        <v>59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60</v>
      </c>
      <c r="H14" s="4" t="s">
        <v>61</v>
      </c>
      <c r="I14" s="4" t="s">
        <v>9</v>
      </c>
      <c r="J14" s="4" t="s">
        <v>62</v>
      </c>
      <c r="K14" s="4" t="s">
        <v>63</v>
      </c>
      <c r="L14" s="4" t="s">
        <v>12</v>
      </c>
      <c r="M14" s="4" t="s">
        <v>64</v>
      </c>
      <c r="O14" s="4" t="s">
        <v>167</v>
      </c>
      <c r="P14" s="4"/>
      <c r="Q14" s="4"/>
      <c r="R14" s="4"/>
    </row>
    <row r="15" spans="1:18" x14ac:dyDescent="0.25">
      <c r="A15" s="4" t="s">
        <v>74</v>
      </c>
      <c r="B15" s="4">
        <f>'Figure 1'!D28</f>
        <v>2.035870657076623</v>
      </c>
      <c r="C15" s="4">
        <f>'Figure 1'!E28</f>
        <v>28.113231958242434</v>
      </c>
      <c r="D15" s="4">
        <f>'Figure 1'!F28</f>
        <v>0.51712865561980004</v>
      </c>
      <c r="E15" s="4">
        <f>'Figure 1'!G28</f>
        <v>0.63473427298340346</v>
      </c>
      <c r="F15" s="4">
        <f>'Figure 1'!H28</f>
        <v>1.1022724617737581E-2</v>
      </c>
      <c r="G15" s="4">
        <f>'Figure 1'!I28</f>
        <v>1.2076556629193929</v>
      </c>
      <c r="H15" s="4">
        <f>'Figure 1'!J28</f>
        <v>9.3899935381965866E-2</v>
      </c>
      <c r="I15" s="4">
        <f>'Figure 1'!K28</f>
        <v>3.6589447821274276E-8</v>
      </c>
      <c r="J15" s="4">
        <f>'Figure 1'!L28</f>
        <v>4.5768015398072501E-2</v>
      </c>
      <c r="K15" s="4">
        <f>'Figure 1'!M28</f>
        <v>3.9415478989529915E-11</v>
      </c>
      <c r="L15" s="4">
        <f>'Figure 1'!N28</f>
        <v>4.0964800384859123E-11</v>
      </c>
      <c r="M15" s="4">
        <f>'Figure 1'!O28</f>
        <v>1.9215284543383122E-3</v>
      </c>
    </row>
    <row r="16" spans="1:18" x14ac:dyDescent="0.25">
      <c r="A16" s="20" t="s">
        <v>75</v>
      </c>
      <c r="B16" s="4">
        <f>'Figure 1'!D16</f>
        <v>1.3431881499999999E-2</v>
      </c>
      <c r="C16" s="4">
        <f>'Figure 1'!E16</f>
        <v>0.22599</v>
      </c>
      <c r="D16" s="4">
        <f>'Figure 1'!F16</f>
        <v>4.6899999999999997E-3</v>
      </c>
      <c r="E16" s="4">
        <f>'Figure 1'!G16</f>
        <v>6.5799999999999999E-3</v>
      </c>
      <c r="F16" s="4">
        <f>'Figure 1'!H16</f>
        <v>5.1187300000000002E-6</v>
      </c>
      <c r="G16" s="4">
        <f>'Figure 1'!I16</f>
        <v>5.8100000000000003E-5</v>
      </c>
      <c r="H16" s="4">
        <f>'Figure 1'!J16</f>
        <v>2.82E-3</v>
      </c>
      <c r="I16" s="4">
        <f>'Figure 1'!K16</f>
        <v>1.8990000000000001E-10</v>
      </c>
      <c r="J16" s="4">
        <f>'Figure 1'!L16</f>
        <v>2.5999999999999998E-4</v>
      </c>
      <c r="K16" s="4">
        <f>'Figure 1'!M16</f>
        <v>2.6576999999999999E-13</v>
      </c>
      <c r="L16" s="4">
        <f>'Figure 1'!N16</f>
        <v>2.05335E-13</v>
      </c>
      <c r="M16" s="4">
        <f>'Figure 1'!O16</f>
        <v>1.2755700000000001E-5</v>
      </c>
    </row>
    <row r="17" spans="1:13" x14ac:dyDescent="0.25">
      <c r="A17" s="20" t="s">
        <v>76</v>
      </c>
      <c r="B17" s="4">
        <f>SUM('Figure 1'!D17:D27)</f>
        <v>0.94270877557662269</v>
      </c>
      <c r="C17" s="4">
        <f>SUM('Figure 1'!E17:E27)</f>
        <v>7.5600019582424407</v>
      </c>
      <c r="D17" s="4">
        <f>SUM('Figure 1'!F17:F27)</f>
        <v>0.1426786556198</v>
      </c>
      <c r="E17" s="4">
        <f>SUM('Figure 1'!G17:G27)</f>
        <v>0.14711427298340354</v>
      </c>
      <c r="F17" s="4">
        <f>SUM('Figure 1'!H17:H27)</f>
        <v>1.0031240887737582E-2</v>
      </c>
      <c r="G17" s="4">
        <f>SUM('Figure 1'!I17:I27)</f>
        <v>3.3577629193933074E-3</v>
      </c>
      <c r="H17" s="4">
        <f>SUM('Figure 1'!J17:J27)</f>
        <v>2.3451275381965841E-2</v>
      </c>
      <c r="I17" s="4">
        <f>SUM('Figure 1'!K17:K27)</f>
        <v>8.6689108212742808E-9</v>
      </c>
      <c r="J17" s="4">
        <f>SUM('Figure 1'!L17:L27)</f>
        <v>9.6865153980724861E-3</v>
      </c>
      <c r="K17" s="4">
        <f>SUM('Figure 1'!M17:M27)</f>
        <v>9.7938789895299203E-12</v>
      </c>
      <c r="L17" s="4">
        <f>SUM('Figure 1'!N17:N27)</f>
        <v>8.8792673848591194E-12</v>
      </c>
      <c r="M17" s="4">
        <f>SUM('Figure 1'!O17:O27)</f>
        <v>4.34767264338312E-4</v>
      </c>
    </row>
    <row r="18" spans="1:13" x14ac:dyDescent="0.25">
      <c r="A18" s="20" t="s">
        <v>77</v>
      </c>
      <c r="B18" s="4">
        <f>SUM('Figure 1'!D5:D13)</f>
        <v>0.46444000000000007</v>
      </c>
      <c r="C18" s="4">
        <f>SUM('Figure 1'!E5:E13)</f>
        <v>8.5371000000000006</v>
      </c>
      <c r="D18" s="4">
        <f>SUM('Figure 1'!F5:F13)</f>
        <v>0.15380999999999997</v>
      </c>
      <c r="E18" s="4">
        <f>SUM('Figure 1'!G5:G13)</f>
        <v>0.21284000000000003</v>
      </c>
      <c r="F18" s="4">
        <f>SUM('Figure 1'!H5:H13)</f>
        <v>9.1278454000000005E-4</v>
      </c>
      <c r="G18" s="4">
        <f>SUM('Figure 1'!I5:I13)</f>
        <v>1.1981797999999997</v>
      </c>
      <c r="H18" s="4">
        <f>SUM('Figure 1'!J5:J13)</f>
        <v>2.9238660000000003E-2</v>
      </c>
      <c r="I18" s="4">
        <f>SUM('Figure 1'!K5:K13)</f>
        <v>1.4352217000000001E-8</v>
      </c>
      <c r="J18" s="4">
        <f>SUM('Figure 1'!L5:L13)</f>
        <v>1.0821500000000001E-2</v>
      </c>
      <c r="K18" s="4">
        <f>SUM('Figure 1'!M5:M13)</f>
        <v>1.2879820000000001E-11</v>
      </c>
      <c r="L18" s="4">
        <f>SUM('Figure 1'!N5:N13)</f>
        <v>2.6130048000000003E-11</v>
      </c>
      <c r="M18" s="4">
        <f>SUM('Figure 1'!O5:O13)</f>
        <v>7.1400549000000019E-4</v>
      </c>
    </row>
    <row r="19" spans="1:13" x14ac:dyDescent="0.25">
      <c r="A19" s="20" t="s">
        <v>78</v>
      </c>
      <c r="B19" s="4">
        <f>'Figure 1'!D14</f>
        <v>0.61529</v>
      </c>
      <c r="C19" s="4">
        <f>'Figure 1'!E14</f>
        <v>11.790140000000001</v>
      </c>
      <c r="D19" s="4">
        <f>'Figure 1'!F14</f>
        <v>0.21595</v>
      </c>
      <c r="E19" s="4">
        <f>'Figure 1'!G14</f>
        <v>0.26819999999999999</v>
      </c>
      <c r="F19" s="4">
        <f>'Figure 1'!H14</f>
        <v>7.3580460000000002E-5</v>
      </c>
      <c r="G19" s="4">
        <f>'Figure 1'!I14</f>
        <v>6.0600000000000003E-3</v>
      </c>
      <c r="H19" s="4">
        <f>'Figure 1'!J14</f>
        <v>3.8390000000000001E-2</v>
      </c>
      <c r="I19" s="4">
        <f>'Figure 1'!K14</f>
        <v>1.3378420000000001E-8</v>
      </c>
      <c r="J19" s="4">
        <f>'Figure 1'!L14</f>
        <v>2.5000000000000001E-2</v>
      </c>
      <c r="K19" s="4">
        <f>'Figure 1'!M14</f>
        <v>1.6476010000000001E-11</v>
      </c>
      <c r="L19" s="4">
        <f>'Figure 1'!N14</f>
        <v>5.7501499999999989E-12</v>
      </c>
      <c r="M19" s="4">
        <f>'Figure 1'!O14</f>
        <v>7.6000000000000004E-4</v>
      </c>
    </row>
    <row r="20" spans="1:13" ht="30" x14ac:dyDescent="0.25">
      <c r="A20" s="20" t="s">
        <v>71</v>
      </c>
      <c r="B20" s="9">
        <f>B16/(B16+B17)</f>
        <v>1.4048018354399507E-2</v>
      </c>
      <c r="C20" s="9">
        <f t="shared" ref="C20:M20" si="4">C16/(C16+C17)</f>
        <v>2.9025203366767092E-2</v>
      </c>
      <c r="D20" s="9">
        <f t="shared" si="4"/>
        <v>3.1824949344043993E-2</v>
      </c>
      <c r="E20" s="9">
        <f t="shared" si="4"/>
        <v>4.2812265364699252E-2</v>
      </c>
      <c r="F20" s="9">
        <f t="shared" si="4"/>
        <v>5.100185918959603E-4</v>
      </c>
      <c r="G20" s="9">
        <f t="shared" si="4"/>
        <v>1.7008879270342371E-2</v>
      </c>
      <c r="H20" s="9">
        <f t="shared" si="4"/>
        <v>0.10734157207821798</v>
      </c>
      <c r="I20" s="9">
        <f t="shared" si="4"/>
        <v>2.1436285730806946E-2</v>
      </c>
      <c r="J20" s="9">
        <f t="shared" si="4"/>
        <v>2.6139807721042168E-2</v>
      </c>
      <c r="K20" s="9">
        <f t="shared" si="4"/>
        <v>2.6419410883681261E-2</v>
      </c>
      <c r="L20" s="9">
        <f t="shared" si="4"/>
        <v>2.2602530226553692E-2</v>
      </c>
      <c r="M20" s="9">
        <f t="shared" si="4"/>
        <v>2.8502894860066061E-2</v>
      </c>
    </row>
    <row r="21" spans="1:13" ht="45" x14ac:dyDescent="0.25">
      <c r="A21" s="20" t="s">
        <v>72</v>
      </c>
      <c r="B21" s="9">
        <f>(B18+B19)/B15</f>
        <v>0.53035294567800373</v>
      </c>
      <c r="C21" s="9">
        <f t="shared" ref="C21:M21" si="5">(C18+C19)/C15</f>
        <v>0.72304884867711983</v>
      </c>
      <c r="D21" s="9">
        <f t="shared" si="5"/>
        <v>0.71502516053152643</v>
      </c>
      <c r="E21" s="9">
        <f t="shared" si="5"/>
        <v>0.75786044723722978</v>
      </c>
      <c r="F21" s="9">
        <f t="shared" si="5"/>
        <v>8.9484681347546169E-2</v>
      </c>
      <c r="G21" s="9">
        <f t="shared" si="5"/>
        <v>0.99717149264953908</v>
      </c>
      <c r="H21" s="9">
        <f t="shared" si="5"/>
        <v>0.7202205169247492</v>
      </c>
      <c r="I21" s="9">
        <f t="shared" si="5"/>
        <v>0.75788618443912459</v>
      </c>
      <c r="J21" s="9">
        <f t="shared" si="5"/>
        <v>0.78267540526803381</v>
      </c>
      <c r="K21" s="9">
        <f t="shared" si="5"/>
        <v>0.7447792276683457</v>
      </c>
      <c r="L21" s="9">
        <f t="shared" si="5"/>
        <v>0.77823393988227874</v>
      </c>
      <c r="M21" s="9">
        <f t="shared" si="5"/>
        <v>0.76710052701643772</v>
      </c>
    </row>
    <row r="22" spans="1:13" ht="30" x14ac:dyDescent="0.25">
      <c r="A22" s="20" t="s">
        <v>73</v>
      </c>
      <c r="B22" s="9">
        <f>(B16+B17)/B15</f>
        <v>0.4696470543219961</v>
      </c>
      <c r="C22" s="9">
        <f t="shared" ref="C22:M22" si="6">(C16+C17)/C15</f>
        <v>0.27695115132288051</v>
      </c>
      <c r="D22" s="9">
        <f t="shared" si="6"/>
        <v>0.28497483946847346</v>
      </c>
      <c r="E22" s="9">
        <f t="shared" si="6"/>
        <v>0.24213955276277041</v>
      </c>
      <c r="F22" s="9">
        <f t="shared" si="6"/>
        <v>0.91051531865245394</v>
      </c>
      <c r="G22" s="9">
        <f t="shared" si="6"/>
        <v>2.8285073504609611E-3</v>
      </c>
      <c r="H22" s="9">
        <f t="shared" si="6"/>
        <v>0.27977948307525058</v>
      </c>
      <c r="I22" s="9">
        <f t="shared" si="6"/>
        <v>0.24211381556087558</v>
      </c>
      <c r="J22" s="9">
        <f t="shared" si="6"/>
        <v>0.217324594731966</v>
      </c>
      <c r="K22" s="9">
        <f t="shared" si="6"/>
        <v>0.25522077233165436</v>
      </c>
      <c r="L22" s="9">
        <f t="shared" si="6"/>
        <v>0.22176606011772126</v>
      </c>
      <c r="M22" s="9">
        <f t="shared" si="6"/>
        <v>0.23289947298356231</v>
      </c>
    </row>
    <row r="24" spans="1:13" x14ac:dyDescent="0.25">
      <c r="A24" s="11" t="s">
        <v>65</v>
      </c>
      <c r="B24" s="9">
        <f>B5*B21</f>
        <v>3.936388363618528E-2</v>
      </c>
      <c r="C24" s="9">
        <f t="shared" ref="C24:M24" si="7">C5*C21</f>
        <v>1.8660436621542768E-2</v>
      </c>
      <c r="D24" s="9">
        <f t="shared" si="7"/>
        <v>3.9217424386289855E-2</v>
      </c>
      <c r="E24" s="9">
        <f t="shared" si="7"/>
        <v>5.6999140641726447E-2</v>
      </c>
      <c r="F24" s="9">
        <f t="shared" si="7"/>
        <v>1.1467121635567027E-3</v>
      </c>
      <c r="G24" s="9">
        <f t="shared" si="7"/>
        <v>0.1174537751046577</v>
      </c>
      <c r="H24" s="9">
        <f t="shared" si="7"/>
        <v>-1.248772691437351E-2</v>
      </c>
      <c r="I24" s="9">
        <f t="shared" si="7"/>
        <v>-4.6754892692850115E-3</v>
      </c>
      <c r="J24" s="9">
        <f t="shared" si="7"/>
        <v>-0.1240361966575171</v>
      </c>
      <c r="K24" s="9">
        <f t="shared" si="7"/>
        <v>1.9880262842611445E-3</v>
      </c>
      <c r="L24" s="9">
        <f t="shared" si="7"/>
        <v>4.2526285328740324E-2</v>
      </c>
      <c r="M24" s="9">
        <f t="shared" si="7"/>
        <v>-0.10747663014660845</v>
      </c>
    </row>
    <row r="25" spans="1:13" x14ac:dyDescent="0.25">
      <c r="A25" s="11" t="s">
        <v>66</v>
      </c>
      <c r="B25" s="9">
        <f>B6*B21</f>
        <v>7.6384678960692953E-2</v>
      </c>
      <c r="C25" s="9">
        <f t="shared" ref="C25:M25" si="8">C6*C21</f>
        <v>3.6209802726772711E-2</v>
      </c>
      <c r="D25" s="9">
        <f t="shared" si="8"/>
        <v>7.6102139747060676E-2</v>
      </c>
      <c r="E25" s="9">
        <f t="shared" si="8"/>
        <v>0.1105764318174683</v>
      </c>
      <c r="F25" s="9">
        <f t="shared" si="8"/>
        <v>1.8927288206255853E-3</v>
      </c>
      <c r="G25" s="9">
        <f t="shared" si="8"/>
        <v>0.22773480058460352</v>
      </c>
      <c r="H25" s="9">
        <f t="shared" si="8"/>
        <v>-2.4244305238654031E-2</v>
      </c>
      <c r="I25" s="9">
        <f t="shared" si="8"/>
        <v>-9.1384562990570635E-3</v>
      </c>
      <c r="J25" s="9">
        <f t="shared" si="8"/>
        <v>-0.24067407256068121</v>
      </c>
      <c r="K25" s="9">
        <f t="shared" si="8"/>
        <v>3.8566304949094188E-3</v>
      </c>
      <c r="L25" s="9">
        <f t="shared" si="8"/>
        <v>8.5052570657480689E-2</v>
      </c>
      <c r="M25" s="9">
        <f t="shared" si="8"/>
        <v>-0.2161686888200644</v>
      </c>
    </row>
    <row r="26" spans="1:13" x14ac:dyDescent="0.25">
      <c r="A26" s="11" t="s">
        <v>67</v>
      </c>
      <c r="B26" s="9">
        <f>B11*B22</f>
        <v>5.9638415216895445E-4</v>
      </c>
      <c r="C26" s="9">
        <f t="shared" ref="C26:M26" si="9">C11*C22</f>
        <v>5.2576765268738288E-4</v>
      </c>
      <c r="D26" s="9">
        <f t="shared" si="9"/>
        <v>1.2038373569825209E-3</v>
      </c>
      <c r="E26" s="9">
        <f t="shared" si="9"/>
        <v>2.4143901301465279E-3</v>
      </c>
      <c r="F26" s="9">
        <f t="shared" si="9"/>
        <v>6.3113692808821859E-7</v>
      </c>
      <c r="G26" s="9">
        <f t="shared" si="9"/>
        <v>1.4298214739669995E-5</v>
      </c>
      <c r="H26" s="9">
        <f t="shared" si="9"/>
        <v>-1.6247295525753961E-3</v>
      </c>
      <c r="I26" s="9">
        <f t="shared" si="9"/>
        <v>-1.1314245626830632E-4</v>
      </c>
      <c r="J26" s="9">
        <f t="shared" si="9"/>
        <v>-2.6001127417251239E-3</v>
      </c>
      <c r="K26" s="9">
        <f t="shared" si="9"/>
        <v>6.0010763807495974E-5</v>
      </c>
      <c r="L26" s="9">
        <f t="shared" si="9"/>
        <v>9.2379897239746158E-4</v>
      </c>
      <c r="M26" s="9">
        <f t="shared" si="9"/>
        <v>-1.5507090271146078E-3</v>
      </c>
    </row>
    <row r="27" spans="1:13" x14ac:dyDescent="0.25">
      <c r="A27" s="11" t="s">
        <v>68</v>
      </c>
      <c r="B27" s="9">
        <f>B12*B22</f>
        <v>4.1856874173919513E-2</v>
      </c>
      <c r="C27" s="9">
        <f t="shared" ref="C27:M27" si="10">C12*C22</f>
        <v>1.7588408707894802E-2</v>
      </c>
      <c r="D27" s="9">
        <f t="shared" si="10"/>
        <v>3.66230054753005E-2</v>
      </c>
      <c r="E27" s="9">
        <f t="shared" si="10"/>
        <v>5.3980432932342184E-2</v>
      </c>
      <c r="F27" s="9">
        <f t="shared" si="10"/>
        <v>1.2368471395833795E-3</v>
      </c>
      <c r="G27" s="9">
        <f t="shared" si="10"/>
        <v>8.2633416981732781E-4</v>
      </c>
      <c r="H27" s="9">
        <f>H12*H22</f>
        <v>-1.3511340481795661E-2</v>
      </c>
      <c r="I27" s="9">
        <f t="shared" si="10"/>
        <v>-5.1649387229587814E-3</v>
      </c>
      <c r="J27" s="9">
        <f t="shared" si="10"/>
        <v>-9.6869354267095711E-2</v>
      </c>
      <c r="K27" s="9">
        <f t="shared" si="10"/>
        <v>2.2114541099442281E-3</v>
      </c>
      <c r="L27" s="9">
        <f t="shared" si="10"/>
        <v>3.9947685907298566E-2</v>
      </c>
      <c r="M27" s="9">
        <f t="shared" si="10"/>
        <v>-5.2854607861845551E-2</v>
      </c>
    </row>
    <row r="30" spans="1:13" x14ac:dyDescent="0.25">
      <c r="A30" s="5"/>
      <c r="B30" s="5" t="s">
        <v>59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60</v>
      </c>
      <c r="H30" s="5" t="s">
        <v>61</v>
      </c>
      <c r="I30" s="5" t="s">
        <v>9</v>
      </c>
      <c r="J30" s="4" t="s">
        <v>62</v>
      </c>
      <c r="K30" s="5" t="s">
        <v>63</v>
      </c>
      <c r="L30" s="4" t="s">
        <v>12</v>
      </c>
      <c r="M30" s="4" t="s">
        <v>64</v>
      </c>
    </row>
    <row r="31" spans="1:13" x14ac:dyDescent="0.25">
      <c r="A31" s="11" t="s">
        <v>65</v>
      </c>
      <c r="B31" s="10">
        <f t="shared" ref="B31:M31" si="11">B24</f>
        <v>3.936388363618528E-2</v>
      </c>
      <c r="C31" s="10">
        <f t="shared" si="11"/>
        <v>1.8660436621542768E-2</v>
      </c>
      <c r="D31" s="10">
        <f t="shared" si="11"/>
        <v>3.9217424386289855E-2</v>
      </c>
      <c r="E31" s="10">
        <f t="shared" si="11"/>
        <v>5.6999140641726447E-2</v>
      </c>
      <c r="F31" s="10">
        <f t="shared" si="11"/>
        <v>1.1467121635567027E-3</v>
      </c>
      <c r="G31" s="10">
        <f t="shared" si="11"/>
        <v>0.1174537751046577</v>
      </c>
      <c r="H31" s="5">
        <f t="shared" si="11"/>
        <v>-1.248772691437351E-2</v>
      </c>
      <c r="I31" s="5">
        <f t="shared" si="11"/>
        <v>-4.6754892692850115E-3</v>
      </c>
      <c r="J31" s="5">
        <f t="shared" si="11"/>
        <v>-0.1240361966575171</v>
      </c>
      <c r="K31" s="10">
        <f t="shared" si="11"/>
        <v>1.9880262842611445E-3</v>
      </c>
      <c r="L31" s="10">
        <f t="shared" si="11"/>
        <v>4.2526285328740324E-2</v>
      </c>
      <c r="M31" s="10">
        <f t="shared" si="11"/>
        <v>-0.10747663014660845</v>
      </c>
    </row>
    <row r="32" spans="1:13" x14ac:dyDescent="0.25">
      <c r="A32" s="11" t="s">
        <v>66</v>
      </c>
      <c r="B32" s="10">
        <f t="shared" ref="B32:M32" si="12">B25</f>
        <v>7.6384678960692953E-2</v>
      </c>
      <c r="C32" s="10">
        <f t="shared" si="12"/>
        <v>3.6209802726772711E-2</v>
      </c>
      <c r="D32" s="10">
        <f t="shared" si="12"/>
        <v>7.6102139747060676E-2</v>
      </c>
      <c r="E32" s="10">
        <f t="shared" si="12"/>
        <v>0.1105764318174683</v>
      </c>
      <c r="F32" s="10">
        <f t="shared" si="12"/>
        <v>1.8927288206255853E-3</v>
      </c>
      <c r="G32" s="10">
        <f t="shared" si="12"/>
        <v>0.22773480058460352</v>
      </c>
      <c r="H32" s="5">
        <f t="shared" si="12"/>
        <v>-2.4244305238654031E-2</v>
      </c>
      <c r="I32" s="5">
        <f t="shared" si="12"/>
        <v>-9.1384562990570635E-3</v>
      </c>
      <c r="J32" s="5">
        <f t="shared" si="12"/>
        <v>-0.24067407256068121</v>
      </c>
      <c r="K32" s="10">
        <f t="shared" si="12"/>
        <v>3.8566304949094188E-3</v>
      </c>
      <c r="L32" s="10">
        <f t="shared" si="12"/>
        <v>8.5052570657480689E-2</v>
      </c>
      <c r="M32" s="10">
        <f t="shared" si="12"/>
        <v>-0.2161686888200644</v>
      </c>
    </row>
    <row r="33" spans="1:13" x14ac:dyDescent="0.25">
      <c r="A33" s="11" t="s">
        <v>67</v>
      </c>
      <c r="B33" s="10">
        <f t="shared" ref="B33:M33" si="13">B26</f>
        <v>5.9638415216895445E-4</v>
      </c>
      <c r="C33" s="10">
        <f t="shared" si="13"/>
        <v>5.2576765268738288E-4</v>
      </c>
      <c r="D33" s="10">
        <f t="shared" si="13"/>
        <v>1.2038373569825209E-3</v>
      </c>
      <c r="E33" s="10">
        <f t="shared" si="13"/>
        <v>2.4143901301465279E-3</v>
      </c>
      <c r="F33" s="10">
        <f t="shared" si="13"/>
        <v>6.3113692808821859E-7</v>
      </c>
      <c r="G33" s="10">
        <f t="shared" si="13"/>
        <v>1.4298214739669995E-5</v>
      </c>
      <c r="H33" s="5">
        <f t="shared" si="13"/>
        <v>-1.6247295525753961E-3</v>
      </c>
      <c r="I33" s="5">
        <f t="shared" si="13"/>
        <v>-1.1314245626830632E-4</v>
      </c>
      <c r="J33" s="5">
        <f t="shared" si="13"/>
        <v>-2.6001127417251239E-3</v>
      </c>
      <c r="K33" s="10">
        <f t="shared" si="13"/>
        <v>6.0010763807495974E-5</v>
      </c>
      <c r="L33" s="10">
        <f t="shared" si="13"/>
        <v>9.2379897239746158E-4</v>
      </c>
      <c r="M33" s="10">
        <f t="shared" si="13"/>
        <v>-1.5507090271146078E-3</v>
      </c>
    </row>
    <row r="34" spans="1:13" x14ac:dyDescent="0.25">
      <c r="A34" s="11" t="s">
        <v>68</v>
      </c>
      <c r="B34" s="10">
        <f t="shared" ref="B34:M34" si="14">B27</f>
        <v>4.1856874173919513E-2</v>
      </c>
      <c r="C34" s="10">
        <f t="shared" si="14"/>
        <v>1.7588408707894802E-2</v>
      </c>
      <c r="D34" s="10">
        <f t="shared" si="14"/>
        <v>3.66230054753005E-2</v>
      </c>
      <c r="E34" s="10">
        <f t="shared" si="14"/>
        <v>5.3980432932342184E-2</v>
      </c>
      <c r="F34" s="10">
        <f t="shared" si="14"/>
        <v>1.2368471395833795E-3</v>
      </c>
      <c r="G34" s="10">
        <f t="shared" si="14"/>
        <v>8.2633416981732781E-4</v>
      </c>
      <c r="H34" s="5">
        <f t="shared" si="14"/>
        <v>-1.3511340481795661E-2</v>
      </c>
      <c r="I34" s="5">
        <f t="shared" si="14"/>
        <v>-5.1649387229587814E-3</v>
      </c>
      <c r="J34" s="5">
        <f t="shared" si="14"/>
        <v>-9.6869354267095711E-2</v>
      </c>
      <c r="K34" s="10">
        <f t="shared" si="14"/>
        <v>2.2114541099442281E-3</v>
      </c>
      <c r="L34" s="10">
        <f t="shared" si="14"/>
        <v>3.9947685907298566E-2</v>
      </c>
      <c r="M34" s="10">
        <f t="shared" si="14"/>
        <v>-5.2854607861845551E-2</v>
      </c>
    </row>
    <row r="35" spans="1:13" x14ac:dyDescent="0.25">
      <c r="A35" s="11" t="s">
        <v>50</v>
      </c>
      <c r="B35" s="9">
        <f>SUM(B31:B34)</f>
        <v>0.1582018209229667</v>
      </c>
      <c r="C35" s="9">
        <f t="shared" ref="C35:M35" si="15">SUM(C31:C34)</f>
        <v>7.298441570889766E-2</v>
      </c>
      <c r="D35" s="9">
        <f t="shared" si="15"/>
        <v>0.15314640696563356</v>
      </c>
      <c r="E35" s="9">
        <f t="shared" si="15"/>
        <v>0.22397039552168346</v>
      </c>
      <c r="F35" s="9">
        <f t="shared" si="15"/>
        <v>4.2769192606937553E-3</v>
      </c>
      <c r="G35" s="9">
        <f t="shared" si="15"/>
        <v>0.34602920807381821</v>
      </c>
      <c r="H35" s="9">
        <f t="shared" si="15"/>
        <v>-5.1868102187398596E-2</v>
      </c>
      <c r="I35" s="9">
        <f t="shared" si="15"/>
        <v>-1.9092026747569164E-2</v>
      </c>
      <c r="J35" s="9">
        <f t="shared" si="15"/>
        <v>-0.46417973622701914</v>
      </c>
      <c r="K35" s="9">
        <f t="shared" si="15"/>
        <v>8.1161216529222861E-3</v>
      </c>
      <c r="L35" s="9">
        <f t="shared" si="15"/>
        <v>0.16845034086591704</v>
      </c>
      <c r="M35" s="9">
        <f t="shared" si="15"/>
        <v>-0.37805063585563303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3"/>
  <sheetViews>
    <sheetView zoomScale="69" zoomScaleNormal="69" workbookViewId="0">
      <selection activeCell="E34" sqref="E34"/>
    </sheetView>
  </sheetViews>
  <sheetFormatPr defaultRowHeight="15" x14ac:dyDescent="0.25"/>
  <cols>
    <col min="3" max="3" width="15.42578125" customWidth="1"/>
    <col min="4" max="4" width="21.140625" bestFit="1" customWidth="1"/>
    <col min="5" max="5" width="18.42578125" bestFit="1" customWidth="1"/>
    <col min="6" max="6" width="21.140625" bestFit="1" customWidth="1"/>
    <col min="7" max="7" width="20.42578125" bestFit="1" customWidth="1"/>
    <col min="8" max="8" width="21.140625" bestFit="1" customWidth="1"/>
    <col min="9" max="9" width="20.42578125" bestFit="1" customWidth="1"/>
    <col min="10" max="10" width="23" bestFit="1" customWidth="1"/>
    <col min="11" max="11" width="22.5703125" bestFit="1" customWidth="1"/>
  </cols>
  <sheetData>
    <row r="4" spans="2:19" x14ac:dyDescent="0.25">
      <c r="B4" t="s">
        <v>91</v>
      </c>
      <c r="P4" s="12" t="s">
        <v>152</v>
      </c>
    </row>
    <row r="5" spans="2:19" x14ac:dyDescent="0.25">
      <c r="C5" s="6"/>
      <c r="D5" s="6" t="s">
        <v>79</v>
      </c>
      <c r="E5" s="6"/>
      <c r="F5" s="6" t="s">
        <v>84</v>
      </c>
      <c r="G5" s="6"/>
      <c r="H5" s="15" t="s">
        <v>89</v>
      </c>
      <c r="I5" s="15"/>
      <c r="J5" s="15" t="s">
        <v>90</v>
      </c>
      <c r="K5" s="15"/>
      <c r="P5" s="6" t="s">
        <v>169</v>
      </c>
      <c r="Q5" s="6" t="s">
        <v>170</v>
      </c>
      <c r="R5" s="6" t="s">
        <v>155</v>
      </c>
      <c r="S5" s="6"/>
    </row>
    <row r="6" spans="2:19" x14ac:dyDescent="0.25">
      <c r="C6" s="6"/>
      <c r="D6" s="6" t="s">
        <v>80</v>
      </c>
      <c r="E6" s="6" t="s">
        <v>81</v>
      </c>
      <c r="F6" s="6" t="s">
        <v>82</v>
      </c>
      <c r="G6" s="6" t="s">
        <v>83</v>
      </c>
      <c r="H6" s="15" t="s">
        <v>85</v>
      </c>
      <c r="I6" s="15" t="s">
        <v>86</v>
      </c>
      <c r="J6" s="15" t="s">
        <v>87</v>
      </c>
      <c r="K6" s="15" t="s">
        <v>88</v>
      </c>
      <c r="P6" s="15" t="s">
        <v>171</v>
      </c>
      <c r="Q6" s="15" t="s">
        <v>170</v>
      </c>
      <c r="R6" s="15" t="s">
        <v>160</v>
      </c>
      <c r="S6" s="15"/>
    </row>
    <row r="7" spans="2:19" x14ac:dyDescent="0.25">
      <c r="C7" s="6" t="s">
        <v>1</v>
      </c>
      <c r="D7" s="13">
        <v>-2.9648482520168995E-2</v>
      </c>
      <c r="E7" s="13">
        <v>2.9648482520169207E-2</v>
      </c>
      <c r="F7" s="13">
        <v>-5.7520169035727903E-2</v>
      </c>
      <c r="G7" s="13">
        <v>5.753937764118338E-2</v>
      </c>
      <c r="H7" s="18">
        <v>-2.2214992030111458E-2</v>
      </c>
      <c r="I7" s="18">
        <v>4.2064253439809837E-2</v>
      </c>
      <c r="J7" s="18">
        <v>-5.2293561234879719E-4</v>
      </c>
      <c r="K7" s="18">
        <v>4.288072021260833E-4</v>
      </c>
    </row>
    <row r="8" spans="2:19" x14ac:dyDescent="0.25">
      <c r="C8" s="6" t="s">
        <v>2</v>
      </c>
      <c r="D8" s="13">
        <v>-2.9777322549884282E-2</v>
      </c>
      <c r="E8" s="13">
        <v>2.9777827361496142E-2</v>
      </c>
      <c r="F8" s="13">
        <v>-5.7819607589741605E-2</v>
      </c>
      <c r="G8" s="13">
        <v>5.7782251530462569E-2</v>
      </c>
      <c r="H8" s="18">
        <v>-7.5390773762749289E-2</v>
      </c>
      <c r="I8" s="18">
        <v>7.546091042844931E-2</v>
      </c>
      <c r="J8" s="18">
        <v>-1.0970931241970213E-3</v>
      </c>
      <c r="K8" s="18">
        <v>1.1672297898969294E-3</v>
      </c>
    </row>
    <row r="9" spans="2:19" x14ac:dyDescent="0.25">
      <c r="C9" s="6" t="s">
        <v>3</v>
      </c>
      <c r="D9" s="13">
        <v>-2.9947299445110636E-2</v>
      </c>
      <c r="E9" s="13">
        <v>2.9975183336586404E-2</v>
      </c>
      <c r="F9" s="13">
        <v>-5.8110029835763952E-2</v>
      </c>
      <c r="G9" s="13">
        <v>5.8165797618715639E-2</v>
      </c>
      <c r="H9" s="18">
        <v>-7.2665761757558012E-2</v>
      </c>
      <c r="I9" s="18">
        <v>7.2480435783828095E-2</v>
      </c>
      <c r="J9" s="18">
        <v>-1.2123040618687237E-3</v>
      </c>
      <c r="K9" s="18">
        <v>9.5912105329002859E-4</v>
      </c>
    </row>
    <row r="10" spans="2:19" x14ac:dyDescent="0.25">
      <c r="C10" s="6" t="s">
        <v>4</v>
      </c>
      <c r="D10" s="13">
        <v>-2.8365977549697885E-2</v>
      </c>
      <c r="E10" s="13">
        <v>2.8386880996676314E-2</v>
      </c>
      <c r="F10" s="13">
        <v>-5.5038775894144874E-2</v>
      </c>
      <c r="G10" s="13">
        <v>5.5059679341123414E-2</v>
      </c>
      <c r="H10" s="18">
        <v>-8.8059709192059604E-2</v>
      </c>
      <c r="I10" s="18">
        <v>8.7743848582130884E-2</v>
      </c>
      <c r="J10" s="18">
        <v>-1.4592149665054106E-3</v>
      </c>
      <c r="K10" s="18">
        <v>1.2084185896536206E-3</v>
      </c>
    </row>
    <row r="11" spans="2:19" x14ac:dyDescent="0.25">
      <c r="C11" s="6" t="s">
        <v>5</v>
      </c>
      <c r="D11" s="13">
        <v>-3.6983955337786486E-3</v>
      </c>
      <c r="E11" s="13">
        <v>3.7354415774577517E-3</v>
      </c>
      <c r="F11" s="13">
        <v>-1.6934595106403851E-2</v>
      </c>
      <c r="G11" s="13">
        <v>3.7615186808298072E-3</v>
      </c>
      <c r="H11" s="18">
        <v>-6.3365781815362626E-4</v>
      </c>
      <c r="I11" s="18">
        <v>3.6271939239652885E-4</v>
      </c>
      <c r="J11" s="18">
        <v>0</v>
      </c>
      <c r="K11" s="18">
        <v>3.6271939239652885E-4</v>
      </c>
    </row>
    <row r="12" spans="2:19" x14ac:dyDescent="0.25">
      <c r="C12" s="6" t="s">
        <v>6</v>
      </c>
      <c r="D12" s="13">
        <v>-2.5742594976476459E-4</v>
      </c>
      <c r="E12" s="13">
        <v>2.5742594976476459E-4</v>
      </c>
      <c r="F12" s="13">
        <v>-4.9807769248013734E-4</v>
      </c>
      <c r="G12" s="13">
        <v>4.9840985499634109E-4</v>
      </c>
      <c r="H12" s="18">
        <v>-8.9541918575477275E-2</v>
      </c>
      <c r="I12" s="18">
        <v>9.1964194120086717E-2</v>
      </c>
      <c r="J12" s="18">
        <v>0</v>
      </c>
      <c r="K12" s="18">
        <v>1.2111377723047192E-3</v>
      </c>
    </row>
    <row r="13" spans="2:19" x14ac:dyDescent="0.25">
      <c r="C13" s="6" t="s">
        <v>60</v>
      </c>
      <c r="D13" s="13">
        <v>-2.8172956778787936E-2</v>
      </c>
      <c r="E13" s="13">
        <v>2.8322812931866743E-2</v>
      </c>
      <c r="F13" s="13">
        <v>-5.4857242532892619E-2</v>
      </c>
      <c r="G13" s="13">
        <v>5.4837461520686248E-2</v>
      </c>
      <c r="H13" s="18">
        <v>-7.1990238557817499E-2</v>
      </c>
      <c r="I13" s="18">
        <v>7.1131857546473137E-2</v>
      </c>
      <c r="J13" s="18">
        <v>-1.5711221235255157E-3</v>
      </c>
      <c r="K13" s="18">
        <v>7.1274111218128924E-4</v>
      </c>
    </row>
    <row r="14" spans="2:19" x14ac:dyDescent="0.25">
      <c r="C14" s="6" t="s">
        <v>61</v>
      </c>
      <c r="D14" s="13">
        <v>-2.3997627366270761E-2</v>
      </c>
      <c r="E14" s="13">
        <v>2.4014222237871165E-2</v>
      </c>
      <c r="F14" s="13">
        <v>-4.6552474950131428E-2</v>
      </c>
      <c r="G14" s="13">
        <v>4.6624121504475265E-2</v>
      </c>
      <c r="H14" s="18">
        <v>-7.4819389943687933E-2</v>
      </c>
      <c r="I14" s="18">
        <v>7.4745831250347256E-2</v>
      </c>
      <c r="J14" s="18">
        <v>-1.1571328794678017E-3</v>
      </c>
      <c r="K14" s="18">
        <v>1.088089464848853E-3</v>
      </c>
    </row>
    <row r="15" spans="2:19" x14ac:dyDescent="0.25">
      <c r="C15" s="6" t="s">
        <v>9</v>
      </c>
      <c r="D15" s="13">
        <v>-2.2433156204869887E-3</v>
      </c>
      <c r="E15" s="13">
        <v>2.243315620487183E-3</v>
      </c>
      <c r="F15" s="13">
        <v>2.3835228467679605E-4</v>
      </c>
      <c r="G15" s="13">
        <v>8.931200314064169E-3</v>
      </c>
      <c r="H15" s="18">
        <v>-7.6926838204375986E-3</v>
      </c>
      <c r="I15" s="18">
        <v>8.3933517002037789E-3</v>
      </c>
      <c r="J15" s="18">
        <v>0</v>
      </c>
      <c r="K15" s="18">
        <v>3.5033393988308996E-4</v>
      </c>
    </row>
    <row r="16" spans="2:19" x14ac:dyDescent="0.25">
      <c r="C16" s="6" t="s">
        <v>62</v>
      </c>
      <c r="D16" s="13">
        <v>-2.7760852681946727E-2</v>
      </c>
      <c r="E16" s="13">
        <v>2.7742679872241684E-2</v>
      </c>
      <c r="F16" s="13">
        <v>-5.3985245735818914E-2</v>
      </c>
      <c r="G16" s="13">
        <v>5.3841234790986847E-2</v>
      </c>
      <c r="H16" s="18">
        <v>-8.0385408116283488E-2</v>
      </c>
      <c r="I16" s="18">
        <v>7.9818988844023345E-2</v>
      </c>
      <c r="J16" s="18">
        <v>-1.4860349049434013E-3</v>
      </c>
      <c r="K16" s="18">
        <v>9.1961563268342728E-4</v>
      </c>
    </row>
    <row r="17" spans="3:19" x14ac:dyDescent="0.25">
      <c r="C17" s="6" t="s">
        <v>63</v>
      </c>
      <c r="D17" s="13">
        <v>-4.5849410075955409E-3</v>
      </c>
      <c r="E17" s="13">
        <v>4.5855698138776227E-3</v>
      </c>
      <c r="F17" s="13">
        <v>-8.7654966950256857E-3</v>
      </c>
      <c r="G17" s="13">
        <v>9.0297210948598969E-3</v>
      </c>
      <c r="H17" s="18">
        <v>-1.6357610224833664E-2</v>
      </c>
      <c r="I17" s="18">
        <v>1.5629480424759562E-2</v>
      </c>
      <c r="J17" s="18">
        <v>-5.9357411922689163E-4</v>
      </c>
      <c r="K17" s="18">
        <v>-1.1364117166427743E-4</v>
      </c>
    </row>
    <row r="18" spans="3:19" x14ac:dyDescent="0.25">
      <c r="C18" s="6" t="s">
        <v>12</v>
      </c>
      <c r="D18" s="13">
        <v>-2.7322301912952592E-2</v>
      </c>
      <c r="E18" s="13">
        <v>2.7322301912952447E-2</v>
      </c>
      <c r="F18" s="13">
        <v>-5.0550008524899888E-2</v>
      </c>
      <c r="G18" s="13">
        <v>5.1908623648672048E-2</v>
      </c>
      <c r="H18" s="18">
        <v>-8.3845896922388863E-2</v>
      </c>
      <c r="I18" s="18">
        <v>9.4915879287876717E-2</v>
      </c>
      <c r="J18" s="18">
        <v>0</v>
      </c>
      <c r="K18" s="18">
        <v>5.5349911827439272E-3</v>
      </c>
    </row>
    <row r="19" spans="3:19" x14ac:dyDescent="0.25">
      <c r="C19" s="6" t="s">
        <v>64</v>
      </c>
      <c r="D19" s="13">
        <v>-1.7813610431432834E-2</v>
      </c>
      <c r="E19" s="13">
        <v>1.7815189912262171E-2</v>
      </c>
      <c r="F19" s="13">
        <v>-5.2311502501446262E-2</v>
      </c>
      <c r="G19" s="13">
        <v>1.5380533034164649E-2</v>
      </c>
      <c r="H19" s="18">
        <v>-3.2032854205979289E-2</v>
      </c>
      <c r="I19" s="18">
        <v>4.8631074610188986E-2</v>
      </c>
      <c r="J19" s="18">
        <v>0</v>
      </c>
      <c r="K19" s="18">
        <v>8.2991102021049024E-3</v>
      </c>
    </row>
    <row r="22" spans="3:19" x14ac:dyDescent="0.25">
      <c r="C22" s="4"/>
      <c r="D22" s="4" t="str">
        <f>'Figure 4'!A21</f>
        <v>drinking water acquisition&amp;treatment&amp;distribution/total</v>
      </c>
      <c r="E22" s="4" t="str">
        <f>'Figure 4'!A22</f>
        <v>wastewater collection&amp;treatment&amp;discharge/total</v>
      </c>
      <c r="P22" s="4" t="s">
        <v>168</v>
      </c>
      <c r="Q22" s="4"/>
      <c r="R22" s="4"/>
      <c r="S22" s="4"/>
    </row>
    <row r="23" spans="3:19" x14ac:dyDescent="0.25">
      <c r="C23" s="4" t="s">
        <v>1</v>
      </c>
      <c r="D23" s="9">
        <f>SUM('Figure 1'!D$60:D$62)</f>
        <v>0.53035294567800373</v>
      </c>
      <c r="E23" s="9">
        <f>1-D23</f>
        <v>0.46964705432199627</v>
      </c>
    </row>
    <row r="24" spans="3:19" x14ac:dyDescent="0.25">
      <c r="C24" s="4" t="s">
        <v>2</v>
      </c>
      <c r="D24" s="9">
        <f>SUM('Figure 1'!E$60:E$62)</f>
        <v>0.72304884867711983</v>
      </c>
      <c r="E24" s="9">
        <f t="shared" ref="E24:E35" si="0">1-D24</f>
        <v>0.27695115132288017</v>
      </c>
    </row>
    <row r="25" spans="3:19" x14ac:dyDescent="0.25">
      <c r="C25" s="4" t="s">
        <v>3</v>
      </c>
      <c r="D25" s="9">
        <f>SUM('Figure 1'!F$60:F$62)</f>
        <v>0.71502516053152654</v>
      </c>
      <c r="E25" s="9">
        <f t="shared" si="0"/>
        <v>0.28497483946847346</v>
      </c>
    </row>
    <row r="26" spans="3:19" x14ac:dyDescent="0.25">
      <c r="C26" s="4" t="s">
        <v>4</v>
      </c>
      <c r="D26" s="9">
        <f>SUM('Figure 1'!G$60:G$62)</f>
        <v>0.75786044723722967</v>
      </c>
      <c r="E26" s="9">
        <f t="shared" si="0"/>
        <v>0.24213955276277033</v>
      </c>
    </row>
    <row r="27" spans="3:19" x14ac:dyDescent="0.25">
      <c r="C27" s="4" t="s">
        <v>5</v>
      </c>
      <c r="D27" s="9">
        <f>SUM('Figure 1'!H$60:H$62)</f>
        <v>8.9484681347546169E-2</v>
      </c>
      <c r="E27" s="9">
        <f t="shared" si="0"/>
        <v>0.91051531865245383</v>
      </c>
    </row>
    <row r="28" spans="3:19" x14ac:dyDescent="0.25">
      <c r="C28" s="4" t="s">
        <v>6</v>
      </c>
      <c r="D28" s="9">
        <f>SUM('Figure 1'!I$60:I$62)</f>
        <v>0.99717149264953941</v>
      </c>
      <c r="E28" s="9">
        <f t="shared" si="0"/>
        <v>2.8285073504605851E-3</v>
      </c>
    </row>
    <row r="29" spans="3:19" x14ac:dyDescent="0.25">
      <c r="C29" s="4" t="s">
        <v>60</v>
      </c>
      <c r="D29" s="9">
        <f>SUM('Figure 1'!J$60:J$62)</f>
        <v>0.72022051692474909</v>
      </c>
      <c r="E29" s="9">
        <f t="shared" si="0"/>
        <v>0.27977948307525091</v>
      </c>
    </row>
    <row r="30" spans="3:19" x14ac:dyDescent="0.25">
      <c r="C30" s="4" t="s">
        <v>61</v>
      </c>
      <c r="D30" s="9">
        <f>SUM('Figure 1'!K$60:K$62)</f>
        <v>0.75788618443912448</v>
      </c>
      <c r="E30" s="9">
        <f t="shared" si="0"/>
        <v>0.24211381556087552</v>
      </c>
    </row>
    <row r="31" spans="3:19" x14ac:dyDescent="0.25">
      <c r="C31" s="4" t="s">
        <v>9</v>
      </c>
      <c r="D31" s="9">
        <f>SUM('Figure 1'!L$60:L$62)</f>
        <v>0.7826754052680337</v>
      </c>
      <c r="E31" s="9">
        <f t="shared" si="0"/>
        <v>0.2173245947319663</v>
      </c>
    </row>
    <row r="32" spans="3:19" x14ac:dyDescent="0.25">
      <c r="C32" s="4" t="s">
        <v>62</v>
      </c>
      <c r="D32" s="9">
        <f>SUM('Figure 1'!M$60:M$62)</f>
        <v>0.74477922766834581</v>
      </c>
      <c r="E32" s="9">
        <f t="shared" si="0"/>
        <v>0.25522077233165419</v>
      </c>
    </row>
    <row r="33" spans="2:19" x14ac:dyDescent="0.25">
      <c r="C33" s="4" t="s">
        <v>63</v>
      </c>
      <c r="D33" s="9">
        <f>SUM('Figure 1'!N$60:N$62)</f>
        <v>0.77823393988227862</v>
      </c>
      <c r="E33" s="9">
        <f t="shared" si="0"/>
        <v>0.22176606011772138</v>
      </c>
    </row>
    <row r="34" spans="2:19" x14ac:dyDescent="0.25">
      <c r="C34" s="4" t="s">
        <v>12</v>
      </c>
      <c r="D34" s="9">
        <f>SUM('Figure 1'!O$60:O$62)</f>
        <v>0.76710052701643772</v>
      </c>
      <c r="E34" s="9">
        <f t="shared" si="0"/>
        <v>0.23289947298356228</v>
      </c>
    </row>
    <row r="35" spans="2:19" x14ac:dyDescent="0.25">
      <c r="C35" s="4" t="s">
        <v>64</v>
      </c>
      <c r="D35" s="9">
        <f>SUM('Figure 1'!P$60:P$62)</f>
        <v>0.6427967688931524</v>
      </c>
      <c r="E35" s="9">
        <f t="shared" si="0"/>
        <v>0.3572032311068476</v>
      </c>
    </row>
    <row r="38" spans="2:19" x14ac:dyDescent="0.25">
      <c r="B38" t="s">
        <v>92</v>
      </c>
    </row>
    <row r="39" spans="2:19" x14ac:dyDescent="0.25">
      <c r="C39" s="4"/>
      <c r="D39" s="4" t="s">
        <v>79</v>
      </c>
      <c r="E39" s="4"/>
      <c r="F39" s="4" t="s">
        <v>84</v>
      </c>
      <c r="G39" s="4"/>
      <c r="H39" s="4" t="s">
        <v>89</v>
      </c>
      <c r="I39" s="4"/>
      <c r="J39" s="4" t="s">
        <v>90</v>
      </c>
      <c r="K39" s="4"/>
      <c r="P39" s="4" t="s">
        <v>172</v>
      </c>
      <c r="Q39" s="4"/>
      <c r="R39" s="4"/>
      <c r="S39" s="4"/>
    </row>
    <row r="40" spans="2:19" x14ac:dyDescent="0.25">
      <c r="C40" s="4"/>
      <c r="D40" s="4" t="s">
        <v>80</v>
      </c>
      <c r="E40" s="4" t="s">
        <v>81</v>
      </c>
      <c r="F40" s="4" t="s">
        <v>82</v>
      </c>
      <c r="G40" s="4" t="s">
        <v>83</v>
      </c>
      <c r="H40" s="4" t="s">
        <v>85</v>
      </c>
      <c r="I40" s="4" t="s">
        <v>86</v>
      </c>
      <c r="J40" s="4" t="s">
        <v>87</v>
      </c>
      <c r="K40" s="4" t="s">
        <v>88</v>
      </c>
    </row>
    <row r="41" spans="2:19" x14ac:dyDescent="0.25">
      <c r="C41" s="4" t="s">
        <v>1</v>
      </c>
      <c r="D41" s="9">
        <f>D7*D23</f>
        <v>-1.572416003945443E-2</v>
      </c>
      <c r="E41" s="9">
        <f>E7*D23</f>
        <v>1.5724160039454541E-2</v>
      </c>
      <c r="F41" s="9">
        <f>F7*D23</f>
        <v>-3.0505991083994991E-2</v>
      </c>
      <c r="G41" s="9">
        <f>G7*D23</f>
        <v>3.0516178424480671E-2</v>
      </c>
      <c r="H41" s="9">
        <f>H7*D23</f>
        <v>-1.1781786461382988E-2</v>
      </c>
      <c r="I41" s="9">
        <f>I7*D23</f>
        <v>2.230890071954925E-2</v>
      </c>
      <c r="J41" s="9">
        <f>J7*D23</f>
        <v>-2.7734044240911525E-4</v>
      </c>
      <c r="K41" s="9">
        <f>K7*D23</f>
        <v>2.2741916277551141E-4</v>
      </c>
    </row>
    <row r="42" spans="2:19" x14ac:dyDescent="0.25">
      <c r="C42" s="4" t="s">
        <v>2</v>
      </c>
      <c r="D42" s="9">
        <f>D8*D24</f>
        <v>-2.1530458786381067E-2</v>
      </c>
      <c r="E42" s="9">
        <f>E8*D24</f>
        <v>2.1530823789835823E-2</v>
      </c>
      <c r="F42" s="9">
        <f t="shared" ref="F42:F53" si="1">F8*D24</f>
        <v>-4.1806400698725529E-2</v>
      </c>
      <c r="G42" s="9">
        <f t="shared" ref="G42" si="2">G8*D24</f>
        <v>4.1779390443072703E-2</v>
      </c>
      <c r="H42" s="9">
        <f>H8*E23</f>
        <v>-3.5407054820731247E-2</v>
      </c>
      <c r="I42" s="9">
        <f>I8*E23</f>
        <v>3.5439994299177227E-2</v>
      </c>
      <c r="J42" s="9">
        <f>J8*E23</f>
        <v>-5.1524655409604706E-4</v>
      </c>
      <c r="K42" s="9">
        <f>K8*E23</f>
        <v>5.481860325419755E-4</v>
      </c>
    </row>
    <row r="43" spans="2:19" x14ac:dyDescent="0.25">
      <c r="C43" s="4" t="s">
        <v>3</v>
      </c>
      <c r="D43" s="9">
        <f>D9*D25</f>
        <v>-2.1413072593225928E-2</v>
      </c>
      <c r="E43" s="9">
        <f>E9*D25</f>
        <v>2.1433010277204633E-2</v>
      </c>
      <c r="F43" s="9">
        <f t="shared" si="1"/>
        <v>-4.1550133411808916E-2</v>
      </c>
      <c r="G43" s="9">
        <f t="shared" ref="G43:H43" si="3">G9*D25</f>
        <v>4.1590008779766437E-2</v>
      </c>
      <c r="H43" s="9">
        <f t="shared" si="3"/>
        <v>-2.0707913791714432E-2</v>
      </c>
      <c r="I43" s="9">
        <f t="shared" ref="I43:I53" si="4">I9*E25</f>
        <v>2.0655100552101412E-2</v>
      </c>
      <c r="J43" s="9">
        <f t="shared" ref="J43:J53" si="5">J9*E25</f>
        <v>-3.4547615541801786E-4</v>
      </c>
      <c r="K43" s="9">
        <f t="shared" ref="K43:K53" si="6">K9*E25</f>
        <v>2.733253681921591E-4</v>
      </c>
    </row>
    <row r="44" spans="2:19" x14ac:dyDescent="0.25">
      <c r="C44" s="4" t="s">
        <v>4</v>
      </c>
      <c r="D44" s="9">
        <f>D10*D26</f>
        <v>-2.1497452432135255E-2</v>
      </c>
      <c r="E44" s="9">
        <f>E10*D26</f>
        <v>2.1513294327811128E-2</v>
      </c>
      <c r="F44" s="9">
        <f t="shared" si="1"/>
        <v>-4.1711711314526292E-2</v>
      </c>
      <c r="G44" s="9">
        <f t="shared" ref="G44:H44" si="7">G10*D26</f>
        <v>4.1727553210202245E-2</v>
      </c>
      <c r="H44" s="9">
        <f t="shared" si="7"/>
        <v>-2.1322738600184927E-2</v>
      </c>
      <c r="I44" s="9">
        <f t="shared" si="4"/>
        <v>2.1246256253361413E-2</v>
      </c>
      <c r="J44" s="9">
        <f t="shared" si="5"/>
        <v>-3.5333365937436099E-4</v>
      </c>
      <c r="K44" s="9">
        <f t="shared" si="6"/>
        <v>2.9260593684894535E-4</v>
      </c>
    </row>
    <row r="45" spans="2:19" x14ac:dyDescent="0.25">
      <c r="C45" s="4" t="s">
        <v>5</v>
      </c>
      <c r="D45" s="9">
        <f>D11*D27</f>
        <v>-3.309497458373703E-4</v>
      </c>
      <c r="E45" s="9">
        <f>E11*D27</f>
        <v>3.3426479925118213E-4</v>
      </c>
      <c r="F45" s="9">
        <f t="shared" si="1"/>
        <v>-1.5153868468462633E-3</v>
      </c>
      <c r="G45" s="9">
        <f t="shared" ref="G45:H45" si="8">G11*D27</f>
        <v>3.3659830053689752E-4</v>
      </c>
      <c r="H45" s="9">
        <f t="shared" si="8"/>
        <v>-5.7695515021276766E-4</v>
      </c>
      <c r="I45" s="9">
        <f t="shared" si="4"/>
        <v>3.3026156314934989E-4</v>
      </c>
      <c r="J45" s="9">
        <f t="shared" si="5"/>
        <v>0</v>
      </c>
      <c r="K45" s="9">
        <f t="shared" si="6"/>
        <v>3.3026156314934989E-4</v>
      </c>
    </row>
    <row r="46" spans="2:19" x14ac:dyDescent="0.25">
      <c r="C46" s="4" t="s">
        <v>6</v>
      </c>
      <c r="D46" s="9">
        <f t="shared" ref="D46:D53" si="9">D12*D29</f>
        <v>-1.8540345060942326E-4</v>
      </c>
      <c r="E46" s="9">
        <f t="shared" ref="E46:E53" si="10">E12*D29</f>
        <v>1.8540345060942326E-4</v>
      </c>
      <c r="F46" s="9">
        <f t="shared" si="1"/>
        <v>-4.9666887606585682E-4</v>
      </c>
      <c r="G46" s="9">
        <f t="shared" ref="G46:H46" si="11">G12*D28</f>
        <v>4.9700009905794191E-4</v>
      </c>
      <c r="H46" s="9">
        <f t="shared" si="11"/>
        <v>-2.5326997486508067E-4</v>
      </c>
      <c r="I46" s="9">
        <f t="shared" si="4"/>
        <v>2.6012139904784938E-4</v>
      </c>
      <c r="J46" s="9">
        <f t="shared" si="5"/>
        <v>0</v>
      </c>
      <c r="K46" s="9">
        <f t="shared" si="6"/>
        <v>3.4257120913843569E-6</v>
      </c>
    </row>
    <row r="47" spans="2:19" x14ac:dyDescent="0.25">
      <c r="C47" s="4" t="s">
        <v>60</v>
      </c>
      <c r="D47" s="9">
        <f t="shared" si="9"/>
        <v>-2.1351894717443955E-2</v>
      </c>
      <c r="E47" s="9">
        <f t="shared" si="10"/>
        <v>2.1465468625515578E-2</v>
      </c>
      <c r="F47" s="9">
        <f t="shared" si="1"/>
        <v>-3.9509311574106254E-2</v>
      </c>
      <c r="G47" s="9">
        <f t="shared" ref="G47:H47" si="12">G13*D29</f>
        <v>3.949506488326969E-2</v>
      </c>
      <c r="H47" s="9">
        <f t="shared" si="12"/>
        <v>-2.0141391730170176E-2</v>
      </c>
      <c r="I47" s="9">
        <f t="shared" si="4"/>
        <v>1.990123433453464E-2</v>
      </c>
      <c r="J47" s="9">
        <f t="shared" si="5"/>
        <v>-4.3956773556805929E-4</v>
      </c>
      <c r="K47" s="9">
        <f t="shared" si="6"/>
        <v>1.9941033993256052E-4</v>
      </c>
    </row>
    <row r="48" spans="2:19" x14ac:dyDescent="0.25">
      <c r="C48" s="4" t="s">
        <v>61</v>
      </c>
      <c r="D48" s="9">
        <f t="shared" si="9"/>
        <v>-1.8782352724367225E-2</v>
      </c>
      <c r="E48" s="9">
        <f t="shared" si="10"/>
        <v>1.8795341122222441E-2</v>
      </c>
      <c r="F48" s="9">
        <f t="shared" si="1"/>
        <v>-3.528147761615303E-2</v>
      </c>
      <c r="G48" s="9">
        <f t="shared" ref="G48:H48" si="13">G14*D30</f>
        <v>3.5335777549852891E-2</v>
      </c>
      <c r="H48" s="9">
        <f t="shared" si="13"/>
        <v>-1.8114807977203284E-2</v>
      </c>
      <c r="I48" s="9">
        <f t="shared" si="4"/>
        <v>1.8096998401290903E-2</v>
      </c>
      <c r="J48" s="9">
        <f t="shared" si="5"/>
        <v>-2.8015785655889213E-4</v>
      </c>
      <c r="K48" s="9">
        <f t="shared" si="6"/>
        <v>2.6344149200614692E-4</v>
      </c>
    </row>
    <row r="49" spans="3:11" x14ac:dyDescent="0.25">
      <c r="C49" s="4" t="s">
        <v>9</v>
      </c>
      <c r="D49" s="9">
        <f t="shared" si="9"/>
        <v>-1.6707748752426354E-3</v>
      </c>
      <c r="E49" s="9">
        <f t="shared" si="10"/>
        <v>1.67077487524278E-3</v>
      </c>
      <c r="F49" s="9">
        <f t="shared" si="1"/>
        <v>1.8655247100597309E-4</v>
      </c>
      <c r="G49" s="9">
        <f t="shared" ref="G49:H49" si="14">G15*D31</f>
        <v>6.9902308253401635E-3</v>
      </c>
      <c r="H49" s="9">
        <f t="shared" si="14"/>
        <v>-1.6718093936777553E-3</v>
      </c>
      <c r="I49" s="9">
        <f t="shared" si="4"/>
        <v>1.8240817566896467E-3</v>
      </c>
      <c r="J49" s="9">
        <f t="shared" si="5"/>
        <v>0</v>
      </c>
      <c r="K49" s="9">
        <f t="shared" si="6"/>
        <v>7.6136181505945572E-5</v>
      </c>
    </row>
    <row r="50" spans="3:11" x14ac:dyDescent="0.25">
      <c r="C50" s="4" t="s">
        <v>62</v>
      </c>
      <c r="D50" s="9">
        <f t="shared" si="9"/>
        <v>-2.1604437757162923E-2</v>
      </c>
      <c r="E50" s="9">
        <f t="shared" si="10"/>
        <v>2.1590295059867436E-2</v>
      </c>
      <c r="F50" s="9">
        <f t="shared" si="1"/>
        <v>-4.0207089624609067E-2</v>
      </c>
      <c r="G50" s="9">
        <f t="shared" ref="G50:H50" si="15">G16*D32</f>
        <v>4.0099833264341252E-2</v>
      </c>
      <c r="H50" s="9">
        <f t="shared" si="15"/>
        <v>-2.0516025943633096E-2</v>
      </c>
      <c r="I50" s="9">
        <f t="shared" si="4"/>
        <v>2.0371463979503329E-2</v>
      </c>
      <c r="J50" s="9">
        <f t="shared" si="5"/>
        <v>-3.7926697615145119E-4</v>
      </c>
      <c r="K50" s="9">
        <f t="shared" si="6"/>
        <v>2.3470501202172713E-4</v>
      </c>
    </row>
    <row r="51" spans="3:11" x14ac:dyDescent="0.25">
      <c r="C51" s="4" t="s">
        <v>63</v>
      </c>
      <c r="D51" s="9">
        <f t="shared" si="9"/>
        <v>-3.5171106632658163E-3</v>
      </c>
      <c r="E51" s="9">
        <f t="shared" si="10"/>
        <v>3.5175930208961926E-3</v>
      </c>
      <c r="F51" s="9">
        <f t="shared" si="1"/>
        <v>-6.8216070279949314E-3</v>
      </c>
      <c r="G51" s="9">
        <f t="shared" ref="G51:H51" si="16">G17*D33</f>
        <v>7.0272354236909406E-3</v>
      </c>
      <c r="H51" s="9">
        <f t="shared" si="16"/>
        <v>-3.6275627725027163E-3</v>
      </c>
      <c r="I51" s="9">
        <f t="shared" si="4"/>
        <v>3.4660882954859785E-3</v>
      </c>
      <c r="J51" s="9">
        <f t="shared" si="5"/>
        <v>-1.3163459380879437E-4</v>
      </c>
      <c r="K51" s="9">
        <f t="shared" si="6"/>
        <v>-2.5201754907148445E-5</v>
      </c>
    </row>
    <row r="52" spans="3:11" x14ac:dyDescent="0.25">
      <c r="C52" s="4" t="s">
        <v>12</v>
      </c>
      <c r="D52" s="9">
        <f t="shared" si="9"/>
        <v>-1.7562687388369122E-2</v>
      </c>
      <c r="E52" s="9">
        <f t="shared" si="10"/>
        <v>1.7562687388369028E-2</v>
      </c>
      <c r="F52" s="9">
        <f t="shared" si="1"/>
        <v>-3.8776938180136125E-2</v>
      </c>
      <c r="G52" s="9">
        <f t="shared" ref="G52:H52" si="17">G18*D34</f>
        <v>3.9819132557594249E-2</v>
      </c>
      <c r="H52" s="9">
        <f t="shared" si="17"/>
        <v>-1.9527665205058452E-2</v>
      </c>
      <c r="I52" s="9">
        <f t="shared" si="4"/>
        <v>2.2105858263917904E-2</v>
      </c>
      <c r="J52" s="9">
        <f t="shared" si="5"/>
        <v>0</v>
      </c>
      <c r="K52" s="9">
        <f t="shared" si="6"/>
        <v>1.2890965294297247E-3</v>
      </c>
    </row>
    <row r="53" spans="3:11" x14ac:dyDescent="0.25">
      <c r="C53" s="4" t="s">
        <v>64</v>
      </c>
      <c r="D53" s="9">
        <f t="shared" si="9"/>
        <v>0</v>
      </c>
      <c r="E53" s="9">
        <f t="shared" si="10"/>
        <v>0</v>
      </c>
      <c r="F53" s="9">
        <f t="shared" si="1"/>
        <v>-3.3625664783875714E-2</v>
      </c>
      <c r="G53" s="9">
        <f t="shared" ref="G53:H53" si="18">G19*D35</f>
        <v>9.8865569382154302E-3</v>
      </c>
      <c r="H53" s="9">
        <f t="shared" si="18"/>
        <v>-1.1442239023950375E-2</v>
      </c>
      <c r="I53" s="9">
        <f t="shared" si="4"/>
        <v>1.7371176982957686E-2</v>
      </c>
      <c r="J53" s="9">
        <f t="shared" si="5"/>
        <v>0</v>
      </c>
      <c r="K53" s="9">
        <f t="shared" si="6"/>
        <v>2.964468979503674E-3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2017-10-26T05:42:40Z</dcterms:modified>
</cp:coreProperties>
</file>