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6605" windowHeight="8625" tabRatio="604"/>
  </bookViews>
  <sheets>
    <sheet name="TOC" sheetId="19" r:id="rId1"/>
    <sheet name="Data Inputs" sheetId="10" r:id="rId2"/>
    <sheet name="Unit Process Costs" sheetId="8" r:id="rId3"/>
    <sheet name="Sludge Calculations" sheetId="15" r:id="rId4"/>
    <sheet name="Chemical Unit Costs" sheetId="14" r:id="rId5"/>
    <sheet name="Cost Calculations" sheetId="6" r:id="rId6"/>
    <sheet name="senseInfo" sheetId="20" state="hidden" r:id="rId7"/>
    <sheet name="Sensitivity Analysis" sheetId="17" r:id="rId8"/>
    <sheet name="Results" sheetId="18" r:id="rId9"/>
    <sheet name="Data Quality Information" sheetId="9"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63</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"8FZ2I7KSE9I6QTWGVX7PBZJG"</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ncertainty_On_Off">'Sensitivity Analysis'!$N$4:$N$5</definedName>
  </definedNames>
  <calcPr calcId="125725"/>
</workbook>
</file>

<file path=xl/calcChain.xml><?xml version="1.0" encoding="utf-8"?>
<calcChain xmlns="http://schemas.openxmlformats.org/spreadsheetml/2006/main">
  <c r="I33" i="8"/>
  <c r="I12"/>
  <c r="I7"/>
  <c r="I26"/>
  <c r="H10" i="17"/>
  <c r="G10"/>
  <c r="E10"/>
  <c r="C10"/>
  <c r="F10"/>
  <c r="C9"/>
  <c r="D33" i="8"/>
  <c r="F6" i="14"/>
  <c r="H6"/>
  <c r="C12" i="17"/>
  <c r="G46" i="10"/>
  <c r="D32" i="8"/>
  <c r="C13" i="17"/>
  <c r="C8"/>
  <c r="B12" i="8" s="1"/>
  <c r="F12" s="1"/>
  <c r="H12" s="1"/>
  <c r="D12"/>
  <c r="C7" i="17"/>
  <c r="C11"/>
  <c r="G51" i="10"/>
  <c r="D37" i="8"/>
  <c r="C32" i="10"/>
  <c r="B19" i="8"/>
  <c r="F19" s="1"/>
  <c r="G32" i="10"/>
  <c r="D19" i="8"/>
  <c r="H54" i="10"/>
  <c r="C6" i="17"/>
  <c r="D26" i="8"/>
  <c r="F9" i="17"/>
  <c r="E9"/>
  <c r="F8"/>
  <c r="E8"/>
  <c r="F7"/>
  <c r="E7"/>
  <c r="H12"/>
  <c r="F12"/>
  <c r="G12"/>
  <c r="G9"/>
  <c r="E12"/>
  <c r="G7"/>
  <c r="H7"/>
  <c r="H9"/>
  <c r="H8"/>
  <c r="G8"/>
  <c r="C34"/>
  <c r="B74" i="8"/>
  <c r="C33" i="17"/>
  <c r="B73" i="8"/>
  <c r="D73"/>
  <c r="F73"/>
  <c r="H62" i="10"/>
  <c r="B120" i="8"/>
  <c r="P9" i="18"/>
  <c r="O9"/>
  <c r="N9"/>
  <c r="M9"/>
  <c r="G5"/>
  <c r="H50" i="17"/>
  <c r="G50"/>
  <c r="G99" i="10"/>
  <c r="D115" i="8"/>
  <c r="C103" i="10"/>
  <c r="B118" i="8"/>
  <c r="B116"/>
  <c r="B121"/>
  <c r="C104" i="10"/>
  <c r="H104"/>
  <c r="H103"/>
  <c r="B119" i="8"/>
  <c r="C102" i="10"/>
  <c r="B117" i="8"/>
  <c r="H101" i="10"/>
  <c r="H93"/>
  <c r="H92"/>
  <c r="H102"/>
  <c r="D120" i="8"/>
  <c r="D72"/>
  <c r="H69" i="10"/>
  <c r="B72" i="8"/>
  <c r="F52" i="17"/>
  <c r="C52"/>
  <c r="H52"/>
  <c r="E52"/>
  <c r="F34"/>
  <c r="H34" s="1"/>
  <c r="E34"/>
  <c r="G51"/>
  <c r="H51"/>
  <c r="C51"/>
  <c r="E51"/>
  <c r="C50"/>
  <c r="F50"/>
  <c r="H33"/>
  <c r="G33"/>
  <c r="E33"/>
  <c r="F32"/>
  <c r="C32"/>
  <c r="E32"/>
  <c r="F31"/>
  <c r="C31"/>
  <c r="H31" s="1"/>
  <c r="E31"/>
  <c r="H13"/>
  <c r="F13"/>
  <c r="G13"/>
  <c r="H11"/>
  <c r="G11"/>
  <c r="E13"/>
  <c r="F6"/>
  <c r="E6"/>
  <c r="B93" i="8"/>
  <c r="H69"/>
  <c r="H68"/>
  <c r="I115"/>
  <c r="J115"/>
  <c r="B133"/>
  <c r="B132"/>
  <c r="D132"/>
  <c r="F132" s="1"/>
  <c r="H132" s="1"/>
  <c r="I132"/>
  <c r="G49" i="10"/>
  <c r="D130" i="8"/>
  <c r="F130"/>
  <c r="H130"/>
  <c r="I130"/>
  <c r="B128"/>
  <c r="D128"/>
  <c r="B127"/>
  <c r="D127"/>
  <c r="F127" s="1"/>
  <c r="H127" s="1"/>
  <c r="I127"/>
  <c r="B125"/>
  <c r="D125"/>
  <c r="F125"/>
  <c r="B112"/>
  <c r="D112"/>
  <c r="F112" s="1"/>
  <c r="H112" s="1"/>
  <c r="B110"/>
  <c r="D110"/>
  <c r="B109"/>
  <c r="D109"/>
  <c r="F109"/>
  <c r="B103"/>
  <c r="D103"/>
  <c r="B100"/>
  <c r="D100"/>
  <c r="F100" s="1"/>
  <c r="I100" s="1"/>
  <c r="B98"/>
  <c r="D98"/>
  <c r="F98" s="1"/>
  <c r="H98"/>
  <c r="C3" i="15"/>
  <c r="C5" s="1"/>
  <c r="D96" i="8"/>
  <c r="B94"/>
  <c r="D94"/>
  <c r="D93"/>
  <c r="F93"/>
  <c r="B45"/>
  <c r="D45"/>
  <c r="F45" s="1"/>
  <c r="H45" s="1"/>
  <c r="G92" i="10"/>
  <c r="D121" i="8"/>
  <c r="B5" i="6"/>
  <c r="D5" s="1"/>
  <c r="C5" i="10"/>
  <c r="B4" i="6"/>
  <c r="E4"/>
  <c r="C6" i="10"/>
  <c r="C7"/>
  <c r="H93" i="8"/>
  <c r="H94"/>
  <c r="H96"/>
  <c r="H28" i="10"/>
  <c r="H101" i="8"/>
  <c r="H103"/>
  <c r="B59"/>
  <c r="D105"/>
  <c r="I105"/>
  <c r="H106"/>
  <c r="H107"/>
  <c r="H109"/>
  <c r="H110"/>
  <c r="H113"/>
  <c r="H114"/>
  <c r="H125"/>
  <c r="H128"/>
  <c r="H131"/>
  <c r="F23" i="6" s="1"/>
  <c r="G53" i="10"/>
  <c r="D86" i="8"/>
  <c r="D35"/>
  <c r="F35" s="1"/>
  <c r="H35"/>
  <c r="D20" i="15"/>
  <c r="G20" s="1"/>
  <c r="D21"/>
  <c r="G21" s="1"/>
  <c r="D22"/>
  <c r="G22" s="1"/>
  <c r="G133" i="8"/>
  <c r="J133" s="1"/>
  <c r="G132"/>
  <c r="J132" s="1"/>
  <c r="G130"/>
  <c r="J130" s="1"/>
  <c r="G128"/>
  <c r="J128" s="1"/>
  <c r="G127"/>
  <c r="J127" s="1"/>
  <c r="G125"/>
  <c r="J125" s="1"/>
  <c r="G112"/>
  <c r="J112" s="1"/>
  <c r="G110"/>
  <c r="J110" s="1"/>
  <c r="G109"/>
  <c r="J109" s="1"/>
  <c r="G105"/>
  <c r="J105"/>
  <c r="G103"/>
  <c r="J103"/>
  <c r="G100"/>
  <c r="J100"/>
  <c r="G98"/>
  <c r="J98"/>
  <c r="G96"/>
  <c r="J96"/>
  <c r="G94"/>
  <c r="J94"/>
  <c r="G93"/>
  <c r="J93"/>
  <c r="D7"/>
  <c r="B46"/>
  <c r="D46"/>
  <c r="H8"/>
  <c r="B8"/>
  <c r="D8"/>
  <c r="F8" s="1"/>
  <c r="I8" s="1"/>
  <c r="D47"/>
  <c r="H23"/>
  <c r="B23"/>
  <c r="D23"/>
  <c r="F23" s="1"/>
  <c r="I23" s="1"/>
  <c r="F4" i="14"/>
  <c r="H4"/>
  <c r="C12"/>
  <c r="F5"/>
  <c r="H5" s="1"/>
  <c r="I5" s="1"/>
  <c r="F7"/>
  <c r="H7"/>
  <c r="C82" i="10"/>
  <c r="B49" i="8"/>
  <c r="D49"/>
  <c r="I49"/>
  <c r="D50"/>
  <c r="H10"/>
  <c r="D10"/>
  <c r="B52"/>
  <c r="D52"/>
  <c r="B63"/>
  <c r="D63"/>
  <c r="B64"/>
  <c r="D64"/>
  <c r="I64"/>
  <c r="H65"/>
  <c r="H78"/>
  <c r="I78" s="1"/>
  <c r="B80"/>
  <c r="D80"/>
  <c r="F80" s="1"/>
  <c r="H80" s="1"/>
  <c r="I80"/>
  <c r="H81"/>
  <c r="I81" s="1"/>
  <c r="B67"/>
  <c r="D67"/>
  <c r="D70"/>
  <c r="B71"/>
  <c r="D71"/>
  <c r="I71"/>
  <c r="H83"/>
  <c r="E22" i="6"/>
  <c r="H84" i="8"/>
  <c r="E23" i="6"/>
  <c r="B85" i="8"/>
  <c r="D85"/>
  <c r="I85"/>
  <c r="H15"/>
  <c r="H17"/>
  <c r="H20"/>
  <c r="H21"/>
  <c r="H24"/>
  <c r="H27"/>
  <c r="H28"/>
  <c r="H30"/>
  <c r="H36"/>
  <c r="C23" i="6" s="1"/>
  <c r="H57" i="8"/>
  <c r="D59"/>
  <c r="I59"/>
  <c r="H60"/>
  <c r="H61"/>
  <c r="C12" i="10"/>
  <c r="C105"/>
  <c r="B86" i="8"/>
  <c r="J49"/>
  <c r="C5" i="18"/>
  <c r="N5"/>
  <c r="G67" i="8"/>
  <c r="J67"/>
  <c r="G63"/>
  <c r="J63"/>
  <c r="G52"/>
  <c r="J52"/>
  <c r="G46"/>
  <c r="J46"/>
  <c r="G45"/>
  <c r="J45"/>
  <c r="D5" i="18"/>
  <c r="O5"/>
  <c r="AC3"/>
  <c r="X9"/>
  <c r="W9"/>
  <c r="V9"/>
  <c r="U9"/>
  <c r="T9"/>
  <c r="S9"/>
  <c r="R9"/>
  <c r="Q9"/>
  <c r="L9"/>
  <c r="K9"/>
  <c r="J9"/>
  <c r="I9"/>
  <c r="F22" i="15"/>
  <c r="I22" s="1"/>
  <c r="E22"/>
  <c r="H22" s="1"/>
  <c r="E20"/>
  <c r="H20" s="1"/>
  <c r="F20"/>
  <c r="I20" s="1"/>
  <c r="E21"/>
  <c r="H21" s="1"/>
  <c r="F21"/>
  <c r="I21" s="1"/>
  <c r="D14"/>
  <c r="E14"/>
  <c r="C14"/>
  <c r="G50" i="8"/>
  <c r="J50"/>
  <c r="G59"/>
  <c r="J59"/>
  <c r="G57"/>
  <c r="J57"/>
  <c r="D57"/>
  <c r="B57"/>
  <c r="G70"/>
  <c r="J70"/>
  <c r="G64"/>
  <c r="J64"/>
  <c r="J47"/>
  <c r="G65"/>
  <c r="J65" s="1"/>
  <c r="D65"/>
  <c r="B65"/>
  <c r="D78"/>
  <c r="B78"/>
  <c r="F78"/>
  <c r="G78"/>
  <c r="J78" s="1"/>
  <c r="D83"/>
  <c r="F83" s="1"/>
  <c r="I83" s="1"/>
  <c r="G83"/>
  <c r="J83" s="1"/>
  <c r="G71"/>
  <c r="J71" s="1"/>
  <c r="G85"/>
  <c r="J85" s="1"/>
  <c r="G86"/>
  <c r="J86" s="1"/>
  <c r="D81"/>
  <c r="B81"/>
  <c r="F81"/>
  <c r="G80"/>
  <c r="J80" s="1"/>
  <c r="G81"/>
  <c r="J81" s="1"/>
  <c r="G54"/>
  <c r="J54" s="1"/>
  <c r="D54"/>
  <c r="B54"/>
  <c r="F54"/>
  <c r="I54" s="1"/>
  <c r="G33" i="10"/>
  <c r="B17" i="8"/>
  <c r="D17"/>
  <c r="F17" s="1"/>
  <c r="I17" s="1"/>
  <c r="B14"/>
  <c r="D14"/>
  <c r="F14" s="1"/>
  <c r="I14" s="1"/>
  <c r="G19"/>
  <c r="J19"/>
  <c r="B38"/>
  <c r="D30"/>
  <c r="B30"/>
  <c r="F30"/>
  <c r="I30" s="1"/>
  <c r="C10" i="14" s="1"/>
  <c r="D24" i="8"/>
  <c r="B24"/>
  <c r="F24" s="1"/>
  <c r="I24" s="1"/>
  <c r="C8" i="14" s="1"/>
  <c r="G32" i="8"/>
  <c r="J32" s="1"/>
  <c r="D38"/>
  <c r="G35"/>
  <c r="J35"/>
  <c r="G38"/>
  <c r="J38"/>
  <c r="G37"/>
  <c r="J37"/>
  <c r="G24"/>
  <c r="J24"/>
  <c r="D8" i="14" s="1"/>
  <c r="G23" i="8"/>
  <c r="J23" s="1"/>
  <c r="D7" i="14" s="1"/>
  <c r="G33" i="8"/>
  <c r="J33"/>
  <c r="D11" i="14" s="1"/>
  <c r="G30" i="8"/>
  <c r="J30" s="1"/>
  <c r="D10" i="14" s="1"/>
  <c r="G17" i="8"/>
  <c r="J17"/>
  <c r="G12"/>
  <c r="J12"/>
  <c r="D6" i="14" s="1"/>
  <c r="G10" i="8"/>
  <c r="J10" s="1"/>
  <c r="G14"/>
  <c r="J14" s="1"/>
  <c r="G26"/>
  <c r="J26" s="1"/>
  <c r="D9" i="14" s="1"/>
  <c r="G8" i="8"/>
  <c r="J8"/>
  <c r="D5" i="14" s="1"/>
  <c r="G7" i="8"/>
  <c r="J7" s="1"/>
  <c r="D4" i="14" s="1"/>
  <c r="C5" i="6"/>
  <c r="Q3" i="8"/>
  <c r="C4" i="6"/>
  <c r="F5"/>
  <c r="G32" i="17"/>
  <c r="B23" i="6"/>
  <c r="B105" i="8"/>
  <c r="F105"/>
  <c r="H105" s="1"/>
  <c r="D133"/>
  <c r="F133" s="1"/>
  <c r="H133" s="1"/>
  <c r="E5" i="6"/>
  <c r="H55" i="8"/>
  <c r="F85"/>
  <c r="H85"/>
  <c r="F6" i="18" s="1"/>
  <c r="E50" i="17"/>
  <c r="G52"/>
  <c r="F128" i="8"/>
  <c r="I128"/>
  <c r="F64"/>
  <c r="H64"/>
  <c r="F94"/>
  <c r="I94"/>
  <c r="F49"/>
  <c r="H49"/>
  <c r="F103"/>
  <c r="F110"/>
  <c r="I110" s="1"/>
  <c r="B22" i="6"/>
  <c r="C22" s="1"/>
  <c r="F86" i="8"/>
  <c r="H86" s="1"/>
  <c r="D22" i="6"/>
  <c r="F33" i="17"/>
  <c r="E11"/>
  <c r="F22" i="6"/>
  <c r="D4"/>
  <c r="D117" i="8"/>
  <c r="F46"/>
  <c r="I125"/>
  <c r="F59"/>
  <c r="H59" s="1"/>
  <c r="F38"/>
  <c r="H38" s="1"/>
  <c r="I109"/>
  <c r="F65"/>
  <c r="I65"/>
  <c r="F57"/>
  <c r="I57"/>
  <c r="F4" i="6"/>
  <c r="B6"/>
  <c r="B14" s="1"/>
  <c r="I103" i="8"/>
  <c r="I93"/>
  <c r="W5" i="18"/>
  <c r="C11"/>
  <c r="P5"/>
  <c r="F67" i="8"/>
  <c r="F63"/>
  <c r="F52"/>
  <c r="F121"/>
  <c r="F118" s="1"/>
  <c r="K118" s="1"/>
  <c r="H118" s="1"/>
  <c r="D119"/>
  <c r="D116"/>
  <c r="D118"/>
  <c r="I8" i="18"/>
  <c r="K8" s="1"/>
  <c r="J8"/>
  <c r="G11"/>
  <c r="L5"/>
  <c r="X5"/>
  <c r="B122" i="8"/>
  <c r="B115"/>
  <c r="F115" s="1"/>
  <c r="H115" s="1"/>
  <c r="U11" i="18"/>
  <c r="M11"/>
  <c r="Q11"/>
  <c r="U5"/>
  <c r="N11"/>
  <c r="Q5"/>
  <c r="R11"/>
  <c r="V5"/>
  <c r="K5"/>
  <c r="S5"/>
  <c r="T5"/>
  <c r="J5"/>
  <c r="R5"/>
  <c r="I5"/>
  <c r="M5"/>
  <c r="B16" i="6"/>
  <c r="C16" s="1"/>
  <c r="F6"/>
  <c r="B13"/>
  <c r="C13" s="1"/>
  <c r="I11" i="18"/>
  <c r="V11"/>
  <c r="J11"/>
  <c r="L8"/>
  <c r="F116" i="8"/>
  <c r="K116" s="1"/>
  <c r="H116" s="1"/>
  <c r="F13" i="6"/>
  <c r="F51" i="17"/>
  <c r="F11"/>
  <c r="G6"/>
  <c r="H32"/>
  <c r="H6"/>
  <c r="G31"/>
  <c r="E6" i="18"/>
  <c r="D24" i="6"/>
  <c r="F71" i="8"/>
  <c r="H71"/>
  <c r="F72"/>
  <c r="H72"/>
  <c r="D23" i="6"/>
  <c r="F16"/>
  <c r="E11" i="18"/>
  <c r="D13" i="6"/>
  <c r="E6"/>
  <c r="D6"/>
  <c r="B9"/>
  <c r="C9" s="1"/>
  <c r="F11" i="18"/>
  <c r="F117" i="8"/>
  <c r="K117" s="1"/>
  <c r="H117" s="1"/>
  <c r="F120"/>
  <c r="B15" i="6"/>
  <c r="C15" s="1"/>
  <c r="B7"/>
  <c r="D11" i="18"/>
  <c r="T11" s="1"/>
  <c r="G34" i="17"/>
  <c r="K73" i="8"/>
  <c r="B47"/>
  <c r="F47" s="1"/>
  <c r="B70"/>
  <c r="F70" s="1"/>
  <c r="B75"/>
  <c r="H76" s="1"/>
  <c r="L11" i="18"/>
  <c r="O11"/>
  <c r="S11"/>
  <c r="X11"/>
  <c r="D15" i="6"/>
  <c r="F15"/>
  <c r="D7"/>
  <c r="C7"/>
  <c r="E7"/>
  <c r="F7"/>
  <c r="D9"/>
  <c r="F9"/>
  <c r="C11" i="14"/>
  <c r="I6" s="1"/>
  <c r="C4"/>
  <c r="I45" i="8"/>
  <c r="C6" i="14"/>
  <c r="I52" i="8"/>
  <c r="H52"/>
  <c r="C9" i="14"/>
  <c r="I67" i="8"/>
  <c r="H67"/>
  <c r="I112"/>
  <c r="C38" i="17"/>
  <c r="I51"/>
  <c r="I32"/>
  <c r="I34"/>
  <c r="I7"/>
  <c r="I9"/>
  <c r="I11"/>
  <c r="I13"/>
  <c r="I50"/>
  <c r="I52"/>
  <c r="I31"/>
  <c r="I33"/>
  <c r="I6"/>
  <c r="I8"/>
  <c r="I10"/>
  <c r="I12"/>
  <c r="C45" l="1"/>
  <c r="D30" i="15"/>
  <c r="E30"/>
  <c r="E15"/>
  <c r="C15"/>
  <c r="C30"/>
  <c r="D15"/>
  <c r="E14" i="6"/>
  <c r="F14"/>
  <c r="D14"/>
  <c r="C14"/>
  <c r="F19"/>
  <c r="G7" i="18"/>
  <c r="F10"/>
  <c r="E10"/>
  <c r="C7" i="14"/>
  <c r="I4" s="1"/>
  <c r="I7" s="1"/>
  <c r="J7" s="1"/>
  <c r="I63" i="8"/>
  <c r="H63" s="1"/>
  <c r="I46"/>
  <c r="H46" s="1"/>
  <c r="C5" i="14"/>
  <c r="G10" i="18"/>
  <c r="G6"/>
  <c r="F24" i="6"/>
  <c r="I35" i="8"/>
  <c r="I98"/>
  <c r="E9" i="6"/>
  <c r="E15"/>
  <c r="P11" i="18"/>
  <c r="W11"/>
  <c r="K11"/>
  <c r="D16" i="6"/>
  <c r="E24"/>
  <c r="K121" i="8"/>
  <c r="K120" s="1"/>
  <c r="E13" i="6"/>
  <c r="E16"/>
  <c r="F119" i="8"/>
  <c r="K119" s="1"/>
  <c r="H119" s="1"/>
  <c r="B17" i="6"/>
  <c r="C6"/>
  <c r="B8"/>
  <c r="H123" i="8"/>
  <c r="B32"/>
  <c r="F32" s="1"/>
  <c r="H32" s="1"/>
  <c r="C10" i="18" s="1"/>
  <c r="I19" i="8"/>
  <c r="H19" s="1"/>
  <c r="B26"/>
  <c r="F26" s="1"/>
  <c r="H26" s="1"/>
  <c r="E7" i="20"/>
  <c r="E5"/>
  <c r="I32" i="8"/>
  <c r="B37"/>
  <c r="F37" s="1"/>
  <c r="B33"/>
  <c r="F33" s="1"/>
  <c r="H33" s="1"/>
  <c r="B7"/>
  <c r="F7" s="1"/>
  <c r="H7" s="1"/>
  <c r="C7" i="18" s="1"/>
  <c r="E8" i="20"/>
  <c r="E6"/>
  <c r="I37" i="8"/>
  <c r="H134"/>
  <c r="M8" i="18"/>
  <c r="D7"/>
  <c r="C55" i="17"/>
  <c r="C54"/>
  <c r="C39"/>
  <c r="C56"/>
  <c r="C17"/>
  <c r="C18"/>
  <c r="C15"/>
  <c r="C16"/>
  <c r="C19"/>
  <c r="C46" l="1"/>
  <c r="E23" i="15"/>
  <c r="H23" s="1"/>
  <c r="H24" s="1"/>
  <c r="D23" i="10" s="1"/>
  <c r="D28" i="15"/>
  <c r="D31" s="1"/>
  <c r="D86" i="10" s="1"/>
  <c r="D23" i="15"/>
  <c r="G23" s="1"/>
  <c r="G24" s="1"/>
  <c r="C23" i="10" s="1"/>
  <c r="C28" i="15"/>
  <c r="C31" s="1"/>
  <c r="C86" i="10" s="1"/>
  <c r="B50" i="8" s="1"/>
  <c r="F50" s="1"/>
  <c r="G20" i="18"/>
  <c r="D8" i="6"/>
  <c r="D28" s="1"/>
  <c r="C8"/>
  <c r="C28" s="1"/>
  <c r="F8"/>
  <c r="F28" s="1"/>
  <c r="E8"/>
  <c r="E28" s="1"/>
  <c r="Q4" i="8"/>
  <c r="B28" i="6"/>
  <c r="AC4" i="18"/>
  <c r="B10" i="6"/>
  <c r="D17"/>
  <c r="D26" s="1"/>
  <c r="B26"/>
  <c r="F17"/>
  <c r="F26" s="1"/>
  <c r="E17"/>
  <c r="E26" s="1"/>
  <c r="C17"/>
  <c r="C26" s="1"/>
  <c r="I70" i="8"/>
  <c r="H70" s="1"/>
  <c r="I47"/>
  <c r="H47" s="1"/>
  <c r="F23" i="15"/>
  <c r="I23" s="1"/>
  <c r="I24" s="1"/>
  <c r="E23" i="10" s="1"/>
  <c r="E28" i="15"/>
  <c r="E31" s="1"/>
  <c r="E86" i="10" s="1"/>
  <c r="N8" i="18"/>
  <c r="B20" i="6"/>
  <c r="G8" i="18"/>
  <c r="F20" i="6"/>
  <c r="F27" s="1"/>
  <c r="H37" i="8"/>
  <c r="K24" i="18"/>
  <c r="P24"/>
  <c r="G19"/>
  <c r="G23"/>
  <c r="L46" i="8"/>
  <c r="E23" i="18"/>
  <c r="C25" i="17"/>
  <c r="L7" i="8"/>
  <c r="C8" i="18"/>
  <c r="D8"/>
  <c r="C20" i="6"/>
  <c r="L32" i="8"/>
  <c r="C19" i="6"/>
  <c r="V10" i="18"/>
  <c r="X10" s="1"/>
  <c r="X23" s="1"/>
  <c r="D10"/>
  <c r="L10" s="1"/>
  <c r="L23" s="1"/>
  <c r="U10"/>
  <c r="U23" s="1"/>
  <c r="B19" i="6"/>
  <c r="L37" i="8"/>
  <c r="R6" i="18"/>
  <c r="B24" i="6"/>
  <c r="C24"/>
  <c r="D6" i="18"/>
  <c r="P6" s="1"/>
  <c r="H40" i="8"/>
  <c r="L40" s="1"/>
  <c r="U6" i="18"/>
  <c r="W6" s="1"/>
  <c r="C6"/>
  <c r="C19" s="1"/>
  <c r="H39" i="8"/>
  <c r="L39" s="1"/>
  <c r="Q6" i="18"/>
  <c r="Q19" s="1"/>
  <c r="V6"/>
  <c r="V19" s="1"/>
  <c r="N6"/>
  <c r="O8"/>
  <c r="O21" s="1"/>
  <c r="M21"/>
  <c r="S7"/>
  <c r="S20" s="1"/>
  <c r="P7"/>
  <c r="P20" s="1"/>
  <c r="D20"/>
  <c r="X7"/>
  <c r="X20" s="1"/>
  <c r="W7"/>
  <c r="W20" s="1"/>
  <c r="L7"/>
  <c r="L20" s="1"/>
  <c r="T7"/>
  <c r="T20" s="1"/>
  <c r="O7"/>
  <c r="O20" s="1"/>
  <c r="K7"/>
  <c r="K20" s="1"/>
  <c r="S10"/>
  <c r="S23" s="1"/>
  <c r="O10"/>
  <c r="O23" s="1"/>
  <c r="P10"/>
  <c r="P23" s="1"/>
  <c r="D21"/>
  <c r="T8"/>
  <c r="T21" s="1"/>
  <c r="S8"/>
  <c r="S21" s="1"/>
  <c r="W8"/>
  <c r="W21" s="1"/>
  <c r="X8"/>
  <c r="X21" s="1"/>
  <c r="L134" i="8"/>
  <c r="C23" i="18"/>
  <c r="J10"/>
  <c r="J23" s="1"/>
  <c r="M10"/>
  <c r="M23" s="1"/>
  <c r="R10"/>
  <c r="R23" s="1"/>
  <c r="I10"/>
  <c r="I23" s="1"/>
  <c r="Q10"/>
  <c r="Q23" s="1"/>
  <c r="N10"/>
  <c r="N23" s="1"/>
  <c r="N21"/>
  <c r="P8"/>
  <c r="P21" s="1"/>
  <c r="G12"/>
  <c r="G25" s="1"/>
  <c r="G21"/>
  <c r="V7"/>
  <c r="V20" s="1"/>
  <c r="N7"/>
  <c r="N20" s="1"/>
  <c r="J7"/>
  <c r="J20" s="1"/>
  <c r="R7"/>
  <c r="U7"/>
  <c r="U20" s="1"/>
  <c r="C20"/>
  <c r="I7"/>
  <c r="I20" s="1"/>
  <c r="M7"/>
  <c r="M20" s="1"/>
  <c r="Q7"/>
  <c r="Q20" s="1"/>
  <c r="U8"/>
  <c r="U21" s="1"/>
  <c r="R8"/>
  <c r="R21" s="1"/>
  <c r="C21"/>
  <c r="V8"/>
  <c r="V21" s="1"/>
  <c r="Q8"/>
  <c r="Q21" s="1"/>
  <c r="F36" i="6"/>
  <c r="C57" i="17"/>
  <c r="C21"/>
  <c r="C20"/>
  <c r="L47" i="8" l="1"/>
  <c r="P22" i="18"/>
  <c r="G18"/>
  <c r="I21"/>
  <c r="L18"/>
  <c r="D22"/>
  <c r="W22"/>
  <c r="I18"/>
  <c r="F18"/>
  <c r="N22"/>
  <c r="R24"/>
  <c r="X18"/>
  <c r="C18"/>
  <c r="M22"/>
  <c r="J21"/>
  <c r="L22"/>
  <c r="D18"/>
  <c r="S18"/>
  <c r="V22"/>
  <c r="K22"/>
  <c r="G24"/>
  <c r="V24"/>
  <c r="W18"/>
  <c r="N24"/>
  <c r="Q22"/>
  <c r="X22"/>
  <c r="O18"/>
  <c r="P18"/>
  <c r="S24"/>
  <c r="O24"/>
  <c r="D24"/>
  <c r="R22"/>
  <c r="G22"/>
  <c r="S22"/>
  <c r="K18"/>
  <c r="U18"/>
  <c r="F22"/>
  <c r="J22"/>
  <c r="L21"/>
  <c r="U22"/>
  <c r="T22"/>
  <c r="Q24"/>
  <c r="J24"/>
  <c r="C22"/>
  <c r="C24"/>
  <c r="E22"/>
  <c r="O22"/>
  <c r="M24"/>
  <c r="I24"/>
  <c r="E18"/>
  <c r="J18"/>
  <c r="T18"/>
  <c r="M18"/>
  <c r="N18"/>
  <c r="Q18"/>
  <c r="V18"/>
  <c r="R18"/>
  <c r="I22"/>
  <c r="U24"/>
  <c r="X24"/>
  <c r="E24"/>
  <c r="E19"/>
  <c r="L24"/>
  <c r="F24"/>
  <c r="K21"/>
  <c r="F19"/>
  <c r="T24"/>
  <c r="L72" i="8"/>
  <c r="L69"/>
  <c r="L17"/>
  <c r="L109"/>
  <c r="L15"/>
  <c r="L93"/>
  <c r="L114"/>
  <c r="L110"/>
  <c r="L81"/>
  <c r="L130"/>
  <c r="L131"/>
  <c r="L128"/>
  <c r="L23"/>
  <c r="L65"/>
  <c r="L20"/>
  <c r="L74"/>
  <c r="L125"/>
  <c r="L14"/>
  <c r="L27"/>
  <c r="L83"/>
  <c r="L55"/>
  <c r="L61"/>
  <c r="L54"/>
  <c r="L113"/>
  <c r="L101"/>
  <c r="L122"/>
  <c r="L36"/>
  <c r="L68"/>
  <c r="L100"/>
  <c r="L10"/>
  <c r="L57"/>
  <c r="L107"/>
  <c r="L21"/>
  <c r="L8"/>
  <c r="L103"/>
  <c r="L96"/>
  <c r="L121"/>
  <c r="L106"/>
  <c r="L30"/>
  <c r="L94"/>
  <c r="L28"/>
  <c r="L98"/>
  <c r="L35"/>
  <c r="L24"/>
  <c r="L84"/>
  <c r="L49"/>
  <c r="L85"/>
  <c r="L64"/>
  <c r="L75"/>
  <c r="L73"/>
  <c r="L78"/>
  <c r="L60"/>
  <c r="L67"/>
  <c r="L105"/>
  <c r="L132"/>
  <c r="L71"/>
  <c r="L118"/>
  <c r="L86"/>
  <c r="L133"/>
  <c r="L117"/>
  <c r="L59"/>
  <c r="L76"/>
  <c r="L19"/>
  <c r="L33"/>
  <c r="L115"/>
  <c r="L80"/>
  <c r="L127"/>
  <c r="L52"/>
  <c r="L38"/>
  <c r="L116"/>
  <c r="L45"/>
  <c r="L112"/>
  <c r="L12"/>
  <c r="B10"/>
  <c r="F10" s="1"/>
  <c r="I10" s="1"/>
  <c r="I50" s="1"/>
  <c r="B96"/>
  <c r="F96" s="1"/>
  <c r="I96" s="1"/>
  <c r="F23" i="18"/>
  <c r="W24"/>
  <c r="L26" i="8"/>
  <c r="D20" i="6"/>
  <c r="E8" i="18"/>
  <c r="E21" s="1"/>
  <c r="F8"/>
  <c r="F21" s="1"/>
  <c r="E20" i="6"/>
  <c r="L70" i="8"/>
  <c r="F10" i="6"/>
  <c r="B11"/>
  <c r="C10"/>
  <c r="E10"/>
  <c r="D10"/>
  <c r="L63" i="8"/>
  <c r="L119"/>
  <c r="H50"/>
  <c r="L50" s="1"/>
  <c r="L123"/>
  <c r="C27" i="17"/>
  <c r="C26"/>
  <c r="B27" i="6"/>
  <c r="T10" i="18"/>
  <c r="T23" s="1"/>
  <c r="O6"/>
  <c r="O12" s="1"/>
  <c r="O25" s="1"/>
  <c r="X6"/>
  <c r="X19" s="1"/>
  <c r="J6"/>
  <c r="J12" s="1"/>
  <c r="J25" s="1"/>
  <c r="D23"/>
  <c r="K10"/>
  <c r="K23" s="1"/>
  <c r="I6"/>
  <c r="I19" s="1"/>
  <c r="C27" i="6"/>
  <c r="C36" s="1"/>
  <c r="C37" s="1"/>
  <c r="L6" i="18"/>
  <c r="L12" s="1"/>
  <c r="L25" s="1"/>
  <c r="D19"/>
  <c r="K6"/>
  <c r="D12"/>
  <c r="D25" s="1"/>
  <c r="W10"/>
  <c r="W23" s="1"/>
  <c r="U19"/>
  <c r="V23"/>
  <c r="C12"/>
  <c r="C25" s="1"/>
  <c r="C27" s="1"/>
  <c r="U35" s="1"/>
  <c r="S6"/>
  <c r="S12" s="1"/>
  <c r="S25" s="1"/>
  <c r="M6"/>
  <c r="M19" s="1"/>
  <c r="R19"/>
  <c r="T6"/>
  <c r="T19" s="1"/>
  <c r="P12"/>
  <c r="P25" s="1"/>
  <c r="P19"/>
  <c r="F37" i="6"/>
  <c r="O19" i="18"/>
  <c r="R20"/>
  <c r="R12"/>
  <c r="R25" s="1"/>
  <c r="I12"/>
  <c r="I25" s="1"/>
  <c r="N12"/>
  <c r="N25" s="1"/>
  <c r="N19"/>
  <c r="V12"/>
  <c r="V25" s="1"/>
  <c r="U12"/>
  <c r="U25" s="1"/>
  <c r="Q12"/>
  <c r="Q25" s="1"/>
  <c r="W19"/>
  <c r="C36" i="17"/>
  <c r="C37"/>
  <c r="C22"/>
  <c r="C28"/>
  <c r="C44" l="1"/>
  <c r="C43"/>
  <c r="K12" i="18"/>
  <c r="K25" s="1"/>
  <c r="E19" i="6"/>
  <c r="E27" s="1"/>
  <c r="E36" s="1"/>
  <c r="E37" s="1"/>
  <c r="D19"/>
  <c r="D27" s="1"/>
  <c r="D36" s="1"/>
  <c r="D37" s="1"/>
  <c r="H88" i="8"/>
  <c r="H87"/>
  <c r="E11" i="6"/>
  <c r="D11"/>
  <c r="C11"/>
  <c r="F11"/>
  <c r="D29"/>
  <c r="F7" i="18"/>
  <c r="E7"/>
  <c r="E29" i="6"/>
  <c r="O38" i="18"/>
  <c r="V39"/>
  <c r="F29" i="6"/>
  <c r="F30" s="1"/>
  <c r="F34" s="1"/>
  <c r="B36"/>
  <c r="B37" s="1"/>
  <c r="J19" i="18"/>
  <c r="J34" s="1"/>
  <c r="K19"/>
  <c r="L19"/>
  <c r="L34" s="1"/>
  <c r="X12"/>
  <c r="X25" s="1"/>
  <c r="E39"/>
  <c r="T35"/>
  <c r="T12"/>
  <c r="T25" s="1"/>
  <c r="R33"/>
  <c r="X35"/>
  <c r="Q38"/>
  <c r="N36"/>
  <c r="F38"/>
  <c r="J35"/>
  <c r="L37"/>
  <c r="P33"/>
  <c r="K33"/>
  <c r="Q39"/>
  <c r="P37"/>
  <c r="O36"/>
  <c r="W35"/>
  <c r="F33"/>
  <c r="S33"/>
  <c r="T39"/>
  <c r="V37"/>
  <c r="M34"/>
  <c r="K35"/>
  <c r="W12"/>
  <c r="W25" s="1"/>
  <c r="X36"/>
  <c r="D34"/>
  <c r="U34"/>
  <c r="N34"/>
  <c r="M12"/>
  <c r="M25" s="1"/>
  <c r="J37"/>
  <c r="D37"/>
  <c r="E38"/>
  <c r="I39"/>
  <c r="D33"/>
  <c r="T36"/>
  <c r="V38"/>
  <c r="M36"/>
  <c r="R38"/>
  <c r="W34"/>
  <c r="W38"/>
  <c r="L38"/>
  <c r="M35"/>
  <c r="U38"/>
  <c r="L35"/>
  <c r="W36"/>
  <c r="I38"/>
  <c r="R36"/>
  <c r="S36"/>
  <c r="C35"/>
  <c r="K34"/>
  <c r="D39"/>
  <c r="Q33"/>
  <c r="V33"/>
  <c r="E34"/>
  <c r="J36"/>
  <c r="F39"/>
  <c r="L33"/>
  <c r="N39"/>
  <c r="K37"/>
  <c r="N37"/>
  <c r="I36"/>
  <c r="M33"/>
  <c r="W39"/>
  <c r="C33"/>
  <c r="R39"/>
  <c r="N33"/>
  <c r="O37"/>
  <c r="I37"/>
  <c r="O33"/>
  <c r="R34"/>
  <c r="K38"/>
  <c r="N38"/>
  <c r="V35"/>
  <c r="V34"/>
  <c r="D38"/>
  <c r="X38"/>
  <c r="F36"/>
  <c r="C34"/>
  <c r="P35"/>
  <c r="T38"/>
  <c r="C38"/>
  <c r="I35"/>
  <c r="S38"/>
  <c r="N35"/>
  <c r="R35"/>
  <c r="X34"/>
  <c r="L39"/>
  <c r="U33"/>
  <c r="X39"/>
  <c r="G38"/>
  <c r="K36"/>
  <c r="G39"/>
  <c r="T33"/>
  <c r="J39"/>
  <c r="T37"/>
  <c r="C39"/>
  <c r="Q37"/>
  <c r="C37"/>
  <c r="I33"/>
  <c r="M37"/>
  <c r="X37"/>
  <c r="S39"/>
  <c r="G34"/>
  <c r="L36"/>
  <c r="W33"/>
  <c r="T34"/>
  <c r="O35"/>
  <c r="M38"/>
  <c r="V36"/>
  <c r="Q35"/>
  <c r="S35"/>
  <c r="Q36"/>
  <c r="D35"/>
  <c r="D36"/>
  <c r="J38"/>
  <c r="C36"/>
  <c r="Q34"/>
  <c r="P36"/>
  <c r="E36"/>
  <c r="U36"/>
  <c r="I34"/>
  <c r="O34"/>
  <c r="F34"/>
  <c r="G33"/>
  <c r="W37"/>
  <c r="O39"/>
  <c r="X33"/>
  <c r="S37"/>
  <c r="G35"/>
  <c r="M39"/>
  <c r="K39"/>
  <c r="E33"/>
  <c r="E37"/>
  <c r="F37"/>
  <c r="U39"/>
  <c r="P39"/>
  <c r="G37"/>
  <c r="U37"/>
  <c r="R37"/>
  <c r="J33"/>
  <c r="P34"/>
  <c r="P38"/>
  <c r="G36"/>
  <c r="F33" i="6"/>
  <c r="S19" i="18"/>
  <c r="S34" s="1"/>
  <c r="F32" i="6"/>
  <c r="F40"/>
  <c r="F38"/>
  <c r="F39" s="1"/>
  <c r="F12" i="18" l="1"/>
  <c r="F25" s="1"/>
  <c r="F20"/>
  <c r="F35" s="1"/>
  <c r="L87" i="8"/>
  <c r="E20" i="18"/>
  <c r="E35" s="1"/>
  <c r="E12"/>
  <c r="E25" s="1"/>
  <c r="L88" i="8"/>
  <c r="C47" i="17"/>
  <c r="C40"/>
  <c r="E2" i="20" l="1"/>
</calcChain>
</file>

<file path=xl/sharedStrings.xml><?xml version="1.0" encoding="utf-8"?>
<sst xmlns="http://schemas.openxmlformats.org/spreadsheetml/2006/main" count="1515" uniqueCount="482">
  <si>
    <t>Alum</t>
  </si>
  <si>
    <t>Lime</t>
  </si>
  <si>
    <t>Gaseous Chlorine</t>
  </si>
  <si>
    <t>Sodium Hypochlorite</t>
  </si>
  <si>
    <t>Unit</t>
  </si>
  <si>
    <t>Hydrofluorosilicic Acid</t>
  </si>
  <si>
    <t>Polymer</t>
  </si>
  <si>
    <t>Air Permit for GAC</t>
  </si>
  <si>
    <t>None</t>
  </si>
  <si>
    <t>Productivity Data</t>
  </si>
  <si>
    <t>Total Finished Water Produced (gal)</t>
  </si>
  <si>
    <t>Percentage of Productivity due to Surface Water Plant (%)</t>
  </si>
  <si>
    <t>Revenues</t>
  </si>
  <si>
    <t>Direct Residential Sales (surface water plant) (gal)</t>
  </si>
  <si>
    <t>Direct Non-residential Sales (surface water plant) (gal)</t>
  </si>
  <si>
    <t>Wholesale Sales (surface water plant) (gal)</t>
  </si>
  <si>
    <t>Water Losses (surface water plant) (gal)</t>
  </si>
  <si>
    <t>Water Losses (surface water plant) (%)</t>
  </si>
  <si>
    <t>Direct Residential Sales ($/yr)</t>
  </si>
  <si>
    <t>Direct Non-residential Sales ($/yr)</t>
  </si>
  <si>
    <t>Wholesale Sales ($/yr)</t>
  </si>
  <si>
    <t>Fees/Other Revenues ($/yr)</t>
  </si>
  <si>
    <t>Total Revenues ($/yr)</t>
  </si>
  <si>
    <t>Source Water Acquisition</t>
  </si>
  <si>
    <t>Flocculation</t>
  </si>
  <si>
    <t>Sedimentation</t>
  </si>
  <si>
    <t>Lime Addition</t>
  </si>
  <si>
    <t>Sand Filtration</t>
  </si>
  <si>
    <t>GAC Adsorption</t>
  </si>
  <si>
    <t>Conditioning</t>
  </si>
  <si>
    <t>Disinfection</t>
  </si>
  <si>
    <t>Fluorination</t>
  </si>
  <si>
    <t>GAC Regeneration</t>
  </si>
  <si>
    <t>Total Unit Process Costs (other than disinfection)</t>
  </si>
  <si>
    <t>Disinfection Costs</t>
  </si>
  <si>
    <t>Unit Process Costs</t>
  </si>
  <si>
    <t>Facility-Wide Costs</t>
  </si>
  <si>
    <t>Total Labor Costs</t>
  </si>
  <si>
    <t>Distribution</t>
  </si>
  <si>
    <t>Bottom Line</t>
  </si>
  <si>
    <t>Total Costs ($/yr)</t>
  </si>
  <si>
    <t>Cost Increase from Baseline ($/yr)</t>
  </si>
  <si>
    <t>Additional Revenue Needed to Offset Cost Rise ($/yr)</t>
  </si>
  <si>
    <t>Total Water Sold (gal)</t>
  </si>
  <si>
    <t>--</t>
  </si>
  <si>
    <t>Base Case Processes</t>
  </si>
  <si>
    <t>Basis</t>
  </si>
  <si>
    <t>Total Quantity</t>
  </si>
  <si>
    <t>Unit Cost</t>
  </si>
  <si>
    <t>lb</t>
  </si>
  <si>
    <t>Constants</t>
  </si>
  <si>
    <r>
      <t>ft</t>
    </r>
    <r>
      <rPr>
        <vertAlign val="superscript"/>
        <sz val="11"/>
        <color theme="1"/>
        <rFont val="Calibri"/>
        <family val="2"/>
        <scheme val="minor"/>
      </rPr>
      <t>3</t>
    </r>
  </si>
  <si>
    <r>
      <t>gal/ft</t>
    </r>
    <r>
      <rPr>
        <vertAlign val="superscript"/>
        <sz val="11"/>
        <color theme="1"/>
        <rFont val="Calibri"/>
        <family val="2"/>
        <scheme val="minor"/>
      </rPr>
      <t>3</t>
    </r>
  </si>
  <si>
    <t>Labor</t>
  </si>
  <si>
    <t>Sand Replacement</t>
  </si>
  <si>
    <t>Wastewater Sludge</t>
  </si>
  <si>
    <t>gal</t>
  </si>
  <si>
    <t>GAC Replacement</t>
  </si>
  <si>
    <t>Waste Sand Disposal</t>
  </si>
  <si>
    <t>Caustic Soda</t>
  </si>
  <si>
    <t>Sodium Hexametaphosphate</t>
  </si>
  <si>
    <t>kWh</t>
  </si>
  <si>
    <t>Maintenance</t>
  </si>
  <si>
    <t>One Time Cost</t>
  </si>
  <si>
    <t>worker</t>
  </si>
  <si>
    <t>Notes/Assumptions</t>
  </si>
  <si>
    <t>QAPP Cost Data Quality Criteria</t>
  </si>
  <si>
    <t>Criterion</t>
  </si>
  <si>
    <t>Description</t>
  </si>
  <si>
    <t>Current</t>
  </si>
  <si>
    <t>Report time period of data.</t>
  </si>
  <si>
    <t>Data is from GCWW for 2011.</t>
  </si>
  <si>
    <t>Complete</t>
  </si>
  <si>
    <t>Representative</t>
  </si>
  <si>
    <t>Accurate/Reliable</t>
  </si>
  <si>
    <t>All units are identified. Cost year reported.</t>
  </si>
  <si>
    <t>Base Case - DWT</t>
  </si>
  <si>
    <t>Report if costs are for DWT or WWT unit processes.</t>
  </si>
  <si>
    <t>Costs are for 2011. Units are identified.</t>
  </si>
  <si>
    <t>DWT unit process information provided by GCWW.</t>
  </si>
  <si>
    <t>Data source. Was data obtained directly from EPA partner?</t>
  </si>
  <si>
    <t>Price Increase</t>
  </si>
  <si>
    <t>Increase to Direct Residents Only ($/gal)</t>
  </si>
  <si>
    <t>Increase to Direct Residents and Non-residents Only ($/gal)</t>
  </si>
  <si>
    <t>Increase to All Customers (Direct and Wholesale) ($/gal)</t>
  </si>
  <si>
    <r>
      <t>gal/m</t>
    </r>
    <r>
      <rPr>
        <vertAlign val="superscript"/>
        <sz val="11"/>
        <color theme="1"/>
        <rFont val="Calibri"/>
        <family val="2"/>
        <scheme val="minor"/>
      </rPr>
      <t>3</t>
    </r>
  </si>
  <si>
    <t>Total Equipment Maintenance Costs (other than disinfection)</t>
  </si>
  <si>
    <t>Maintenance (other than disinfection)</t>
  </si>
  <si>
    <t>Normalization Factor</t>
  </si>
  <si>
    <t>Water Produced at Surface Water Plant (gal)</t>
  </si>
  <si>
    <t>Total Water Delivered to Customers (gal)</t>
  </si>
  <si>
    <r>
      <t>Normalization for LCI ($/m</t>
    </r>
    <r>
      <rPr>
        <b/>
        <vertAlign val="superscript"/>
        <sz val="11"/>
        <color theme="1"/>
        <rFont val="Calibri"/>
        <family val="2"/>
        <scheme val="minor"/>
      </rPr>
      <t>3</t>
    </r>
    <r>
      <rPr>
        <b/>
        <sz val="11"/>
        <color theme="1"/>
        <rFont val="Calibri"/>
        <family val="2"/>
        <scheme val="minor"/>
      </rPr>
      <t>)</t>
    </r>
  </si>
  <si>
    <t>Y</t>
  </si>
  <si>
    <t>N</t>
  </si>
  <si>
    <t>Revenues (both plants)</t>
  </si>
  <si>
    <t>Average</t>
  </si>
  <si>
    <t>Min</t>
  </si>
  <si>
    <t>Max</t>
  </si>
  <si>
    <t>Amount</t>
  </si>
  <si>
    <t>Sodium Hypochlorite (lb)</t>
  </si>
  <si>
    <t>Hydrofluorosilicic Acid (lb)</t>
  </si>
  <si>
    <t>Gaseous Chlorine (lb)</t>
  </si>
  <si>
    <t>Sodium Hexametaphosphate (lb)</t>
  </si>
  <si>
    <t>Caustic Soda (lb)</t>
  </si>
  <si>
    <t>GAC Replacement (lb)</t>
  </si>
  <si>
    <t>Sand Replacement (lb)</t>
  </si>
  <si>
    <t>Alum (lb)</t>
  </si>
  <si>
    <t>Polymer (lb)</t>
  </si>
  <si>
    <t>Lime (lb)</t>
  </si>
  <si>
    <t>Maintenance (total)</t>
  </si>
  <si>
    <t>Electricity Unit Cost ($/kWh)</t>
  </si>
  <si>
    <t>Natural Gas Unit Cost ($/scf)</t>
  </si>
  <si>
    <t>Natural Gas (purchased) (scf)</t>
  </si>
  <si>
    <t>scf</t>
  </si>
  <si>
    <t>Surface Water Plant Finished Water Produced (gal)</t>
  </si>
  <si>
    <t>Use for Normalization (Y/N)?</t>
  </si>
  <si>
    <t>Electricity (kWh)</t>
  </si>
  <si>
    <t>Electricity</t>
  </si>
  <si>
    <t>Electricity (at plant) (purchased) (kWh)</t>
  </si>
  <si>
    <t>Electricity (at plant) (cogen) (kWh)</t>
  </si>
  <si>
    <t>Electricity (at plant) (purchased)</t>
  </si>
  <si>
    <t>Electricity (at plant) (cogen)</t>
  </si>
  <si>
    <t>Number of Regenerations per Year</t>
  </si>
  <si>
    <t>GCWW Base Case 1</t>
  </si>
  <si>
    <t>GCWW Base Case 2</t>
  </si>
  <si>
    <t>GAC NSF Cost</t>
  </si>
  <si>
    <t>Risk Management Plan Cost</t>
  </si>
  <si>
    <t>Plant Energy Costs (non-process specific)</t>
  </si>
  <si>
    <t>Notes</t>
  </si>
  <si>
    <t>42,000 ccf NG/reg; 1ccf = 100 ft3; basis = volume finished water</t>
  </si>
  <si>
    <t>Generated by waterwheels. No associated costs.</t>
  </si>
  <si>
    <t>Computed percent from surface water plant used to allocate the water volume and revenues provided by GCWW for both plants to the surface water plant (Miller Plant).</t>
  </si>
  <si>
    <t>Fluoridation</t>
  </si>
  <si>
    <t>Ferrate</t>
  </si>
  <si>
    <t>Ferrator Processes</t>
  </si>
  <si>
    <t>Model Fe300 Ferrators</t>
  </si>
  <si>
    <t>Ferrator Monitors</t>
  </si>
  <si>
    <t>Piping</t>
  </si>
  <si>
    <t>Pumps</t>
  </si>
  <si>
    <t>Electrical Equipment</t>
  </si>
  <si>
    <t>Building</t>
  </si>
  <si>
    <t>Chemical Feedstock Storage Tanks</t>
  </si>
  <si>
    <t>Incidental Repairs</t>
  </si>
  <si>
    <t>Base Case Unit Process Costs</t>
  </si>
  <si>
    <t>Ferrator Unit Process Costs</t>
  </si>
  <si>
    <t>All data provided by GCWW.</t>
  </si>
  <si>
    <t>Description (unit)</t>
  </si>
  <si>
    <t>Value</t>
  </si>
  <si>
    <t>Pre-treatment Ferrate Dose (gal)</t>
  </si>
  <si>
    <t>Capital Costs</t>
  </si>
  <si>
    <t>Utilities and Maintenance</t>
  </si>
  <si>
    <t>Reduction in Alum Required (%)</t>
  </si>
  <si>
    <t>Reduction in Flocculation Polymer (%)</t>
  </si>
  <si>
    <t>Reduction in Lime Required (%)</t>
  </si>
  <si>
    <t>Reduction in Caustic Soda Required (%)</t>
  </si>
  <si>
    <t>Reduction in Gaseous Chlorine Required (%)</t>
  </si>
  <si>
    <t>Ferrator Chemical Feedstocks</t>
  </si>
  <si>
    <t>Scaling, Dosing, and Reductions</t>
  </si>
  <si>
    <r>
      <t>Unit water produced (ft</t>
    </r>
    <r>
      <rPr>
        <vertAlign val="superscript"/>
        <sz val="11"/>
        <color theme="1"/>
        <rFont val="Calibri"/>
        <family val="2"/>
        <scheme val="minor"/>
      </rPr>
      <t>3</t>
    </r>
    <r>
      <rPr>
        <sz val="11"/>
        <color theme="1"/>
        <rFont val="Calibri"/>
        <family val="2"/>
        <scheme val="minor"/>
      </rPr>
      <t>)</t>
    </r>
  </si>
  <si>
    <t>Surface water plant water produced (gal)</t>
  </si>
  <si>
    <t>Basis of Amount</t>
  </si>
  <si>
    <t>Sludge Produced (lb)</t>
  </si>
  <si>
    <t>Unit water produced (gal)</t>
  </si>
  <si>
    <t>Disinfection Ferrate Dose (gal)</t>
  </si>
  <si>
    <t>Ferrate solution produced (gal)</t>
  </si>
  <si>
    <t>Caustic Soda (50% concentration) (gal)</t>
  </si>
  <si>
    <t>Ferric Chloride (40% concentration) (gal)</t>
  </si>
  <si>
    <t>Sodium Hypochlorite (13% concentration) (gal)</t>
  </si>
  <si>
    <t>Maintenance (other than Ferrators)</t>
  </si>
  <si>
    <t>Electricity (at plant, other than Ferrators) (purchased)</t>
  </si>
  <si>
    <t>Ferrator unit</t>
  </si>
  <si>
    <t>Number of Ferrators Required for Disinfection</t>
  </si>
  <si>
    <t>Number of Ferrators Required for Pre-treatment</t>
  </si>
  <si>
    <t>Water produced (gal/day)</t>
  </si>
  <si>
    <t>Ferrator Lifetime (yr)</t>
  </si>
  <si>
    <t>Capital cost per unit.</t>
  </si>
  <si>
    <t>Ferrator Lifetime</t>
  </si>
  <si>
    <t>Amortized Capital Cost</t>
  </si>
  <si>
    <t>yr</t>
  </si>
  <si>
    <t>Ferric Chloride Unit Cost ($)</t>
  </si>
  <si>
    <t>Ferric Chloride</t>
  </si>
  <si>
    <t>Chemical Feedstocks</t>
  </si>
  <si>
    <t>$/lb</t>
  </si>
  <si>
    <t>Number of Back-up Ferrators</t>
  </si>
  <si>
    <t>Number of Ferrator Monitors</t>
  </si>
  <si>
    <t>Total Number of Ferrators and Capital Costs</t>
  </si>
  <si>
    <t>Total Annual Cost</t>
  </si>
  <si>
    <t>Base Quantity</t>
  </si>
  <si>
    <t>Ferrate Costs</t>
  </si>
  <si>
    <t>Density (lb/gal)</t>
  </si>
  <si>
    <t>Quantity (gal)</t>
  </si>
  <si>
    <t>Ferrate Solution</t>
  </si>
  <si>
    <t>Quantity (lb)</t>
  </si>
  <si>
    <t>Cost ($)</t>
  </si>
  <si>
    <t>Calculated Unit Cost ($/gal)</t>
  </si>
  <si>
    <t>Ferrate (w/o GAC)</t>
  </si>
  <si>
    <t>Ferrate (w/GAC)</t>
  </si>
  <si>
    <t>Contributions to Sludge</t>
  </si>
  <si>
    <t>Suspended Solids Removed</t>
  </si>
  <si>
    <t>Raw Water TSS (mg/L)</t>
  </si>
  <si>
    <t>Finished Water TSS (mg/L)</t>
  </si>
  <si>
    <t>TSS Removed (mg/L)</t>
  </si>
  <si>
    <r>
      <t>Concentration (lb/1,000 ft</t>
    </r>
    <r>
      <rPr>
        <vertAlign val="superscript"/>
        <sz val="11"/>
        <color theme="1"/>
        <rFont val="Calibri"/>
        <family val="2"/>
        <scheme val="minor"/>
      </rPr>
      <t>3</t>
    </r>
    <r>
      <rPr>
        <sz val="11"/>
        <color theme="1"/>
        <rFont val="Calibri"/>
        <family val="2"/>
        <scheme val="minor"/>
      </rPr>
      <t>)</t>
    </r>
  </si>
  <si>
    <r>
      <t>TSS Removed (lb/1,000 ft</t>
    </r>
    <r>
      <rPr>
        <vertAlign val="superscript"/>
        <sz val="11"/>
        <color theme="1"/>
        <rFont val="Calibri"/>
        <family val="2"/>
        <scheme val="minor"/>
      </rPr>
      <t>3</t>
    </r>
    <r>
      <rPr>
        <sz val="11"/>
        <color theme="1"/>
        <rFont val="Calibri"/>
        <family val="2"/>
        <scheme val="minor"/>
      </rPr>
      <t>)</t>
    </r>
  </si>
  <si>
    <t>Unit Conversions</t>
  </si>
  <si>
    <t>L/gal</t>
  </si>
  <si>
    <t>mg/lb</t>
  </si>
  <si>
    <r>
      <t>L/ft</t>
    </r>
    <r>
      <rPr>
        <vertAlign val="superscript"/>
        <sz val="11"/>
        <color theme="1"/>
        <rFont val="Calibri"/>
        <family val="2"/>
        <scheme val="minor"/>
      </rPr>
      <t>3</t>
    </r>
  </si>
  <si>
    <t>K (lb dry sludge / lb dry solid)</t>
  </si>
  <si>
    <t>Total Sludge Produced</t>
  </si>
  <si>
    <t>Turbidity Removed</t>
  </si>
  <si>
    <t>Alum Added</t>
  </si>
  <si>
    <t>Polymer Added</t>
  </si>
  <si>
    <t>Lime Added</t>
  </si>
  <si>
    <r>
      <t>Sludge (lb dry sludge / 1,000 ft</t>
    </r>
    <r>
      <rPr>
        <vertAlign val="superscript"/>
        <sz val="11"/>
        <color theme="1"/>
        <rFont val="Calibri"/>
        <family val="2"/>
        <scheme val="minor"/>
      </rPr>
      <t>3</t>
    </r>
    <r>
      <rPr>
        <sz val="11"/>
        <color theme="1"/>
        <rFont val="Calibri"/>
        <family val="2"/>
        <scheme val="minor"/>
      </rPr>
      <t xml:space="preserve"> water produced)</t>
    </r>
  </si>
  <si>
    <t>Unit ferric chloride solution (gal)</t>
  </si>
  <si>
    <t>Average cost for 40% ferric chloride from City of Boise proposal. Vendors included Kemira, BHSA, and Thatcher. EPA will update costs as data become available.  (http://www.cityofboise.org/city_clerk/091112/12-240.pdf).</t>
  </si>
  <si>
    <t>All data provided by FTT except where noted.</t>
  </si>
  <si>
    <t>Pumping Energy, at Drinking Water Treatment Plant</t>
  </si>
  <si>
    <t>Pre-Disinfection</t>
  </si>
  <si>
    <t>Primary Disinfection</t>
  </si>
  <si>
    <t>Secondary Disinfection</t>
  </si>
  <si>
    <t xml:space="preserve">Overhead </t>
  </si>
  <si>
    <t>Ferric Chloride Solution (40% concentration) Dose for pH sedimentation (gal)</t>
  </si>
  <si>
    <t>Ferric Chloride Solution (40% concentration) Dose for pH conditioning (gal)</t>
  </si>
  <si>
    <t>Chlorine Usage Sensitivity Costs ($)</t>
  </si>
  <si>
    <t>Electricity Usage Sensitivity Costs ($)</t>
  </si>
  <si>
    <t>Electricity Unit Cost Sensitivity Costs ($)</t>
  </si>
  <si>
    <t>Base Case Costs ($)</t>
  </si>
  <si>
    <t>Base Case 1</t>
  </si>
  <si>
    <t>Base Case 2</t>
  </si>
  <si>
    <t>-10%</t>
  </si>
  <si>
    <t>+10%</t>
  </si>
  <si>
    <t>-20%</t>
  </si>
  <si>
    <t>+20%</t>
  </si>
  <si>
    <t>Total</t>
  </si>
  <si>
    <t>Normalizations</t>
  </si>
  <si>
    <r>
      <t>Chlorine Usage Sensitivity Costs ($/m</t>
    </r>
    <r>
      <rPr>
        <vertAlign val="superscript"/>
        <sz val="11"/>
        <color theme="1"/>
        <rFont val="Calibri"/>
        <family val="2"/>
        <scheme val="minor"/>
      </rPr>
      <t>3</t>
    </r>
    <r>
      <rPr>
        <sz val="11"/>
        <color theme="1"/>
        <rFont val="Calibri"/>
        <family val="2"/>
        <scheme val="minor"/>
      </rPr>
      <t>)</t>
    </r>
  </si>
  <si>
    <r>
      <t>Electricity Usage Sensitivity Costs ($/m</t>
    </r>
    <r>
      <rPr>
        <vertAlign val="superscript"/>
        <sz val="11"/>
        <color theme="1"/>
        <rFont val="Calibri"/>
        <family val="2"/>
        <scheme val="minor"/>
      </rPr>
      <t>3</t>
    </r>
    <r>
      <rPr>
        <sz val="11"/>
        <color theme="1"/>
        <rFont val="Calibri"/>
        <family val="2"/>
        <scheme val="minor"/>
      </rPr>
      <t>)</t>
    </r>
  </si>
  <si>
    <r>
      <t>Electricity Unit Cost Sensitivity Costs ($/m</t>
    </r>
    <r>
      <rPr>
        <vertAlign val="superscript"/>
        <sz val="11"/>
        <color theme="1"/>
        <rFont val="Calibri"/>
        <family val="2"/>
        <scheme val="minor"/>
      </rPr>
      <t>3</t>
    </r>
    <r>
      <rPr>
        <sz val="11"/>
        <color theme="1"/>
        <rFont val="Calibri"/>
        <family val="2"/>
        <scheme val="minor"/>
      </rPr>
      <t>)</t>
    </r>
  </si>
  <si>
    <r>
      <t>Base Case Costs ($/m</t>
    </r>
    <r>
      <rPr>
        <vertAlign val="superscript"/>
        <sz val="11"/>
        <color theme="1"/>
        <rFont val="Calibri"/>
        <family val="2"/>
        <scheme val="minor"/>
      </rPr>
      <t>3</t>
    </r>
    <r>
      <rPr>
        <sz val="11"/>
        <color theme="1"/>
        <rFont val="Calibri"/>
        <family val="2"/>
        <scheme val="minor"/>
      </rPr>
      <t>)</t>
    </r>
  </si>
  <si>
    <t>Percent of Base Case 1 Costs</t>
  </si>
  <si>
    <t>Base Case Sensitivities</t>
  </si>
  <si>
    <t>Base Case Mass of Sludge Produced per Water Treated</t>
  </si>
  <si>
    <t>lb/kg</t>
  </si>
  <si>
    <t>mg/g</t>
  </si>
  <si>
    <t>Ferrate Mass of Sludge Produced per Water Treated</t>
  </si>
  <si>
    <t>Ferrate TSS Produced (mg/L)</t>
  </si>
  <si>
    <r>
      <t>Ferrate TSS Produced (lb/1,000 ft</t>
    </r>
    <r>
      <rPr>
        <vertAlign val="superscript"/>
        <sz val="11"/>
        <color theme="1"/>
        <rFont val="Calibri"/>
        <family val="2"/>
        <scheme val="minor"/>
      </rPr>
      <t>3</t>
    </r>
    <r>
      <rPr>
        <sz val="11"/>
        <color theme="1"/>
        <rFont val="Calibri"/>
        <family val="2"/>
        <scheme val="minor"/>
      </rPr>
      <t>)</t>
    </r>
  </si>
  <si>
    <r>
      <t>Raw Water TSS Removed (lb/1,000 ft</t>
    </r>
    <r>
      <rPr>
        <vertAlign val="superscript"/>
        <sz val="11"/>
        <color theme="1"/>
        <rFont val="Calibri"/>
        <family val="2"/>
        <scheme val="minor"/>
      </rPr>
      <t>3</t>
    </r>
    <r>
      <rPr>
        <sz val="11"/>
        <color theme="1"/>
        <rFont val="Calibri"/>
        <family val="2"/>
        <scheme val="minor"/>
      </rPr>
      <t>)</t>
    </r>
  </si>
  <si>
    <r>
      <t>Total Sludge Produced (lb/1,000 ft</t>
    </r>
    <r>
      <rPr>
        <b/>
        <vertAlign val="superscript"/>
        <sz val="11"/>
        <color theme="1"/>
        <rFont val="Calibri"/>
        <family val="2"/>
        <scheme val="minor"/>
      </rPr>
      <t>3</t>
    </r>
    <r>
      <rPr>
        <b/>
        <sz val="11"/>
        <color theme="1"/>
        <rFont val="Calibri"/>
        <family val="2"/>
        <scheme val="minor"/>
      </rPr>
      <t>)</t>
    </r>
  </si>
  <si>
    <t>GCWW reported raw water TSS.</t>
  </si>
  <si>
    <t>GCWW reported finished water TSS.</t>
  </si>
  <si>
    <t>Calculated</t>
  </si>
  <si>
    <t>GCWW TSS removed.</t>
  </si>
  <si>
    <t>K values and calculation methodology from Appendix E of AWWA (2002). Concentrations from GCWW base case data.</t>
  </si>
  <si>
    <t>Ferrate w/o GAC</t>
  </si>
  <si>
    <r>
      <t>Ferrate Costs ($/m</t>
    </r>
    <r>
      <rPr>
        <vertAlign val="superscript"/>
        <sz val="11"/>
        <color theme="1"/>
        <rFont val="Calibri"/>
        <family val="2"/>
        <scheme val="minor"/>
      </rPr>
      <t>3</t>
    </r>
    <r>
      <rPr>
        <sz val="11"/>
        <color theme="1"/>
        <rFont val="Calibri"/>
        <family val="2"/>
        <scheme val="minor"/>
      </rPr>
      <t>)</t>
    </r>
  </si>
  <si>
    <t>Ferrate Costs ($)</t>
  </si>
  <si>
    <t>Per email from FTT.</t>
  </si>
  <si>
    <t>Drinking Water Treatment (DWT) Cost Calculations</t>
  </si>
  <si>
    <t>Table of Contents</t>
  </si>
  <si>
    <t>Data Inputs</t>
  </si>
  <si>
    <t>Sludge Calculations</t>
  </si>
  <si>
    <t>Chemical Unit Costs</t>
  </si>
  <si>
    <t>Cost Calculations</t>
  </si>
  <si>
    <t>Sensitivity Analysis</t>
  </si>
  <si>
    <t>Results</t>
  </si>
  <si>
    <t>Data Quality Information</t>
  </si>
  <si>
    <t>Serves as the source for all data inputs for these cost calculations. Data inputs include data received from GCWW and FTT and assumptions made.</t>
  </si>
  <si>
    <t>Calculates the sludge produced for both the base case and Ferrate case using data input from GCWW and FTT and a calculation methodology from AWWA (2002).</t>
  </si>
  <si>
    <t>Calculates the annual and unit costs for each unit operation. Also calculates chemical unit costs using the annual cost and average annual amount used reported by GCWW.</t>
  </si>
  <si>
    <t>Compiles the unit costs for the chemicals provided by GCWW (calculated in the Unit Process Costs worksheet). Then calculates the unit cost of ferrate solution based on the unit cost of feedstocks.</t>
  </si>
  <si>
    <t>Compiles the revenues and productivity data provided by GCWW and calculates total costs (using costs calculated in Cost Calculations worksheet). Changes in total cost for Ferrate cases are compared to the base case costs.</t>
  </si>
  <si>
    <t>Compiles final cost results (total annual costs and normalized costs) for each life cycle stage.</t>
  </si>
  <si>
    <t>Provides documentation of data quality notes for the data quality criteria outlined in the project QAPP.</t>
  </si>
  <si>
    <t>Conventional UV</t>
  </si>
  <si>
    <t>Conventional UV Unit Process Costs</t>
  </si>
  <si>
    <t>All data provided by Aquionics except where noted.</t>
  </si>
  <si>
    <t>UV Disinfection Units</t>
  </si>
  <si>
    <t>Allen Bradley PLC &amp; HMI Control Cabinet</t>
  </si>
  <si>
    <t>Online UVT Monitor</t>
  </si>
  <si>
    <t>Utilities</t>
  </si>
  <si>
    <t>Replacement Parts</t>
  </si>
  <si>
    <t>UV System Lifetime (yr)</t>
  </si>
  <si>
    <t>System</t>
  </si>
  <si>
    <t>Lamp Lifetime (yr)</t>
  </si>
  <si>
    <t>Quartz Sleeves Lifetime (yr)</t>
  </si>
  <si>
    <t>Wiper Rings Lifetime (yr)</t>
  </si>
  <si>
    <t>UV Sensors Lifetime (yr)</t>
  </si>
  <si>
    <t>Conventional UV Processes</t>
  </si>
  <si>
    <t>Maintenance (other than UV system parts)</t>
  </si>
  <si>
    <t>Electricity (at plant, other than UV system) (purchased)</t>
  </si>
  <si>
    <t>Conventional UV Case Total</t>
  </si>
  <si>
    <t>UV System Electricity</t>
  </si>
  <si>
    <t>Total Number of UV Units and Capital Costs</t>
  </si>
  <si>
    <t>Quartz Sleeves Replacement</t>
  </si>
  <si>
    <t>Wiper Rings Replacement</t>
  </si>
  <si>
    <t>UV Sensors Replacement</t>
  </si>
  <si>
    <t>Lamps Replacement</t>
  </si>
  <si>
    <t>Base Case Price of Water ($/gal)</t>
  </si>
  <si>
    <t>Costs as a Percent of Base Case Water Price (%)</t>
  </si>
  <si>
    <t>Costs per Water Sold ($/gal)</t>
  </si>
  <si>
    <t>Costs as a Percent of New Price of Water ($/gal)</t>
  </si>
  <si>
    <t>New Price of Water to Offset Cost Rise ($/gal)</t>
  </si>
  <si>
    <t>2012 water price provided by GCWW.</t>
  </si>
  <si>
    <t>Water Price Increase as a Percent of Base Case Water Price (%)</t>
  </si>
  <si>
    <t>Alum is not required when using Ferrators.</t>
  </si>
  <si>
    <t>Polymer is not required when using Ferrators.</t>
  </si>
  <si>
    <t>Calculated using data from FTT and methodology from AWWA (2002). See Sludge Calculations worksheet for details.</t>
  </si>
  <si>
    <t>Lime is not required when using Ferrators.</t>
  </si>
  <si>
    <t>Caustic soda is not required when using Ferrators.</t>
  </si>
  <si>
    <t>Use for LCI Normalization (Y/N)?</t>
  </si>
  <si>
    <t>LCI Normalization Factor (Annual Dollars per Annual Volume of Water)</t>
  </si>
  <si>
    <t>Total Cost ($)</t>
  </si>
  <si>
    <t>Annual cost reported by GCWW.</t>
  </si>
  <si>
    <t>Annual cost reported by GCWW. Amount of sludge calculated on "Sludge Calculations" worksheet.</t>
  </si>
  <si>
    <t>Annual cost for maintenance of disinfection unit reported by GCWW.</t>
  </si>
  <si>
    <t>Annual RMP compliance cost for gaseous chlorine reported by GCWW.</t>
  </si>
  <si>
    <t>Annual cost for staff operating treatment facility reported by GCWW.</t>
  </si>
  <si>
    <t>Total annual maintenance cost provided by GCWW.</t>
  </si>
  <si>
    <r>
      <t>Natural gas unit cost is $0.5668/ccf. 1 ccf = 100 ft</t>
    </r>
    <r>
      <rPr>
        <vertAlign val="superscript"/>
        <sz val="11"/>
        <color theme="1"/>
        <rFont val="Calibri"/>
        <family val="2"/>
        <scheme val="minor"/>
      </rPr>
      <t>3</t>
    </r>
    <r>
      <rPr>
        <sz val="11"/>
        <color theme="1"/>
        <rFont val="Calibri"/>
        <family val="2"/>
        <scheme val="minor"/>
      </rPr>
      <t>.</t>
    </r>
  </si>
  <si>
    <t>Annual volumes of water produced and sold were provided by GCWW.</t>
  </si>
  <si>
    <t>Total Finished Water Produced (gal/yr)</t>
  </si>
  <si>
    <t>Surface Water Plant Finished Water Produced (gal/yr)</t>
  </si>
  <si>
    <t>Direct Residential Sales (both plants) (gal/yr)</t>
  </si>
  <si>
    <t>Direct Non-residential Sales (both plants) (gal/yr)</t>
  </si>
  <si>
    <t>Wholesale Sales (both plants) (gal/yr)</t>
  </si>
  <si>
    <t>Connection/development fees plus other.</t>
  </si>
  <si>
    <t>Base Case 1 (w/GAC)</t>
  </si>
  <si>
    <t>Base Case 2 (w/o GAC)</t>
  </si>
  <si>
    <t>Deterministic Value</t>
  </si>
  <si>
    <t>Minimum Value</t>
  </si>
  <si>
    <t>Maximum Value</t>
  </si>
  <si>
    <t>Distribution Type</t>
  </si>
  <si>
    <t>@Risk Formula</t>
  </si>
  <si>
    <t>Minimum Value % Change</t>
  </si>
  <si>
    <t>Maximum Value % Change</t>
  </si>
  <si>
    <t>Distribution Electricity Costs ($)</t>
  </si>
  <si>
    <t>Gaseous Chlorine Costs ($)</t>
  </si>
  <si>
    <t>Electricity (at plant) (purchased) Costs ($)</t>
  </si>
  <si>
    <t>Total Costs ($)</t>
  </si>
  <si>
    <t>Uniform</t>
  </si>
  <si>
    <t>Inputs</t>
  </si>
  <si>
    <t>Turn Stochastic Calculations On or Off</t>
  </si>
  <si>
    <t>On</t>
  </si>
  <si>
    <t>Off</t>
  </si>
  <si>
    <t xml:space="preserve">senseTotal: </t>
  </si>
  <si>
    <t>.</t>
  </si>
  <si>
    <t>selectionIndex</t>
  </si>
  <si>
    <t>formulaIndex</t>
  </si>
  <si>
    <t>cellAddress</t>
  </si>
  <si>
    <t>rangeAddress</t>
  </si>
  <si>
    <t>bookName</t>
  </si>
  <si>
    <t>sheetName</t>
  </si>
  <si>
    <t>ioIndex</t>
  </si>
  <si>
    <t>checkSelected</t>
  </si>
  <si>
    <t>baseValue</t>
  </si>
  <si>
    <t>useCellBase</t>
  </si>
  <si>
    <t>minPercent</t>
  </si>
  <si>
    <t>maxPercent</t>
  </si>
  <si>
    <t>minValue</t>
  </si>
  <si>
    <t>maxValue</t>
  </si>
  <si>
    <t>numIntervals</t>
  </si>
  <si>
    <t>intIndex</t>
  </si>
  <si>
    <t>varyWhenStepping</t>
  </si>
  <si>
    <t>intervalMode</t>
  </si>
  <si>
    <t>tableRange</t>
  </si>
  <si>
    <t>analysisString</t>
  </si>
  <si>
    <t>isInput</t>
  </si>
  <si>
    <t>groupIndex</t>
  </si>
  <si>
    <t>groupCount</t>
  </si>
  <si>
    <t/>
  </si>
  <si>
    <t xml:space="preserve">Percentile: 1.00% to 99.00% </t>
  </si>
  <si>
    <t>1.00%</t>
  </si>
  <si>
    <t>5.00%</t>
  </si>
  <si>
    <t>25.00%</t>
  </si>
  <si>
    <t>50.00%</t>
  </si>
  <si>
    <t>75.00%</t>
  </si>
  <si>
    <t>95.00%</t>
  </si>
  <si>
    <t>99.00%</t>
  </si>
  <si>
    <t>Perc%: 1%</t>
  </si>
  <si>
    <t>Perc%: 5%</t>
  </si>
  <si>
    <t>Perc%: 25%</t>
  </si>
  <si>
    <t>Perc%: 50%</t>
  </si>
  <si>
    <t>Perc%: 75%</t>
  </si>
  <si>
    <t>Perc%: 95%</t>
  </si>
  <si>
    <t>Perc%: 99%</t>
  </si>
  <si>
    <t>UV Electricity Costs ($)</t>
  </si>
  <si>
    <t>Pre-Treatment Ferrate Dose (ppm)</t>
  </si>
  <si>
    <t>Disinfection Ferrate Dose (ppm)</t>
  </si>
  <si>
    <t>Bond Rate (%)</t>
  </si>
  <si>
    <t>Ferrator Cost per Unit ($)</t>
  </si>
  <si>
    <t>Pre-Treatment Ferrate Cost ($)</t>
  </si>
  <si>
    <t>Disinfection Ferrate Cost ($)</t>
  </si>
  <si>
    <t>Ferrator Total Capital Cost ($)</t>
  </si>
  <si>
    <t>Ferrator Amortized Capital Cost ($)</t>
  </si>
  <si>
    <t>=RiskUniform(E23,F23,RiskName(B23),RiskStatic(C23))</t>
  </si>
  <si>
    <t>RiskUniform(E23,F23,RiskName(B23),RiskStatic(C23))</t>
  </si>
  <si>
    <t>3</t>
  </si>
  <si>
    <t>=RiskUniform(E24,F24,RiskName(B24),RiskStatic(C24))</t>
  </si>
  <si>
    <t>RiskUniform(E24,F24,RiskName(B24),RiskStatic(C24))</t>
  </si>
  <si>
    <t>2</t>
  </si>
  <si>
    <t>=RiskUniform(E25,F25,RiskName(B25),RiskStatic(C25))</t>
  </si>
  <si>
    <t>RiskUniform(E25,F25,RiskName(B25),RiskStatic(C25))</t>
  </si>
  <si>
    <t>866000</t>
  </si>
  <si>
    <t>=RiskUniform(E26,F26,RiskName(B26),RiskStatic(C26))</t>
  </si>
  <si>
    <t>RiskUniform(E26,F26,RiskName(B26),RiskStatic(C26))</t>
  </si>
  <si>
    <t>0.06</t>
  </si>
  <si>
    <t>I23,I24,I25,I26</t>
  </si>
  <si>
    <r>
      <t>Gaseous Chlorine Usage (lb/1,000 ft</t>
    </r>
    <r>
      <rPr>
        <i/>
        <vertAlign val="superscript"/>
        <sz val="11"/>
        <color theme="1"/>
        <rFont val="Calibri"/>
        <family val="2"/>
        <scheme val="minor"/>
      </rPr>
      <t>3</t>
    </r>
    <r>
      <rPr>
        <i/>
        <sz val="11"/>
        <color theme="1"/>
        <rFont val="Calibri"/>
        <family val="2"/>
        <scheme val="minor"/>
      </rPr>
      <t>)</t>
    </r>
  </si>
  <si>
    <t>UV Total Capital Cost ($)</t>
  </si>
  <si>
    <t>UV Amortized Capital Cost ($)</t>
  </si>
  <si>
    <t>Other</t>
  </si>
  <si>
    <t>Municipal Bond Rate (%)</t>
  </si>
  <si>
    <t>Bond Rate</t>
  </si>
  <si>
    <t>%</t>
  </si>
  <si>
    <t>UV System Cost per Units needed to treat 3.6 MGD ($)</t>
  </si>
  <si>
    <t>FTT estimated chlorine dose is reduced by 75%. Chlorine only required to maintain residual in distribution system.</t>
  </si>
  <si>
    <t>Ancillary Costs</t>
  </si>
  <si>
    <t>Ancillary capital cost estimated as 25% from AWWA (2008). This factor is applied to the Ferrator unit cost.</t>
  </si>
  <si>
    <t>Ancillary capital cost estimated as 25% from AWWA (2008). This factor is applied to the UV unit cost and includes contingency, bonding, and mobilization.</t>
  </si>
  <si>
    <t>Reduction in chlorine gas required not provided by vendor. Estimated that the reduction is equal to that for the Ferrator system to maintain a chlorine residual in distribution system.</t>
  </si>
  <si>
    <r>
      <t>FTT estimated that the FeCl</t>
    </r>
    <r>
      <rPr>
        <vertAlign val="subscript"/>
        <sz val="11"/>
        <color theme="1"/>
        <rFont val="Calibri"/>
        <family val="2"/>
        <scheme val="minor"/>
      </rPr>
      <t>3</t>
    </r>
    <r>
      <rPr>
        <sz val="11"/>
        <color theme="1"/>
        <rFont val="Calibri"/>
        <family val="2"/>
        <scheme val="minor"/>
      </rPr>
      <t xml:space="preserve"> dose is scalable linearly. Therefore, the pre-treatment dose is calculated linearly from the disinfection dose.</t>
    </r>
  </si>
  <si>
    <r>
      <t>FTT estimated FeCl</t>
    </r>
    <r>
      <rPr>
        <vertAlign val="subscript"/>
        <sz val="11"/>
        <color theme="1"/>
        <rFont val="Calibri"/>
        <family val="2"/>
        <scheme val="minor"/>
      </rPr>
      <t>3</t>
    </r>
    <r>
      <rPr>
        <sz val="11"/>
        <color theme="1"/>
        <rFont val="Calibri"/>
        <family val="2"/>
        <scheme val="minor"/>
      </rPr>
      <t xml:space="preserve"> dose of 0.05 ppm for a ferrate disinfection dose of 2 ppm.</t>
    </r>
  </si>
  <si>
    <t>Estimated by FTT.</t>
  </si>
  <si>
    <t>FTT estimated the reactant composition to produce ferrate is 3:0.5:1 of sodium hydroxide, ferric chloride, and sodium hypochlorite, with each at the indicated concentration in solution before mixing.</t>
  </si>
  <si>
    <t>$</t>
  </si>
  <si>
    <t>FTT estimated incidental repairs would cost about 2% of the total capital cost of Ferrator units installed.</t>
  </si>
  <si>
    <t>Back-up UV Disinfection Units</t>
  </si>
  <si>
    <t>Capital cost for one unit, which is required to treat 3.6 MGD.</t>
  </si>
  <si>
    <t>Capital cost for one unit, as a back-up.</t>
  </si>
  <si>
    <t>UV Disinfection Unit</t>
  </si>
  <si>
    <t>6 lamps per unit, and $450 per lamp.</t>
  </si>
  <si>
    <t>1 quartz sleeve per lamp, and $70 per quartz sleeve.</t>
  </si>
  <si>
    <t>1 wiper ring per lamp, and $18 per wiper ring.</t>
  </si>
  <si>
    <t>1 sensor per lamp, and $500 per sensor.</t>
  </si>
  <si>
    <t>Electricity (kWh/yr)</t>
  </si>
  <si>
    <t>Provided by Aquionics.</t>
  </si>
  <si>
    <t>kWh/yr</t>
  </si>
  <si>
    <t>UV Electricity Usage to treat 3.6 MGD (kWh/yr)</t>
  </si>
  <si>
    <t>Lamps (quantity)</t>
  </si>
  <si>
    <t>Quartz Sleeves (quantity)</t>
  </si>
  <si>
    <t>Wiper Rings (quantity)</t>
  </si>
  <si>
    <t>UV Sensors (quantity)</t>
  </si>
  <si>
    <t>Multiplier</t>
  </si>
  <si>
    <t>Ancillary Capital Costs</t>
  </si>
  <si>
    <t>Triangular</t>
  </si>
  <si>
    <t>Ferrate w/ GAC</t>
  </si>
  <si>
    <t>Conventional UV Costs (%)</t>
  </si>
  <si>
    <t>Conventional UV Costs ($)</t>
  </si>
  <si>
    <r>
      <t>Conventional UV Costs ($/m</t>
    </r>
    <r>
      <rPr>
        <vertAlign val="superscript"/>
        <sz val="11"/>
        <color theme="1"/>
        <rFont val="Calibri"/>
        <family val="2"/>
        <scheme val="minor"/>
      </rPr>
      <t>3</t>
    </r>
    <r>
      <rPr>
        <sz val="11"/>
        <color theme="1"/>
        <rFont val="Calibri"/>
        <family val="2"/>
        <scheme val="minor"/>
      </rPr>
      <t>)</t>
    </r>
  </si>
  <si>
    <r>
      <t>Base Case 1 Total Cost ($/m</t>
    </r>
    <r>
      <rPr>
        <b/>
        <vertAlign val="superscript"/>
        <sz val="11"/>
        <color theme="1"/>
        <rFont val="Calibri"/>
        <family val="2"/>
        <scheme val="minor"/>
      </rPr>
      <t>3</t>
    </r>
    <r>
      <rPr>
        <b/>
        <sz val="11"/>
        <color theme="1"/>
        <rFont val="Calibri"/>
        <family val="2"/>
        <scheme val="minor"/>
      </rPr>
      <t>)</t>
    </r>
  </si>
  <si>
    <t>Base Case Costs (%)</t>
  </si>
  <si>
    <t>Ferrate Costs (%)</t>
  </si>
  <si>
    <t>Chlorine Usage Sensitivity Costs (%)</t>
  </si>
  <si>
    <t>Electricity Usage Sensitivity Costs (%)</t>
  </si>
  <si>
    <t>Electricity Unit Cost Sensitivity Costs (%)</t>
  </si>
  <si>
    <r>
      <t>0.08 lb/1,000 ft</t>
    </r>
    <r>
      <rPr>
        <vertAlign val="superscript"/>
        <sz val="11"/>
        <color theme="1"/>
        <rFont val="Calibri"/>
        <family val="2"/>
        <scheme val="minor"/>
      </rPr>
      <t>3</t>
    </r>
  </si>
  <si>
    <r>
      <t>0.161 lb/1,000 ft</t>
    </r>
    <r>
      <rPr>
        <vertAlign val="superscript"/>
        <sz val="11"/>
        <color theme="1"/>
        <rFont val="Calibri"/>
        <family val="2"/>
        <scheme val="minor"/>
      </rPr>
      <t>3</t>
    </r>
  </si>
  <si>
    <t>Chlorine Unit Cost Sensitivity Costs ($)</t>
  </si>
  <si>
    <r>
      <t>Chlorine Unit Cost Sensitivity Costs ($/m</t>
    </r>
    <r>
      <rPr>
        <vertAlign val="superscript"/>
        <sz val="11"/>
        <color theme="1"/>
        <rFont val="Calibri"/>
        <family val="2"/>
        <scheme val="minor"/>
      </rPr>
      <t>3</t>
    </r>
    <r>
      <rPr>
        <sz val="11"/>
        <color theme="1"/>
        <rFont val="Calibri"/>
        <family val="2"/>
        <scheme val="minor"/>
      </rPr>
      <t>)</t>
    </r>
  </si>
  <si>
    <t>Chlorine Unit Cost Sensitivity Costs (%)</t>
  </si>
  <si>
    <t>Ferrator Case Total (w/ GAC)</t>
  </si>
  <si>
    <t>Ferrator Case Total (w/o GAC)</t>
  </si>
  <si>
    <t>Base Case Total (w/ GAC)</t>
  </si>
  <si>
    <t>Base Case Total (w/o GAC)</t>
  </si>
  <si>
    <t>Data is current as of the time of report preparation.</t>
  </si>
  <si>
    <t>Units are identified.</t>
  </si>
  <si>
    <t>Data provided by Ferrate Treatment Technologies, LLC.</t>
  </si>
  <si>
    <t>Data provided by Aquionics.</t>
  </si>
  <si>
    <t>Performs the cost sensitivity analyses. These calculations only focus on costs for the unit operations subject to the sensitivity analysis. Sensitivity analyses performed using Monte Carlo simulations using @Risk. If the user does not have @Risk, then @Risk formulas will appear as the "#NAME?" error in Excel. @Risk results are provided in separate spreadsheets.</t>
  </si>
  <si>
    <r>
      <t>Alum Usage (lb/1,000 ft</t>
    </r>
    <r>
      <rPr>
        <i/>
        <vertAlign val="superscript"/>
        <sz val="11"/>
        <color theme="1"/>
        <rFont val="Calibri"/>
        <family val="2"/>
        <scheme val="minor"/>
      </rPr>
      <t>3</t>
    </r>
    <r>
      <rPr>
        <i/>
        <sz val="11"/>
        <color theme="1"/>
        <rFont val="Calibri"/>
        <family val="2"/>
        <scheme val="minor"/>
      </rPr>
      <t>)</t>
    </r>
  </si>
  <si>
    <r>
      <t>Lime Usage (lb/1,000 ft</t>
    </r>
    <r>
      <rPr>
        <i/>
        <vertAlign val="superscript"/>
        <sz val="11"/>
        <color theme="1"/>
        <rFont val="Calibri"/>
        <family val="2"/>
        <scheme val="minor"/>
      </rPr>
      <t>3</t>
    </r>
    <r>
      <rPr>
        <i/>
        <sz val="11"/>
        <color theme="1"/>
        <rFont val="Calibri"/>
        <family val="2"/>
        <scheme val="minor"/>
      </rPr>
      <t>)</t>
    </r>
  </si>
  <si>
    <r>
      <t>Sodium Hypochlorite Usage (lb/1,000 ft</t>
    </r>
    <r>
      <rPr>
        <i/>
        <vertAlign val="superscript"/>
        <sz val="11"/>
        <color theme="1"/>
        <rFont val="Calibri"/>
        <family val="2"/>
        <scheme val="minor"/>
      </rPr>
      <t>3</t>
    </r>
    <r>
      <rPr>
        <i/>
        <sz val="11"/>
        <color theme="1"/>
        <rFont val="Calibri"/>
        <family val="2"/>
        <scheme val="minor"/>
      </rPr>
      <t>)</t>
    </r>
  </si>
  <si>
    <t>Electricity (distribution) (purchased) (kWh)</t>
  </si>
  <si>
    <t>Alum Costs ($)</t>
  </si>
  <si>
    <t>Lime Costs ($)</t>
  </si>
  <si>
    <t>Sodium Hypochlorite Costs ($)</t>
  </si>
  <si>
    <t>Natural Gas for GAC Regeneration Costs ($)</t>
  </si>
  <si>
    <t>Electricity (distribution) (purchased) Costs ($)</t>
  </si>
  <si>
    <t>Natural Gas for GAC Regeneration Unit Cost ($/scf)</t>
  </si>
</sst>
</file>

<file path=xl/styles.xml><?xml version="1.0" encoding="utf-8"?>
<styleSheet xmlns="http://schemas.openxmlformats.org/spreadsheetml/2006/main">
  <numFmts count="14">
    <numFmt numFmtId="44" formatCode="_(&quot;$&quot;* #,##0.00_);_(&quot;$&quot;* \(#,##0.00\);_(&quot;$&quot;* &quot;-&quot;??_);_(@_)"/>
    <numFmt numFmtId="43" formatCode="_(* #,##0.00_);_(* \(#,##0.00\);_(* &quot;-&quot;??_);_(@_)"/>
    <numFmt numFmtId="164" formatCode="0.0%"/>
    <numFmt numFmtId="165" formatCode="_(&quot;$&quot;* #,##0.0000_);_(&quot;$&quot;* \(#,##0.0000\);_(&quot;$&quot;* &quot;-&quot;??_);_(@_)"/>
    <numFmt numFmtId="166" formatCode="_(&quot;$&quot;* #,##0.000000_);_(&quot;$&quot;* \(#,##0.000000\);_(&quot;$&quot;* &quot;-&quot;??_);_(@_)"/>
    <numFmt numFmtId="167" formatCode="0.000"/>
    <numFmt numFmtId="168" formatCode="#,##0.0"/>
    <numFmt numFmtId="169" formatCode="#,##0.000"/>
    <numFmt numFmtId="170" formatCode="#,##0.0000"/>
    <numFmt numFmtId="171" formatCode="_(&quot;$&quot;* #,##0.00000_);_(&quot;$&quot;* \(#,##0.00000\);_(&quot;$&quot;* &quot;-&quot;??_);_(@_)"/>
    <numFmt numFmtId="172" formatCode="0.0"/>
    <numFmt numFmtId="173" formatCode="0.0000"/>
    <numFmt numFmtId="174" formatCode="_(&quot;$&quot;* #,##0.0000000_);_(&quot;$&quot;* \(#,##0.0000000\);_(&quot;$&quot;* &quot;-&quot;??_);_(@_)"/>
    <numFmt numFmtId="175" formatCode="#,##0.000000"/>
  </numFmts>
  <fonts count="16">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11"/>
      <name val="Calibri"/>
      <family val="2"/>
      <scheme val="minor"/>
    </font>
    <font>
      <sz val="10"/>
      <name val="Arial"/>
      <family val="2"/>
    </font>
    <font>
      <u/>
      <sz val="10"/>
      <color theme="10"/>
      <name val="Geneva"/>
    </font>
    <font>
      <sz val="10"/>
      <name val="Geneva"/>
    </font>
    <font>
      <sz val="11"/>
      <color rgb="FFFF0000"/>
      <name val="Calibri"/>
      <family val="2"/>
      <scheme val="minor"/>
    </font>
    <font>
      <b/>
      <sz val="15"/>
      <color theme="3"/>
      <name val="Calibri"/>
      <family val="2"/>
      <scheme val="minor"/>
    </font>
    <font>
      <sz val="11"/>
      <color theme="0"/>
      <name val="Calibri"/>
      <family val="2"/>
      <scheme val="minor"/>
    </font>
    <font>
      <b/>
      <sz val="11"/>
      <name val="Calibri"/>
      <family val="2"/>
      <scheme val="minor"/>
    </font>
    <font>
      <i/>
      <vertAlign val="superscript"/>
      <sz val="11"/>
      <color theme="1"/>
      <name val="Calibri"/>
      <family val="2"/>
      <scheme val="minor"/>
    </font>
    <font>
      <vertAlign val="subscript"/>
      <sz val="11"/>
      <color theme="1"/>
      <name val="Calibri"/>
      <family val="2"/>
      <scheme val="minor"/>
    </font>
  </fonts>
  <fills count="2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DBEEF3"/>
        <bgColor indexed="64"/>
      </patternFill>
    </fill>
    <fill>
      <patternFill patternType="solid">
        <fgColor rgb="FF93CDDD"/>
        <bgColor indexed="64"/>
      </patternFill>
    </fill>
    <fill>
      <patternFill patternType="solid">
        <fgColor rgb="FFDBE5F1"/>
        <bgColor indexed="64"/>
      </patternFill>
    </fill>
    <fill>
      <patternFill patternType="solid">
        <fgColor rgb="FF95B3D7"/>
        <bgColor indexed="64"/>
      </patternFill>
    </fill>
    <fill>
      <patternFill patternType="solid">
        <fgColor rgb="FFFDF3D9"/>
        <bgColor indexed="64"/>
      </patternFill>
    </fill>
    <fill>
      <patternFill patternType="solid">
        <fgColor theme="4" tint="0.79998168889431442"/>
        <bgColor indexed="65"/>
      </patternFill>
    </fill>
    <fill>
      <patternFill patternType="solid">
        <fgColor rgb="FFEAF1DD"/>
        <bgColor indexed="64"/>
      </patternFill>
    </fill>
    <fill>
      <patternFill patternType="solid">
        <fgColor theme="0" tint="-0.14996795556505021"/>
        <bgColor indexed="64"/>
      </patternFill>
    </fill>
    <fill>
      <patternFill patternType="solid">
        <fgColor theme="6"/>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style="thin">
        <color indexed="64"/>
      </left>
      <right style="double">
        <color auto="1"/>
      </right>
      <top style="double">
        <color auto="1"/>
      </top>
      <bottom style="thin">
        <color auto="1"/>
      </bottom>
      <diagonal/>
    </border>
    <border>
      <left style="thin">
        <color indexed="64"/>
      </left>
      <right style="double">
        <color auto="1"/>
      </right>
      <top/>
      <bottom/>
      <diagonal/>
    </border>
    <border>
      <left style="thin">
        <color indexed="64"/>
      </left>
      <right style="double">
        <color auto="1"/>
      </right>
      <top/>
      <bottom style="double">
        <color auto="1"/>
      </bottom>
      <diagonal/>
    </border>
    <border>
      <left/>
      <right/>
      <top/>
      <bottom style="thick">
        <color theme="4"/>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applyNumberFormat="0" applyFill="0" applyBorder="0" applyAlignment="0" applyProtection="0"/>
    <xf numFmtId="0" fontId="7" fillId="0" borderId="0"/>
    <xf numFmtId="0" fontId="9" fillId="0" borderId="0"/>
    <xf numFmtId="0" fontId="2" fillId="19" borderId="0" applyNumberFormat="0" applyBorder="0" applyAlignment="0" applyProtection="0"/>
    <xf numFmtId="0" fontId="11" fillId="0" borderId="27" applyNumberFormat="0" applyFill="0" applyAlignment="0" applyProtection="0"/>
    <xf numFmtId="0" fontId="1" fillId="0" borderId="28" applyNumberFormat="0" applyFill="0" applyAlignment="0" applyProtection="0"/>
    <xf numFmtId="0" fontId="12" fillId="22" borderId="0" applyNumberFormat="0" applyBorder="0" applyAlignment="0" applyProtection="0"/>
  </cellStyleXfs>
  <cellXfs count="390">
    <xf numFmtId="0" fontId="0" fillId="0" borderId="0" xfId="0"/>
    <xf numFmtId="0" fontId="0" fillId="0" borderId="0" xfId="0" applyAlignment="1">
      <alignment wrapText="1"/>
    </xf>
    <xf numFmtId="3" fontId="0" fillId="0" borderId="0" xfId="0" applyNumberFormat="1"/>
    <xf numFmtId="44" fontId="0" fillId="0" borderId="0" xfId="2" applyFont="1"/>
    <xf numFmtId="0" fontId="0" fillId="0" borderId="0" xfId="0" applyAlignment="1">
      <alignment horizontal="center"/>
    </xf>
    <xf numFmtId="0" fontId="1" fillId="2" borderId="0" xfId="0" applyFont="1" applyFill="1" applyBorder="1" applyAlignment="1">
      <alignment wrapText="1"/>
    </xf>
    <xf numFmtId="0" fontId="0" fillId="3" borderId="0" xfId="0" applyFont="1" applyFill="1" applyAlignment="1">
      <alignment wrapText="1"/>
    </xf>
    <xf numFmtId="0" fontId="1" fillId="4" borderId="0" xfId="0" applyFont="1" applyFill="1" applyBorder="1" applyAlignment="1">
      <alignment wrapText="1"/>
    </xf>
    <xf numFmtId="0" fontId="0" fillId="5" borderId="0" xfId="0" applyFont="1" applyFill="1" applyAlignment="1">
      <alignment wrapText="1"/>
    </xf>
    <xf numFmtId="0" fontId="0" fillId="3" borderId="0" xfId="0" applyFill="1"/>
    <xf numFmtId="0" fontId="1" fillId="6" borderId="0" xfId="0" applyFont="1" applyFill="1"/>
    <xf numFmtId="0" fontId="1" fillId="7" borderId="0" xfId="0" applyFont="1" applyFill="1" applyAlignment="1">
      <alignment wrapText="1"/>
    </xf>
    <xf numFmtId="0" fontId="0" fillId="8" borderId="0" xfId="0" applyFill="1" applyAlignment="1">
      <alignment wrapText="1"/>
    </xf>
    <xf numFmtId="0" fontId="1" fillId="0" borderId="0" xfId="0" applyFont="1" applyAlignment="1">
      <alignment horizontal="center"/>
    </xf>
    <xf numFmtId="44" fontId="0" fillId="0" borderId="0" xfId="0" applyNumberFormat="1"/>
    <xf numFmtId="0" fontId="1" fillId="10" borderId="0" xfId="0" applyFont="1" applyFill="1" applyAlignment="1">
      <alignment wrapText="1"/>
    </xf>
    <xf numFmtId="0" fontId="0" fillId="13" borderId="0" xfId="0" applyFill="1" applyAlignment="1">
      <alignment wrapText="1"/>
    </xf>
    <xf numFmtId="0" fontId="0" fillId="6" borderId="0" xfId="0" applyFill="1"/>
    <xf numFmtId="3" fontId="0" fillId="9" borderId="0" xfId="0" applyNumberFormat="1" applyFill="1"/>
    <xf numFmtId="164" fontId="0" fillId="9" borderId="0" xfId="3" applyNumberFormat="1" applyFont="1" applyFill="1"/>
    <xf numFmtId="0" fontId="0" fillId="2" borderId="0" xfId="0" applyFill="1"/>
    <xf numFmtId="44" fontId="0" fillId="3" borderId="0" xfId="2" applyFont="1" applyFill="1"/>
    <xf numFmtId="0" fontId="0" fillId="4" borderId="0" xfId="0" applyFill="1"/>
    <xf numFmtId="44" fontId="0" fillId="5" borderId="0" xfId="2" applyFont="1" applyFill="1"/>
    <xf numFmtId="0" fontId="0" fillId="7" borderId="0" xfId="0" applyFill="1"/>
    <xf numFmtId="44" fontId="0" fillId="8" borderId="0" xfId="2" applyFont="1" applyFill="1"/>
    <xf numFmtId="3" fontId="0" fillId="8" borderId="0" xfId="0" applyNumberFormat="1" applyFill="1"/>
    <xf numFmtId="44" fontId="0" fillId="8" borderId="0" xfId="2" quotePrefix="1" applyFont="1" applyFill="1" applyAlignment="1">
      <alignment horizontal="center"/>
    </xf>
    <xf numFmtId="0" fontId="0" fillId="11" borderId="0" xfId="0" applyFill="1"/>
    <xf numFmtId="0" fontId="0" fillId="10" borderId="0" xfId="0" applyFill="1" applyAlignment="1">
      <alignment horizontal="center"/>
    </xf>
    <xf numFmtId="0" fontId="0" fillId="12" borderId="0" xfId="0" quotePrefix="1" applyFill="1" applyAlignment="1">
      <alignment horizontal="center"/>
    </xf>
    <xf numFmtId="0" fontId="0" fillId="13" borderId="0" xfId="0" quotePrefix="1" applyFill="1" applyAlignment="1">
      <alignment horizontal="center"/>
    </xf>
    <xf numFmtId="0" fontId="1" fillId="11" borderId="0" xfId="0" applyFont="1" applyFill="1"/>
    <xf numFmtId="0" fontId="1" fillId="12" borderId="0" xfId="0" applyFont="1" applyFill="1"/>
    <xf numFmtId="0" fontId="0" fillId="12" borderId="0" xfId="0" applyFill="1"/>
    <xf numFmtId="0" fontId="0" fillId="12" borderId="0" xfId="0" applyFont="1" applyFill="1"/>
    <xf numFmtId="0" fontId="3" fillId="12" borderId="0" xfId="0" applyFont="1" applyFill="1"/>
    <xf numFmtId="3" fontId="0" fillId="12" borderId="0" xfId="0" applyNumberFormat="1" applyFill="1"/>
    <xf numFmtId="37" fontId="0" fillId="12" borderId="0" xfId="1" applyNumberFormat="1" applyFont="1" applyFill="1"/>
    <xf numFmtId="44" fontId="0" fillId="12" borderId="0" xfId="2" applyFont="1" applyFill="1"/>
    <xf numFmtId="44" fontId="0" fillId="12" borderId="0" xfId="0" applyNumberFormat="1" applyFill="1"/>
    <xf numFmtId="166" fontId="0" fillId="12" borderId="0" xfId="2" applyNumberFormat="1" applyFont="1" applyFill="1"/>
    <xf numFmtId="3" fontId="0" fillId="12" borderId="0" xfId="0" quotePrefix="1" applyNumberFormat="1" applyFill="1" applyAlignment="1">
      <alignment horizontal="center"/>
    </xf>
    <xf numFmtId="37" fontId="0" fillId="12" borderId="0" xfId="1" quotePrefix="1" applyNumberFormat="1" applyFont="1" applyFill="1" applyAlignment="1">
      <alignment horizontal="center"/>
    </xf>
    <xf numFmtId="44" fontId="0" fillId="12" borderId="0" xfId="2" quotePrefix="1" applyFont="1" applyFill="1" applyAlignment="1">
      <alignment horizontal="center"/>
    </xf>
    <xf numFmtId="165" fontId="0" fillId="12" borderId="0" xfId="2" applyNumberFormat="1" applyFont="1" applyFill="1"/>
    <xf numFmtId="0" fontId="0" fillId="5" borderId="0" xfId="0" applyFill="1" applyAlignment="1">
      <alignment wrapText="1"/>
    </xf>
    <xf numFmtId="0" fontId="6" fillId="9" borderId="0" xfId="0" applyFont="1" applyFill="1"/>
    <xf numFmtId="0" fontId="0" fillId="0" borderId="0" xfId="0" applyBorder="1"/>
    <xf numFmtId="0" fontId="0" fillId="0" borderId="4" xfId="0" applyBorder="1"/>
    <xf numFmtId="0" fontId="0" fillId="0" borderId="6" xfId="0" applyBorder="1"/>
    <xf numFmtId="0" fontId="0" fillId="0" borderId="7" xfId="0" applyBorder="1"/>
    <xf numFmtId="3" fontId="0" fillId="0" borderId="0" xfId="0" applyNumberFormat="1" applyBorder="1"/>
    <xf numFmtId="0" fontId="0" fillId="0" borderId="5" xfId="0" applyBorder="1" applyAlignment="1">
      <alignment horizontal="center"/>
    </xf>
    <xf numFmtId="0" fontId="0" fillId="0" borderId="8" xfId="0" applyBorder="1" applyAlignment="1">
      <alignment horizontal="center"/>
    </xf>
    <xf numFmtId="0" fontId="0" fillId="0" borderId="4" xfId="0" applyBorder="1" applyAlignment="1">
      <alignment wrapText="1"/>
    </xf>
    <xf numFmtId="44" fontId="0" fillId="14" borderId="0" xfId="2" applyFont="1" applyFill="1"/>
    <xf numFmtId="165" fontId="0" fillId="14" borderId="0" xfId="2" applyNumberFormat="1" applyFont="1" applyFill="1"/>
    <xf numFmtId="167" fontId="0" fillId="15" borderId="0" xfId="0" applyNumberFormat="1" applyFill="1"/>
    <xf numFmtId="44" fontId="0" fillId="15" borderId="0" xfId="2" applyFont="1" applyFill="1"/>
    <xf numFmtId="44" fontId="0" fillId="14" borderId="0" xfId="2" quotePrefix="1" applyFont="1" applyFill="1" applyAlignment="1">
      <alignment horizontal="center"/>
    </xf>
    <xf numFmtId="0" fontId="1" fillId="6" borderId="9" xfId="0" applyFont="1" applyFill="1" applyBorder="1"/>
    <xf numFmtId="0" fontId="6" fillId="9" borderId="9" xfId="0" applyFont="1" applyFill="1" applyBorder="1"/>
    <xf numFmtId="0" fontId="1" fillId="2" borderId="9" xfId="0" applyFont="1" applyFill="1" applyBorder="1" applyAlignment="1">
      <alignment wrapText="1"/>
    </xf>
    <xf numFmtId="0" fontId="0" fillId="3" borderId="9" xfId="0" applyFont="1" applyFill="1" applyBorder="1" applyAlignment="1">
      <alignment wrapText="1"/>
    </xf>
    <xf numFmtId="0" fontId="0" fillId="3" borderId="9" xfId="0" applyFill="1" applyBorder="1"/>
    <xf numFmtId="0" fontId="1" fillId="4" borderId="9" xfId="0" applyFont="1" applyFill="1" applyBorder="1" applyAlignment="1">
      <alignment wrapText="1"/>
    </xf>
    <xf numFmtId="0" fontId="1" fillId="15" borderId="9" xfId="0" applyFont="1" applyFill="1" applyBorder="1"/>
    <xf numFmtId="0" fontId="0" fillId="14" borderId="9" xfId="0" applyFill="1" applyBorder="1"/>
    <xf numFmtId="0" fontId="0" fillId="14" borderId="9" xfId="0" applyFont="1" applyFill="1" applyBorder="1"/>
    <xf numFmtId="0" fontId="3" fillId="14" borderId="9" xfId="0" applyFont="1" applyFill="1" applyBorder="1"/>
    <xf numFmtId="44" fontId="0" fillId="14" borderId="0" xfId="2" applyFont="1" applyFill="1" applyAlignment="1">
      <alignment horizontal="center"/>
    </xf>
    <xf numFmtId="3" fontId="0" fillId="16" borderId="0" xfId="0" applyNumberFormat="1" applyFill="1"/>
    <xf numFmtId="0" fontId="0" fillId="16" borderId="0" xfId="0" applyFill="1"/>
    <xf numFmtId="0" fontId="0" fillId="17" borderId="0" xfId="0" applyFill="1"/>
    <xf numFmtId="0" fontId="0" fillId="2" borderId="10" xfId="0" applyFont="1" applyFill="1" applyBorder="1" applyAlignment="1">
      <alignment wrapText="1"/>
    </xf>
    <xf numFmtId="0" fontId="0" fillId="2" borderId="0" xfId="0" applyFont="1" applyFill="1" applyBorder="1" applyAlignment="1">
      <alignment wrapText="1"/>
    </xf>
    <xf numFmtId="3" fontId="0" fillId="18" borderId="0" xfId="0" applyNumberFormat="1" applyFill="1"/>
    <xf numFmtId="0" fontId="0" fillId="18" borderId="0" xfId="0" applyFill="1"/>
    <xf numFmtId="1" fontId="0" fillId="12" borderId="0" xfId="0" applyNumberFormat="1" applyFill="1"/>
    <xf numFmtId="0" fontId="0" fillId="4" borderId="11" xfId="0" applyFont="1" applyFill="1" applyBorder="1" applyAlignment="1">
      <alignment horizontal="center" wrapText="1"/>
    </xf>
    <xf numFmtId="0" fontId="1" fillId="17" borderId="10" xfId="0" applyFont="1" applyFill="1" applyBorder="1"/>
    <xf numFmtId="0" fontId="0" fillId="16" borderId="10" xfId="0" applyFill="1" applyBorder="1"/>
    <xf numFmtId="0" fontId="0" fillId="18" borderId="10" xfId="0" applyFill="1" applyBorder="1"/>
    <xf numFmtId="0" fontId="0" fillId="4" borderId="10" xfId="0" applyFont="1" applyFill="1" applyBorder="1" applyAlignment="1">
      <alignment horizontal="center" wrapText="1"/>
    </xf>
    <xf numFmtId="44" fontId="0" fillId="15" borderId="10" xfId="2" applyFont="1" applyFill="1" applyBorder="1"/>
    <xf numFmtId="44" fontId="0" fillId="14" borderId="10" xfId="2" quotePrefix="1" applyFont="1" applyFill="1" applyBorder="1" applyAlignment="1">
      <alignment horizontal="center"/>
    </xf>
    <xf numFmtId="44" fontId="0" fillId="14" borderId="10" xfId="2" applyFont="1" applyFill="1" applyBorder="1"/>
    <xf numFmtId="44" fontId="0" fillId="14" borderId="10" xfId="2" applyFont="1" applyFill="1" applyBorder="1" applyAlignment="1">
      <alignment horizontal="center"/>
    </xf>
    <xf numFmtId="165" fontId="0" fillId="14" borderId="10" xfId="2" applyNumberFormat="1" applyFont="1" applyFill="1" applyBorder="1"/>
    <xf numFmtId="0" fontId="0" fillId="0" borderId="0" xfId="0"/>
    <xf numFmtId="0" fontId="1" fillId="11" borderId="12" xfId="0" applyFont="1" applyFill="1" applyBorder="1"/>
    <xf numFmtId="3" fontId="1" fillId="11" borderId="12" xfId="0" applyNumberFormat="1" applyFont="1" applyFill="1" applyBorder="1"/>
    <xf numFmtId="44" fontId="1" fillId="11" borderId="12" xfId="2" applyFont="1" applyFill="1" applyBorder="1"/>
    <xf numFmtId="0" fontId="0" fillId="11" borderId="12" xfId="0" applyFill="1" applyBorder="1"/>
    <xf numFmtId="165" fontId="0" fillId="11" borderId="12" xfId="2" applyNumberFormat="1" applyFont="1" applyFill="1" applyBorder="1"/>
    <xf numFmtId="0" fontId="1" fillId="4" borderId="14" xfId="0" applyFont="1" applyFill="1" applyBorder="1" applyAlignment="1">
      <alignment wrapText="1"/>
    </xf>
    <xf numFmtId="0" fontId="0" fillId="4" borderId="15" xfId="0" applyFont="1" applyFill="1" applyBorder="1" applyAlignment="1">
      <alignment horizontal="center" wrapText="1"/>
    </xf>
    <xf numFmtId="0" fontId="0" fillId="4" borderId="13" xfId="0" applyFont="1" applyFill="1" applyBorder="1" applyAlignment="1">
      <alignment horizontal="center" wrapText="1"/>
    </xf>
    <xf numFmtId="44" fontId="0" fillId="14" borderId="11" xfId="2" applyFont="1" applyFill="1" applyBorder="1"/>
    <xf numFmtId="44" fontId="0" fillId="12" borderId="0" xfId="2" quotePrefix="1" applyFont="1" applyFill="1"/>
    <xf numFmtId="4" fontId="0" fillId="12" borderId="0" xfId="0" applyNumberFormat="1" applyFill="1"/>
    <xf numFmtId="2" fontId="0" fillId="12" borderId="0" xfId="0" applyNumberFormat="1" applyFill="1"/>
    <xf numFmtId="37" fontId="0" fillId="12" borderId="0" xfId="1" applyNumberFormat="1" applyFont="1" applyFill="1" applyAlignment="1"/>
    <xf numFmtId="1" fontId="0" fillId="12" borderId="0" xfId="0" applyNumberFormat="1" applyFill="1" applyAlignment="1"/>
    <xf numFmtId="0" fontId="0" fillId="4" borderId="10" xfId="0" applyFill="1" applyBorder="1" applyAlignment="1">
      <alignment horizontal="left" wrapText="1"/>
    </xf>
    <xf numFmtId="0" fontId="0" fillId="4" borderId="0" xfId="0" applyFont="1" applyFill="1" applyBorder="1" applyAlignment="1">
      <alignment horizontal="center" wrapText="1"/>
    </xf>
    <xf numFmtId="0" fontId="0" fillId="4" borderId="16" xfId="0" applyFont="1" applyFill="1" applyBorder="1" applyAlignment="1">
      <alignment horizontal="center" wrapText="1"/>
    </xf>
    <xf numFmtId="0" fontId="0" fillId="4" borderId="9" xfId="0" applyFont="1" applyFill="1" applyBorder="1" applyAlignment="1">
      <alignment horizontal="center" wrapText="1"/>
    </xf>
    <xf numFmtId="167" fontId="0" fillId="15" borderId="10" xfId="0" applyNumberFormat="1" applyFill="1" applyBorder="1"/>
    <xf numFmtId="167" fontId="0" fillId="15" borderId="0" xfId="0" applyNumberFormat="1" applyFill="1" applyBorder="1"/>
    <xf numFmtId="167" fontId="0" fillId="15" borderId="9" xfId="0" applyNumberFormat="1" applyFill="1" applyBorder="1"/>
    <xf numFmtId="167" fontId="0" fillId="14" borderId="10" xfId="0" quotePrefix="1" applyNumberFormat="1" applyFill="1" applyBorder="1" applyAlignment="1">
      <alignment horizontal="center"/>
    </xf>
    <xf numFmtId="167" fontId="0" fillId="14" borderId="0" xfId="0" quotePrefix="1" applyNumberFormat="1" applyFill="1" applyBorder="1" applyAlignment="1">
      <alignment horizontal="center"/>
    </xf>
    <xf numFmtId="167" fontId="0" fillId="14" borderId="9" xfId="0" quotePrefix="1" applyNumberFormat="1" applyFill="1" applyBorder="1" applyAlignment="1">
      <alignment horizontal="center"/>
    </xf>
    <xf numFmtId="167" fontId="0" fillId="15" borderId="10" xfId="0" applyNumberFormat="1" applyFill="1" applyBorder="1" applyAlignment="1">
      <alignment horizontal="center"/>
    </xf>
    <xf numFmtId="167" fontId="0" fillId="15" borderId="0" xfId="0" applyNumberFormat="1" applyFill="1" applyBorder="1" applyAlignment="1">
      <alignment horizontal="center"/>
    </xf>
    <xf numFmtId="167" fontId="0" fillId="15" borderId="9" xfId="0" applyNumberFormat="1" applyFill="1" applyBorder="1" applyAlignment="1">
      <alignment horizontal="center"/>
    </xf>
    <xf numFmtId="167" fontId="0" fillId="14" borderId="10" xfId="0" applyNumberFormat="1" applyFill="1" applyBorder="1" applyAlignment="1">
      <alignment horizontal="center"/>
    </xf>
    <xf numFmtId="167" fontId="0" fillId="14" borderId="0" xfId="0" applyNumberFormat="1" applyFill="1" applyBorder="1" applyAlignment="1">
      <alignment horizontal="center"/>
    </xf>
    <xf numFmtId="167" fontId="0" fillId="14" borderId="9" xfId="0" applyNumberFormat="1" applyFill="1" applyBorder="1" applyAlignment="1">
      <alignment horizontal="center"/>
    </xf>
    <xf numFmtId="3" fontId="0" fillId="14" borderId="10" xfId="0" applyNumberFormat="1" applyFill="1" applyBorder="1" applyAlignment="1">
      <alignment horizontal="center"/>
    </xf>
    <xf numFmtId="3" fontId="0" fillId="14" borderId="0" xfId="0" applyNumberFormat="1" applyFill="1" applyBorder="1" applyAlignment="1">
      <alignment horizontal="center"/>
    </xf>
    <xf numFmtId="3" fontId="0" fillId="14" borderId="9" xfId="0" applyNumberFormat="1" applyFill="1" applyBorder="1" applyAlignment="1">
      <alignment horizontal="center"/>
    </xf>
    <xf numFmtId="3" fontId="0" fillId="15" borderId="10" xfId="0" applyNumberFormat="1" applyFill="1" applyBorder="1" applyAlignment="1">
      <alignment horizontal="center"/>
    </xf>
    <xf numFmtId="3" fontId="0" fillId="15" borderId="0" xfId="0" applyNumberFormat="1" applyFill="1" applyBorder="1" applyAlignment="1">
      <alignment horizontal="center"/>
    </xf>
    <xf numFmtId="3" fontId="0" fillId="15" borderId="9" xfId="0" applyNumberFormat="1" applyFill="1" applyBorder="1" applyAlignment="1">
      <alignment horizontal="center"/>
    </xf>
    <xf numFmtId="1" fontId="0" fillId="14" borderId="0" xfId="0" quotePrefix="1" applyNumberFormat="1" applyFill="1" applyBorder="1" applyAlignment="1">
      <alignment horizontal="center"/>
    </xf>
    <xf numFmtId="1" fontId="0" fillId="14" borderId="9" xfId="0" quotePrefix="1" applyNumberFormat="1" applyFill="1" applyBorder="1" applyAlignment="1">
      <alignment horizontal="center"/>
    </xf>
    <xf numFmtId="3" fontId="0" fillId="15" borderId="9" xfId="0" applyNumberFormat="1" applyFill="1" applyBorder="1"/>
    <xf numFmtId="3" fontId="0" fillId="14" borderId="9" xfId="0" quotePrefix="1" applyNumberFormat="1" applyFill="1" applyBorder="1" applyAlignment="1">
      <alignment horizontal="center"/>
    </xf>
    <xf numFmtId="0" fontId="0" fillId="4" borderId="14" xfId="0" applyFont="1" applyFill="1" applyBorder="1" applyAlignment="1">
      <alignment horizontal="center" wrapText="1"/>
    </xf>
    <xf numFmtId="3" fontId="0" fillId="14" borderId="0" xfId="0" quotePrefix="1" applyNumberFormat="1" applyFill="1" applyBorder="1" applyAlignment="1">
      <alignment horizontal="center"/>
    </xf>
    <xf numFmtId="0" fontId="0" fillId="4" borderId="16" xfId="0" applyFill="1" applyBorder="1" applyAlignment="1">
      <alignment horizontal="center" wrapText="1"/>
    </xf>
    <xf numFmtId="0" fontId="0" fillId="4" borderId="14" xfId="0" applyFill="1" applyBorder="1" applyAlignment="1">
      <alignment horizontal="center" wrapText="1"/>
    </xf>
    <xf numFmtId="0" fontId="0" fillId="4" borderId="13" xfId="0" applyFill="1" applyBorder="1" applyAlignment="1">
      <alignment horizontal="left" wrapText="1"/>
    </xf>
    <xf numFmtId="44" fontId="0" fillId="14" borderId="0" xfId="2" applyFont="1" applyFill="1" applyBorder="1"/>
    <xf numFmtId="3" fontId="0" fillId="14" borderId="10" xfId="0" quotePrefix="1" applyNumberFormat="1" applyFill="1" applyBorder="1" applyAlignment="1">
      <alignment horizontal="center"/>
    </xf>
    <xf numFmtId="167" fontId="0" fillId="14" borderId="0" xfId="0" quotePrefix="1" applyNumberFormat="1" applyFill="1" applyAlignment="1">
      <alignment horizontal="center" wrapText="1"/>
    </xf>
    <xf numFmtId="167" fontId="0" fillId="15" borderId="0" xfId="0" applyNumberFormat="1" applyFill="1" applyAlignment="1">
      <alignment horizontal="center" wrapText="1"/>
    </xf>
    <xf numFmtId="167" fontId="0" fillId="14" borderId="0" xfId="0" applyNumberFormat="1" applyFill="1" applyAlignment="1">
      <alignment horizontal="center" wrapText="1"/>
    </xf>
    <xf numFmtId="3" fontId="0" fillId="14" borderId="0" xfId="0" applyNumberFormat="1" applyFill="1" applyAlignment="1">
      <alignment horizontal="center" wrapText="1"/>
    </xf>
    <xf numFmtId="3" fontId="0" fillId="14" borderId="0" xfId="0" quotePrefix="1" applyNumberFormat="1" applyFill="1" applyAlignment="1">
      <alignment horizontal="center" wrapText="1"/>
    </xf>
    <xf numFmtId="3" fontId="0" fillId="15" borderId="0" xfId="0" applyNumberFormat="1" applyFill="1" applyAlignment="1">
      <alignment horizontal="center" wrapText="1"/>
    </xf>
    <xf numFmtId="1" fontId="0" fillId="14" borderId="0" xfId="0" quotePrefix="1" applyNumberFormat="1" applyFill="1" applyAlignment="1">
      <alignment horizontal="center" wrapText="1"/>
    </xf>
    <xf numFmtId="1" fontId="0" fillId="14" borderId="0" xfId="0" applyNumberFormat="1" applyFill="1" applyAlignment="1">
      <alignment horizontal="center" wrapText="1"/>
    </xf>
    <xf numFmtId="0" fontId="0" fillId="4" borderId="16" xfId="0" applyFill="1" applyBorder="1" applyAlignment="1">
      <alignment wrapText="1"/>
    </xf>
    <xf numFmtId="168" fontId="0" fillId="14" borderId="9" xfId="0" applyNumberFormat="1" applyFill="1" applyBorder="1" applyAlignment="1">
      <alignment horizontal="center"/>
    </xf>
    <xf numFmtId="168" fontId="0" fillId="14" borderId="10" xfId="0" applyNumberFormat="1" applyFill="1" applyBorder="1" applyAlignment="1">
      <alignment horizontal="center"/>
    </xf>
    <xf numFmtId="168" fontId="0" fillId="12" borderId="0" xfId="0" applyNumberFormat="1" applyFill="1"/>
    <xf numFmtId="44" fontId="0" fillId="14" borderId="11" xfId="2" quotePrefix="1" applyFont="1" applyFill="1" applyBorder="1" applyAlignment="1">
      <alignment horizontal="center"/>
    </xf>
    <xf numFmtId="169" fontId="0" fillId="12" borderId="0" xfId="0" applyNumberFormat="1" applyFill="1"/>
    <xf numFmtId="167" fontId="0" fillId="12" borderId="0" xfId="0" applyNumberFormat="1" applyFill="1"/>
    <xf numFmtId="0" fontId="0" fillId="0" borderId="0" xfId="0" applyBorder="1" applyAlignment="1">
      <alignment horizontal="center"/>
    </xf>
    <xf numFmtId="0" fontId="1" fillId="12" borderId="1" xfId="0" applyFont="1" applyFill="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0" fillId="12" borderId="4" xfId="0" applyFont="1" applyFill="1" applyBorder="1"/>
    <xf numFmtId="44" fontId="0" fillId="12" borderId="0" xfId="2" applyFont="1" applyFill="1" applyBorder="1"/>
    <xf numFmtId="0" fontId="0" fillId="12" borderId="5" xfId="0" applyFont="1" applyFill="1" applyBorder="1"/>
    <xf numFmtId="0" fontId="0" fillId="12" borderId="6" xfId="0" applyFont="1" applyFill="1" applyBorder="1"/>
    <xf numFmtId="44" fontId="0" fillId="12" borderId="7" xfId="2" applyFont="1" applyFill="1" applyBorder="1"/>
    <xf numFmtId="0" fontId="1" fillId="12" borderId="1" xfId="0" applyFont="1" applyFill="1" applyBorder="1" applyAlignment="1">
      <alignment horizontal="center" wrapText="1"/>
    </xf>
    <xf numFmtId="0" fontId="1" fillId="12" borderId="2" xfId="0" applyFont="1" applyFill="1" applyBorder="1" applyAlignment="1">
      <alignment horizontal="center" wrapText="1"/>
    </xf>
    <xf numFmtId="0" fontId="1" fillId="12" borderId="3" xfId="0" applyFont="1" applyFill="1" applyBorder="1" applyAlignment="1">
      <alignment horizontal="center" wrapText="1"/>
    </xf>
    <xf numFmtId="0" fontId="0" fillId="12" borderId="0" xfId="0" applyFont="1" applyFill="1" applyBorder="1"/>
    <xf numFmtId="0" fontId="0" fillId="12" borderId="7" xfId="0" applyFont="1" applyFill="1" applyBorder="1"/>
    <xf numFmtId="0" fontId="0" fillId="12" borderId="5" xfId="0" quotePrefix="1" applyFill="1" applyBorder="1" applyAlignment="1">
      <alignment horizontal="center"/>
    </xf>
    <xf numFmtId="44" fontId="0" fillId="12" borderId="8" xfId="0" applyNumberFormat="1" applyFont="1" applyFill="1" applyBorder="1"/>
    <xf numFmtId="0" fontId="0" fillId="0" borderId="5" xfId="0" applyBorder="1"/>
    <xf numFmtId="0" fontId="0" fillId="0" borderId="4" xfId="0" applyFill="1" applyBorder="1"/>
    <xf numFmtId="0" fontId="0" fillId="0" borderId="6" xfId="0" applyFill="1" applyBorder="1"/>
    <xf numFmtId="3" fontId="0" fillId="0" borderId="5" xfId="0" applyNumberFormat="1" applyBorder="1"/>
    <xf numFmtId="0" fontId="0" fillId="0" borderId="0" xfId="0" applyBorder="1" applyAlignment="1">
      <alignment horizontal="center" wrapText="1"/>
    </xf>
    <xf numFmtId="167" fontId="0" fillId="0" borderId="0" xfId="0" applyNumberFormat="1" applyBorder="1" applyAlignment="1">
      <alignment horizontal="center"/>
    </xf>
    <xf numFmtId="2" fontId="0" fillId="0" borderId="0" xfId="0" applyNumberFormat="1" applyBorder="1" applyAlignment="1">
      <alignment horizontal="center"/>
    </xf>
    <xf numFmtId="167" fontId="0" fillId="0" borderId="7" xfId="0" applyNumberFormat="1" applyBorder="1" applyAlignment="1">
      <alignment horizontal="center"/>
    </xf>
    <xf numFmtId="2" fontId="0" fillId="14" borderId="10" xfId="0" applyNumberFormat="1" applyFill="1" applyBorder="1" applyAlignment="1">
      <alignment horizontal="center"/>
    </xf>
    <xf numFmtId="2" fontId="0" fillId="14" borderId="9" xfId="0" quotePrefix="1" applyNumberFormat="1" applyFill="1" applyBorder="1" applyAlignment="1">
      <alignment horizontal="center"/>
    </xf>
    <xf numFmtId="4" fontId="0" fillId="14" borderId="10" xfId="0" applyNumberFormat="1" applyFill="1" applyBorder="1" applyAlignment="1">
      <alignment horizontal="center"/>
    </xf>
    <xf numFmtId="0" fontId="0" fillId="12" borderId="8" xfId="0" applyFill="1" applyBorder="1"/>
    <xf numFmtId="0" fontId="1" fillId="0" borderId="3" xfId="0" applyFont="1" applyBorder="1" applyAlignment="1">
      <alignment horizontal="center"/>
    </xf>
    <xf numFmtId="0" fontId="10" fillId="0" borderId="0" xfId="0" applyFont="1"/>
    <xf numFmtId="0" fontId="1" fillId="0" borderId="10" xfId="0" applyFont="1" applyBorder="1" applyAlignment="1">
      <alignment horizontal="center" wrapText="1"/>
    </xf>
    <xf numFmtId="0" fontId="1" fillId="0" borderId="0" xfId="0" applyFont="1" applyBorder="1" applyAlignment="1">
      <alignment horizontal="center" wrapText="1"/>
    </xf>
    <xf numFmtId="0" fontId="0" fillId="12" borderId="10" xfId="0" quotePrefix="1" applyFill="1" applyBorder="1" applyAlignment="1">
      <alignment horizontal="center"/>
    </xf>
    <xf numFmtId="0" fontId="0" fillId="12" borderId="0" xfId="0" quotePrefix="1" applyFill="1" applyBorder="1" applyAlignment="1">
      <alignment horizontal="center"/>
    </xf>
    <xf numFmtId="0" fontId="0" fillId="12" borderId="0" xfId="0" applyFill="1" applyBorder="1" applyAlignment="1">
      <alignment horizontal="center"/>
    </xf>
    <xf numFmtId="0" fontId="0" fillId="0" borderId="0" xfId="0" applyFill="1"/>
    <xf numFmtId="0" fontId="0" fillId="0" borderId="10" xfId="0" applyBorder="1"/>
    <xf numFmtId="0" fontId="0" fillId="0" borderId="9" xfId="0" applyBorder="1"/>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9" fontId="0" fillId="0" borderId="17" xfId="0" quotePrefix="1" applyNumberFormat="1" applyBorder="1" applyAlignment="1">
      <alignment horizontal="center"/>
    </xf>
    <xf numFmtId="9" fontId="0" fillId="0" borderId="12" xfId="0" quotePrefix="1" applyNumberFormat="1" applyBorder="1" applyAlignment="1">
      <alignment horizontal="center"/>
    </xf>
    <xf numFmtId="9" fontId="0" fillId="0" borderId="18" xfId="0" quotePrefix="1" applyNumberFormat="1" applyBorder="1" applyAlignment="1">
      <alignment horizontal="center"/>
    </xf>
    <xf numFmtId="9" fontId="0" fillId="0" borderId="17" xfId="0" quotePrefix="1" applyNumberFormat="1" applyFill="1" applyBorder="1" applyAlignment="1">
      <alignment horizontal="center"/>
    </xf>
    <xf numFmtId="9" fontId="0" fillId="0" borderId="12" xfId="0" quotePrefix="1" applyNumberFormat="1" applyFill="1" applyBorder="1" applyAlignment="1">
      <alignment horizontal="center"/>
    </xf>
    <xf numFmtId="9" fontId="0" fillId="0" borderId="18" xfId="0" quotePrefix="1" applyNumberFormat="1" applyFill="1" applyBorder="1" applyAlignment="1">
      <alignment horizontal="center"/>
    </xf>
    <xf numFmtId="44" fontId="0" fillId="0" borderId="10" xfId="2" applyFont="1" applyBorder="1"/>
    <xf numFmtId="44" fontId="0" fillId="0" borderId="9" xfId="2" applyFont="1" applyBorder="1"/>
    <xf numFmtId="44" fontId="0" fillId="0" borderId="10" xfId="0" applyNumberFormat="1" applyBorder="1"/>
    <xf numFmtId="44" fontId="0" fillId="0" borderId="0" xfId="0" applyNumberFormat="1" applyBorder="1"/>
    <xf numFmtId="44" fontId="0" fillId="0" borderId="9" xfId="0" applyNumberFormat="1" applyBorder="1"/>
    <xf numFmtId="44" fontId="0" fillId="0" borderId="0" xfId="0" applyNumberFormat="1" applyFill="1" applyBorder="1"/>
    <xf numFmtId="44" fontId="0" fillId="0" borderId="0" xfId="0" applyNumberFormat="1" applyFill="1"/>
    <xf numFmtId="44" fontId="0" fillId="0" borderId="10" xfId="0" applyNumberFormat="1" applyFill="1" applyBorder="1"/>
    <xf numFmtId="44" fontId="0" fillId="0" borderId="9" xfId="0" applyNumberFormat="1" applyFill="1" applyBorder="1"/>
    <xf numFmtId="0" fontId="1" fillId="0" borderId="0" xfId="0" applyFont="1"/>
    <xf numFmtId="44" fontId="1" fillId="0" borderId="10" xfId="2" applyFont="1" applyBorder="1"/>
    <xf numFmtId="44" fontId="1" fillId="0" borderId="9" xfId="2" applyFont="1" applyBorder="1"/>
    <xf numFmtId="44" fontId="1" fillId="0" borderId="0" xfId="2" applyFont="1" applyBorder="1"/>
    <xf numFmtId="44" fontId="1" fillId="0" borderId="0" xfId="2" applyFont="1" applyFill="1" applyBorder="1"/>
    <xf numFmtId="171" fontId="0" fillId="0" borderId="10" xfId="2" applyNumberFormat="1" applyFont="1" applyBorder="1"/>
    <xf numFmtId="171" fontId="1" fillId="0" borderId="10" xfId="2" applyNumberFormat="1" applyFont="1" applyBorder="1"/>
    <xf numFmtId="165" fontId="1" fillId="0" borderId="0" xfId="2" applyNumberFormat="1" applyFont="1" applyBorder="1"/>
    <xf numFmtId="165" fontId="1" fillId="0" borderId="0" xfId="2" applyNumberFormat="1" applyFont="1" applyFill="1" applyBorder="1"/>
    <xf numFmtId="165" fontId="1" fillId="0" borderId="0" xfId="2" applyNumberFormat="1" applyFont="1"/>
    <xf numFmtId="171" fontId="1" fillId="0" borderId="0" xfId="2" applyNumberFormat="1" applyFont="1" applyBorder="1"/>
    <xf numFmtId="9" fontId="0" fillId="0" borderId="19" xfId="0" quotePrefix="1" applyNumberFormat="1" applyBorder="1" applyAlignment="1">
      <alignment horizontal="center"/>
    </xf>
    <xf numFmtId="9" fontId="0" fillId="0" borderId="19" xfId="0" quotePrefix="1" applyNumberFormat="1" applyFill="1" applyBorder="1" applyAlignment="1">
      <alignment horizontal="center"/>
    </xf>
    <xf numFmtId="0" fontId="0" fillId="0" borderId="19" xfId="0" applyBorder="1" applyAlignment="1">
      <alignment wrapText="1"/>
    </xf>
    <xf numFmtId="44" fontId="0" fillId="0" borderId="0" xfId="2" applyFont="1" applyBorder="1"/>
    <xf numFmtId="171" fontId="0" fillId="0" borderId="0" xfId="2" applyNumberFormat="1" applyFont="1" applyBorder="1"/>
    <xf numFmtId="2" fontId="0" fillId="0" borderId="5" xfId="0" applyNumberFormat="1" applyBorder="1"/>
    <xf numFmtId="3" fontId="0" fillId="0" borderId="8" xfId="0" applyNumberFormat="1" applyFill="1" applyBorder="1"/>
    <xf numFmtId="0" fontId="1" fillId="0" borderId="6" xfId="0" applyFont="1" applyFill="1" applyBorder="1"/>
    <xf numFmtId="0" fontId="1" fillId="0" borderId="7" xfId="0" quotePrefix="1" applyFont="1" applyBorder="1" applyAlignment="1">
      <alignment horizontal="center"/>
    </xf>
    <xf numFmtId="167" fontId="1" fillId="0" borderId="7" xfId="0" applyNumberFormat="1" applyFont="1" applyBorder="1" applyAlignment="1">
      <alignment horizontal="center"/>
    </xf>
    <xf numFmtId="0" fontId="0" fillId="0" borderId="4" xfId="0" applyFill="1" applyBorder="1" applyAlignment="1">
      <alignment wrapText="1"/>
    </xf>
    <xf numFmtId="0" fontId="1" fillId="0" borderId="6" xfId="0" applyFont="1" applyFill="1" applyBorder="1" applyAlignment="1">
      <alignment wrapText="1"/>
    </xf>
    <xf numFmtId="2" fontId="0" fillId="0" borderId="7" xfId="0" applyNumberFormat="1" applyBorder="1" applyAlignment="1">
      <alignment horizontal="center"/>
    </xf>
    <xf numFmtId="2" fontId="1" fillId="0" borderId="7" xfId="0" applyNumberFormat="1" applyFont="1" applyBorder="1" applyAlignment="1">
      <alignment horizontal="center"/>
    </xf>
    <xf numFmtId="0" fontId="1" fillId="21" borderId="24" xfId="0" applyFont="1" applyFill="1" applyBorder="1" applyAlignment="1">
      <alignment horizontal="center"/>
    </xf>
    <xf numFmtId="0" fontId="0" fillId="0" borderId="25" xfId="0" applyBorder="1" applyAlignment="1">
      <alignment wrapText="1"/>
    </xf>
    <xf numFmtId="0" fontId="0" fillId="0" borderId="25" xfId="0" applyFill="1" applyBorder="1" applyAlignment="1">
      <alignment wrapText="1"/>
    </xf>
    <xf numFmtId="0" fontId="0" fillId="0" borderId="26" xfId="0" applyBorder="1" applyAlignment="1">
      <alignment wrapText="1"/>
    </xf>
    <xf numFmtId="0" fontId="0" fillId="0" borderId="25" xfId="0" applyBorder="1"/>
    <xf numFmtId="0" fontId="0" fillId="0" borderId="26" xfId="0" applyFill="1" applyBorder="1" applyAlignment="1">
      <alignment wrapText="1"/>
    </xf>
    <xf numFmtId="0" fontId="0" fillId="0" borderId="26" xfId="0" applyBorder="1"/>
    <xf numFmtId="172" fontId="0" fillId="0" borderId="7" xfId="0" applyNumberFormat="1" applyBorder="1" applyAlignment="1">
      <alignment horizontal="center"/>
    </xf>
    <xf numFmtId="172" fontId="0" fillId="0" borderId="0" xfId="0" applyNumberFormat="1" applyBorder="1" applyAlignment="1">
      <alignment horizontal="center"/>
    </xf>
    <xf numFmtId="172" fontId="1" fillId="0" borderId="7" xfId="0" applyNumberFormat="1" applyFont="1" applyBorder="1" applyAlignment="1">
      <alignment horizontal="center"/>
    </xf>
    <xf numFmtId="172" fontId="0" fillId="14" borderId="9" xfId="0" quotePrefix="1" applyNumberFormat="1" applyFill="1" applyBorder="1" applyAlignment="1">
      <alignment horizontal="center"/>
    </xf>
    <xf numFmtId="44" fontId="0" fillId="12" borderId="0" xfId="2" applyNumberFormat="1" applyFont="1" applyFill="1"/>
    <xf numFmtId="44" fontId="0" fillId="14" borderId="10" xfId="2" applyFont="1" applyFill="1" applyBorder="1" applyAlignment="1">
      <alignment wrapText="1"/>
    </xf>
    <xf numFmtId="169" fontId="0" fillId="14" borderId="10" xfId="0" applyNumberFormat="1" applyFill="1" applyBorder="1" applyAlignment="1">
      <alignment horizontal="center"/>
    </xf>
    <xf numFmtId="171" fontId="0" fillId="12" borderId="0" xfId="2" applyNumberFormat="1" applyFont="1" applyFill="1"/>
    <xf numFmtId="0" fontId="1" fillId="0" borderId="28" xfId="10"/>
    <xf numFmtId="0" fontId="2" fillId="19" borderId="0" xfId="8" applyAlignment="1">
      <alignment horizontal="left" vertical="center"/>
    </xf>
    <xf numFmtId="0" fontId="2" fillId="19" borderId="0" xfId="8" applyAlignment="1">
      <alignment horizontal="left" vertical="center" wrapText="1"/>
    </xf>
    <xf numFmtId="0" fontId="0" fillId="4" borderId="10" xfId="0" applyFont="1" applyFill="1" applyBorder="1" applyAlignment="1">
      <alignment horizontal="center" wrapText="1"/>
    </xf>
    <xf numFmtId="0" fontId="0" fillId="4" borderId="0" xfId="0" applyFont="1" applyFill="1" applyBorder="1" applyAlignment="1">
      <alignment horizontal="center" wrapText="1"/>
    </xf>
    <xf numFmtId="0" fontId="0" fillId="4" borderId="9" xfId="0" applyFont="1" applyFill="1" applyBorder="1" applyAlignment="1">
      <alignment horizontal="center" wrapText="1"/>
    </xf>
    <xf numFmtId="0" fontId="0" fillId="4" borderId="16" xfId="0" applyFont="1" applyFill="1" applyBorder="1" applyAlignment="1">
      <alignment horizontal="center" wrapText="1"/>
    </xf>
    <xf numFmtId="0" fontId="0" fillId="4" borderId="14" xfId="0" applyFont="1" applyFill="1" applyBorder="1" applyAlignment="1">
      <alignment horizontal="center" wrapText="1"/>
    </xf>
    <xf numFmtId="172" fontId="0" fillId="14" borderId="10" xfId="0" applyNumberFormat="1" applyFill="1" applyBorder="1" applyAlignment="1">
      <alignment horizontal="center"/>
    </xf>
    <xf numFmtId="1" fontId="0" fillId="14" borderId="10" xfId="0" applyNumberFormat="1" applyFill="1" applyBorder="1" applyAlignment="1">
      <alignment horizontal="center"/>
    </xf>
    <xf numFmtId="3" fontId="0" fillId="12" borderId="0" xfId="0" quotePrefix="1" applyNumberFormat="1" applyFill="1" applyAlignment="1"/>
    <xf numFmtId="37" fontId="0" fillId="12" borderId="0" xfId="1" quotePrefix="1" applyNumberFormat="1" applyFont="1" applyFill="1" applyAlignment="1"/>
    <xf numFmtId="44" fontId="0" fillId="8" borderId="0" xfId="2" quotePrefix="1" applyFont="1" applyFill="1" applyAlignment="1"/>
    <xf numFmtId="166" fontId="0" fillId="13" borderId="0" xfId="0" quotePrefix="1" applyNumberFormat="1" applyFill="1" applyAlignment="1"/>
    <xf numFmtId="164" fontId="0" fillId="13" borderId="0" xfId="3" quotePrefix="1" applyNumberFormat="1" applyFont="1" applyFill="1" applyAlignment="1"/>
    <xf numFmtId="174" fontId="0" fillId="13" borderId="0" xfId="0" quotePrefix="1" applyNumberFormat="1" applyFill="1" applyAlignment="1"/>
    <xf numFmtId="174" fontId="0" fillId="13" borderId="0" xfId="0" quotePrefix="1" applyNumberFormat="1" applyFill="1" applyAlignment="1">
      <alignment horizontal="center"/>
    </xf>
    <xf numFmtId="10" fontId="0" fillId="13" borderId="0" xfId="3" quotePrefix="1" applyNumberFormat="1" applyFont="1" applyFill="1" applyAlignment="1"/>
    <xf numFmtId="0" fontId="0" fillId="19" borderId="10" xfId="8" applyFont="1" applyBorder="1" applyAlignment="1">
      <alignment horizontal="left" wrapText="1"/>
    </xf>
    <xf numFmtId="0" fontId="0" fillId="0" borderId="0" xfId="0" applyAlignment="1"/>
    <xf numFmtId="0" fontId="1" fillId="20" borderId="0" xfId="0" applyFont="1" applyFill="1" applyAlignment="1">
      <alignment horizontal="right" wrapText="1"/>
    </xf>
    <xf numFmtId="0" fontId="3" fillId="12" borderId="0" xfId="0" applyFont="1" applyFill="1" applyAlignment="1">
      <alignment horizontal="right" wrapText="1"/>
    </xf>
    <xf numFmtId="0" fontId="3" fillId="20" borderId="0" xfId="0" applyFont="1" applyFill="1" applyAlignment="1">
      <alignment horizontal="right" wrapText="1"/>
    </xf>
    <xf numFmtId="0" fontId="1" fillId="0" borderId="0" xfId="0" quotePrefix="1" applyFont="1" applyBorder="1" applyAlignment="1">
      <alignment horizontal="center" wrapText="1"/>
    </xf>
    <xf numFmtId="0" fontId="3" fillId="12" borderId="0" xfId="0" applyFont="1" applyFill="1" applyAlignment="1">
      <alignment horizontal="right"/>
    </xf>
    <xf numFmtId="167" fontId="0" fillId="12" borderId="0" xfId="0" quotePrefix="1" applyNumberFormat="1" applyFill="1" applyBorder="1" applyAlignment="1">
      <alignment horizontal="center"/>
    </xf>
    <xf numFmtId="3" fontId="0" fillId="12" borderId="10" xfId="0" quotePrefix="1" applyNumberFormat="1" applyFill="1" applyBorder="1" applyAlignment="1">
      <alignment horizontal="center"/>
    </xf>
    <xf numFmtId="2" fontId="0" fillId="12" borderId="0" xfId="0" quotePrefix="1" applyNumberFormat="1" applyFill="1" applyBorder="1" applyAlignment="1">
      <alignment horizontal="center"/>
    </xf>
    <xf numFmtId="4" fontId="0" fillId="12" borderId="10" xfId="0" quotePrefix="1" applyNumberFormat="1" applyFill="1" applyBorder="1" applyAlignment="1">
      <alignment horizontal="center"/>
    </xf>
    <xf numFmtId="4" fontId="0" fillId="12" borderId="10" xfId="0" applyNumberFormat="1" applyFill="1" applyBorder="1" applyAlignment="1">
      <alignment horizontal="center"/>
    </xf>
    <xf numFmtId="169" fontId="0" fillId="12" borderId="10" xfId="0" quotePrefix="1" applyNumberFormat="1" applyFill="1" applyBorder="1" applyAlignment="1">
      <alignment horizontal="center"/>
    </xf>
    <xf numFmtId="170" fontId="0" fillId="12" borderId="10" xfId="0" quotePrefix="1" applyNumberFormat="1" applyFill="1" applyBorder="1" applyAlignment="1">
      <alignment horizontal="center"/>
    </xf>
    <xf numFmtId="9" fontId="0" fillId="12" borderId="0" xfId="3" quotePrefix="1" applyFont="1" applyFill="1" applyBorder="1" applyAlignment="1">
      <alignment horizontal="center"/>
    </xf>
    <xf numFmtId="44" fontId="0" fillId="12" borderId="0" xfId="2" applyNumberFormat="1" applyFont="1" applyFill="1" applyBorder="1"/>
    <xf numFmtId="3" fontId="0" fillId="12" borderId="0" xfId="0" quotePrefix="1" applyNumberFormat="1" applyFill="1" applyBorder="1" applyAlignment="1">
      <alignment horizontal="center"/>
    </xf>
    <xf numFmtId="169" fontId="0" fillId="12" borderId="0" xfId="0" quotePrefix="1" applyNumberFormat="1" applyFill="1" applyBorder="1" applyAlignment="1">
      <alignment horizontal="center"/>
    </xf>
    <xf numFmtId="170" fontId="0" fillId="12" borderId="0" xfId="0" quotePrefix="1" applyNumberFormat="1" applyFill="1" applyBorder="1" applyAlignment="1">
      <alignment horizontal="center"/>
    </xf>
    <xf numFmtId="173" fontId="0" fillId="12" borderId="0" xfId="0" quotePrefix="1" applyNumberFormat="1" applyFill="1" applyBorder="1" applyAlignment="1">
      <alignment horizontal="center"/>
    </xf>
    <xf numFmtId="44" fontId="0" fillId="12" borderId="0" xfId="0" quotePrefix="1" applyNumberFormat="1" applyFill="1" applyBorder="1" applyAlignment="1">
      <alignment horizontal="center"/>
    </xf>
    <xf numFmtId="4" fontId="0" fillId="0" borderId="0" xfId="0" applyNumberFormat="1"/>
    <xf numFmtId="0" fontId="0" fillId="0" borderId="0" xfId="0" quotePrefix="1"/>
    <xf numFmtId="2" fontId="0" fillId="0" borderId="0" xfId="0" applyNumberFormat="1"/>
    <xf numFmtId="9" fontId="0" fillId="12" borderId="10" xfId="3" quotePrefix="1" applyFont="1" applyFill="1" applyBorder="1" applyAlignment="1">
      <alignment horizontal="center"/>
    </xf>
    <xf numFmtId="165" fontId="0" fillId="14" borderId="0" xfId="2" quotePrefix="1" applyNumberFormat="1" applyFont="1" applyFill="1" applyAlignment="1">
      <alignment horizontal="center"/>
    </xf>
    <xf numFmtId="165" fontId="0" fillId="14" borderId="17" xfId="2" applyNumberFormat="1" applyFont="1" applyFill="1" applyBorder="1"/>
    <xf numFmtId="0" fontId="0" fillId="12" borderId="0" xfId="0" applyFill="1" applyAlignment="1">
      <alignment horizontal="center"/>
    </xf>
    <xf numFmtId="9" fontId="0" fillId="12" borderId="0" xfId="3" applyFont="1" applyFill="1"/>
    <xf numFmtId="9" fontId="0" fillId="14" borderId="10" xfId="3" applyFont="1" applyFill="1" applyBorder="1" applyAlignment="1">
      <alignment horizontal="center"/>
    </xf>
    <xf numFmtId="9" fontId="0" fillId="14" borderId="0" xfId="3" applyFont="1" applyFill="1" applyBorder="1" applyAlignment="1">
      <alignment horizontal="center"/>
    </xf>
    <xf numFmtId="9" fontId="0" fillId="14" borderId="9" xfId="3" applyFont="1" applyFill="1" applyBorder="1" applyAlignment="1">
      <alignment horizontal="center"/>
    </xf>
    <xf numFmtId="9" fontId="0" fillId="12" borderId="10" xfId="3" applyFont="1" applyFill="1" applyBorder="1" applyAlignment="1">
      <alignment horizontal="center"/>
    </xf>
    <xf numFmtId="0" fontId="0" fillId="0" borderId="6" xfId="0" applyBorder="1" applyAlignment="1">
      <alignment wrapText="1"/>
    </xf>
    <xf numFmtId="3" fontId="0" fillId="0" borderId="7" xfId="0" applyNumberFormat="1" applyBorder="1"/>
    <xf numFmtId="44" fontId="0" fillId="14" borderId="0" xfId="2" applyFont="1" applyFill="1" applyBorder="1" applyAlignment="1">
      <alignment wrapText="1"/>
    </xf>
    <xf numFmtId="0" fontId="1" fillId="4" borderId="10" xfId="0" applyFont="1" applyFill="1" applyBorder="1" applyAlignment="1">
      <alignment horizontal="center" wrapText="1"/>
    </xf>
    <xf numFmtId="0" fontId="1" fillId="4" borderId="0" xfId="0" applyFont="1" applyFill="1" applyBorder="1" applyAlignment="1">
      <alignment horizontal="center" wrapText="1"/>
    </xf>
    <xf numFmtId="0" fontId="1" fillId="4" borderId="9" xfId="0" applyFont="1" applyFill="1"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xf>
    <xf numFmtId="0" fontId="0" fillId="0" borderId="20" xfId="0" applyBorder="1" applyAlignment="1">
      <alignment horizontal="center"/>
    </xf>
    <xf numFmtId="0" fontId="0" fillId="0" borderId="14" xfId="0" applyBorder="1" applyAlignment="1">
      <alignment horizontal="center" wrapText="1"/>
    </xf>
    <xf numFmtId="0" fontId="0" fillId="0" borderId="12" xfId="0" applyBorder="1" applyAlignment="1">
      <alignment horizontal="center"/>
    </xf>
    <xf numFmtId="0" fontId="0" fillId="0" borderId="11" xfId="0" applyBorder="1" applyAlignment="1">
      <alignment horizontal="center" wrapText="1"/>
    </xf>
    <xf numFmtId="44" fontId="0" fillId="0" borderId="11" xfId="2" applyFont="1" applyBorder="1"/>
    <xf numFmtId="44" fontId="1" fillId="0" borderId="11" xfId="2" applyFont="1" applyBorder="1"/>
    <xf numFmtId="0" fontId="0" fillId="0" borderId="15" xfId="0" applyBorder="1"/>
    <xf numFmtId="171" fontId="0" fillId="0" borderId="11" xfId="2" applyNumberFormat="1" applyFont="1" applyBorder="1"/>
    <xf numFmtId="171" fontId="1" fillId="0" borderId="11" xfId="2" applyNumberFormat="1" applyFont="1" applyBorder="1"/>
    <xf numFmtId="2" fontId="0" fillId="0" borderId="11" xfId="0" applyNumberFormat="1" applyBorder="1"/>
    <xf numFmtId="0" fontId="0" fillId="0" borderId="17" xfId="0" applyNumberFormat="1" applyBorder="1" applyAlignment="1">
      <alignment horizontal="center"/>
    </xf>
    <xf numFmtId="0" fontId="0" fillId="0" borderId="12" xfId="0" applyNumberFormat="1" applyBorder="1" applyAlignment="1">
      <alignment horizontal="center"/>
    </xf>
    <xf numFmtId="0" fontId="0" fillId="0" borderId="18" xfId="0" applyNumberFormat="1" applyBorder="1" applyAlignment="1">
      <alignment horizontal="center"/>
    </xf>
    <xf numFmtId="171" fontId="0" fillId="0" borderId="13" xfId="0" applyNumberFormat="1" applyBorder="1"/>
    <xf numFmtId="171" fontId="0" fillId="0" borderId="16" xfId="0" applyNumberFormat="1" applyBorder="1"/>
    <xf numFmtId="171" fontId="0" fillId="0" borderId="10" xfId="0" applyNumberFormat="1" applyBorder="1"/>
    <xf numFmtId="171" fontId="0" fillId="0" borderId="0" xfId="0" applyNumberFormat="1" applyBorder="1"/>
    <xf numFmtId="164" fontId="0" fillId="0" borderId="10" xfId="3" applyNumberFormat="1" applyFont="1" applyBorder="1"/>
    <xf numFmtId="164" fontId="0" fillId="0" borderId="0" xfId="3" applyNumberFormat="1" applyFont="1" applyBorder="1"/>
    <xf numFmtId="164" fontId="0" fillId="0" borderId="9" xfId="3" applyNumberFormat="1" applyFont="1" applyBorder="1"/>
    <xf numFmtId="164" fontId="0" fillId="0" borderId="15" xfId="3" applyNumberFormat="1" applyFont="1" applyBorder="1"/>
    <xf numFmtId="164" fontId="0" fillId="0" borderId="11" xfId="3" applyNumberFormat="1" applyFont="1" applyBorder="1"/>
    <xf numFmtId="164" fontId="0" fillId="0" borderId="19" xfId="3" applyNumberFormat="1" applyFont="1" applyBorder="1"/>
    <xf numFmtId="171" fontId="0" fillId="0" borderId="14" xfId="0" applyNumberFormat="1" applyBorder="1"/>
    <xf numFmtId="171" fontId="0" fillId="0" borderId="9" xfId="0" applyNumberFormat="1" applyBorder="1"/>
    <xf numFmtId="0" fontId="1" fillId="0" borderId="10" xfId="0" applyFont="1" applyBorder="1"/>
    <xf numFmtId="172" fontId="0" fillId="0" borderId="0" xfId="0" applyNumberFormat="1"/>
    <xf numFmtId="0" fontId="1" fillId="11" borderId="0" xfId="0" applyFont="1" applyFill="1" applyBorder="1"/>
    <xf numFmtId="3" fontId="1" fillId="11" borderId="0" xfId="0" applyNumberFormat="1" applyFont="1" applyFill="1" applyBorder="1"/>
    <xf numFmtId="44" fontId="1" fillId="11" borderId="0" xfId="2" applyFont="1" applyFill="1" applyBorder="1"/>
    <xf numFmtId="0" fontId="0" fillId="11" borderId="0" xfId="0" applyFill="1" applyBorder="1"/>
    <xf numFmtId="165" fontId="0" fillId="11" borderId="0" xfId="2" applyNumberFormat="1" applyFont="1" applyFill="1" applyBorder="1"/>
    <xf numFmtId="169" fontId="0" fillId="0" borderId="0" xfId="0" applyNumberFormat="1"/>
    <xf numFmtId="0" fontId="0" fillId="19" borderId="0" xfId="8" applyFont="1" applyAlignment="1">
      <alignment horizontal="left" vertical="center" wrapText="1"/>
    </xf>
    <xf numFmtId="175" fontId="0" fillId="12" borderId="10" xfId="0" quotePrefix="1" applyNumberFormat="1" applyFill="1" applyBorder="1" applyAlignment="1">
      <alignment horizontal="center"/>
    </xf>
    <xf numFmtId="175" fontId="0" fillId="12" borderId="0" xfId="0" quotePrefix="1" applyNumberFormat="1" applyFill="1" applyBorder="1" applyAlignment="1">
      <alignment horizontal="center"/>
    </xf>
    <xf numFmtId="0" fontId="11" fillId="0" borderId="0" xfId="9" applyBorder="1" applyAlignment="1">
      <alignment horizontal="left"/>
    </xf>
    <xf numFmtId="0" fontId="0" fillId="4" borderId="13" xfId="0" applyFont="1" applyFill="1" applyBorder="1" applyAlignment="1">
      <alignment horizontal="center" wrapText="1"/>
    </xf>
    <xf numFmtId="0" fontId="0" fillId="4" borderId="16" xfId="0" applyFont="1" applyFill="1" applyBorder="1" applyAlignment="1">
      <alignment horizontal="center" wrapText="1"/>
    </xf>
    <xf numFmtId="0" fontId="0" fillId="4" borderId="14" xfId="0" applyFont="1" applyFill="1" applyBorder="1" applyAlignment="1">
      <alignment horizontal="center" wrapText="1"/>
    </xf>
    <xf numFmtId="44" fontId="0" fillId="14" borderId="10" xfId="2" applyFont="1" applyFill="1" applyBorder="1" applyAlignment="1">
      <alignment horizontal="left" vertical="center" wrapText="1"/>
    </xf>
    <xf numFmtId="0" fontId="1" fillId="4" borderId="10" xfId="0" applyFont="1" applyFill="1" applyBorder="1" applyAlignment="1">
      <alignment horizontal="center" wrapText="1"/>
    </xf>
    <xf numFmtId="0" fontId="1" fillId="4" borderId="0" xfId="0" applyFont="1" applyFill="1" applyBorder="1" applyAlignment="1">
      <alignment horizontal="center" wrapText="1"/>
    </xf>
    <xf numFmtId="0" fontId="1" fillId="4" borderId="9" xfId="0" applyFont="1" applyFill="1" applyBorder="1" applyAlignment="1">
      <alignment horizontal="center" wrapText="1"/>
    </xf>
    <xf numFmtId="44" fontId="0" fillId="14" borderId="11" xfId="2" applyFont="1" applyFill="1" applyBorder="1" applyAlignment="1">
      <alignment horizontal="right" vertical="center"/>
    </xf>
    <xf numFmtId="3" fontId="0" fillId="14" borderId="10" xfId="0" applyNumberFormat="1" applyFill="1" applyBorder="1" applyAlignment="1">
      <alignment horizontal="center" vertical="center" wrapText="1"/>
    </xf>
    <xf numFmtId="3" fontId="0" fillId="14" borderId="9" xfId="0" applyNumberFormat="1" applyFill="1" applyBorder="1" applyAlignment="1">
      <alignment horizontal="center" vertical="center"/>
    </xf>
    <xf numFmtId="0" fontId="1" fillId="4" borderId="11" xfId="0" applyFont="1" applyFill="1" applyBorder="1" applyAlignment="1">
      <alignment horizontal="center" wrapText="1"/>
    </xf>
    <xf numFmtId="0" fontId="1" fillId="4" borderId="20" xfId="0" applyFont="1" applyFill="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21" borderId="21" xfId="0" applyFont="1" applyFill="1" applyBorder="1" applyAlignment="1">
      <alignment horizontal="center"/>
    </xf>
    <xf numFmtId="0" fontId="1" fillId="21" borderId="23" xfId="0" applyFont="1" applyFill="1" applyBorder="1" applyAlignment="1">
      <alignment horizontal="center"/>
    </xf>
    <xf numFmtId="0" fontId="0" fillId="0" borderId="25" xfId="0" applyBorder="1" applyAlignment="1">
      <alignment horizontal="left" wrapText="1"/>
    </xf>
    <xf numFmtId="0" fontId="0" fillId="0" borderId="0" xfId="0" applyBorder="1" applyAlignment="1">
      <alignment horizontal="center" wrapText="1"/>
    </xf>
    <xf numFmtId="0" fontId="1" fillId="21" borderId="22" xfId="0" applyFont="1" applyFill="1" applyBorder="1" applyAlignment="1">
      <alignment horizontal="center"/>
    </xf>
    <xf numFmtId="0" fontId="0" fillId="0" borderId="0" xfId="0" applyAlignment="1">
      <alignment horizontal="left" wrapText="1"/>
    </xf>
    <xf numFmtId="0" fontId="13" fillId="22" borderId="2" xfId="11" applyFont="1" applyBorder="1" applyAlignment="1">
      <alignment horizontal="left" wrapText="1"/>
    </xf>
    <xf numFmtId="0" fontId="0" fillId="0" borderId="10"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0" xfId="0" applyBorder="1" applyAlignment="1">
      <alignment horizontal="center" wrapText="1"/>
    </xf>
    <xf numFmtId="0" fontId="0" fillId="0" borderId="9" xfId="0" applyFill="1"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0" fontId="0" fillId="0" borderId="13" xfId="0"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center"/>
    </xf>
    <xf numFmtId="0" fontId="0" fillId="0" borderId="19" xfId="0" applyFill="1" applyBorder="1" applyAlignment="1">
      <alignment horizontal="center"/>
    </xf>
    <xf numFmtId="0" fontId="0" fillId="0" borderId="29" xfId="0" applyBorder="1" applyAlignment="1">
      <alignment horizontal="center"/>
    </xf>
    <xf numFmtId="0" fontId="0" fillId="0" borderId="14"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20" xfId="0" applyBorder="1" applyAlignment="1">
      <alignment horizontal="center" wrapText="1"/>
    </xf>
    <xf numFmtId="0" fontId="1" fillId="0" borderId="12" xfId="0" applyFont="1" applyBorder="1" applyAlignment="1">
      <alignment horizontal="center"/>
    </xf>
  </cellXfs>
  <cellStyles count="12">
    <cellStyle name="20% - Accent1" xfId="8" builtinId="30"/>
    <cellStyle name="Accent3" xfId="11" builtinId="37"/>
    <cellStyle name="Comma" xfId="1" builtinId="3"/>
    <cellStyle name="Currency" xfId="2" builtinId="4"/>
    <cellStyle name="Heading 1" xfId="9" builtinId="16"/>
    <cellStyle name="Hyperlink 2" xfId="5"/>
    <cellStyle name="Normal" xfId="0" builtinId="0"/>
    <cellStyle name="Normal 2" xfId="6"/>
    <cellStyle name="Normal 3" xfId="7"/>
    <cellStyle name="Normal 4" xfId="4"/>
    <cellStyle name="Percent" xfId="3" builtinId="5"/>
    <cellStyle name="Total" xfId="10" builtinId="25"/>
  </cellStyles>
  <dxfs count="4">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0" justifyLastLine="0" shrinkToFit="0" mergeCell="0" readingOrder="0"/>
    </dxf>
  </dxfs>
  <tableStyles count="0" defaultTableStyle="TableStyleMedium9" defaultPivotStyle="PivotStyleLight16"/>
  <colors>
    <mruColors>
      <color rgb="FFEAF1DD"/>
      <color rgb="FFF1EADD"/>
      <color rgb="FFFDF3D9"/>
      <color rgb="FF95B3D7"/>
      <color rgb="FFDBE5F1"/>
      <color rgb="FF93CDDD"/>
      <color rgb="FF93EEF3"/>
      <color rgb="FFDBEEF3"/>
      <color rgb="FFD5EED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e1" displayName="Table1" ref="A2:E6" totalsRowShown="0">
  <autoFilter ref="A2:E6"/>
  <tableColumns count="5">
    <tableColumn id="1" name="Criterion"/>
    <tableColumn id="2" name="Description" dataDxfId="3"/>
    <tableColumn id="3" name="Base Case - DWT" dataDxfId="2"/>
    <tableColumn id="4" name="Ferrate" dataDxfId="1"/>
    <tableColumn id="5" name="Conventional UV"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C11"/>
  <sheetViews>
    <sheetView tabSelected="1" workbookViewId="0">
      <selection activeCell="B1" sqref="B1"/>
    </sheetView>
  </sheetViews>
  <sheetFormatPr defaultRowHeight="15"/>
  <cols>
    <col min="1" max="1" width="4.140625" customWidth="1"/>
    <col min="2" max="2" width="23" customWidth="1"/>
    <col min="3" max="3" width="64.140625" customWidth="1"/>
  </cols>
  <sheetData>
    <row r="2" spans="2:3" ht="19.5">
      <c r="B2" s="344" t="s">
        <v>260</v>
      </c>
      <c r="C2" s="344"/>
    </row>
    <row r="3" spans="2:3" ht="15.75" thickBot="1">
      <c r="B3" s="249" t="s">
        <v>261</v>
      </c>
      <c r="C3" s="249"/>
    </row>
    <row r="4" spans="2:3" ht="45.75" thickTop="1">
      <c r="B4" s="250" t="s">
        <v>262</v>
      </c>
      <c r="C4" s="251" t="s">
        <v>269</v>
      </c>
    </row>
    <row r="5" spans="2:3" ht="45">
      <c r="B5" s="250" t="s">
        <v>35</v>
      </c>
      <c r="C5" s="251" t="s">
        <v>271</v>
      </c>
    </row>
    <row r="6" spans="2:3" ht="45">
      <c r="B6" s="250" t="s">
        <v>263</v>
      </c>
      <c r="C6" s="251" t="s">
        <v>270</v>
      </c>
    </row>
    <row r="7" spans="2:3" ht="45">
      <c r="B7" s="250" t="s">
        <v>264</v>
      </c>
      <c r="C7" s="251" t="s">
        <v>272</v>
      </c>
    </row>
    <row r="8" spans="2:3" ht="60">
      <c r="B8" s="250" t="s">
        <v>265</v>
      </c>
      <c r="C8" s="251" t="s">
        <v>273</v>
      </c>
    </row>
    <row r="9" spans="2:3" ht="90">
      <c r="B9" s="250" t="s">
        <v>266</v>
      </c>
      <c r="C9" s="341" t="s">
        <v>471</v>
      </c>
    </row>
    <row r="10" spans="2:3" ht="30">
      <c r="B10" s="250" t="s">
        <v>267</v>
      </c>
      <c r="C10" s="251" t="s">
        <v>274</v>
      </c>
    </row>
    <row r="11" spans="2:3" ht="30">
      <c r="B11" s="250" t="s">
        <v>268</v>
      </c>
      <c r="C11" s="251" t="s">
        <v>275</v>
      </c>
    </row>
  </sheetData>
  <mergeCells count="1">
    <mergeCell ref="B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0"/>
  <sheetViews>
    <sheetView workbookViewId="0">
      <selection activeCell="A7" sqref="A7"/>
    </sheetView>
  </sheetViews>
  <sheetFormatPr defaultRowHeight="15"/>
  <cols>
    <col min="1" max="1" width="17.7109375" customWidth="1"/>
    <col min="2" max="2" width="31.42578125" customWidth="1"/>
    <col min="3" max="3" width="36.7109375" customWidth="1"/>
    <col min="4" max="4" width="27.42578125" customWidth="1"/>
    <col min="5" max="5" width="27.5703125" customWidth="1"/>
  </cols>
  <sheetData>
    <row r="1" spans="1:5">
      <c r="A1" t="s">
        <v>66</v>
      </c>
    </row>
    <row r="2" spans="1:5">
      <c r="A2" t="s">
        <v>67</v>
      </c>
      <c r="B2" t="s">
        <v>68</v>
      </c>
      <c r="C2" t="s">
        <v>76</v>
      </c>
      <c r="D2" s="90" t="s">
        <v>133</v>
      </c>
      <c r="E2" s="90" t="s">
        <v>276</v>
      </c>
    </row>
    <row r="3" spans="1:5" ht="30">
      <c r="A3" t="s">
        <v>69</v>
      </c>
      <c r="B3" s="1" t="s">
        <v>70</v>
      </c>
      <c r="C3" s="1" t="s">
        <v>71</v>
      </c>
      <c r="D3" s="1" t="s">
        <v>467</v>
      </c>
      <c r="E3" s="1" t="s">
        <v>467</v>
      </c>
    </row>
    <row r="4" spans="1:5" ht="30">
      <c r="A4" t="s">
        <v>72</v>
      </c>
      <c r="B4" s="1" t="s">
        <v>75</v>
      </c>
      <c r="C4" s="1" t="s">
        <v>78</v>
      </c>
      <c r="D4" s="1" t="s">
        <v>468</v>
      </c>
      <c r="E4" s="1" t="s">
        <v>468</v>
      </c>
    </row>
    <row r="5" spans="1:5" ht="30">
      <c r="A5" t="s">
        <v>73</v>
      </c>
      <c r="B5" s="1" t="s">
        <v>77</v>
      </c>
      <c r="C5" s="1" t="s">
        <v>79</v>
      </c>
      <c r="D5" s="1" t="s">
        <v>469</v>
      </c>
      <c r="E5" s="1" t="s">
        <v>470</v>
      </c>
    </row>
    <row r="6" spans="1:5" ht="30">
      <c r="A6" t="s">
        <v>74</v>
      </c>
      <c r="B6" s="1" t="s">
        <v>80</v>
      </c>
      <c r="C6" s="1" t="s">
        <v>79</v>
      </c>
      <c r="D6" s="1" t="s">
        <v>469</v>
      </c>
      <c r="E6" s="1" t="s">
        <v>470</v>
      </c>
    </row>
    <row r="7" spans="1:5">
      <c r="B7" s="1"/>
    </row>
    <row r="8" spans="1:5">
      <c r="B8" s="1"/>
    </row>
    <row r="9" spans="1:5">
      <c r="B9" s="1"/>
    </row>
    <row r="10" spans="1:5">
      <c r="B10" s="1"/>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B2:I110"/>
  <sheetViews>
    <sheetView topLeftCell="A37" zoomScale="80" zoomScaleNormal="80" workbookViewId="0">
      <selection activeCell="C47" sqref="C47"/>
    </sheetView>
  </sheetViews>
  <sheetFormatPr defaultRowHeight="15"/>
  <cols>
    <col min="1" max="1" width="6.28515625" customWidth="1"/>
    <col min="2" max="2" width="69.140625" customWidth="1"/>
    <col min="3" max="3" width="14.85546875" bestFit="1" customWidth="1"/>
    <col min="6" max="6" width="21.28515625" style="90" customWidth="1"/>
    <col min="7" max="7" width="14.85546875" bestFit="1" customWidth="1"/>
    <col min="8" max="8" width="15.140625" customWidth="1"/>
    <col min="9" max="9" width="57.28515625" bestFit="1" customWidth="1"/>
  </cols>
  <sheetData>
    <row r="2" spans="2:9">
      <c r="B2" s="61" t="s">
        <v>9</v>
      </c>
      <c r="C2" s="74"/>
      <c r="D2" s="74"/>
      <c r="E2" s="74"/>
      <c r="F2" s="74"/>
      <c r="G2" s="74"/>
      <c r="H2" s="74"/>
      <c r="I2" s="81" t="s">
        <v>128</v>
      </c>
    </row>
    <row r="3" spans="2:9" ht="30">
      <c r="B3" s="62" t="s">
        <v>323</v>
      </c>
      <c r="C3" s="72">
        <v>44396000000</v>
      </c>
      <c r="D3" s="73"/>
      <c r="E3" s="73"/>
      <c r="F3" s="73"/>
      <c r="G3" s="73"/>
      <c r="H3" s="73"/>
      <c r="I3" s="267" t="s">
        <v>322</v>
      </c>
    </row>
    <row r="4" spans="2:9">
      <c r="B4" s="62" t="s">
        <v>324</v>
      </c>
      <c r="C4" s="72">
        <v>38747000000</v>
      </c>
      <c r="D4" s="73"/>
      <c r="E4" s="73"/>
      <c r="F4" s="73"/>
      <c r="G4" s="73"/>
      <c r="H4" s="73"/>
      <c r="I4" s="82"/>
    </row>
    <row r="5" spans="2:9">
      <c r="B5" s="62" t="s">
        <v>325</v>
      </c>
      <c r="C5" s="72">
        <f>17950*1000000</f>
        <v>17950000000</v>
      </c>
      <c r="D5" s="73"/>
      <c r="E5" s="73"/>
      <c r="F5" s="73"/>
      <c r="G5" s="73"/>
      <c r="H5" s="73"/>
      <c r="I5" s="82"/>
    </row>
    <row r="6" spans="2:9">
      <c r="B6" s="62" t="s">
        <v>326</v>
      </c>
      <c r="C6" s="72">
        <f>13610*1000000</f>
        <v>13610000000</v>
      </c>
      <c r="D6" s="73"/>
      <c r="E6" s="73"/>
      <c r="F6" s="73"/>
      <c r="G6" s="73"/>
      <c r="H6" s="73"/>
      <c r="I6" s="82"/>
    </row>
    <row r="7" spans="2:9">
      <c r="B7" s="62" t="s">
        <v>327</v>
      </c>
      <c r="C7" s="72">
        <f>5840*1000000</f>
        <v>5840000000</v>
      </c>
      <c r="D7" s="73"/>
      <c r="E7" s="73"/>
      <c r="F7" s="73"/>
      <c r="G7" s="73"/>
      <c r="H7" s="73"/>
      <c r="I7" s="82"/>
    </row>
    <row r="8" spans="2:9">
      <c r="B8" s="63" t="s">
        <v>94</v>
      </c>
      <c r="C8" s="75"/>
      <c r="D8" s="76"/>
      <c r="E8" s="76"/>
      <c r="F8" s="76"/>
      <c r="G8" s="76"/>
      <c r="H8" s="76"/>
      <c r="I8" s="75"/>
    </row>
    <row r="9" spans="2:9">
      <c r="B9" s="64" t="s">
        <v>18</v>
      </c>
      <c r="C9" s="77">
        <v>66500000</v>
      </c>
      <c r="D9" s="78"/>
      <c r="E9" s="78"/>
      <c r="F9" s="78"/>
      <c r="G9" s="78"/>
      <c r="H9" s="78"/>
      <c r="I9" s="83" t="s">
        <v>145</v>
      </c>
    </row>
    <row r="10" spans="2:9">
      <c r="B10" s="65" t="s">
        <v>19</v>
      </c>
      <c r="C10" s="77">
        <v>31100000</v>
      </c>
      <c r="D10" s="78"/>
      <c r="E10" s="78"/>
      <c r="F10" s="78"/>
      <c r="G10" s="78"/>
      <c r="H10" s="78"/>
      <c r="I10" s="83"/>
    </row>
    <row r="11" spans="2:9">
      <c r="B11" s="65" t="s">
        <v>20</v>
      </c>
      <c r="C11" s="77">
        <v>15750000</v>
      </c>
      <c r="D11" s="78"/>
      <c r="E11" s="78"/>
      <c r="F11" s="78"/>
      <c r="G11" s="78"/>
      <c r="H11" s="78"/>
      <c r="I11" s="83"/>
    </row>
    <row r="12" spans="2:9">
      <c r="B12" s="65" t="s">
        <v>21</v>
      </c>
      <c r="C12" s="77">
        <f>1440000+4400000</f>
        <v>5840000</v>
      </c>
      <c r="D12" s="78"/>
      <c r="E12" s="78"/>
      <c r="F12" s="78"/>
      <c r="G12" s="78"/>
      <c r="H12" s="78"/>
      <c r="I12" s="83" t="s">
        <v>328</v>
      </c>
    </row>
    <row r="13" spans="2:9">
      <c r="B13" s="65" t="s">
        <v>22</v>
      </c>
      <c r="C13" s="77">
        <v>119190000</v>
      </c>
      <c r="D13" s="78"/>
      <c r="E13" s="78"/>
      <c r="F13" s="78"/>
      <c r="G13" s="78"/>
      <c r="H13" s="78"/>
      <c r="I13" s="83"/>
    </row>
    <row r="14" spans="2:9">
      <c r="B14" s="66"/>
      <c r="C14" s="349" t="s">
        <v>98</v>
      </c>
      <c r="D14" s="350"/>
      <c r="E14" s="351"/>
      <c r="F14" s="349" t="s">
        <v>160</v>
      </c>
      <c r="G14" s="351"/>
      <c r="H14" s="355" t="s">
        <v>314</v>
      </c>
      <c r="I14" s="105"/>
    </row>
    <row r="15" spans="2:9" s="90" customFormat="1">
      <c r="B15" s="66"/>
      <c r="C15" s="303" t="s">
        <v>95</v>
      </c>
      <c r="D15" s="304" t="s">
        <v>96</v>
      </c>
      <c r="E15" s="305" t="s">
        <v>97</v>
      </c>
      <c r="F15" s="304" t="s">
        <v>146</v>
      </c>
      <c r="G15" s="305" t="s">
        <v>147</v>
      </c>
      <c r="H15" s="356"/>
      <c r="I15" s="105"/>
    </row>
    <row r="16" spans="2:9">
      <c r="B16" s="96" t="s">
        <v>143</v>
      </c>
      <c r="C16" s="98"/>
      <c r="D16" s="107"/>
      <c r="E16" s="131"/>
      <c r="F16" s="133"/>
      <c r="G16" s="134"/>
      <c r="H16" s="107"/>
      <c r="I16" s="135" t="s">
        <v>145</v>
      </c>
    </row>
    <row r="17" spans="2:9">
      <c r="B17" s="67" t="s">
        <v>23</v>
      </c>
      <c r="C17" s="109"/>
      <c r="D17" s="110"/>
      <c r="E17" s="111"/>
      <c r="F17" s="58"/>
      <c r="G17" s="129"/>
      <c r="H17" s="59"/>
      <c r="I17" s="85"/>
    </row>
    <row r="18" spans="2:9">
      <c r="B18" s="68" t="s">
        <v>8</v>
      </c>
      <c r="C18" s="112" t="s">
        <v>44</v>
      </c>
      <c r="D18" s="113" t="s">
        <v>44</v>
      </c>
      <c r="E18" s="114" t="s">
        <v>44</v>
      </c>
      <c r="F18" s="138" t="s">
        <v>44</v>
      </c>
      <c r="G18" s="130" t="s">
        <v>44</v>
      </c>
      <c r="H18" s="60" t="s">
        <v>44</v>
      </c>
      <c r="I18" s="86"/>
    </row>
    <row r="19" spans="2:9">
      <c r="B19" s="67" t="s">
        <v>24</v>
      </c>
      <c r="C19" s="115"/>
      <c r="D19" s="116"/>
      <c r="E19" s="117"/>
      <c r="F19" s="139"/>
      <c r="G19" s="126"/>
      <c r="H19" s="59"/>
      <c r="I19" s="85"/>
    </row>
    <row r="20" spans="2:9" ht="32.25">
      <c r="B20" s="70" t="s">
        <v>106</v>
      </c>
      <c r="C20" s="118">
        <v>0.96199999999999997</v>
      </c>
      <c r="D20" s="119">
        <v>0.68200000000000005</v>
      </c>
      <c r="E20" s="120">
        <v>1.351</v>
      </c>
      <c r="F20" s="140" t="s">
        <v>158</v>
      </c>
      <c r="G20" s="123">
        <v>1000</v>
      </c>
      <c r="H20" s="56">
        <v>888675</v>
      </c>
      <c r="I20" s="87" t="s">
        <v>315</v>
      </c>
    </row>
    <row r="21" spans="2:9" ht="32.25">
      <c r="B21" s="70" t="s">
        <v>107</v>
      </c>
      <c r="C21" s="118">
        <v>9.6000000000000002E-2</v>
      </c>
      <c r="D21" s="119">
        <v>6.2E-2</v>
      </c>
      <c r="E21" s="120">
        <v>0.161</v>
      </c>
      <c r="F21" s="140" t="s">
        <v>158</v>
      </c>
      <c r="G21" s="123">
        <v>1000</v>
      </c>
      <c r="H21" s="56">
        <v>94000</v>
      </c>
      <c r="I21" s="87" t="s">
        <v>315</v>
      </c>
    </row>
    <row r="22" spans="2:9">
      <c r="B22" s="67" t="s">
        <v>25</v>
      </c>
      <c r="C22" s="115"/>
      <c r="D22" s="116"/>
      <c r="E22" s="117"/>
      <c r="F22" s="139"/>
      <c r="G22" s="126"/>
      <c r="H22" s="59"/>
      <c r="I22" s="85"/>
    </row>
    <row r="23" spans="2:9" ht="32.25">
      <c r="B23" s="70" t="s">
        <v>161</v>
      </c>
      <c r="C23" s="177">
        <f>'Sludge Calculations'!G24</f>
        <v>3.5573854901761939</v>
      </c>
      <c r="D23" s="113">
        <f>'Sludge Calculations'!H24</f>
        <v>0.57268001003104119</v>
      </c>
      <c r="E23" s="178">
        <f>'Sludge Calculations'!I24</f>
        <v>15.38217802999171</v>
      </c>
      <c r="F23" s="140" t="s">
        <v>158</v>
      </c>
      <c r="G23" s="123">
        <v>1000</v>
      </c>
      <c r="H23" s="56">
        <v>15000</v>
      </c>
      <c r="I23" s="246" t="s">
        <v>316</v>
      </c>
    </row>
    <row r="24" spans="2:9">
      <c r="B24" s="67" t="s">
        <v>26</v>
      </c>
      <c r="C24" s="115"/>
      <c r="D24" s="116"/>
      <c r="E24" s="117"/>
      <c r="F24" s="139"/>
      <c r="G24" s="126"/>
      <c r="H24" s="59"/>
      <c r="I24" s="85"/>
    </row>
    <row r="25" spans="2:9" ht="32.25">
      <c r="B25" s="70" t="s">
        <v>108</v>
      </c>
      <c r="C25" s="118">
        <v>0.17699999999999999</v>
      </c>
      <c r="D25" s="119">
        <v>4.5999999999999999E-2</v>
      </c>
      <c r="E25" s="120">
        <v>0.29099999999999998</v>
      </c>
      <c r="F25" s="140" t="s">
        <v>158</v>
      </c>
      <c r="G25" s="123">
        <v>1000</v>
      </c>
      <c r="H25" s="56">
        <v>53985</v>
      </c>
      <c r="I25" s="87" t="s">
        <v>315</v>
      </c>
    </row>
    <row r="26" spans="2:9">
      <c r="B26" s="67" t="s">
        <v>27</v>
      </c>
      <c r="C26" s="115"/>
      <c r="D26" s="116"/>
      <c r="E26" s="117"/>
      <c r="F26" s="139"/>
      <c r="G26" s="126"/>
      <c r="H26" s="59"/>
      <c r="I26" s="85"/>
    </row>
    <row r="27" spans="2:9" ht="32.25">
      <c r="B27" s="70" t="s">
        <v>105</v>
      </c>
      <c r="C27" s="118">
        <v>0.42799999999999999</v>
      </c>
      <c r="D27" s="113" t="s">
        <v>44</v>
      </c>
      <c r="E27" s="114" t="s">
        <v>44</v>
      </c>
      <c r="F27" s="140" t="s">
        <v>158</v>
      </c>
      <c r="G27" s="123">
        <v>1000</v>
      </c>
      <c r="H27" s="56"/>
      <c r="I27" s="87"/>
    </row>
    <row r="28" spans="2:9">
      <c r="B28" s="70" t="s">
        <v>58</v>
      </c>
      <c r="C28" s="112" t="s">
        <v>44</v>
      </c>
      <c r="D28" s="113" t="s">
        <v>44</v>
      </c>
      <c r="E28" s="114" t="s">
        <v>44</v>
      </c>
      <c r="F28" s="140"/>
      <c r="G28" s="123"/>
      <c r="H28" s="56">
        <f>10000+20000</f>
        <v>30000</v>
      </c>
      <c r="I28" s="87" t="s">
        <v>315</v>
      </c>
    </row>
    <row r="29" spans="2:9">
      <c r="B29" s="67" t="s">
        <v>28</v>
      </c>
      <c r="C29" s="115"/>
      <c r="D29" s="116"/>
      <c r="E29" s="117"/>
      <c r="F29" s="139"/>
      <c r="G29" s="126"/>
      <c r="H29" s="59"/>
      <c r="I29" s="85"/>
    </row>
    <row r="30" spans="2:9" ht="32.25">
      <c r="B30" s="70" t="s">
        <v>104</v>
      </c>
      <c r="C30" s="118">
        <v>0.156</v>
      </c>
      <c r="D30" s="113" t="s">
        <v>44</v>
      </c>
      <c r="E30" s="114" t="s">
        <v>44</v>
      </c>
      <c r="F30" s="140" t="s">
        <v>158</v>
      </c>
      <c r="G30" s="123">
        <v>1000</v>
      </c>
      <c r="H30" s="56">
        <v>1070955</v>
      </c>
      <c r="I30" s="87" t="s">
        <v>315</v>
      </c>
    </row>
    <row r="31" spans="2:9">
      <c r="B31" s="67" t="s">
        <v>32</v>
      </c>
      <c r="C31" s="115"/>
      <c r="D31" s="116"/>
      <c r="E31" s="117"/>
      <c r="F31" s="139"/>
      <c r="G31" s="126"/>
      <c r="H31" s="59"/>
      <c r="I31" s="85"/>
    </row>
    <row r="32" spans="2:9" ht="30">
      <c r="B32" s="70" t="s">
        <v>112</v>
      </c>
      <c r="C32" s="121">
        <f>42000*100*C33</f>
        <v>75600000</v>
      </c>
      <c r="D32" s="132" t="s">
        <v>44</v>
      </c>
      <c r="E32" s="130" t="s">
        <v>44</v>
      </c>
      <c r="F32" s="141" t="s">
        <v>159</v>
      </c>
      <c r="G32" s="123">
        <f>C4</f>
        <v>38747000000</v>
      </c>
      <c r="H32" s="60" t="s">
        <v>44</v>
      </c>
      <c r="I32" s="87" t="s">
        <v>129</v>
      </c>
    </row>
    <row r="33" spans="2:9" ht="30">
      <c r="B33" s="70" t="s">
        <v>122</v>
      </c>
      <c r="C33" s="121">
        <v>18</v>
      </c>
      <c r="D33" s="132" t="s">
        <v>44</v>
      </c>
      <c r="E33" s="130" t="s">
        <v>44</v>
      </c>
      <c r="F33" s="141" t="s">
        <v>159</v>
      </c>
      <c r="G33" s="123">
        <f>C4</f>
        <v>38747000000</v>
      </c>
      <c r="H33" s="60" t="s">
        <v>44</v>
      </c>
      <c r="I33" s="87"/>
    </row>
    <row r="34" spans="2:9">
      <c r="B34" s="70" t="s">
        <v>125</v>
      </c>
      <c r="C34" s="121" t="s">
        <v>44</v>
      </c>
      <c r="D34" s="122" t="s">
        <v>44</v>
      </c>
      <c r="E34" s="123" t="s">
        <v>44</v>
      </c>
      <c r="F34" s="142" t="s">
        <v>44</v>
      </c>
      <c r="G34" s="123" t="s">
        <v>44</v>
      </c>
      <c r="H34" s="56">
        <v>11500</v>
      </c>
      <c r="I34" s="87" t="s">
        <v>315</v>
      </c>
    </row>
    <row r="35" spans="2:9">
      <c r="B35" s="70" t="s">
        <v>7</v>
      </c>
      <c r="C35" s="121" t="s">
        <v>44</v>
      </c>
      <c r="D35" s="122" t="s">
        <v>44</v>
      </c>
      <c r="E35" s="123" t="s">
        <v>44</v>
      </c>
      <c r="F35" s="142" t="s">
        <v>44</v>
      </c>
      <c r="G35" s="123" t="s">
        <v>44</v>
      </c>
      <c r="H35" s="56">
        <v>4000</v>
      </c>
      <c r="I35" s="87" t="s">
        <v>315</v>
      </c>
    </row>
    <row r="36" spans="2:9">
      <c r="B36" s="67" t="s">
        <v>29</v>
      </c>
      <c r="C36" s="115"/>
      <c r="D36" s="116"/>
      <c r="E36" s="117"/>
      <c r="F36" s="139"/>
      <c r="G36" s="126"/>
      <c r="H36" s="59"/>
      <c r="I36" s="85"/>
    </row>
    <row r="37" spans="2:9" ht="32.25">
      <c r="B37" s="70" t="s">
        <v>103</v>
      </c>
      <c r="C37" s="118">
        <v>1.073</v>
      </c>
      <c r="D37" s="119">
        <v>0.61699999999999999</v>
      </c>
      <c r="E37" s="120">
        <v>2.1629999999999998</v>
      </c>
      <c r="F37" s="140" t="s">
        <v>158</v>
      </c>
      <c r="G37" s="123">
        <v>1000</v>
      </c>
      <c r="H37" s="56">
        <v>639756</v>
      </c>
      <c r="I37" s="87" t="s">
        <v>315</v>
      </c>
    </row>
    <row r="38" spans="2:9" ht="32.25">
      <c r="B38" s="70" t="s">
        <v>102</v>
      </c>
      <c r="C38" s="118">
        <v>0.121</v>
      </c>
      <c r="D38" s="119">
        <v>8.2000000000000003E-2</v>
      </c>
      <c r="E38" s="120">
        <v>0.17299999999999999</v>
      </c>
      <c r="F38" s="140" t="s">
        <v>158</v>
      </c>
      <c r="G38" s="123">
        <v>1000</v>
      </c>
      <c r="H38" s="56">
        <v>258687</v>
      </c>
      <c r="I38" s="87" t="s">
        <v>315</v>
      </c>
    </row>
    <row r="39" spans="2:9">
      <c r="B39" s="67" t="s">
        <v>30</v>
      </c>
      <c r="C39" s="115"/>
      <c r="D39" s="116"/>
      <c r="E39" s="117"/>
      <c r="F39" s="139"/>
      <c r="G39" s="126"/>
      <c r="H39" s="59"/>
      <c r="I39" s="85"/>
    </row>
    <row r="40" spans="2:9" ht="32.25">
      <c r="B40" s="70" t="s">
        <v>101</v>
      </c>
      <c r="C40" s="118">
        <v>0.11</v>
      </c>
      <c r="D40" s="119">
        <v>0.08</v>
      </c>
      <c r="E40" s="120">
        <v>0.161</v>
      </c>
      <c r="F40" s="140" t="s">
        <v>158</v>
      </c>
      <c r="G40" s="123">
        <v>1000</v>
      </c>
      <c r="H40" s="56">
        <v>117926</v>
      </c>
      <c r="I40" s="87" t="s">
        <v>315</v>
      </c>
    </row>
    <row r="41" spans="2:9" ht="30">
      <c r="B41" s="70" t="s">
        <v>62</v>
      </c>
      <c r="C41" s="112" t="s">
        <v>44</v>
      </c>
      <c r="D41" s="113" t="s">
        <v>44</v>
      </c>
      <c r="E41" s="114" t="s">
        <v>44</v>
      </c>
      <c r="F41" s="138" t="s">
        <v>44</v>
      </c>
      <c r="G41" s="130" t="s">
        <v>44</v>
      </c>
      <c r="H41" s="56">
        <v>10000</v>
      </c>
      <c r="I41" s="246" t="s">
        <v>317</v>
      </c>
    </row>
    <row r="42" spans="2:9" ht="30">
      <c r="B42" s="70" t="s">
        <v>126</v>
      </c>
      <c r="C42" s="112" t="s">
        <v>44</v>
      </c>
      <c r="D42" s="113" t="s">
        <v>44</v>
      </c>
      <c r="E42" s="114" t="s">
        <v>44</v>
      </c>
      <c r="F42" s="138" t="s">
        <v>44</v>
      </c>
      <c r="G42" s="123" t="s">
        <v>44</v>
      </c>
      <c r="H42" s="56">
        <v>200</v>
      </c>
      <c r="I42" s="246" t="s">
        <v>318</v>
      </c>
    </row>
    <row r="43" spans="2:9">
      <c r="B43" s="67" t="s">
        <v>132</v>
      </c>
      <c r="C43" s="115"/>
      <c r="D43" s="116"/>
      <c r="E43" s="117"/>
      <c r="F43" s="139"/>
      <c r="G43" s="126"/>
      <c r="H43" s="59"/>
      <c r="I43" s="85"/>
    </row>
    <row r="44" spans="2:9" ht="32.25">
      <c r="B44" s="70" t="s">
        <v>100</v>
      </c>
      <c r="C44" s="118">
        <v>0.23699999999999999</v>
      </c>
      <c r="D44" s="119">
        <v>0.19</v>
      </c>
      <c r="E44" s="120">
        <v>0.34100000000000003</v>
      </c>
      <c r="F44" s="140" t="s">
        <v>158</v>
      </c>
      <c r="G44" s="123">
        <v>1000</v>
      </c>
      <c r="H44" s="56">
        <v>364796</v>
      </c>
      <c r="I44" s="87" t="s">
        <v>315</v>
      </c>
    </row>
    <row r="45" spans="2:9">
      <c r="B45" s="67" t="s">
        <v>38</v>
      </c>
      <c r="C45" s="115"/>
      <c r="D45" s="116"/>
      <c r="E45" s="117"/>
      <c r="F45" s="139"/>
      <c r="G45" s="126"/>
      <c r="H45" s="59"/>
      <c r="I45" s="85"/>
    </row>
    <row r="46" spans="2:9" ht="30">
      <c r="B46" s="70" t="s">
        <v>116</v>
      </c>
      <c r="C46" s="121">
        <v>76137689</v>
      </c>
      <c r="D46" s="122" t="s">
        <v>44</v>
      </c>
      <c r="E46" s="123" t="s">
        <v>44</v>
      </c>
      <c r="F46" s="141" t="s">
        <v>159</v>
      </c>
      <c r="G46" s="123">
        <f>C4</f>
        <v>38747000000</v>
      </c>
      <c r="H46" s="71" t="s">
        <v>44</v>
      </c>
      <c r="I46" s="88"/>
    </row>
    <row r="47" spans="2:9" ht="32.25">
      <c r="B47" s="70" t="s">
        <v>99</v>
      </c>
      <c r="C47" s="118">
        <v>2.3E-2</v>
      </c>
      <c r="D47" s="119">
        <v>0.01</v>
      </c>
      <c r="E47" s="120">
        <v>4.2000000000000003E-2</v>
      </c>
      <c r="F47" s="140" t="s">
        <v>158</v>
      </c>
      <c r="G47" s="123">
        <v>1000</v>
      </c>
      <c r="H47" s="56">
        <v>10896</v>
      </c>
      <c r="I47" s="87" t="s">
        <v>315</v>
      </c>
    </row>
    <row r="48" spans="2:9">
      <c r="B48" s="67" t="s">
        <v>36</v>
      </c>
      <c r="C48" s="124"/>
      <c r="D48" s="125"/>
      <c r="E48" s="126"/>
      <c r="F48" s="143"/>
      <c r="G48" s="126"/>
      <c r="H48" s="59"/>
      <c r="I48" s="85"/>
    </row>
    <row r="49" spans="2:9" ht="30">
      <c r="B49" s="69" t="s">
        <v>53</v>
      </c>
      <c r="C49" s="121"/>
      <c r="D49" s="122"/>
      <c r="E49" s="123"/>
      <c r="F49" s="141" t="s">
        <v>159</v>
      </c>
      <c r="G49" s="123">
        <f>C4</f>
        <v>38747000000</v>
      </c>
      <c r="H49" s="56">
        <v>1822389.855</v>
      </c>
      <c r="I49" s="246" t="s">
        <v>319</v>
      </c>
    </row>
    <row r="50" spans="2:9">
      <c r="B50" s="68" t="s">
        <v>109</v>
      </c>
      <c r="C50" s="121" t="s">
        <v>44</v>
      </c>
      <c r="D50" s="122" t="s">
        <v>44</v>
      </c>
      <c r="E50" s="123" t="s">
        <v>44</v>
      </c>
      <c r="F50" s="142" t="s">
        <v>44</v>
      </c>
      <c r="G50" s="123" t="s">
        <v>44</v>
      </c>
      <c r="H50" s="56">
        <v>400000</v>
      </c>
      <c r="I50" s="87" t="s">
        <v>320</v>
      </c>
    </row>
    <row r="51" spans="2:9" ht="30">
      <c r="B51" s="68" t="s">
        <v>118</v>
      </c>
      <c r="C51" s="121">
        <v>39125286</v>
      </c>
      <c r="D51" s="122" t="s">
        <v>44</v>
      </c>
      <c r="E51" s="123" t="s">
        <v>44</v>
      </c>
      <c r="F51" s="141" t="s">
        <v>159</v>
      </c>
      <c r="G51" s="123">
        <f>C4</f>
        <v>38747000000</v>
      </c>
      <c r="H51" s="71" t="s">
        <v>44</v>
      </c>
      <c r="I51" s="88"/>
    </row>
    <row r="52" spans="2:9">
      <c r="B52" s="68" t="s">
        <v>110</v>
      </c>
      <c r="C52" s="121" t="s">
        <v>44</v>
      </c>
      <c r="D52" s="122" t="s">
        <v>44</v>
      </c>
      <c r="E52" s="123" t="s">
        <v>44</v>
      </c>
      <c r="F52" s="142" t="s">
        <v>44</v>
      </c>
      <c r="G52" s="123" t="s">
        <v>44</v>
      </c>
      <c r="H52" s="57">
        <v>3.2800000000000003E-2</v>
      </c>
      <c r="I52" s="89"/>
    </row>
    <row r="53" spans="2:9" ht="30">
      <c r="B53" s="68" t="s">
        <v>119</v>
      </c>
      <c r="C53" s="121">
        <v>2287186</v>
      </c>
      <c r="D53" s="122" t="s">
        <v>44</v>
      </c>
      <c r="E53" s="123" t="s">
        <v>44</v>
      </c>
      <c r="F53" s="141" t="s">
        <v>159</v>
      </c>
      <c r="G53" s="123">
        <f>C4</f>
        <v>38747000000</v>
      </c>
      <c r="H53" s="56">
        <v>0</v>
      </c>
      <c r="I53" s="87" t="s">
        <v>130</v>
      </c>
    </row>
    <row r="54" spans="2:9" ht="17.25">
      <c r="B54" s="68" t="s">
        <v>111</v>
      </c>
      <c r="C54" s="121" t="s">
        <v>44</v>
      </c>
      <c r="D54" s="122" t="s">
        <v>44</v>
      </c>
      <c r="E54" s="123" t="s">
        <v>44</v>
      </c>
      <c r="F54" s="142" t="s">
        <v>44</v>
      </c>
      <c r="G54" s="123" t="s">
        <v>44</v>
      </c>
      <c r="H54" s="57">
        <f>0.5668/100</f>
        <v>5.6679999999999994E-3</v>
      </c>
      <c r="I54" s="89" t="s">
        <v>321</v>
      </c>
    </row>
    <row r="55" spans="2:9" s="90" customFormat="1">
      <c r="B55" s="67" t="s">
        <v>413</v>
      </c>
      <c r="C55" s="124"/>
      <c r="D55" s="125"/>
      <c r="E55" s="126"/>
      <c r="F55" s="143"/>
      <c r="G55" s="126"/>
      <c r="H55" s="59"/>
      <c r="I55" s="85"/>
    </row>
    <row r="56" spans="2:9" s="90" customFormat="1">
      <c r="B56" s="68" t="s">
        <v>414</v>
      </c>
      <c r="C56" s="296">
        <v>0.06</v>
      </c>
      <c r="D56" s="297">
        <v>0.04</v>
      </c>
      <c r="E56" s="298">
        <v>0.08</v>
      </c>
      <c r="F56" s="142" t="s">
        <v>44</v>
      </c>
      <c r="G56" s="130" t="s">
        <v>44</v>
      </c>
      <c r="H56" s="292" t="s">
        <v>44</v>
      </c>
      <c r="I56" s="293"/>
    </row>
    <row r="57" spans="2:9">
      <c r="B57" s="96" t="s">
        <v>144</v>
      </c>
      <c r="C57" s="345"/>
      <c r="D57" s="346"/>
      <c r="E57" s="347"/>
      <c r="F57" s="107"/>
      <c r="G57" s="131"/>
      <c r="H57" s="97"/>
      <c r="I57" s="146" t="s">
        <v>217</v>
      </c>
    </row>
    <row r="58" spans="2:9" s="90" customFormat="1">
      <c r="B58" s="66" t="s">
        <v>149</v>
      </c>
      <c r="C58" s="84"/>
      <c r="D58" s="106"/>
      <c r="E58" s="108"/>
      <c r="F58" s="106"/>
      <c r="G58" s="108"/>
      <c r="H58" s="80"/>
      <c r="I58" s="106"/>
    </row>
    <row r="59" spans="2:9">
      <c r="B59" s="70" t="s">
        <v>135</v>
      </c>
      <c r="C59" s="121" t="s">
        <v>44</v>
      </c>
      <c r="D59" s="122" t="s">
        <v>44</v>
      </c>
      <c r="E59" s="123" t="s">
        <v>44</v>
      </c>
      <c r="F59" s="141" t="s">
        <v>4</v>
      </c>
      <c r="G59" s="123">
        <v>1</v>
      </c>
      <c r="H59" s="99">
        <v>810000</v>
      </c>
      <c r="I59" s="87" t="s">
        <v>175</v>
      </c>
    </row>
    <row r="60" spans="2:9">
      <c r="B60" s="70" t="s">
        <v>136</v>
      </c>
      <c r="C60" s="121" t="s">
        <v>44</v>
      </c>
      <c r="D60" s="122" t="s">
        <v>44</v>
      </c>
      <c r="E60" s="123" t="s">
        <v>44</v>
      </c>
      <c r="F60" s="141" t="s">
        <v>4</v>
      </c>
      <c r="G60" s="123">
        <v>1</v>
      </c>
      <c r="H60" s="99">
        <v>20000</v>
      </c>
      <c r="I60" s="87" t="s">
        <v>175</v>
      </c>
    </row>
    <row r="61" spans="2:9" s="90" customFormat="1">
      <c r="B61" s="70" t="s">
        <v>174</v>
      </c>
      <c r="C61" s="121">
        <v>15</v>
      </c>
      <c r="D61" s="132" t="s">
        <v>44</v>
      </c>
      <c r="E61" s="130" t="s">
        <v>44</v>
      </c>
      <c r="F61" s="141" t="s">
        <v>4</v>
      </c>
      <c r="G61" s="123">
        <v>1</v>
      </c>
      <c r="H61" s="150" t="s">
        <v>44</v>
      </c>
      <c r="I61" s="87"/>
    </row>
    <row r="62" spans="2:9">
      <c r="B62" s="70" t="s">
        <v>137</v>
      </c>
      <c r="C62" s="121" t="s">
        <v>44</v>
      </c>
      <c r="D62" s="122" t="s">
        <v>44</v>
      </c>
      <c r="E62" s="123" t="s">
        <v>44</v>
      </c>
      <c r="F62" s="353" t="s">
        <v>170</v>
      </c>
      <c r="G62" s="354">
        <v>1</v>
      </c>
      <c r="H62" s="352">
        <f>0.25*H59</f>
        <v>202500</v>
      </c>
      <c r="I62" s="348" t="s">
        <v>420</v>
      </c>
    </row>
    <row r="63" spans="2:9">
      <c r="B63" s="70" t="s">
        <v>138</v>
      </c>
      <c r="C63" s="121" t="s">
        <v>44</v>
      </c>
      <c r="D63" s="122" t="s">
        <v>44</v>
      </c>
      <c r="E63" s="123" t="s">
        <v>44</v>
      </c>
      <c r="F63" s="353"/>
      <c r="G63" s="354"/>
      <c r="H63" s="352"/>
      <c r="I63" s="348"/>
    </row>
    <row r="64" spans="2:9">
      <c r="B64" s="70" t="s">
        <v>139</v>
      </c>
      <c r="C64" s="121" t="s">
        <v>44</v>
      </c>
      <c r="D64" s="122" t="s">
        <v>44</v>
      </c>
      <c r="E64" s="123" t="s">
        <v>44</v>
      </c>
      <c r="F64" s="353"/>
      <c r="G64" s="354"/>
      <c r="H64" s="352"/>
      <c r="I64" s="348"/>
    </row>
    <row r="65" spans="2:9">
      <c r="B65" s="70" t="s">
        <v>140</v>
      </c>
      <c r="C65" s="121" t="s">
        <v>44</v>
      </c>
      <c r="D65" s="122" t="s">
        <v>44</v>
      </c>
      <c r="E65" s="123" t="s">
        <v>44</v>
      </c>
      <c r="F65" s="353"/>
      <c r="G65" s="354"/>
      <c r="H65" s="352"/>
      <c r="I65" s="348"/>
    </row>
    <row r="66" spans="2:9">
      <c r="B66" s="70" t="s">
        <v>141</v>
      </c>
      <c r="C66" s="121" t="s">
        <v>44</v>
      </c>
      <c r="D66" s="122" t="s">
        <v>44</v>
      </c>
      <c r="E66" s="123" t="s">
        <v>44</v>
      </c>
      <c r="F66" s="353"/>
      <c r="G66" s="354"/>
      <c r="H66" s="352"/>
      <c r="I66" s="348"/>
    </row>
    <row r="67" spans="2:9" s="90" customFormat="1">
      <c r="B67" s="66" t="s">
        <v>150</v>
      </c>
      <c r="C67" s="84"/>
      <c r="D67" s="106"/>
      <c r="E67" s="108"/>
      <c r="F67" s="106"/>
      <c r="G67" s="108"/>
      <c r="H67" s="80"/>
      <c r="I67" s="106"/>
    </row>
    <row r="68" spans="2:9" s="90" customFormat="1">
      <c r="B68" s="70" t="s">
        <v>116</v>
      </c>
      <c r="C68" s="121">
        <v>91250</v>
      </c>
      <c r="D68" s="122" t="s">
        <v>44</v>
      </c>
      <c r="E68" s="123" t="s">
        <v>44</v>
      </c>
      <c r="F68" s="141" t="s">
        <v>170</v>
      </c>
      <c r="G68" s="123">
        <v>6</v>
      </c>
      <c r="H68" s="99"/>
      <c r="I68" s="136"/>
    </row>
    <row r="69" spans="2:9" s="90" customFormat="1" ht="30">
      <c r="B69" s="70" t="s">
        <v>142</v>
      </c>
      <c r="C69" s="137" t="s">
        <v>44</v>
      </c>
      <c r="D69" s="122" t="s">
        <v>44</v>
      </c>
      <c r="E69" s="123" t="s">
        <v>44</v>
      </c>
      <c r="F69" s="141" t="s">
        <v>170</v>
      </c>
      <c r="G69" s="123">
        <v>6</v>
      </c>
      <c r="H69" s="99">
        <f>0.02*H59*G69</f>
        <v>97200</v>
      </c>
      <c r="I69" s="302" t="s">
        <v>428</v>
      </c>
    </row>
    <row r="70" spans="2:9" s="90" customFormat="1">
      <c r="B70" s="66" t="s">
        <v>156</v>
      </c>
      <c r="C70" s="84"/>
      <c r="D70" s="106"/>
      <c r="E70" s="108"/>
      <c r="F70" s="106"/>
      <c r="G70" s="108"/>
      <c r="H70" s="80"/>
      <c r="I70" s="106"/>
    </row>
    <row r="71" spans="2:9" ht="30">
      <c r="B71" s="70" t="s">
        <v>165</v>
      </c>
      <c r="C71" s="148">
        <v>3</v>
      </c>
      <c r="D71" s="113" t="s">
        <v>44</v>
      </c>
      <c r="E71" s="114" t="s">
        <v>44</v>
      </c>
      <c r="F71" s="140" t="s">
        <v>164</v>
      </c>
      <c r="G71" s="147">
        <v>4.5</v>
      </c>
      <c r="H71" s="99"/>
      <c r="I71" s="348" t="s">
        <v>426</v>
      </c>
    </row>
    <row r="72" spans="2:9" ht="30">
      <c r="B72" s="70" t="s">
        <v>166</v>
      </c>
      <c r="C72" s="148">
        <v>0.5</v>
      </c>
      <c r="D72" s="113" t="s">
        <v>44</v>
      </c>
      <c r="E72" s="114" t="s">
        <v>44</v>
      </c>
      <c r="F72" s="140" t="s">
        <v>164</v>
      </c>
      <c r="G72" s="147">
        <v>4.5</v>
      </c>
      <c r="H72" s="99"/>
      <c r="I72" s="348"/>
    </row>
    <row r="73" spans="2:9" ht="30">
      <c r="B73" s="70" t="s">
        <v>167</v>
      </c>
      <c r="C73" s="148">
        <v>1</v>
      </c>
      <c r="D73" s="113" t="s">
        <v>44</v>
      </c>
      <c r="E73" s="114" t="s">
        <v>44</v>
      </c>
      <c r="F73" s="140" t="s">
        <v>164</v>
      </c>
      <c r="G73" s="147">
        <v>4.5</v>
      </c>
      <c r="H73" s="99"/>
      <c r="I73" s="348"/>
    </row>
    <row r="74" spans="2:9" s="90" customFormat="1" ht="60">
      <c r="B74" s="70" t="s">
        <v>179</v>
      </c>
      <c r="C74" s="179">
        <v>1.55</v>
      </c>
      <c r="D74" s="113" t="s">
        <v>44</v>
      </c>
      <c r="E74" s="114" t="s">
        <v>44</v>
      </c>
      <c r="F74" s="140" t="s">
        <v>215</v>
      </c>
      <c r="G74" s="147">
        <v>1</v>
      </c>
      <c r="H74" s="99"/>
      <c r="I74" s="246" t="s">
        <v>216</v>
      </c>
    </row>
    <row r="75" spans="2:9">
      <c r="B75" s="66" t="s">
        <v>157</v>
      </c>
      <c r="C75" s="84"/>
      <c r="D75" s="106"/>
      <c r="E75" s="108"/>
      <c r="F75" s="106"/>
      <c r="G75" s="108"/>
      <c r="H75" s="80"/>
      <c r="I75" s="106"/>
    </row>
    <row r="76" spans="2:9" s="90" customFormat="1" ht="30">
      <c r="B76" s="70" t="s">
        <v>171</v>
      </c>
      <c r="C76" s="121">
        <v>4</v>
      </c>
      <c r="D76" s="127" t="s">
        <v>44</v>
      </c>
      <c r="E76" s="128" t="s">
        <v>44</v>
      </c>
      <c r="F76" s="145" t="s">
        <v>173</v>
      </c>
      <c r="G76" s="123">
        <v>100000000</v>
      </c>
      <c r="H76" s="99"/>
      <c r="I76" s="87" t="s">
        <v>425</v>
      </c>
    </row>
    <row r="77" spans="2:9" s="90" customFormat="1" ht="30">
      <c r="B77" s="70" t="s">
        <v>172</v>
      </c>
      <c r="C77" s="121">
        <v>5</v>
      </c>
      <c r="D77" s="127" t="s">
        <v>44</v>
      </c>
      <c r="E77" s="128" t="s">
        <v>44</v>
      </c>
      <c r="F77" s="145" t="s">
        <v>173</v>
      </c>
      <c r="G77" s="123">
        <v>100000000</v>
      </c>
      <c r="H77" s="99"/>
      <c r="I77" s="87" t="s">
        <v>425</v>
      </c>
    </row>
    <row r="78" spans="2:9" s="90" customFormat="1">
      <c r="B78" s="70" t="s">
        <v>183</v>
      </c>
      <c r="C78" s="121">
        <v>1</v>
      </c>
      <c r="D78" s="127" t="s">
        <v>44</v>
      </c>
      <c r="E78" s="128" t="s">
        <v>44</v>
      </c>
      <c r="F78" s="144" t="s">
        <v>44</v>
      </c>
      <c r="G78" s="130" t="s">
        <v>44</v>
      </c>
      <c r="H78" s="99"/>
      <c r="I78" s="87" t="s">
        <v>425</v>
      </c>
    </row>
    <row r="79" spans="2:9" s="90" customFormat="1">
      <c r="B79" s="70" t="s">
        <v>184</v>
      </c>
      <c r="C79" s="121">
        <v>2</v>
      </c>
      <c r="D79" s="127" t="s">
        <v>44</v>
      </c>
      <c r="E79" s="128" t="s">
        <v>44</v>
      </c>
      <c r="F79" s="144" t="s">
        <v>44</v>
      </c>
      <c r="G79" s="130" t="s">
        <v>44</v>
      </c>
      <c r="H79" s="99"/>
      <c r="I79" s="87" t="s">
        <v>425</v>
      </c>
    </row>
    <row r="80" spans="2:9" ht="30">
      <c r="B80" s="70" t="s">
        <v>148</v>
      </c>
      <c r="C80" s="121">
        <v>3</v>
      </c>
      <c r="D80" s="127">
        <v>1</v>
      </c>
      <c r="E80" s="128">
        <v>5</v>
      </c>
      <c r="F80" s="145" t="s">
        <v>162</v>
      </c>
      <c r="G80" s="123">
        <v>1000000</v>
      </c>
      <c r="H80" s="99"/>
      <c r="I80" s="87" t="s">
        <v>425</v>
      </c>
    </row>
    <row r="81" spans="2:9" ht="30">
      <c r="B81" s="70" t="s">
        <v>163</v>
      </c>
      <c r="C81" s="121">
        <v>2</v>
      </c>
      <c r="D81" s="127">
        <v>1</v>
      </c>
      <c r="E81" s="128">
        <v>3</v>
      </c>
      <c r="F81" s="145" t="s">
        <v>162</v>
      </c>
      <c r="G81" s="123">
        <v>1000000</v>
      </c>
      <c r="H81" s="99"/>
      <c r="I81" s="87" t="s">
        <v>425</v>
      </c>
    </row>
    <row r="82" spans="2:9" s="90" customFormat="1" ht="45">
      <c r="B82" s="70" t="s">
        <v>223</v>
      </c>
      <c r="C82" s="247">
        <f>C83*(C80/C81)</f>
        <v>7.5000000000000011E-2</v>
      </c>
      <c r="D82" s="127" t="s">
        <v>44</v>
      </c>
      <c r="E82" s="128" t="s">
        <v>44</v>
      </c>
      <c r="F82" s="145" t="s">
        <v>162</v>
      </c>
      <c r="G82" s="123">
        <v>1000000</v>
      </c>
      <c r="H82" s="99"/>
      <c r="I82" s="246" t="s">
        <v>423</v>
      </c>
    </row>
    <row r="83" spans="2:9" s="90" customFormat="1" ht="30">
      <c r="B83" s="70" t="s">
        <v>224</v>
      </c>
      <c r="C83" s="179">
        <v>0.05</v>
      </c>
      <c r="D83" s="127" t="s">
        <v>44</v>
      </c>
      <c r="E83" s="128" t="s">
        <v>44</v>
      </c>
      <c r="F83" s="145" t="s">
        <v>162</v>
      </c>
      <c r="G83" s="123">
        <v>1000000</v>
      </c>
      <c r="H83" s="99"/>
      <c r="I83" s="246" t="s">
        <v>424</v>
      </c>
    </row>
    <row r="84" spans="2:9" s="90" customFormat="1">
      <c r="B84" s="70" t="s">
        <v>151</v>
      </c>
      <c r="C84" s="121">
        <v>100</v>
      </c>
      <c r="D84" s="127" t="s">
        <v>44</v>
      </c>
      <c r="E84" s="128" t="s">
        <v>44</v>
      </c>
      <c r="F84" s="144" t="s">
        <v>44</v>
      </c>
      <c r="G84" s="130" t="s">
        <v>44</v>
      </c>
      <c r="H84" s="99"/>
      <c r="I84" s="87" t="s">
        <v>307</v>
      </c>
    </row>
    <row r="85" spans="2:9" s="90" customFormat="1">
      <c r="B85" s="70" t="s">
        <v>152</v>
      </c>
      <c r="C85" s="121">
        <v>100</v>
      </c>
      <c r="D85" s="127" t="s">
        <v>44</v>
      </c>
      <c r="E85" s="128" t="s">
        <v>44</v>
      </c>
      <c r="F85" s="144" t="s">
        <v>44</v>
      </c>
      <c r="G85" s="130" t="s">
        <v>44</v>
      </c>
      <c r="H85" s="99"/>
      <c r="I85" s="87" t="s">
        <v>308</v>
      </c>
    </row>
    <row r="86" spans="2:9" ht="32.25">
      <c r="B86" s="70" t="s">
        <v>161</v>
      </c>
      <c r="C86" s="177">
        <f>'Sludge Calculations'!C31</f>
        <v>2.9962107797315656</v>
      </c>
      <c r="D86" s="113">
        <f>'Sludge Calculations'!D31</f>
        <v>0.43070529958641252</v>
      </c>
      <c r="E86" s="244">
        <f>'Sludge Calculations'!E31</f>
        <v>14.356843319547082</v>
      </c>
      <c r="F86" s="145" t="s">
        <v>158</v>
      </c>
      <c r="G86" s="123">
        <v>1000</v>
      </c>
      <c r="H86" s="99"/>
      <c r="I86" s="246" t="s">
        <v>309</v>
      </c>
    </row>
    <row r="87" spans="2:9" s="90" customFormat="1">
      <c r="B87" s="70" t="s">
        <v>153</v>
      </c>
      <c r="C87" s="121">
        <v>100</v>
      </c>
      <c r="D87" s="127" t="s">
        <v>44</v>
      </c>
      <c r="E87" s="128" t="s">
        <v>44</v>
      </c>
      <c r="F87" s="144" t="s">
        <v>44</v>
      </c>
      <c r="G87" s="130" t="s">
        <v>44</v>
      </c>
      <c r="H87" s="99"/>
      <c r="I87" s="87" t="s">
        <v>310</v>
      </c>
    </row>
    <row r="88" spans="2:9" s="90" customFormat="1">
      <c r="B88" s="70" t="s">
        <v>154</v>
      </c>
      <c r="C88" s="121">
        <v>100</v>
      </c>
      <c r="D88" s="127" t="s">
        <v>44</v>
      </c>
      <c r="E88" s="128" t="s">
        <v>44</v>
      </c>
      <c r="F88" s="144" t="s">
        <v>44</v>
      </c>
      <c r="G88" s="130" t="s">
        <v>44</v>
      </c>
      <c r="H88" s="99"/>
      <c r="I88" s="87" t="s">
        <v>311</v>
      </c>
    </row>
    <row r="89" spans="2:9" ht="30">
      <c r="B89" s="70" t="s">
        <v>155</v>
      </c>
      <c r="C89" s="121">
        <v>75</v>
      </c>
      <c r="D89" s="127" t="s">
        <v>44</v>
      </c>
      <c r="E89" s="128" t="s">
        <v>44</v>
      </c>
      <c r="F89" s="144" t="s">
        <v>44</v>
      </c>
      <c r="G89" s="130" t="s">
        <v>44</v>
      </c>
      <c r="H89" s="99"/>
      <c r="I89" s="246" t="s">
        <v>418</v>
      </c>
    </row>
    <row r="90" spans="2:9">
      <c r="B90" s="96" t="s">
        <v>277</v>
      </c>
      <c r="C90" s="345"/>
      <c r="D90" s="346"/>
      <c r="E90" s="347"/>
      <c r="F90" s="255"/>
      <c r="G90" s="256"/>
      <c r="H90" s="97"/>
      <c r="I90" s="146" t="s">
        <v>278</v>
      </c>
    </row>
    <row r="91" spans="2:9">
      <c r="B91" s="66" t="s">
        <v>149</v>
      </c>
      <c r="C91" s="252"/>
      <c r="D91" s="253"/>
      <c r="E91" s="254"/>
      <c r="F91" s="253"/>
      <c r="G91" s="254"/>
      <c r="H91" s="80"/>
      <c r="I91" s="253"/>
    </row>
    <row r="92" spans="2:9" ht="30">
      <c r="B92" s="70" t="s">
        <v>279</v>
      </c>
      <c r="C92" s="258">
        <v>1</v>
      </c>
      <c r="D92" s="113" t="s">
        <v>44</v>
      </c>
      <c r="E92" s="114" t="s">
        <v>44</v>
      </c>
      <c r="F92" s="145" t="s">
        <v>173</v>
      </c>
      <c r="G92" s="123">
        <f>3600000</f>
        <v>3600000</v>
      </c>
      <c r="H92" s="56">
        <f>90100/2</f>
        <v>45050</v>
      </c>
      <c r="I92" s="87" t="s">
        <v>430</v>
      </c>
    </row>
    <row r="93" spans="2:9" s="90" customFormat="1">
      <c r="B93" s="70" t="s">
        <v>429</v>
      </c>
      <c r="C93" s="258">
        <v>1</v>
      </c>
      <c r="D93" s="113" t="s">
        <v>44</v>
      </c>
      <c r="E93" s="114" t="s">
        <v>44</v>
      </c>
      <c r="F93" s="144" t="s">
        <v>44</v>
      </c>
      <c r="G93" s="130" t="s">
        <v>44</v>
      </c>
      <c r="H93" s="56">
        <f>90100/2</f>
        <v>45050</v>
      </c>
      <c r="I93" s="87" t="s">
        <v>431</v>
      </c>
    </row>
    <row r="94" spans="2:9">
      <c r="B94" s="70" t="s">
        <v>280</v>
      </c>
      <c r="C94" s="258">
        <v>1</v>
      </c>
      <c r="D94" s="113" t="s">
        <v>44</v>
      </c>
      <c r="E94" s="114" t="s">
        <v>44</v>
      </c>
      <c r="F94" s="145" t="s">
        <v>432</v>
      </c>
      <c r="G94" s="123">
        <v>1</v>
      </c>
      <c r="H94" s="56">
        <v>90100</v>
      </c>
      <c r="I94" s="87" t="s">
        <v>175</v>
      </c>
    </row>
    <row r="95" spans="2:9">
      <c r="B95" s="70" t="s">
        <v>281</v>
      </c>
      <c r="C95" s="258">
        <v>1</v>
      </c>
      <c r="D95" s="113" t="s">
        <v>44</v>
      </c>
      <c r="E95" s="114" t="s">
        <v>44</v>
      </c>
      <c r="F95" s="145" t="s">
        <v>285</v>
      </c>
      <c r="G95" s="123">
        <v>1</v>
      </c>
      <c r="H95" s="56">
        <v>7500</v>
      </c>
      <c r="I95" s="87" t="s">
        <v>175</v>
      </c>
    </row>
    <row r="96" spans="2:9" s="90" customFormat="1" ht="45">
      <c r="B96" s="70" t="s">
        <v>419</v>
      </c>
      <c r="C96" s="296">
        <v>0.25</v>
      </c>
      <c r="D96" s="122" t="s">
        <v>44</v>
      </c>
      <c r="E96" s="123" t="s">
        <v>44</v>
      </c>
      <c r="F96" s="145" t="s">
        <v>432</v>
      </c>
      <c r="G96" s="123">
        <v>1</v>
      </c>
      <c r="H96" s="99"/>
      <c r="I96" s="302" t="s">
        <v>421</v>
      </c>
    </row>
    <row r="97" spans="2:9" s="90" customFormat="1">
      <c r="B97" s="70" t="s">
        <v>284</v>
      </c>
      <c r="C97" s="258">
        <v>20</v>
      </c>
      <c r="D97" s="113" t="s">
        <v>44</v>
      </c>
      <c r="E97" s="114" t="s">
        <v>44</v>
      </c>
      <c r="F97" s="145" t="s">
        <v>285</v>
      </c>
      <c r="G97" s="123">
        <v>1</v>
      </c>
      <c r="H97" s="150" t="s">
        <v>44</v>
      </c>
      <c r="I97" s="136"/>
    </row>
    <row r="98" spans="2:9">
      <c r="B98" s="66" t="s">
        <v>282</v>
      </c>
      <c r="C98" s="252"/>
      <c r="D98" s="253"/>
      <c r="E98" s="254"/>
      <c r="F98" s="253"/>
      <c r="G98" s="254"/>
      <c r="H98" s="80"/>
      <c r="I98" s="253"/>
    </row>
    <row r="99" spans="2:9" ht="30">
      <c r="B99" s="70" t="s">
        <v>437</v>
      </c>
      <c r="C99" s="121">
        <v>210240</v>
      </c>
      <c r="D99" s="113" t="s">
        <v>44</v>
      </c>
      <c r="E99" s="114" t="s">
        <v>44</v>
      </c>
      <c r="F99" s="145" t="s">
        <v>173</v>
      </c>
      <c r="G99" s="123">
        <f>3600000</f>
        <v>3600000</v>
      </c>
      <c r="H99" s="60" t="s">
        <v>44</v>
      </c>
      <c r="I99" s="87" t="s">
        <v>438</v>
      </c>
    </row>
    <row r="100" spans="2:9">
      <c r="B100" s="66" t="s">
        <v>283</v>
      </c>
      <c r="C100" s="252"/>
      <c r="D100" s="253"/>
      <c r="E100" s="254"/>
      <c r="F100" s="253"/>
      <c r="G100" s="254"/>
      <c r="H100" s="80"/>
      <c r="I100" s="253"/>
    </row>
    <row r="101" spans="2:9">
      <c r="B101" s="70" t="s">
        <v>441</v>
      </c>
      <c r="C101" s="258">
        <v>6</v>
      </c>
      <c r="D101" s="113" t="s">
        <v>44</v>
      </c>
      <c r="E101" s="114" t="s">
        <v>44</v>
      </c>
      <c r="F101" s="145" t="s">
        <v>432</v>
      </c>
      <c r="G101" s="123">
        <v>1</v>
      </c>
      <c r="H101" s="56">
        <f>450*C101</f>
        <v>2700</v>
      </c>
      <c r="I101" s="87" t="s">
        <v>433</v>
      </c>
    </row>
    <row r="102" spans="2:9">
      <c r="B102" s="70" t="s">
        <v>442</v>
      </c>
      <c r="C102" s="258">
        <f>1*$C$101</f>
        <v>6</v>
      </c>
      <c r="D102" s="113" t="s">
        <v>44</v>
      </c>
      <c r="E102" s="114" t="s">
        <v>44</v>
      </c>
      <c r="F102" s="145" t="s">
        <v>432</v>
      </c>
      <c r="G102" s="123">
        <v>1</v>
      </c>
      <c r="H102" s="56">
        <f>70*C102</f>
        <v>420</v>
      </c>
      <c r="I102" s="87" t="s">
        <v>434</v>
      </c>
    </row>
    <row r="103" spans="2:9">
      <c r="B103" s="70" t="s">
        <v>443</v>
      </c>
      <c r="C103" s="258">
        <f t="shared" ref="C103:C104" si="0">1*$C$101</f>
        <v>6</v>
      </c>
      <c r="D103" s="113" t="s">
        <v>44</v>
      </c>
      <c r="E103" s="114" t="s">
        <v>44</v>
      </c>
      <c r="F103" s="145" t="s">
        <v>432</v>
      </c>
      <c r="G103" s="123">
        <v>1</v>
      </c>
      <c r="H103" s="56">
        <f>18*C103</f>
        <v>108</v>
      </c>
      <c r="I103" s="87" t="s">
        <v>435</v>
      </c>
    </row>
    <row r="104" spans="2:9">
      <c r="B104" s="70" t="s">
        <v>444</v>
      </c>
      <c r="C104" s="258">
        <f t="shared" si="0"/>
        <v>6</v>
      </c>
      <c r="D104" s="113" t="s">
        <v>44</v>
      </c>
      <c r="E104" s="114" t="s">
        <v>44</v>
      </c>
      <c r="F104" s="145" t="s">
        <v>432</v>
      </c>
      <c r="G104" s="123">
        <v>1</v>
      </c>
      <c r="H104" s="56">
        <f>500*C104</f>
        <v>3000</v>
      </c>
      <c r="I104" s="87" t="s">
        <v>436</v>
      </c>
    </row>
    <row r="105" spans="2:9" s="90" customFormat="1">
      <c r="B105" s="70" t="s">
        <v>286</v>
      </c>
      <c r="C105" s="257">
        <f>8000/24/365</f>
        <v>0.91324200913242004</v>
      </c>
      <c r="D105" s="113" t="s">
        <v>44</v>
      </c>
      <c r="E105" s="114" t="s">
        <v>44</v>
      </c>
      <c r="F105" s="145" t="s">
        <v>432</v>
      </c>
      <c r="G105" s="123">
        <v>1</v>
      </c>
      <c r="H105" s="150" t="s">
        <v>44</v>
      </c>
      <c r="I105" s="136"/>
    </row>
    <row r="106" spans="2:9" s="90" customFormat="1">
      <c r="B106" s="70" t="s">
        <v>287</v>
      </c>
      <c r="C106" s="258">
        <v>5</v>
      </c>
      <c r="D106" s="113" t="s">
        <v>44</v>
      </c>
      <c r="E106" s="114" t="s">
        <v>44</v>
      </c>
      <c r="F106" s="145" t="s">
        <v>432</v>
      </c>
      <c r="G106" s="123">
        <v>1</v>
      </c>
      <c r="H106" s="150" t="s">
        <v>44</v>
      </c>
      <c r="I106" s="136"/>
    </row>
    <row r="107" spans="2:9" s="90" customFormat="1">
      <c r="B107" s="70" t="s">
        <v>288</v>
      </c>
      <c r="C107" s="258">
        <v>2</v>
      </c>
      <c r="D107" s="113" t="s">
        <v>44</v>
      </c>
      <c r="E107" s="114" t="s">
        <v>44</v>
      </c>
      <c r="F107" s="145" t="s">
        <v>432</v>
      </c>
      <c r="G107" s="123">
        <v>1</v>
      </c>
      <c r="H107" s="150" t="s">
        <v>44</v>
      </c>
      <c r="I107" s="136"/>
    </row>
    <row r="108" spans="2:9" s="90" customFormat="1">
      <c r="B108" s="70" t="s">
        <v>289</v>
      </c>
      <c r="C108" s="258">
        <v>8</v>
      </c>
      <c r="D108" s="113" t="s">
        <v>44</v>
      </c>
      <c r="E108" s="114" t="s">
        <v>44</v>
      </c>
      <c r="F108" s="145" t="s">
        <v>432</v>
      </c>
      <c r="G108" s="123">
        <v>1</v>
      </c>
      <c r="H108" s="150" t="s">
        <v>44</v>
      </c>
      <c r="I108" s="136"/>
    </row>
    <row r="109" spans="2:9">
      <c r="B109" s="66" t="s">
        <v>157</v>
      </c>
      <c r="C109" s="252"/>
      <c r="D109" s="253"/>
      <c r="E109" s="254"/>
      <c r="F109" s="253"/>
      <c r="G109" s="254"/>
      <c r="H109" s="80"/>
      <c r="I109" s="253"/>
    </row>
    <row r="110" spans="2:9" ht="45">
      <c r="B110" s="70" t="s">
        <v>155</v>
      </c>
      <c r="C110" s="121">
        <v>75</v>
      </c>
      <c r="D110" s="127" t="s">
        <v>44</v>
      </c>
      <c r="E110" s="128" t="s">
        <v>44</v>
      </c>
      <c r="F110" s="144" t="s">
        <v>44</v>
      </c>
      <c r="G110" s="130" t="s">
        <v>44</v>
      </c>
      <c r="H110" s="99"/>
      <c r="I110" s="246" t="s">
        <v>422</v>
      </c>
    </row>
  </sheetData>
  <mergeCells count="10">
    <mergeCell ref="C90:E90"/>
    <mergeCell ref="I62:I66"/>
    <mergeCell ref="C14:E14"/>
    <mergeCell ref="C57:E57"/>
    <mergeCell ref="F14:G14"/>
    <mergeCell ref="H62:H66"/>
    <mergeCell ref="F62:F66"/>
    <mergeCell ref="G62:G66"/>
    <mergeCell ref="H14:H15"/>
    <mergeCell ref="I71:I7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R140"/>
  <sheetViews>
    <sheetView zoomScale="90" zoomScaleNormal="90" workbookViewId="0">
      <pane ySplit="2" topLeftCell="A3" activePane="bottomLeft" state="frozen"/>
      <selection pane="bottomLeft"/>
    </sheetView>
  </sheetViews>
  <sheetFormatPr defaultRowHeight="15"/>
  <cols>
    <col min="1" max="1" width="49.28515625" bestFit="1" customWidth="1"/>
    <col min="2" max="2" width="13.42578125" bestFit="1" customWidth="1"/>
    <col min="3" max="3" width="9" bestFit="1" customWidth="1"/>
    <col min="4" max="4" width="15.42578125" customWidth="1"/>
    <col min="5" max="5" width="7.5703125" bestFit="1" customWidth="1"/>
    <col min="6" max="6" width="16.7109375" bestFit="1" customWidth="1"/>
    <col min="7" max="7" width="9.7109375" bestFit="1" customWidth="1"/>
    <col min="8" max="8" width="17.85546875" customWidth="1"/>
    <col min="9" max="9" width="14.85546875" customWidth="1"/>
    <col min="10" max="10" width="8.5703125" bestFit="1" customWidth="1"/>
    <col min="11" max="11" width="18" customWidth="1"/>
    <col min="12" max="12" width="25" bestFit="1" customWidth="1"/>
    <col min="14" max="14" width="12.28515625" customWidth="1"/>
    <col min="16" max="16" width="39.7109375" bestFit="1" customWidth="1"/>
    <col min="17" max="17" width="22.85546875" customWidth="1"/>
    <col min="18" max="18" width="29.7109375" bestFit="1" customWidth="1"/>
  </cols>
  <sheetData>
    <row r="1" spans="1:18" ht="15.75" thickBot="1"/>
    <row r="2" spans="1:18" ht="18" thickTop="1">
      <c r="B2" s="13" t="s">
        <v>187</v>
      </c>
      <c r="C2" s="13" t="s">
        <v>4</v>
      </c>
      <c r="D2" s="13" t="s">
        <v>46</v>
      </c>
      <c r="E2" s="13" t="s">
        <v>4</v>
      </c>
      <c r="F2" s="13" t="s">
        <v>47</v>
      </c>
      <c r="G2" s="13" t="s">
        <v>4</v>
      </c>
      <c r="H2" s="13" t="s">
        <v>186</v>
      </c>
      <c r="I2" s="13" t="s">
        <v>48</v>
      </c>
      <c r="J2" s="13" t="s">
        <v>4</v>
      </c>
      <c r="K2" s="13" t="s">
        <v>63</v>
      </c>
      <c r="L2" s="13" t="s">
        <v>91</v>
      </c>
      <c r="N2" s="357" t="s">
        <v>204</v>
      </c>
      <c r="O2" s="358"/>
      <c r="P2" s="357" t="s">
        <v>313</v>
      </c>
      <c r="Q2" s="358"/>
      <c r="R2" s="181" t="s">
        <v>312</v>
      </c>
    </row>
    <row r="3" spans="1:18" ht="30">
      <c r="A3" s="32" t="s">
        <v>45</v>
      </c>
      <c r="B3" s="28"/>
      <c r="C3" s="28"/>
      <c r="D3" s="28"/>
      <c r="E3" s="28"/>
      <c r="F3" s="28"/>
      <c r="G3" s="28"/>
      <c r="H3" s="28"/>
      <c r="I3" s="28"/>
      <c r="J3" s="28"/>
      <c r="K3" s="28"/>
      <c r="L3" s="28"/>
      <c r="N3" s="49" t="s">
        <v>52</v>
      </c>
      <c r="O3" s="48">
        <v>7.4805000000000001</v>
      </c>
      <c r="P3" s="55" t="s">
        <v>89</v>
      </c>
      <c r="Q3" s="52">
        <f>'Cost Calculations'!B5</f>
        <v>38747000000</v>
      </c>
      <c r="R3" s="53" t="s">
        <v>93</v>
      </c>
    </row>
    <row r="4" spans="1:18" ht="18" thickBot="1">
      <c r="A4" s="33" t="s">
        <v>23</v>
      </c>
      <c r="B4" s="34"/>
      <c r="C4" s="34"/>
      <c r="D4" s="34"/>
      <c r="E4" s="34"/>
      <c r="F4" s="34"/>
      <c r="G4" s="34"/>
      <c r="H4" s="34"/>
      <c r="I4" s="34"/>
      <c r="J4" s="34"/>
      <c r="K4" s="34"/>
      <c r="L4" s="34"/>
      <c r="N4" s="50" t="s">
        <v>85</v>
      </c>
      <c r="O4" s="51">
        <v>264.17</v>
      </c>
      <c r="P4" s="300" t="s">
        <v>90</v>
      </c>
      <c r="Q4" s="301">
        <f>SUM('Cost Calculations'!B7:B9)</f>
        <v>32641179385.530231</v>
      </c>
      <c r="R4" s="54" t="s">
        <v>92</v>
      </c>
    </row>
    <row r="5" spans="1:18" ht="15.75" thickTop="1">
      <c r="A5" s="34" t="s">
        <v>8</v>
      </c>
      <c r="B5" s="34"/>
      <c r="C5" s="34"/>
      <c r="D5" s="34"/>
      <c r="E5" s="34"/>
      <c r="F5" s="34"/>
      <c r="G5" s="34"/>
      <c r="H5" s="34"/>
      <c r="I5" s="34"/>
      <c r="J5" s="34"/>
      <c r="K5" s="34"/>
      <c r="L5" s="34"/>
    </row>
    <row r="6" spans="1:18">
      <c r="A6" s="33" t="s">
        <v>24</v>
      </c>
      <c r="B6" s="34"/>
      <c r="C6" s="34"/>
      <c r="D6" s="34"/>
      <c r="E6" s="34"/>
      <c r="F6" s="34"/>
      <c r="G6" s="34"/>
      <c r="H6" s="34"/>
      <c r="I6" s="34"/>
      <c r="J6" s="34"/>
      <c r="K6" s="34"/>
      <c r="L6" s="34"/>
    </row>
    <row r="7" spans="1:18" ht="17.25">
      <c r="A7" s="36" t="s">
        <v>0</v>
      </c>
      <c r="B7" s="152">
        <f>IF('Sensitivity Analysis'!J7="On",'Sensitivity Analysis'!I7,'Sensitivity Analysis'!C7)</f>
        <v>0.96199999999999997</v>
      </c>
      <c r="C7" s="34" t="s">
        <v>49</v>
      </c>
      <c r="D7" s="37">
        <f>'Data Inputs'!G20</f>
        <v>1000</v>
      </c>
      <c r="E7" s="34" t="s">
        <v>51</v>
      </c>
      <c r="F7" s="38">
        <f>B7/D7/$O$3*'Data Inputs'!$C$4</f>
        <v>4982904.0839516073</v>
      </c>
      <c r="G7" s="34" t="str">
        <f>C7</f>
        <v>lb</v>
      </c>
      <c r="H7" s="39">
        <f>F7*I7</f>
        <v>888675.00000000012</v>
      </c>
      <c r="I7" s="39">
        <f>'Data Inputs'!H20/('Data Inputs'!C20/'Data Inputs'!G20/'Unit Process Costs'!$O$3*'Data Inputs'!$C$4)</f>
        <v>0.17834479352354932</v>
      </c>
      <c r="J7" s="34" t="str">
        <f>CONCATENATE("$/",G7)</f>
        <v>$/lb</v>
      </c>
      <c r="K7" s="34"/>
      <c r="L7" s="45">
        <f>IF($R$3="Y",H7/$Q$3*$O$4,H7/$Q$4*$O$4)</f>
        <v>7.1921811395720967E-3</v>
      </c>
    </row>
    <row r="8" spans="1:18" ht="17.25">
      <c r="A8" s="36" t="s">
        <v>6</v>
      </c>
      <c r="B8" s="34">
        <f>'Data Inputs'!C21</f>
        <v>9.6000000000000002E-2</v>
      </c>
      <c r="C8" s="34" t="s">
        <v>49</v>
      </c>
      <c r="D8" s="37">
        <f>'Data Inputs'!G21</f>
        <v>1000</v>
      </c>
      <c r="E8" s="34" t="s">
        <v>51</v>
      </c>
      <c r="F8" s="38">
        <f>B8/D8/$O$3*'Data Inputs'!$C$4</f>
        <v>497254.4616001604</v>
      </c>
      <c r="G8" s="34" t="str">
        <f>C8</f>
        <v>lb</v>
      </c>
      <c r="H8" s="39">
        <f>'Data Inputs'!H21</f>
        <v>94000</v>
      </c>
      <c r="I8" s="40">
        <f>H8/F8</f>
        <v>0.18903802229850053</v>
      </c>
      <c r="J8" s="34" t="str">
        <f>CONCATENATE("$/",G8)</f>
        <v>$/lb</v>
      </c>
      <c r="K8" s="34"/>
      <c r="L8" s="45">
        <f>IF($R$3="Y",H8/$Q$3*$O$4,H8/$Q$4*$O$4)</f>
        <v>7.607562124733755E-4</v>
      </c>
    </row>
    <row r="9" spans="1:18">
      <c r="A9" s="33" t="s">
        <v>25</v>
      </c>
      <c r="B9" s="34"/>
      <c r="C9" s="34"/>
      <c r="D9" s="34"/>
      <c r="E9" s="34"/>
      <c r="F9" s="34"/>
      <c r="G9" s="34"/>
      <c r="H9" s="39"/>
      <c r="I9" s="34"/>
      <c r="J9" s="34"/>
      <c r="K9" s="34"/>
      <c r="L9" s="45"/>
    </row>
    <row r="10" spans="1:18" ht="17.25">
      <c r="A10" s="36" t="s">
        <v>55</v>
      </c>
      <c r="B10" s="102">
        <f>'Data Inputs'!C23</f>
        <v>3.5573854901761939</v>
      </c>
      <c r="C10" s="34" t="s">
        <v>49</v>
      </c>
      <c r="D10" s="37">
        <f>'Data Inputs'!G23</f>
        <v>1000</v>
      </c>
      <c r="E10" s="34" t="s">
        <v>51</v>
      </c>
      <c r="F10" s="38">
        <f>B10/D10/$O$3*'Data Inputs'!$C$4</f>
        <v>18426310.485643607</v>
      </c>
      <c r="G10" s="34" t="str">
        <f>C10</f>
        <v>lb</v>
      </c>
      <c r="H10" s="39">
        <f>'Data Inputs'!H23</f>
        <v>15000</v>
      </c>
      <c r="I10" s="41">
        <f>H10/F10</f>
        <v>8.1405336199489697E-4</v>
      </c>
      <c r="J10" s="34" t="str">
        <f t="shared" ref="J10:J14" si="0">CONCATENATE("$/",G10)</f>
        <v>$/lb</v>
      </c>
      <c r="K10" s="34"/>
      <c r="L10" s="45">
        <f>IF($R$3="Y",H10/$Q$3*$O$4,H10/$Q$4*$O$4)</f>
        <v>1.2139726794787907E-4</v>
      </c>
    </row>
    <row r="11" spans="1:18">
      <c r="A11" s="33" t="s">
        <v>26</v>
      </c>
      <c r="B11" s="34"/>
      <c r="C11" s="34"/>
      <c r="D11" s="37"/>
      <c r="E11" s="34"/>
      <c r="F11" s="34"/>
      <c r="G11" s="34"/>
      <c r="H11" s="39"/>
      <c r="I11" s="41"/>
      <c r="J11" s="34"/>
      <c r="K11" s="34"/>
      <c r="L11" s="45"/>
    </row>
    <row r="12" spans="1:18" ht="17.25">
      <c r="A12" s="36" t="s">
        <v>1</v>
      </c>
      <c r="B12" s="34">
        <f>IF('Sensitivity Analysis'!J8="On",'Sensitivity Analysis'!I8,'Sensitivity Analysis'!C8)</f>
        <v>0.17699999999999999</v>
      </c>
      <c r="C12" s="34" t="s">
        <v>49</v>
      </c>
      <c r="D12" s="37">
        <f>'Data Inputs'!G25</f>
        <v>1000</v>
      </c>
      <c r="E12" s="34" t="s">
        <v>51</v>
      </c>
      <c r="F12" s="38">
        <f>B12/D12/$O$3*'Data Inputs'!$C$4</f>
        <v>916812.91357529571</v>
      </c>
      <c r="G12" s="34" t="str">
        <f>C12</f>
        <v>lb</v>
      </c>
      <c r="H12" s="39">
        <f>F12*I12</f>
        <v>53985</v>
      </c>
      <c r="I12" s="39">
        <f>'Data Inputs'!H25/('Data Inputs'!C25/'Data Inputs'!G25/'Unit Process Costs'!$O$3*'Data Inputs'!$C$4)</f>
        <v>5.888333290319251E-2</v>
      </c>
      <c r="J12" s="34" t="str">
        <f t="shared" si="0"/>
        <v>$/lb</v>
      </c>
      <c r="K12" s="34"/>
      <c r="L12" s="45">
        <f>IF($R$3="Y",H12/$Q$3*$O$4,H12/$Q$4*$O$4)</f>
        <v>4.3690876734441675E-4</v>
      </c>
    </row>
    <row r="13" spans="1:18">
      <c r="A13" s="33" t="s">
        <v>27</v>
      </c>
      <c r="B13" s="34"/>
      <c r="C13" s="34"/>
      <c r="D13" s="34"/>
      <c r="E13" s="34"/>
      <c r="F13" s="34"/>
      <c r="G13" s="34"/>
      <c r="H13" s="39"/>
      <c r="I13" s="39"/>
      <c r="J13" s="34"/>
      <c r="K13" s="34"/>
      <c r="L13" s="45"/>
    </row>
    <row r="14" spans="1:18" ht="17.25">
      <c r="A14" s="36" t="s">
        <v>54</v>
      </c>
      <c r="B14" s="34">
        <f>'Data Inputs'!C27</f>
        <v>0.42799999999999999</v>
      </c>
      <c r="C14" s="34" t="s">
        <v>49</v>
      </c>
      <c r="D14" s="37">
        <f>'Data Inputs'!G27</f>
        <v>1000</v>
      </c>
      <c r="E14" s="34" t="s">
        <v>51</v>
      </c>
      <c r="F14" s="38">
        <f>B14/D14/$O$3*'Data Inputs'!$C$4</f>
        <v>2216926.141300715</v>
      </c>
      <c r="G14" s="34" t="str">
        <f>C14</f>
        <v>lb</v>
      </c>
      <c r="H14" s="39"/>
      <c r="I14" s="39">
        <f t="shared" ref="I14" si="1">H14/F14</f>
        <v>0</v>
      </c>
      <c r="J14" s="34" t="str">
        <f t="shared" si="0"/>
        <v>$/lb</v>
      </c>
      <c r="K14" s="34"/>
      <c r="L14" s="45">
        <f>IF($R$3="Y",H14/$Q$3*$O$4,H14/$Q$4*$O$4)</f>
        <v>0</v>
      </c>
    </row>
    <row r="15" spans="1:18">
      <c r="A15" s="36" t="s">
        <v>58</v>
      </c>
      <c r="B15" s="34"/>
      <c r="C15" s="34"/>
      <c r="D15" s="37"/>
      <c r="E15" s="34"/>
      <c r="F15" s="38"/>
      <c r="G15" s="34"/>
      <c r="H15" s="39">
        <f>'Data Inputs'!H28</f>
        <v>30000</v>
      </c>
      <c r="I15" s="39"/>
      <c r="J15" s="34"/>
      <c r="K15" s="34"/>
      <c r="L15" s="45">
        <f>IF($R$3="Y",H15/$Q$3*$O$4,H15/$Q$4*$O$4)</f>
        <v>2.4279453589575814E-4</v>
      </c>
    </row>
    <row r="16" spans="1:18">
      <c r="A16" s="33" t="s">
        <v>28</v>
      </c>
      <c r="B16" s="34"/>
      <c r="C16" s="34"/>
      <c r="D16" s="34"/>
      <c r="E16" s="34"/>
      <c r="F16" s="34"/>
      <c r="G16" s="34"/>
      <c r="H16" s="39"/>
      <c r="I16" s="39"/>
      <c r="J16" s="34"/>
      <c r="K16" s="34"/>
      <c r="L16" s="45"/>
    </row>
    <row r="17" spans="1:12" ht="17.25">
      <c r="A17" s="36" t="s">
        <v>57</v>
      </c>
      <c r="B17" s="34">
        <f>'Data Inputs'!C30</f>
        <v>0.156</v>
      </c>
      <c r="C17" s="34" t="s">
        <v>49</v>
      </c>
      <c r="D17" s="37">
        <f>'Data Inputs'!G30</f>
        <v>1000</v>
      </c>
      <c r="E17" s="34" t="s">
        <v>51</v>
      </c>
      <c r="F17" s="38">
        <f>B17/D17/$O$3*'Data Inputs'!$C$4</f>
        <v>808038.5001002606</v>
      </c>
      <c r="G17" s="34" t="str">
        <f>C17</f>
        <v>lb</v>
      </c>
      <c r="H17" s="39">
        <f>'Data Inputs'!H30</f>
        <v>1070955</v>
      </c>
      <c r="I17" s="39">
        <f>H17/F17</f>
        <v>1.3253762040634414</v>
      </c>
      <c r="J17" s="34" t="str">
        <f>CONCATENATE("$/",G17)</f>
        <v>$/lb</v>
      </c>
      <c r="K17" s="34"/>
      <c r="L17" s="45">
        <f>IF($R$3="Y",H17/$Q$3*$O$4,H17/$Q$4*$O$4)</f>
        <v>8.667400739674723E-3</v>
      </c>
    </row>
    <row r="18" spans="1:12">
      <c r="A18" s="33" t="s">
        <v>32</v>
      </c>
      <c r="B18" s="34"/>
      <c r="C18" s="34"/>
      <c r="D18" s="34"/>
      <c r="E18" s="34"/>
      <c r="F18" s="38"/>
      <c r="G18" s="34"/>
      <c r="H18" s="39"/>
      <c r="I18" s="39"/>
      <c r="J18" s="34"/>
      <c r="K18" s="34"/>
      <c r="L18" s="45"/>
    </row>
    <row r="19" spans="1:12">
      <c r="A19" s="36" t="s">
        <v>112</v>
      </c>
      <c r="B19" s="37">
        <f>'Data Inputs'!C32</f>
        <v>75600000</v>
      </c>
      <c r="C19" s="34" t="s">
        <v>113</v>
      </c>
      <c r="D19" s="37">
        <f>'Data Inputs'!G32</f>
        <v>38747000000</v>
      </c>
      <c r="E19" s="34" t="s">
        <v>56</v>
      </c>
      <c r="F19" s="38">
        <f>B19/D19*'Data Inputs'!$C$4</f>
        <v>75600000</v>
      </c>
      <c r="G19" s="34" t="str">
        <f t="shared" ref="G19" si="2">C19</f>
        <v>scf</v>
      </c>
      <c r="H19" s="39">
        <f>F19*I19</f>
        <v>428500.79999999993</v>
      </c>
      <c r="I19" s="41">
        <f>IF('Sensitivity Analysis'!J10="On",'Sensitivity Analysis'!I10,'Sensitivity Analysis'!C10)</f>
        <v>5.6679999999999994E-3</v>
      </c>
      <c r="J19" s="34" t="str">
        <f>CONCATENATE("$/",G19)</f>
        <v>$/scf</v>
      </c>
      <c r="K19" s="34"/>
      <c r="L19" s="45">
        <f>IF($R$3="Y",H19/$Q$3*$O$4,H19/$Q$4*$O$4)</f>
        <v>3.4679217622320354E-3</v>
      </c>
    </row>
    <row r="20" spans="1:12">
      <c r="A20" s="36" t="s">
        <v>125</v>
      </c>
      <c r="B20" s="30" t="s">
        <v>44</v>
      </c>
      <c r="C20" s="34"/>
      <c r="D20" s="42" t="s">
        <v>44</v>
      </c>
      <c r="E20" s="34"/>
      <c r="F20" s="43" t="s">
        <v>44</v>
      </c>
      <c r="G20" s="34"/>
      <c r="H20" s="39">
        <f>'Data Inputs'!H34</f>
        <v>11500</v>
      </c>
      <c r="I20" s="45">
        <v>0</v>
      </c>
      <c r="J20" s="34"/>
      <c r="K20" s="34"/>
      <c r="L20" s="45">
        <f>IF($R$3="Y",H20/$Q$3*$O$4,H20/$Q$4*$O$4)</f>
        <v>9.3071238760040632E-5</v>
      </c>
    </row>
    <row r="21" spans="1:12">
      <c r="A21" s="36" t="s">
        <v>7</v>
      </c>
      <c r="B21" s="30" t="s">
        <v>44</v>
      </c>
      <c r="C21" s="34"/>
      <c r="D21" s="42" t="s">
        <v>44</v>
      </c>
      <c r="E21" s="34"/>
      <c r="F21" s="43" t="s">
        <v>44</v>
      </c>
      <c r="G21" s="34"/>
      <c r="H21" s="39">
        <f>'Data Inputs'!H35</f>
        <v>4000</v>
      </c>
      <c r="I21" s="45">
        <v>0</v>
      </c>
      <c r="J21" s="34"/>
      <c r="K21" s="34"/>
      <c r="L21" s="45">
        <f>IF($R$3="Y",H21/$Q$3*$O$4,H21/$Q$4*$O$4)</f>
        <v>3.2372604786101083E-5</v>
      </c>
    </row>
    <row r="22" spans="1:12">
      <c r="A22" s="33" t="s">
        <v>29</v>
      </c>
      <c r="B22" s="34"/>
      <c r="C22" s="34"/>
      <c r="D22" s="34"/>
      <c r="E22" s="34"/>
      <c r="F22" s="34"/>
      <c r="G22" s="34"/>
      <c r="H22" s="39"/>
      <c r="I22" s="39"/>
      <c r="J22" s="34"/>
      <c r="K22" s="34"/>
      <c r="L22" s="45"/>
    </row>
    <row r="23" spans="1:12" ht="17.25">
      <c r="A23" s="36" t="s">
        <v>59</v>
      </c>
      <c r="B23" s="34">
        <f>'Data Inputs'!C37</f>
        <v>1.073</v>
      </c>
      <c r="C23" s="34" t="s">
        <v>49</v>
      </c>
      <c r="D23" s="37">
        <f>'Data Inputs'!G37</f>
        <v>1000</v>
      </c>
      <c r="E23" s="34" t="s">
        <v>51</v>
      </c>
      <c r="F23" s="38">
        <f>B23/D23/$O$3*'Data Inputs'!$C$4</f>
        <v>5557854.5551767927</v>
      </c>
      <c r="G23" s="34" t="str">
        <f>C23</f>
        <v>lb</v>
      </c>
      <c r="H23" s="39">
        <f>'Data Inputs'!H37</f>
        <v>639756</v>
      </c>
      <c r="I23" s="39">
        <f>H23/F23</f>
        <v>0.11510844583079409</v>
      </c>
      <c r="J23" s="34" t="str">
        <f t="shared" ref="J23" si="3">CONCATENATE("$/",G23)</f>
        <v>$/lb</v>
      </c>
      <c r="K23" s="34"/>
      <c r="L23" s="45">
        <f>IF($R$3="Y",H23/$Q$3*$O$4,H23/$Q$4*$O$4)</f>
        <v>5.177642036884221E-3</v>
      </c>
    </row>
    <row r="24" spans="1:12" ht="17.25">
      <c r="A24" s="36" t="s">
        <v>60</v>
      </c>
      <c r="B24" s="34">
        <f>'Data Inputs'!C38</f>
        <v>0.121</v>
      </c>
      <c r="C24" s="34" t="s">
        <v>49</v>
      </c>
      <c r="D24" s="37">
        <f>'Data Inputs'!G38</f>
        <v>1000</v>
      </c>
      <c r="E24" s="34" t="s">
        <v>51</v>
      </c>
      <c r="F24" s="38">
        <f>B24/D24/$O$3*'Data Inputs'!$C$4</f>
        <v>626747.81097520213</v>
      </c>
      <c r="G24" s="34" t="str">
        <f>C24</f>
        <v>lb</v>
      </c>
      <c r="H24" s="39">
        <f>'Data Inputs'!H38</f>
        <v>258687</v>
      </c>
      <c r="I24" s="39">
        <f>H24/F24</f>
        <v>0.41274495972708741</v>
      </c>
      <c r="J24" s="34" t="str">
        <f>CONCATENATE("$/",G24)</f>
        <v>$/lb</v>
      </c>
      <c r="K24" s="34"/>
      <c r="L24" s="45">
        <f>IF($R$3="Y",H24/$Q$3*$O$4,H24/$Q$4*$O$4)</f>
        <v>2.0935930035755326E-3</v>
      </c>
    </row>
    <row r="25" spans="1:12">
      <c r="A25" s="33" t="s">
        <v>30</v>
      </c>
      <c r="B25" s="34"/>
      <c r="C25" s="34"/>
      <c r="D25" s="34"/>
      <c r="E25" s="34"/>
      <c r="F25" s="34"/>
      <c r="G25" s="34"/>
      <c r="H25" s="39"/>
      <c r="I25" s="39"/>
      <c r="J25" s="34"/>
      <c r="K25" s="34"/>
      <c r="L25" s="45"/>
    </row>
    <row r="26" spans="1:12" ht="17.25">
      <c r="A26" s="36" t="s">
        <v>2</v>
      </c>
      <c r="B26" s="152">
        <f>IF('Sensitivity Analysis'!J6="On",'Sensitivity Analysis'!I6,'Sensitivity Analysis'!C6)</f>
        <v>0.11</v>
      </c>
      <c r="C26" s="34" t="s">
        <v>49</v>
      </c>
      <c r="D26" s="37">
        <f>'Data Inputs'!G40</f>
        <v>1000</v>
      </c>
      <c r="E26" s="34" t="s">
        <v>51</v>
      </c>
      <c r="F26" s="38">
        <f>B26/D26/$O$3*'Data Inputs'!$C$4</f>
        <v>569770.73725018383</v>
      </c>
      <c r="G26" s="34" t="str">
        <f>C26</f>
        <v>lb</v>
      </c>
      <c r="H26" s="39">
        <f>F26*I26</f>
        <v>117926</v>
      </c>
      <c r="I26" s="39">
        <f>'Data Inputs'!H40/('Data Inputs'!C40/'Data Inputs'!G40/'Unit Process Costs'!$O$3*'Data Inputs'!$C$4)</f>
        <v>0.20697096619796956</v>
      </c>
      <c r="J26" s="34" t="str">
        <f>CONCATENATE("$/",G26)</f>
        <v>$/lb</v>
      </c>
      <c r="K26" s="34"/>
      <c r="L26" s="45">
        <f>IF($R$3="Y",H26/$Q$3*$O$4,H26/$Q$4*$O$4)</f>
        <v>9.5439294800143916E-4</v>
      </c>
    </row>
    <row r="27" spans="1:12">
      <c r="A27" s="36" t="s">
        <v>62</v>
      </c>
      <c r="B27" s="30" t="s">
        <v>44</v>
      </c>
      <c r="C27" s="34"/>
      <c r="D27" s="42" t="s">
        <v>44</v>
      </c>
      <c r="E27" s="34"/>
      <c r="F27" s="43" t="s">
        <v>44</v>
      </c>
      <c r="G27" s="34"/>
      <c r="H27" s="39">
        <f>'Data Inputs'!H41</f>
        <v>10000</v>
      </c>
      <c r="I27" s="44">
        <v>0</v>
      </c>
      <c r="J27" s="34"/>
      <c r="K27" s="34"/>
      <c r="L27" s="45">
        <f>IF($R$3="Y",H27/$Q$3*$O$4,H27/$Q$4*$O$4)</f>
        <v>8.0931511965252705E-5</v>
      </c>
    </row>
    <row r="28" spans="1:12">
      <c r="A28" s="36" t="s">
        <v>126</v>
      </c>
      <c r="B28" s="30" t="s">
        <v>44</v>
      </c>
      <c r="C28" s="34"/>
      <c r="D28" s="42" t="s">
        <v>44</v>
      </c>
      <c r="E28" s="34"/>
      <c r="F28" s="43" t="s">
        <v>44</v>
      </c>
      <c r="G28" s="34"/>
      <c r="H28" s="39">
        <f>'Data Inputs'!H42</f>
        <v>200</v>
      </c>
      <c r="I28" s="44">
        <v>0</v>
      </c>
      <c r="J28" s="34"/>
      <c r="K28" s="34"/>
      <c r="L28" s="41">
        <f>IF($R$3="Y",H28/$Q$3*$O$4,H28/$Q$4*$O$4)</f>
        <v>1.6186302393050544E-6</v>
      </c>
    </row>
    <row r="29" spans="1:12">
      <c r="A29" s="33" t="s">
        <v>31</v>
      </c>
      <c r="B29" s="34"/>
      <c r="C29" s="34"/>
      <c r="D29" s="37"/>
      <c r="E29" s="34"/>
      <c r="F29" s="34"/>
      <c r="G29" s="34"/>
      <c r="H29" s="39"/>
      <c r="I29" s="40"/>
      <c r="J29" s="34"/>
      <c r="K29" s="34"/>
      <c r="L29" s="45"/>
    </row>
    <row r="30" spans="1:12" ht="17.25">
      <c r="A30" s="36" t="s">
        <v>5</v>
      </c>
      <c r="B30" s="34">
        <f>'Data Inputs'!C44</f>
        <v>0.23699999999999999</v>
      </c>
      <c r="C30" s="34" t="s">
        <v>49</v>
      </c>
      <c r="D30" s="37">
        <f>'Data Inputs'!G44</f>
        <v>1000</v>
      </c>
      <c r="E30" s="34" t="s">
        <v>51</v>
      </c>
      <c r="F30" s="38">
        <f>B30/D30/$O$3*'Data Inputs'!$C$4</f>
        <v>1227596.952075396</v>
      </c>
      <c r="G30" s="34" t="str">
        <f>C30</f>
        <v>lb</v>
      </c>
      <c r="H30" s="39">
        <f>'Data Inputs'!H44</f>
        <v>364796</v>
      </c>
      <c r="I30" s="40">
        <f>H30/F30</f>
        <v>0.29716267980567218</v>
      </c>
      <c r="J30" s="34" t="str">
        <f t="shared" ref="J30" si="4">CONCATENATE("$/",G30)</f>
        <v>$/lb</v>
      </c>
      <c r="K30" s="34"/>
      <c r="L30" s="45">
        <f>IF($R$3="Y",H30/$Q$3*$O$4,H30/$Q$4*$O$4)</f>
        <v>2.9523491838876329E-3</v>
      </c>
    </row>
    <row r="31" spans="1:12">
      <c r="A31" s="33" t="s">
        <v>38</v>
      </c>
      <c r="B31" s="34"/>
      <c r="C31" s="34"/>
      <c r="D31" s="34"/>
      <c r="E31" s="34"/>
      <c r="F31" s="38"/>
      <c r="G31" s="34"/>
      <c r="H31" s="39"/>
      <c r="I31" s="40"/>
      <c r="J31" s="34"/>
      <c r="K31" s="34"/>
      <c r="L31" s="45"/>
    </row>
    <row r="32" spans="1:12">
      <c r="A32" s="36" t="s">
        <v>117</v>
      </c>
      <c r="B32" s="37">
        <f>IF('Sensitivity Analysis'!J12="On",'Sensitivity Analysis'!I12,'Sensitivity Analysis'!C12)</f>
        <v>76137689</v>
      </c>
      <c r="C32" s="34" t="s">
        <v>61</v>
      </c>
      <c r="D32" s="37">
        <f>'Data Inputs'!G46</f>
        <v>38747000000</v>
      </c>
      <c r="E32" s="34" t="s">
        <v>56</v>
      </c>
      <c r="F32" s="38">
        <f>B32/D32*'Data Inputs'!$C$4</f>
        <v>76137689</v>
      </c>
      <c r="G32" s="34" t="str">
        <f>C32</f>
        <v>kWh</v>
      </c>
      <c r="H32" s="39">
        <f>F32*I32</f>
        <v>2497316.1992000001</v>
      </c>
      <c r="I32" s="45">
        <f>IF('Sensitivity Analysis'!$J$13="On",'Sensitivity Analysis'!$I$13,'Sensitivity Analysis'!$C$13)</f>
        <v>3.2800000000000003E-2</v>
      </c>
      <c r="J32" s="34" t="str">
        <f t="shared" ref="J32" si="5">CONCATENATE("$/",G32)</f>
        <v>$/kWh</v>
      </c>
      <c r="K32" s="34"/>
      <c r="L32" s="45">
        <f>IF($R$3="Y",H32/$Q$3*$O$4,H32/$Q$4*$O$4)</f>
        <v>2.0211157585657426E-2</v>
      </c>
    </row>
    <row r="33" spans="1:18" ht="17.25">
      <c r="A33" s="36" t="s">
        <v>3</v>
      </c>
      <c r="B33" s="34">
        <f>IF('Sensitivity Analysis'!J9="On",'Sensitivity Analysis'!I9,'Sensitivity Analysis'!C9)</f>
        <v>2.3E-2</v>
      </c>
      <c r="C33" s="34" t="s">
        <v>49</v>
      </c>
      <c r="D33" s="37">
        <f>'Data Inputs'!G47</f>
        <v>1000</v>
      </c>
      <c r="E33" s="34" t="s">
        <v>51</v>
      </c>
      <c r="F33" s="38">
        <f>B33/D33/$O$3*'Data Inputs'!$C$4</f>
        <v>119133.88142503843</v>
      </c>
      <c r="G33" s="34" t="str">
        <f>C33</f>
        <v>lb</v>
      </c>
      <c r="H33" s="39">
        <f>F33*I33</f>
        <v>10896</v>
      </c>
      <c r="I33" s="39">
        <f>'Data Inputs'!H47/('Data Inputs'!C47/'Data Inputs'!G47/'Unit Process Costs'!$O$3*'Data Inputs'!$C$4)</f>
        <v>9.1460127628394228E-2</v>
      </c>
      <c r="J33" s="34" t="str">
        <f t="shared" ref="J33:J38" si="6">CONCATENATE("$/",G33)</f>
        <v>$/lb</v>
      </c>
      <c r="K33" s="34"/>
      <c r="L33" s="45">
        <f>IF($R$3="Y",H33/$Q$3*$O$4,H33/$Q$4*$O$4)</f>
        <v>8.8182975437339358E-5</v>
      </c>
    </row>
    <row r="34" spans="1:18">
      <c r="A34" s="33" t="s">
        <v>36</v>
      </c>
      <c r="B34" s="34"/>
      <c r="C34" s="34"/>
      <c r="D34" s="34"/>
      <c r="E34" s="34"/>
      <c r="F34" s="38"/>
      <c r="G34" s="34"/>
      <c r="H34" s="39"/>
      <c r="I34" s="34"/>
      <c r="J34" s="34"/>
      <c r="K34" s="34"/>
      <c r="L34" s="45"/>
    </row>
    <row r="35" spans="1:18">
      <c r="A35" s="35" t="s">
        <v>53</v>
      </c>
      <c r="B35" s="37">
        <v>49</v>
      </c>
      <c r="C35" s="34" t="s">
        <v>64</v>
      </c>
      <c r="D35" s="37">
        <f>'Data Inputs'!G49</f>
        <v>38747000000</v>
      </c>
      <c r="E35" s="34" t="s">
        <v>56</v>
      </c>
      <c r="F35" s="38">
        <f>B35/D35*'Data Inputs'!$C$4</f>
        <v>49</v>
      </c>
      <c r="G35" s="34" t="str">
        <f>C35</f>
        <v>worker</v>
      </c>
      <c r="H35" s="39">
        <f>'Data Inputs'!H49</f>
        <v>1822389.855</v>
      </c>
      <c r="I35" s="40">
        <f>H35/F35</f>
        <v>37191.629693877549</v>
      </c>
      <c r="J35" s="34" t="str">
        <f>CONCATENATE("$/",G35)</f>
        <v>$/worker</v>
      </c>
      <c r="K35" s="34"/>
      <c r="L35" s="45">
        <f t="shared" ref="L35:L40" si="7">IF($R$3="Y",H35/$Q$3*$O$4,H35/$Q$4*$O$4)</f>
        <v>1.4748876635528766E-2</v>
      </c>
    </row>
    <row r="36" spans="1:18">
      <c r="A36" s="34" t="s">
        <v>87</v>
      </c>
      <c r="B36" s="30" t="s">
        <v>44</v>
      </c>
      <c r="C36" s="34"/>
      <c r="D36" s="42" t="s">
        <v>44</v>
      </c>
      <c r="E36" s="34"/>
      <c r="F36" s="43" t="s">
        <v>44</v>
      </c>
      <c r="G36" s="34"/>
      <c r="H36" s="39">
        <f>'Data Inputs'!H50-'Data Inputs'!H41</f>
        <v>390000</v>
      </c>
      <c r="I36" s="44">
        <v>0</v>
      </c>
      <c r="J36" s="34"/>
      <c r="K36" s="34"/>
      <c r="L36" s="45">
        <f t="shared" si="7"/>
        <v>3.1563289666448557E-3</v>
      </c>
    </row>
    <row r="37" spans="1:18">
      <c r="A37" s="34" t="s">
        <v>120</v>
      </c>
      <c r="B37" s="37">
        <f>IF('Sensitivity Analysis'!J11="On",'Sensitivity Analysis'!I11,'Sensitivity Analysis'!C11)</f>
        <v>39125286</v>
      </c>
      <c r="C37" s="34" t="s">
        <v>61</v>
      </c>
      <c r="D37" s="37">
        <f>'Data Inputs'!G51</f>
        <v>38747000000</v>
      </c>
      <c r="E37" s="34" t="s">
        <v>56</v>
      </c>
      <c r="F37" s="38">
        <f>B37/D37*'Data Inputs'!$C$4</f>
        <v>39125286</v>
      </c>
      <c r="G37" s="34" t="str">
        <f>C37</f>
        <v>kWh</v>
      </c>
      <c r="H37" s="39">
        <f>F37*I37</f>
        <v>1283309.3808000002</v>
      </c>
      <c r="I37" s="45">
        <f>IF('Sensitivity Analysis'!$J$13="On",'Sensitivity Analysis'!$I$13,'Sensitivity Analysis'!$C$13)</f>
        <v>3.2800000000000003E-2</v>
      </c>
      <c r="J37" s="34" t="str">
        <f t="shared" si="6"/>
        <v>$/kWh</v>
      </c>
      <c r="K37" s="34"/>
      <c r="L37" s="45">
        <f t="shared" si="7"/>
        <v>1.0386016850733627E-2</v>
      </c>
    </row>
    <row r="38" spans="1:18">
      <c r="A38" s="34" t="s">
        <v>121</v>
      </c>
      <c r="B38" s="37">
        <f>'Data Inputs'!C53</f>
        <v>2287186</v>
      </c>
      <c r="C38" s="34" t="s">
        <v>61</v>
      </c>
      <c r="D38" s="37">
        <f>'Data Inputs'!G53</f>
        <v>38747000000</v>
      </c>
      <c r="E38" s="34" t="s">
        <v>56</v>
      </c>
      <c r="F38" s="38">
        <f>B38/D38*'Data Inputs'!$C$4</f>
        <v>2287186</v>
      </c>
      <c r="G38" s="34" t="str">
        <f>C38</f>
        <v>kWh</v>
      </c>
      <c r="H38" s="39">
        <f>F38*I38</f>
        <v>0</v>
      </c>
      <c r="I38" s="39">
        <v>0</v>
      </c>
      <c r="J38" s="34" t="str">
        <f t="shared" si="6"/>
        <v>$/kWh</v>
      </c>
      <c r="K38" s="34"/>
      <c r="L38" s="45">
        <f t="shared" si="7"/>
        <v>0</v>
      </c>
    </row>
    <row r="39" spans="1:18">
      <c r="A39" s="335" t="s">
        <v>465</v>
      </c>
      <c r="B39" s="336"/>
      <c r="C39" s="335"/>
      <c r="D39" s="336"/>
      <c r="E39" s="335"/>
      <c r="F39" s="336"/>
      <c r="G39" s="335"/>
      <c r="H39" s="337">
        <f>SUM(H4:H38)</f>
        <v>9991892.2349999994</v>
      </c>
      <c r="I39" s="337"/>
      <c r="J39" s="335"/>
      <c r="K39" s="338"/>
      <c r="L39" s="339">
        <f t="shared" si="7"/>
        <v>8.0865894597241819E-2</v>
      </c>
    </row>
    <row r="40" spans="1:18" s="90" customFormat="1">
      <c r="A40" s="91" t="s">
        <v>466</v>
      </c>
      <c r="B40" s="92"/>
      <c r="C40" s="91"/>
      <c r="D40" s="92"/>
      <c r="E40" s="91"/>
      <c r="F40" s="92"/>
      <c r="G40" s="91"/>
      <c r="H40" s="93">
        <f>SUM(H4:H15,H23:H38)</f>
        <v>8476936.4350000005</v>
      </c>
      <c r="I40" s="93"/>
      <c r="J40" s="91"/>
      <c r="K40" s="94"/>
      <c r="L40" s="95">
        <f t="shared" si="7"/>
        <v>6.8605128251788924E-2</v>
      </c>
    </row>
    <row r="41" spans="1:18">
      <c r="A41" s="32" t="s">
        <v>134</v>
      </c>
      <c r="B41" s="28"/>
      <c r="C41" s="28"/>
      <c r="D41" s="28"/>
      <c r="E41" s="28"/>
      <c r="F41" s="28"/>
      <c r="G41" s="28"/>
      <c r="H41" s="28"/>
      <c r="I41" s="28"/>
      <c r="J41" s="28"/>
      <c r="K41" s="28"/>
      <c r="L41" s="28"/>
    </row>
    <row r="42" spans="1:18">
      <c r="A42" s="33" t="s">
        <v>23</v>
      </c>
      <c r="B42" s="34"/>
      <c r="C42" s="34"/>
      <c r="D42" s="37"/>
      <c r="E42" s="34"/>
      <c r="F42" s="103"/>
      <c r="G42" s="34"/>
      <c r="H42" s="100"/>
      <c r="I42" s="40"/>
      <c r="J42" s="34"/>
      <c r="K42" s="39"/>
      <c r="L42" s="34"/>
    </row>
    <row r="43" spans="1:18">
      <c r="A43" s="34" t="s">
        <v>8</v>
      </c>
      <c r="B43" s="34"/>
      <c r="C43" s="34"/>
      <c r="D43" s="34"/>
      <c r="E43" s="34"/>
      <c r="F43" s="104"/>
      <c r="G43" s="34"/>
      <c r="H43" s="100"/>
      <c r="I43" s="40"/>
      <c r="J43" s="34"/>
      <c r="K43" s="39"/>
      <c r="L43" s="34"/>
    </row>
    <row r="44" spans="1:18">
      <c r="A44" s="33" t="s">
        <v>24</v>
      </c>
      <c r="B44" s="34"/>
      <c r="C44" s="34"/>
      <c r="D44" s="34"/>
      <c r="E44" s="34"/>
      <c r="F44" s="34"/>
      <c r="G44" s="34"/>
      <c r="H44" s="39"/>
      <c r="I44" s="34"/>
      <c r="J44" s="34"/>
      <c r="K44" s="39"/>
      <c r="L44" s="34"/>
      <c r="N44" s="90"/>
      <c r="O44" s="90"/>
      <c r="P44" s="90"/>
      <c r="Q44" s="90"/>
      <c r="R44" s="90"/>
    </row>
    <row r="45" spans="1:18" s="90" customFormat="1" ht="17.25">
      <c r="A45" s="36" t="s">
        <v>0</v>
      </c>
      <c r="B45" s="34">
        <f>'Data Inputs'!C20*(100-'Data Inputs'!C84)/100</f>
        <v>0</v>
      </c>
      <c r="C45" s="34" t="s">
        <v>49</v>
      </c>
      <c r="D45" s="37">
        <f>'Data Inputs'!G20</f>
        <v>1000</v>
      </c>
      <c r="E45" s="34" t="s">
        <v>51</v>
      </c>
      <c r="F45" s="38">
        <f>B45/D45/$O$3*'Data Inputs'!$C$4</f>
        <v>0</v>
      </c>
      <c r="G45" s="34" t="str">
        <f>C45</f>
        <v>lb</v>
      </c>
      <c r="H45" s="39">
        <f>F45*I45</f>
        <v>0</v>
      </c>
      <c r="I45" s="40">
        <f>I7</f>
        <v>0.17834479352354932</v>
      </c>
      <c r="J45" s="34" t="str">
        <f>CONCATENATE("$/",G45)</f>
        <v>$/lb</v>
      </c>
      <c r="K45" s="34"/>
      <c r="L45" s="45">
        <f>IF($R$3="Y",H45/$Q$3*$O$4,H45/$Q$4*$O$4)</f>
        <v>0</v>
      </c>
    </row>
    <row r="46" spans="1:18" s="90" customFormat="1" ht="17.25">
      <c r="A46" s="36" t="s">
        <v>6</v>
      </c>
      <c r="B46" s="34">
        <f>'Data Inputs'!C21*(100-'Data Inputs'!C85)/100</f>
        <v>0</v>
      </c>
      <c r="C46" s="34" t="s">
        <v>49</v>
      </c>
      <c r="D46" s="37">
        <f>'Data Inputs'!G21</f>
        <v>1000</v>
      </c>
      <c r="E46" s="34" t="s">
        <v>51</v>
      </c>
      <c r="F46" s="38">
        <f>B46/D46/$O$3*'Data Inputs'!$C$4</f>
        <v>0</v>
      </c>
      <c r="G46" s="34" t="str">
        <f>C46</f>
        <v>lb</v>
      </c>
      <c r="H46" s="39">
        <f>F46*I46</f>
        <v>0</v>
      </c>
      <c r="I46" s="40">
        <f>I8</f>
        <v>0.18903802229850053</v>
      </c>
      <c r="J46" s="34" t="str">
        <f>CONCATENATE("$/",G46)</f>
        <v>$/lb</v>
      </c>
      <c r="K46" s="34"/>
      <c r="L46" s="45">
        <f>IF($R$3="Y",H46/$Q$3*$O$4,H46/$Q$4*$O$4)</f>
        <v>0</v>
      </c>
      <c r="N46"/>
      <c r="O46"/>
      <c r="P46"/>
      <c r="Q46"/>
      <c r="R46"/>
    </row>
    <row r="47" spans="1:18">
      <c r="A47" s="36" t="s">
        <v>133</v>
      </c>
      <c r="B47" s="79">
        <f>IF('Sensitivity Analysis'!J31="On",'Sensitivity Analysis'!I31,'Sensitivity Analysis'!C31)</f>
        <v>3</v>
      </c>
      <c r="C47" s="34" t="s">
        <v>56</v>
      </c>
      <c r="D47" s="37">
        <f>'Data Inputs'!G80</f>
        <v>1000000</v>
      </c>
      <c r="E47" s="34" t="s">
        <v>56</v>
      </c>
      <c r="F47" s="38">
        <f>B47/D47*'Data Inputs'!$C$4</f>
        <v>116241</v>
      </c>
      <c r="G47" s="34" t="s">
        <v>56</v>
      </c>
      <c r="H47" s="39">
        <f>F47*I47</f>
        <v>113666.11617425884</v>
      </c>
      <c r="I47" s="39">
        <f>'Chemical Unit Costs'!$J$7</f>
        <v>0.97784874677832123</v>
      </c>
      <c r="J47" s="34" t="str">
        <f>CONCATENATE("$/",G47)</f>
        <v>$/gal</v>
      </c>
      <c r="K47" s="39"/>
      <c r="L47" s="45">
        <f>IF($R$3="Y",H47/$Q$3*$O$4,H47/$Q$4*$O$4)</f>
        <v>9.199170641200834E-4</v>
      </c>
      <c r="N47" s="90"/>
      <c r="O47" s="90"/>
      <c r="P47" s="90"/>
      <c r="Q47" s="90"/>
      <c r="R47" s="90"/>
    </row>
    <row r="48" spans="1:18" s="90" customFormat="1">
      <c r="A48" s="33" t="s">
        <v>25</v>
      </c>
      <c r="B48" s="34"/>
      <c r="C48" s="34"/>
      <c r="D48" s="37"/>
      <c r="E48" s="34"/>
      <c r="F48" s="38"/>
      <c r="G48" s="34"/>
      <c r="H48" s="39"/>
      <c r="I48" s="40"/>
      <c r="J48" s="34"/>
      <c r="K48" s="39"/>
      <c r="L48" s="45"/>
      <c r="N48" s="334"/>
    </row>
    <row r="49" spans="1:18" s="90" customFormat="1">
      <c r="A49" s="36" t="s">
        <v>180</v>
      </c>
      <c r="B49" s="152">
        <f>'Data Inputs'!C82</f>
        <v>7.5000000000000011E-2</v>
      </c>
      <c r="C49" s="34" t="s">
        <v>56</v>
      </c>
      <c r="D49" s="37">
        <f>'Data Inputs'!G82</f>
        <v>1000000</v>
      </c>
      <c r="E49" s="34" t="s">
        <v>56</v>
      </c>
      <c r="F49" s="38">
        <f>B49/D49*'Data Inputs'!$C$4</f>
        <v>2906.0250000000005</v>
      </c>
      <c r="G49" s="34" t="s">
        <v>56</v>
      </c>
      <c r="H49" s="39">
        <f>F49*I49</f>
        <v>4504.3387500000008</v>
      </c>
      <c r="I49" s="39">
        <f>'Data Inputs'!C74/'Data Inputs'!G74</f>
        <v>1.55</v>
      </c>
      <c r="J49" s="34" t="str">
        <f>CONCATENATE("$/",G49)</f>
        <v>$/gal</v>
      </c>
      <c r="K49" s="39"/>
      <c r="L49" s="45">
        <f>IF($R$3="Y",H49/$Q$3*$O$4,H49/$Q$4*$O$4)</f>
        <v>3.6454294544117653E-5</v>
      </c>
      <c r="N49" s="290"/>
    </row>
    <row r="50" spans="1:18" s="90" customFormat="1" ht="17.25">
      <c r="A50" s="36" t="s">
        <v>55</v>
      </c>
      <c r="B50" s="102">
        <f>'Data Inputs'!C86</f>
        <v>2.9962107797315656</v>
      </c>
      <c r="C50" s="34" t="s">
        <v>49</v>
      </c>
      <c r="D50" s="37">
        <f>'Data Inputs'!G86</f>
        <v>1000</v>
      </c>
      <c r="E50" s="34" t="s">
        <v>51</v>
      </c>
      <c r="F50" s="38">
        <f>B50/D50*'Data Inputs'!$C$4/$O$3</f>
        <v>15519574.77204184</v>
      </c>
      <c r="G50" s="34" t="str">
        <f>C50</f>
        <v>lb</v>
      </c>
      <c r="H50" s="39">
        <f>F50*I50</f>
        <v>12633.762019911846</v>
      </c>
      <c r="I50" s="41">
        <f>I10</f>
        <v>8.1405336199489697E-4</v>
      </c>
      <c r="J50" s="34" t="str">
        <f>CONCATENATE("$/",G50)</f>
        <v>$/lb</v>
      </c>
      <c r="K50" s="39"/>
      <c r="L50" s="45">
        <f>IF($R$3="Y",H50/$Q$3*$O$4,H50/$Q$4*$O$4)</f>
        <v>1.0224694620806509E-4</v>
      </c>
      <c r="N50" s="290"/>
    </row>
    <row r="51" spans="1:18" s="90" customFormat="1">
      <c r="A51" s="33" t="s">
        <v>26</v>
      </c>
      <c r="B51" s="101"/>
      <c r="C51" s="34"/>
      <c r="D51" s="149"/>
      <c r="E51" s="34"/>
      <c r="F51" s="38"/>
      <c r="G51" s="34"/>
      <c r="H51" s="39"/>
      <c r="I51" s="40"/>
      <c r="J51" s="40"/>
      <c r="K51" s="39"/>
      <c r="L51" s="45"/>
      <c r="N51" s="334"/>
    </row>
    <row r="52" spans="1:18" s="90" customFormat="1" ht="17.25">
      <c r="A52" s="36" t="s">
        <v>1</v>
      </c>
      <c r="B52" s="34">
        <f>'Data Inputs'!C25*(100-'Data Inputs'!C87)/100</f>
        <v>0</v>
      </c>
      <c r="C52" s="34" t="s">
        <v>49</v>
      </c>
      <c r="D52" s="37">
        <f>'Data Inputs'!G25</f>
        <v>1000</v>
      </c>
      <c r="E52" s="34" t="s">
        <v>51</v>
      </c>
      <c r="F52" s="38">
        <f>B52/D52/$O$3*'Data Inputs'!$C$4</f>
        <v>0</v>
      </c>
      <c r="G52" s="34" t="str">
        <f>C52</f>
        <v>lb</v>
      </c>
      <c r="H52" s="39">
        <f>F52*I52</f>
        <v>0</v>
      </c>
      <c r="I52" s="39">
        <f>I12</f>
        <v>5.888333290319251E-2</v>
      </c>
      <c r="J52" s="34" t="str">
        <f>CONCATENATE("$/",G52)</f>
        <v>$/lb</v>
      </c>
      <c r="K52" s="39"/>
      <c r="L52" s="45">
        <f>IF($R$3="Y",H52/$Q$3*$O$4,H52/$Q$4*$O$4)</f>
        <v>0</v>
      </c>
      <c r="N52" s="334"/>
      <c r="P52"/>
      <c r="Q52"/>
      <c r="R52"/>
    </row>
    <row r="53" spans="1:18">
      <c r="A53" s="33" t="s">
        <v>27</v>
      </c>
      <c r="B53" s="101"/>
      <c r="C53" s="34"/>
      <c r="D53" s="149"/>
      <c r="E53" s="34"/>
      <c r="F53" s="38"/>
      <c r="G53" s="34"/>
      <c r="H53" s="39"/>
      <c r="I53" s="40"/>
      <c r="J53" s="40"/>
      <c r="K53" s="39"/>
      <c r="L53" s="45"/>
      <c r="N53" s="90"/>
      <c r="O53" s="90"/>
      <c r="P53" s="90"/>
      <c r="Q53" s="90"/>
      <c r="R53" s="90"/>
    </row>
    <row r="54" spans="1:18" s="90" customFormat="1" ht="17.25">
      <c r="A54" s="36" t="s">
        <v>54</v>
      </c>
      <c r="B54" s="151">
        <f>'Data Inputs'!C27</f>
        <v>0.42799999999999999</v>
      </c>
      <c r="C54" s="34" t="s">
        <v>49</v>
      </c>
      <c r="D54" s="37">
        <f>'Data Inputs'!G27</f>
        <v>1000</v>
      </c>
      <c r="E54" s="34" t="s">
        <v>51</v>
      </c>
      <c r="F54" s="38">
        <f>B54/D54/$O$3*'Data Inputs'!$C$4</f>
        <v>2216926.141300715</v>
      </c>
      <c r="G54" s="34" t="str">
        <f>C54</f>
        <v>lb</v>
      </c>
      <c r="H54" s="39"/>
      <c r="I54" s="39">
        <f>H54/F54</f>
        <v>0</v>
      </c>
      <c r="J54" s="34" t="str">
        <f t="shared" ref="J54" si="8">CONCATENATE("$/",G54)</f>
        <v>$/lb</v>
      </c>
      <c r="K54" s="39"/>
      <c r="L54" s="45">
        <f>IF($R$3="Y",H54/$Q$3*$O$4,H54/$Q$4*$O$4)</f>
        <v>0</v>
      </c>
      <c r="N54"/>
      <c r="O54"/>
      <c r="P54"/>
      <c r="Q54"/>
      <c r="R54"/>
    </row>
    <row r="55" spans="1:18">
      <c r="A55" s="36" t="s">
        <v>58</v>
      </c>
      <c r="B55" s="79"/>
      <c r="C55" s="34"/>
      <c r="D55" s="37"/>
      <c r="E55" s="34"/>
      <c r="F55" s="38"/>
      <c r="G55" s="34"/>
      <c r="H55" s="39">
        <f>'Data Inputs'!H28</f>
        <v>30000</v>
      </c>
      <c r="I55" s="41"/>
      <c r="J55" s="34"/>
      <c r="K55" s="39"/>
      <c r="L55" s="45">
        <f>IF($R$3="Y",H55/$Q$3*$O$4,H55/$Q$4*$O$4)</f>
        <v>2.4279453589575814E-4</v>
      </c>
    </row>
    <row r="56" spans="1:18">
      <c r="A56" s="33" t="s">
        <v>28</v>
      </c>
      <c r="B56" s="79"/>
      <c r="C56" s="34"/>
      <c r="D56" s="37"/>
      <c r="E56" s="34"/>
      <c r="F56" s="38"/>
      <c r="G56" s="34"/>
      <c r="H56" s="39"/>
      <c r="I56" s="41"/>
      <c r="J56" s="34"/>
      <c r="K56" s="39"/>
      <c r="L56" s="45"/>
    </row>
    <row r="57" spans="1:18" ht="17.25">
      <c r="A57" s="36" t="s">
        <v>57</v>
      </c>
      <c r="B57" s="34">
        <f>'Data Inputs'!C30</f>
        <v>0.156</v>
      </c>
      <c r="C57" s="34" t="s">
        <v>49</v>
      </c>
      <c r="D57" s="37">
        <f>'Data Inputs'!G30</f>
        <v>1000</v>
      </c>
      <c r="E57" s="34" t="s">
        <v>51</v>
      </c>
      <c r="F57" s="38">
        <f>B57/D57/$O$3*'Data Inputs'!$C$4</f>
        <v>808038.5001002606</v>
      </c>
      <c r="G57" s="34" t="str">
        <f>C57</f>
        <v>lb</v>
      </c>
      <c r="H57" s="39">
        <f>'Data Inputs'!H30</f>
        <v>1070955</v>
      </c>
      <c r="I57" s="39">
        <f>H57/F57</f>
        <v>1.3253762040634414</v>
      </c>
      <c r="J57" s="34" t="str">
        <f>CONCATENATE("$/",G57)</f>
        <v>$/lb</v>
      </c>
      <c r="K57" s="39"/>
      <c r="L57" s="45">
        <f>IF($R$3="Y",H57/$Q$3*$O$4,H57/$Q$4*$O$4)</f>
        <v>8.667400739674723E-3</v>
      </c>
    </row>
    <row r="58" spans="1:18">
      <c r="A58" s="33" t="s">
        <v>32</v>
      </c>
      <c r="B58" s="79"/>
      <c r="C58" s="34"/>
      <c r="D58" s="37"/>
      <c r="E58" s="34"/>
      <c r="F58" s="38"/>
      <c r="G58" s="34"/>
      <c r="H58" s="39"/>
      <c r="I58" s="41"/>
      <c r="J58" s="34"/>
      <c r="K58" s="39"/>
      <c r="L58" s="45"/>
    </row>
    <row r="59" spans="1:18">
      <c r="A59" s="36" t="s">
        <v>112</v>
      </c>
      <c r="B59" s="37">
        <f>'Data Inputs'!C32</f>
        <v>75600000</v>
      </c>
      <c r="C59" s="34" t="s">
        <v>113</v>
      </c>
      <c r="D59" s="37">
        <f>'Data Inputs'!G32</f>
        <v>38747000000</v>
      </c>
      <c r="E59" s="34" t="s">
        <v>56</v>
      </c>
      <c r="F59" s="38">
        <f>B59/D59*'Data Inputs'!$C$4</f>
        <v>75600000</v>
      </c>
      <c r="G59" s="34" t="str">
        <f t="shared" ref="G59" si="9">C59</f>
        <v>scf</v>
      </c>
      <c r="H59" s="39">
        <f>F59*I59</f>
        <v>428500.79999999993</v>
      </c>
      <c r="I59" s="45">
        <f>'Data Inputs'!H54</f>
        <v>5.6679999999999994E-3</v>
      </c>
      <c r="J59" s="34" t="str">
        <f>CONCATENATE("$/",G59)</f>
        <v>$/scf</v>
      </c>
      <c r="K59" s="39"/>
      <c r="L59" s="45">
        <f>IF($R$3="Y",H59/$Q$3*$O$4,H59/$Q$4*$O$4)</f>
        <v>3.4679217622320354E-3</v>
      </c>
    </row>
    <row r="60" spans="1:18">
      <c r="A60" s="36" t="s">
        <v>125</v>
      </c>
      <c r="B60" s="30" t="s">
        <v>44</v>
      </c>
      <c r="C60" s="34"/>
      <c r="D60" s="42" t="s">
        <v>44</v>
      </c>
      <c r="E60" s="34"/>
      <c r="F60" s="43" t="s">
        <v>44</v>
      </c>
      <c r="G60" s="34"/>
      <c r="H60" s="39">
        <f>'Data Inputs'!H34</f>
        <v>11500</v>
      </c>
      <c r="I60" s="45">
        <v>0</v>
      </c>
      <c r="J60" s="34"/>
      <c r="K60" s="39"/>
      <c r="L60" s="45">
        <f>IF($R$3="Y",H60/$Q$3*$O$4,H60/$Q$4*$O$4)</f>
        <v>9.3071238760040632E-5</v>
      </c>
    </row>
    <row r="61" spans="1:18">
      <c r="A61" s="36" t="s">
        <v>7</v>
      </c>
      <c r="B61" s="30" t="s">
        <v>44</v>
      </c>
      <c r="C61" s="34"/>
      <c r="D61" s="42" t="s">
        <v>44</v>
      </c>
      <c r="E61" s="34"/>
      <c r="F61" s="43" t="s">
        <v>44</v>
      </c>
      <c r="G61" s="34"/>
      <c r="H61" s="39">
        <f>'Data Inputs'!H35</f>
        <v>4000</v>
      </c>
      <c r="I61" s="45">
        <v>0</v>
      </c>
      <c r="J61" s="34"/>
      <c r="K61" s="39"/>
      <c r="L61" s="248">
        <f>IF($R$3="Y",H61/$Q$3*$O$4,H61/$Q$4*$O$4)</f>
        <v>3.2372604786101083E-5</v>
      </c>
    </row>
    <row r="62" spans="1:18">
      <c r="A62" s="33" t="s">
        <v>29</v>
      </c>
      <c r="B62" s="79"/>
      <c r="C62" s="34"/>
      <c r="D62" s="37"/>
      <c r="E62" s="34"/>
      <c r="F62" s="38"/>
      <c r="G62" s="34"/>
      <c r="H62" s="39"/>
      <c r="I62" s="41"/>
      <c r="J62" s="34"/>
      <c r="K62" s="39"/>
      <c r="L62" s="45"/>
      <c r="N62" s="90"/>
      <c r="O62" s="90"/>
      <c r="P62" s="90"/>
      <c r="Q62" s="90"/>
      <c r="R62" s="90"/>
    </row>
    <row r="63" spans="1:18" s="90" customFormat="1" ht="17.25">
      <c r="A63" s="36" t="s">
        <v>59</v>
      </c>
      <c r="B63" s="34">
        <f>'Data Inputs'!C37*(100-'Data Inputs'!C88)/100</f>
        <v>0</v>
      </c>
      <c r="C63" s="34" t="s">
        <v>49</v>
      </c>
      <c r="D63" s="37">
        <f>'Data Inputs'!G37</f>
        <v>1000</v>
      </c>
      <c r="E63" s="34" t="s">
        <v>51</v>
      </c>
      <c r="F63" s="38">
        <f>B63/D63/$O$3*'Data Inputs'!$C$4</f>
        <v>0</v>
      </c>
      <c r="G63" s="34" t="str">
        <f>C63</f>
        <v>lb</v>
      </c>
      <c r="H63" s="39">
        <f>F63*I63</f>
        <v>0</v>
      </c>
      <c r="I63" s="39">
        <f>I23</f>
        <v>0.11510844583079409</v>
      </c>
      <c r="J63" s="34" t="str">
        <f>CONCATENATE("$/",G63)</f>
        <v>$/lb</v>
      </c>
      <c r="K63" s="39"/>
      <c r="L63" s="45">
        <f>IF($R$3="Y",H63/$Q$3*$O$4,H63/$Q$4*$O$4)</f>
        <v>0</v>
      </c>
    </row>
    <row r="64" spans="1:18" s="90" customFormat="1">
      <c r="A64" s="36" t="s">
        <v>180</v>
      </c>
      <c r="B64" s="34">
        <f>'Data Inputs'!C83</f>
        <v>0.05</v>
      </c>
      <c r="C64" s="34" t="s">
        <v>56</v>
      </c>
      <c r="D64" s="37">
        <f>'Data Inputs'!G83</f>
        <v>1000000</v>
      </c>
      <c r="E64" s="34" t="s">
        <v>56</v>
      </c>
      <c r="F64" s="38">
        <f>B64/D64*'Data Inputs'!$C$4</f>
        <v>1937.3500000000001</v>
      </c>
      <c r="G64" s="34" t="str">
        <f>C64</f>
        <v>gal</v>
      </c>
      <c r="H64" s="39">
        <f>F64*I64</f>
        <v>3002.8925000000004</v>
      </c>
      <c r="I64" s="39">
        <f>'Data Inputs'!C74/'Data Inputs'!G74</f>
        <v>1.55</v>
      </c>
      <c r="J64" s="34" t="str">
        <f>CONCATENATE("$/",G64)</f>
        <v>$/gal</v>
      </c>
      <c r="K64" s="39"/>
      <c r="L64" s="248">
        <f>IF($R$3="Y",H64/$Q$3*$O$4,H64/$Q$4*$O$4)</f>
        <v>2.4302863029411765E-5</v>
      </c>
      <c r="N64"/>
      <c r="O64"/>
      <c r="P64"/>
      <c r="Q64"/>
      <c r="R64"/>
    </row>
    <row r="65" spans="1:18" ht="17.25">
      <c r="A65" s="36" t="s">
        <v>60</v>
      </c>
      <c r="B65" s="34">
        <f>'Data Inputs'!C38</f>
        <v>0.121</v>
      </c>
      <c r="C65" s="34" t="s">
        <v>49</v>
      </c>
      <c r="D65" s="37">
        <f>'Data Inputs'!G38</f>
        <v>1000</v>
      </c>
      <c r="E65" s="34" t="s">
        <v>51</v>
      </c>
      <c r="F65" s="38">
        <f>B65/D65/$O$3*'Data Inputs'!$C$4</f>
        <v>626747.81097520213</v>
      </c>
      <c r="G65" s="34" t="str">
        <f>C65</f>
        <v>lb</v>
      </c>
      <c r="H65" s="39">
        <f>'Data Inputs'!H38</f>
        <v>258687</v>
      </c>
      <c r="I65" s="39">
        <f>H65/F65</f>
        <v>0.41274495972708741</v>
      </c>
      <c r="J65" s="34" t="str">
        <f>CONCATENATE("$/",G65)</f>
        <v>$/lb</v>
      </c>
      <c r="K65" s="39"/>
      <c r="L65" s="45">
        <f>IF($R$3="Y",H65/$Q$3*$O$4,H65/$Q$4*$O$4)</f>
        <v>2.0935930035755326E-3</v>
      </c>
    </row>
    <row r="66" spans="1:18">
      <c r="A66" s="33" t="s">
        <v>30</v>
      </c>
      <c r="B66" s="79"/>
      <c r="C66" s="34"/>
      <c r="D66" s="37"/>
      <c r="E66" s="34"/>
      <c r="F66" s="38"/>
      <c r="G66" s="34"/>
      <c r="H66" s="39"/>
      <c r="I66" s="41"/>
      <c r="J66" s="34"/>
      <c r="K66" s="39"/>
      <c r="L66" s="45"/>
      <c r="N66" s="90"/>
      <c r="O66" s="90"/>
      <c r="P66" s="90"/>
      <c r="Q66" s="90"/>
      <c r="R66" s="90"/>
    </row>
    <row r="67" spans="1:18" s="90" customFormat="1" ht="17.25">
      <c r="A67" s="36" t="s">
        <v>2</v>
      </c>
      <c r="B67" s="152">
        <f>'Data Inputs'!C40*(100-'Data Inputs'!C89)/100</f>
        <v>2.75E-2</v>
      </c>
      <c r="C67" s="34" t="s">
        <v>49</v>
      </c>
      <c r="D67" s="37">
        <f>'Data Inputs'!G40</f>
        <v>1000</v>
      </c>
      <c r="E67" s="34" t="s">
        <v>51</v>
      </c>
      <c r="F67" s="38">
        <f>B67/D67/$O$3*'Data Inputs'!$C$4</f>
        <v>142442.68431254596</v>
      </c>
      <c r="G67" s="34" t="str">
        <f>C67</f>
        <v>lb</v>
      </c>
      <c r="H67" s="39">
        <f>F67*I67</f>
        <v>29481.5</v>
      </c>
      <c r="I67" s="39">
        <f>I26</f>
        <v>0.20697096619796956</v>
      </c>
      <c r="J67" s="34" t="str">
        <f>CONCATENATE("$/",G67)</f>
        <v>$/lb</v>
      </c>
      <c r="K67" s="39"/>
      <c r="L67" s="45">
        <f t="shared" ref="L67:L76" si="10">IF($R$3="Y",H67/$Q$3*$O$4,H67/$Q$4*$O$4)</f>
        <v>2.3859823700035979E-4</v>
      </c>
    </row>
    <row r="68" spans="1:18" s="90" customFormat="1">
      <c r="A68" s="36" t="s">
        <v>62</v>
      </c>
      <c r="B68" s="30" t="s">
        <v>44</v>
      </c>
      <c r="C68" s="34"/>
      <c r="D68" s="42" t="s">
        <v>44</v>
      </c>
      <c r="E68" s="34"/>
      <c r="F68" s="43" t="s">
        <v>44</v>
      </c>
      <c r="G68" s="34"/>
      <c r="H68" s="39">
        <f>'Data Inputs'!H41</f>
        <v>10000</v>
      </c>
      <c r="I68" s="39">
        <v>0</v>
      </c>
      <c r="J68" s="34"/>
      <c r="K68" s="39"/>
      <c r="L68" s="45">
        <f t="shared" si="10"/>
        <v>8.0931511965252705E-5</v>
      </c>
    </row>
    <row r="69" spans="1:18" s="90" customFormat="1">
      <c r="A69" s="36" t="s">
        <v>126</v>
      </c>
      <c r="B69" s="30" t="s">
        <v>44</v>
      </c>
      <c r="C69" s="34"/>
      <c r="D69" s="42" t="s">
        <v>44</v>
      </c>
      <c r="E69" s="34"/>
      <c r="F69" s="43" t="s">
        <v>44</v>
      </c>
      <c r="G69" s="34"/>
      <c r="H69" s="39">
        <f>'Data Inputs'!H42</f>
        <v>200</v>
      </c>
      <c r="I69" s="39">
        <v>0</v>
      </c>
      <c r="J69" s="34"/>
      <c r="K69" s="39"/>
      <c r="L69" s="41">
        <f t="shared" si="10"/>
        <v>1.6186302393050544E-6</v>
      </c>
      <c r="N69"/>
      <c r="O69"/>
      <c r="P69"/>
      <c r="Q69"/>
      <c r="R69"/>
    </row>
    <row r="70" spans="1:18">
      <c r="A70" s="36" t="s">
        <v>133</v>
      </c>
      <c r="B70" s="79">
        <f>IF('Sensitivity Analysis'!J32="On",'Sensitivity Analysis'!I32,'Sensitivity Analysis'!C32)</f>
        <v>2</v>
      </c>
      <c r="C70" s="34" t="s">
        <v>56</v>
      </c>
      <c r="D70" s="37">
        <f>'Data Inputs'!G81</f>
        <v>1000000</v>
      </c>
      <c r="E70" s="34" t="s">
        <v>56</v>
      </c>
      <c r="F70" s="38">
        <f>B70/D70*'Data Inputs'!$C$4</f>
        <v>77494</v>
      </c>
      <c r="G70" s="34" t="str">
        <f>C70</f>
        <v>gal</v>
      </c>
      <c r="H70" s="39">
        <f>F70*I70</f>
        <v>75777.41078283923</v>
      </c>
      <c r="I70" s="39">
        <f>'Chemical Unit Costs'!$J$7</f>
        <v>0.97784874677832123</v>
      </c>
      <c r="J70" s="34" t="str">
        <f>CONCATENATE("$/",G70)</f>
        <v>$/gal</v>
      </c>
      <c r="K70" s="39"/>
      <c r="L70" s="45">
        <f t="shared" si="10"/>
        <v>6.1327804274672226E-4</v>
      </c>
    </row>
    <row r="71" spans="1:18">
      <c r="A71" s="36" t="s">
        <v>117</v>
      </c>
      <c r="B71" s="37">
        <f>'Data Inputs'!C68</f>
        <v>91250</v>
      </c>
      <c r="C71" s="34" t="s">
        <v>61</v>
      </c>
      <c r="D71" s="37">
        <f>'Data Inputs'!G68</f>
        <v>6</v>
      </c>
      <c r="E71" s="34" t="s">
        <v>4</v>
      </c>
      <c r="F71" s="38">
        <f>B71/D71*F73</f>
        <v>167291.66666666669</v>
      </c>
      <c r="G71" s="34" t="str">
        <f>C71</f>
        <v>kWh</v>
      </c>
      <c r="H71" s="39">
        <f>F71*I71</f>
        <v>5487.1666666666679</v>
      </c>
      <c r="I71" s="45">
        <f>'Data Inputs'!H52</f>
        <v>3.2800000000000003E-2</v>
      </c>
      <c r="J71" s="34" t="str">
        <f>CONCATENATE("$/",G71)</f>
        <v>$/kWh</v>
      </c>
      <c r="K71" s="39"/>
      <c r="L71" s="41">
        <f t="shared" si="10"/>
        <v>4.4408469473866926E-5</v>
      </c>
    </row>
    <row r="72" spans="1:18">
      <c r="A72" s="36" t="s">
        <v>142</v>
      </c>
      <c r="B72" s="37">
        <f>'Data Inputs'!H69</f>
        <v>97200</v>
      </c>
      <c r="C72" s="34" t="s">
        <v>427</v>
      </c>
      <c r="D72" s="37">
        <f>'Data Inputs'!G69</f>
        <v>6</v>
      </c>
      <c r="E72" s="34" t="s">
        <v>4</v>
      </c>
      <c r="F72" s="38">
        <f>F73</f>
        <v>11</v>
      </c>
      <c r="G72" s="34" t="s">
        <v>4</v>
      </c>
      <c r="H72" s="39">
        <f>B72*(F72/D72)</f>
        <v>178200</v>
      </c>
      <c r="I72" s="41"/>
      <c r="J72" s="34"/>
      <c r="K72" s="39"/>
      <c r="L72" s="45">
        <f>IF($R$3="Y",H72/$Q$3*$O$4,H72/$Q$4*$O$4)</f>
        <v>1.4421995432208033E-3</v>
      </c>
      <c r="N72" s="90"/>
      <c r="O72" s="90"/>
      <c r="P72" s="90"/>
      <c r="Q72" s="90"/>
      <c r="R72" s="90"/>
    </row>
    <row r="73" spans="1:18" s="90" customFormat="1">
      <c r="A73" s="36" t="s">
        <v>185</v>
      </c>
      <c r="B73" s="79">
        <f>SUM('Data Inputs'!C76:C77)</f>
        <v>9</v>
      </c>
      <c r="C73" s="34" t="s">
        <v>4</v>
      </c>
      <c r="D73" s="37">
        <f>'Data Inputs'!G76*365</f>
        <v>36500000000</v>
      </c>
      <c r="E73" s="34" t="s">
        <v>56</v>
      </c>
      <c r="F73" s="38">
        <f>ROUNDUP(B73/D73*'Data Inputs'!$C$4,0)+'Data Inputs'!C78</f>
        <v>11</v>
      </c>
      <c r="G73" s="34" t="s">
        <v>4</v>
      </c>
      <c r="H73" s="39"/>
      <c r="I73" s="41"/>
      <c r="J73" s="34"/>
      <c r="K73" s="245">
        <f>(IF('Sensitivity Analysis'!J33="On",'Sensitivity Analysis'!I33,'Sensitivity Analysis'!C33)/'Data Inputs'!G59*F73)+('Data Inputs'!H62/'Data Inputs'!G62*F73)+('Data Inputs'!H60/'Data Inputs'!G60*'Data Inputs'!C79)</f>
        <v>11177500</v>
      </c>
      <c r="L73" s="45">
        <f t="shared" si="10"/>
        <v>0</v>
      </c>
    </row>
    <row r="74" spans="1:18" s="90" customFormat="1">
      <c r="A74" s="36" t="s">
        <v>176</v>
      </c>
      <c r="B74" s="79">
        <f>'Data Inputs'!C61</f>
        <v>15</v>
      </c>
      <c r="C74" s="34" t="s">
        <v>178</v>
      </c>
      <c r="D74" s="37"/>
      <c r="E74" s="34"/>
      <c r="F74" s="38"/>
      <c r="G74" s="34"/>
      <c r="H74" s="39"/>
      <c r="I74" s="41"/>
      <c r="J74" s="34"/>
      <c r="K74" s="39"/>
      <c r="L74" s="45">
        <f t="shared" si="10"/>
        <v>0</v>
      </c>
    </row>
    <row r="75" spans="1:18" s="90" customFormat="1">
      <c r="A75" s="36" t="s">
        <v>415</v>
      </c>
      <c r="B75" s="295">
        <f>IF('Sensitivity Analysis'!J34="On",'Sensitivity Analysis'!I34,'Sensitivity Analysis'!C34)</f>
        <v>0.06</v>
      </c>
      <c r="C75" s="34" t="s">
        <v>416</v>
      </c>
      <c r="D75" s="42"/>
      <c r="E75" s="294"/>
      <c r="F75" s="43"/>
      <c r="G75" s="34"/>
      <c r="H75" s="39"/>
      <c r="I75" s="41"/>
      <c r="J75" s="34"/>
      <c r="K75" s="39"/>
      <c r="L75" s="45">
        <f t="shared" si="10"/>
        <v>0</v>
      </c>
    </row>
    <row r="76" spans="1:18" s="90" customFormat="1">
      <c r="A76" s="36" t="s">
        <v>177</v>
      </c>
      <c r="B76" s="79"/>
      <c r="C76" s="34"/>
      <c r="D76" s="37"/>
      <c r="E76" s="34"/>
      <c r="F76" s="38"/>
      <c r="G76" s="34"/>
      <c r="H76" s="245">
        <f>PMT(B75,B74,K73)*-1</f>
        <v>1150866.2941105068</v>
      </c>
      <c r="I76" s="41"/>
      <c r="J76" s="34"/>
      <c r="K76" s="39"/>
      <c r="L76" s="45">
        <f t="shared" si="10"/>
        <v>9.3141349252210542E-3</v>
      </c>
      <c r="N76"/>
      <c r="O76"/>
      <c r="P76"/>
      <c r="Q76"/>
      <c r="R76"/>
    </row>
    <row r="77" spans="1:18">
      <c r="A77" s="33" t="s">
        <v>31</v>
      </c>
      <c r="B77" s="79"/>
      <c r="C77" s="34"/>
      <c r="D77" s="37"/>
      <c r="E77" s="34"/>
      <c r="F77" s="38"/>
      <c r="G77" s="34"/>
      <c r="H77" s="39"/>
      <c r="I77" s="41"/>
      <c r="J77" s="34"/>
      <c r="K77" s="39"/>
      <c r="L77" s="45"/>
    </row>
    <row r="78" spans="1:18" ht="17.25">
      <c r="A78" s="36" t="s">
        <v>5</v>
      </c>
      <c r="B78" s="34">
        <f>'Data Inputs'!C44</f>
        <v>0.23699999999999999</v>
      </c>
      <c r="C78" s="34" t="s">
        <v>49</v>
      </c>
      <c r="D78" s="37">
        <f>'Data Inputs'!G44</f>
        <v>1000</v>
      </c>
      <c r="E78" s="34" t="s">
        <v>51</v>
      </c>
      <c r="F78" s="38">
        <f>B78/D78/$O$3*'Data Inputs'!$C$4</f>
        <v>1227596.952075396</v>
      </c>
      <c r="G78" s="34" t="str">
        <f>C78</f>
        <v>lb</v>
      </c>
      <c r="H78" s="39">
        <f>'Data Inputs'!H44</f>
        <v>364796</v>
      </c>
      <c r="I78" s="40">
        <f>H78/F78</f>
        <v>0.29716267980567218</v>
      </c>
      <c r="J78" s="34" t="str">
        <f t="shared" ref="J78" si="11">CONCATENATE("$/",G78)</f>
        <v>$/lb</v>
      </c>
      <c r="K78" s="39"/>
      <c r="L78" s="45">
        <f>IF($R$3="Y",H78/$Q$3*$O$4,H78/$Q$4*$O$4)</f>
        <v>2.9523491838876329E-3</v>
      </c>
    </row>
    <row r="79" spans="1:18">
      <c r="A79" s="33" t="s">
        <v>38</v>
      </c>
      <c r="B79" s="79"/>
      <c r="C79" s="34"/>
      <c r="D79" s="37"/>
      <c r="E79" s="34"/>
      <c r="F79" s="38"/>
      <c r="G79" s="34"/>
      <c r="H79" s="39"/>
      <c r="I79" s="41"/>
      <c r="J79" s="34"/>
      <c r="K79" s="39"/>
      <c r="L79" s="45"/>
    </row>
    <row r="80" spans="1:18">
      <c r="A80" s="36" t="s">
        <v>117</v>
      </c>
      <c r="B80" s="37">
        <f>'Data Inputs'!C46</f>
        <v>76137689</v>
      </c>
      <c r="C80" s="34" t="s">
        <v>61</v>
      </c>
      <c r="D80" s="37">
        <f>'Data Inputs'!G46</f>
        <v>38747000000</v>
      </c>
      <c r="E80" s="34" t="s">
        <v>56</v>
      </c>
      <c r="F80" s="38">
        <f>B80/D80*'Data Inputs'!$C$4</f>
        <v>76137689</v>
      </c>
      <c r="G80" s="34" t="str">
        <f>C80</f>
        <v>kWh</v>
      </c>
      <c r="H80" s="39">
        <f>F80*I80</f>
        <v>2497316.1992000001</v>
      </c>
      <c r="I80" s="45">
        <f>'Data Inputs'!H52</f>
        <v>3.2800000000000003E-2</v>
      </c>
      <c r="J80" s="34" t="str">
        <f t="shared" ref="J80:J81" si="12">CONCATENATE("$/",G80)</f>
        <v>$/kWh</v>
      </c>
      <c r="K80" s="39"/>
      <c r="L80" s="45">
        <f>IF($R$3="Y",H80/$Q$3*$O$4,H80/$Q$4*$O$4)</f>
        <v>2.0211157585657426E-2</v>
      </c>
    </row>
    <row r="81" spans="1:12" ht="17.25">
      <c r="A81" s="36" t="s">
        <v>3</v>
      </c>
      <c r="B81" s="152">
        <f>'Data Inputs'!C47</f>
        <v>2.3E-2</v>
      </c>
      <c r="C81" s="34" t="s">
        <v>49</v>
      </c>
      <c r="D81" s="37">
        <f>'Data Inputs'!G47</f>
        <v>1000</v>
      </c>
      <c r="E81" s="34" t="s">
        <v>51</v>
      </c>
      <c r="F81" s="38">
        <f>B81/D81/$O$3*'Data Inputs'!$C$4</f>
        <v>119133.88142503843</v>
      </c>
      <c r="G81" s="34" t="str">
        <f>C81</f>
        <v>lb</v>
      </c>
      <c r="H81" s="39">
        <f>'Data Inputs'!H47</f>
        <v>10896</v>
      </c>
      <c r="I81" s="40">
        <f>H81/F81</f>
        <v>9.1460127628394228E-2</v>
      </c>
      <c r="J81" s="34" t="str">
        <f t="shared" si="12"/>
        <v>$/lb</v>
      </c>
      <c r="K81" s="39"/>
      <c r="L81" s="45">
        <f>IF($R$3="Y",H81/$Q$3*$O$4,H81/$Q$4*$O$4)</f>
        <v>8.8182975437339358E-5</v>
      </c>
    </row>
    <row r="82" spans="1:12">
      <c r="A82" s="33" t="s">
        <v>36</v>
      </c>
      <c r="B82" s="79"/>
      <c r="C82" s="34"/>
      <c r="D82" s="37"/>
      <c r="E82" s="34"/>
      <c r="F82" s="38"/>
      <c r="G82" s="34"/>
      <c r="H82" s="39"/>
      <c r="I82" s="41"/>
      <c r="J82" s="34"/>
      <c r="K82" s="39"/>
      <c r="L82" s="45"/>
    </row>
    <row r="83" spans="1:12">
      <c r="A83" s="35" t="s">
        <v>53</v>
      </c>
      <c r="B83" s="37">
        <v>49</v>
      </c>
      <c r="C83" s="34" t="s">
        <v>64</v>
      </c>
      <c r="D83" s="37">
        <f>'Data Inputs'!G49</f>
        <v>38747000000</v>
      </c>
      <c r="E83" s="34" t="s">
        <v>56</v>
      </c>
      <c r="F83" s="38">
        <f>B83/D83*'Data Inputs'!$C$4</f>
        <v>49</v>
      </c>
      <c r="G83" s="34" t="str">
        <f>C83</f>
        <v>worker</v>
      </c>
      <c r="H83" s="39">
        <f>'Data Inputs'!H49</f>
        <v>1822389.855</v>
      </c>
      <c r="I83" s="40">
        <f>H83/F83</f>
        <v>37191.629693877549</v>
      </c>
      <c r="J83" s="34" t="str">
        <f>CONCATENATE("$/",G83)</f>
        <v>$/worker</v>
      </c>
      <c r="K83" s="39"/>
      <c r="L83" s="45">
        <f t="shared" ref="L83:L88" si="13">IF($R$3="Y",H83/$Q$3*$O$4,H83/$Q$4*$O$4)</f>
        <v>1.4748876635528766E-2</v>
      </c>
    </row>
    <row r="84" spans="1:12">
      <c r="A84" s="34" t="s">
        <v>168</v>
      </c>
      <c r="B84" s="30" t="s">
        <v>44</v>
      </c>
      <c r="C84" s="34"/>
      <c r="D84" s="42" t="s">
        <v>44</v>
      </c>
      <c r="E84" s="34"/>
      <c r="F84" s="43" t="s">
        <v>44</v>
      </c>
      <c r="G84" s="34"/>
      <c r="H84" s="39">
        <f>'Data Inputs'!H50-'Data Inputs'!H41</f>
        <v>390000</v>
      </c>
      <c r="I84" s="41">
        <v>0</v>
      </c>
      <c r="J84" s="34"/>
      <c r="K84" s="39"/>
      <c r="L84" s="45">
        <f t="shared" si="13"/>
        <v>3.1563289666448557E-3</v>
      </c>
    </row>
    <row r="85" spans="1:12">
      <c r="A85" s="34" t="s">
        <v>169</v>
      </c>
      <c r="B85" s="37">
        <f>'Data Inputs'!C51</f>
        <v>39125286</v>
      </c>
      <c r="C85" s="34" t="s">
        <v>61</v>
      </c>
      <c r="D85" s="37">
        <f>'Data Inputs'!G51</f>
        <v>38747000000</v>
      </c>
      <c r="E85" s="34" t="s">
        <v>56</v>
      </c>
      <c r="F85" s="38">
        <f>B85/D85*'Data Inputs'!$C$4</f>
        <v>39125286</v>
      </c>
      <c r="G85" s="34" t="str">
        <f>C85</f>
        <v>kWh</v>
      </c>
      <c r="H85" s="39">
        <f>F85*I85</f>
        <v>1283309.3808000002</v>
      </c>
      <c r="I85" s="45">
        <f>'Data Inputs'!H52</f>
        <v>3.2800000000000003E-2</v>
      </c>
      <c r="J85" s="34" t="str">
        <f>CONCATENATE("$/",G85)</f>
        <v>$/kWh</v>
      </c>
      <c r="K85" s="39"/>
      <c r="L85" s="45">
        <f t="shared" si="13"/>
        <v>1.0386016850733627E-2</v>
      </c>
    </row>
    <row r="86" spans="1:12">
      <c r="A86" s="34" t="s">
        <v>121</v>
      </c>
      <c r="B86" s="37">
        <f>'Data Inputs'!C53</f>
        <v>2287186</v>
      </c>
      <c r="C86" s="34" t="s">
        <v>61</v>
      </c>
      <c r="D86" s="37">
        <f>'Data Inputs'!G53</f>
        <v>38747000000</v>
      </c>
      <c r="E86" s="34" t="s">
        <v>56</v>
      </c>
      <c r="F86" s="38">
        <f>B86/D86*'Data Inputs'!$C$4</f>
        <v>2287186</v>
      </c>
      <c r="G86" s="34" t="str">
        <f>C86</f>
        <v>kWh</v>
      </c>
      <c r="H86" s="39">
        <f>F86*I86</f>
        <v>0</v>
      </c>
      <c r="I86" s="39">
        <v>0</v>
      </c>
      <c r="J86" s="34" t="str">
        <f>CONCATENATE("$/",G86)</f>
        <v>$/kWh</v>
      </c>
      <c r="K86" s="39"/>
      <c r="L86" s="45">
        <f t="shared" si="13"/>
        <v>0</v>
      </c>
    </row>
    <row r="87" spans="1:12" s="90" customFormat="1">
      <c r="A87" s="335" t="s">
        <v>464</v>
      </c>
      <c r="B87" s="336"/>
      <c r="C87" s="335"/>
      <c r="D87" s="336"/>
      <c r="E87" s="335"/>
      <c r="F87" s="336"/>
      <c r="G87" s="335"/>
      <c r="H87" s="337">
        <f>SUM(H42:H55,H63:H86)</f>
        <v>8241213.9160041837</v>
      </c>
      <c r="I87" s="337"/>
      <c r="J87" s="335"/>
      <c r="K87" s="338"/>
      <c r="L87" s="339">
        <f t="shared" si="13"/>
        <v>6.6697390265129983E-2</v>
      </c>
    </row>
    <row r="88" spans="1:12">
      <c r="A88" s="91" t="s">
        <v>463</v>
      </c>
      <c r="B88" s="92"/>
      <c r="C88" s="91"/>
      <c r="D88" s="92"/>
      <c r="E88" s="91"/>
      <c r="F88" s="92"/>
      <c r="G88" s="91"/>
      <c r="H88" s="93">
        <f>SUM(H42:H86)</f>
        <v>9756169.7160041835</v>
      </c>
      <c r="I88" s="93"/>
      <c r="J88" s="91"/>
      <c r="K88" s="94"/>
      <c r="L88" s="95">
        <f t="shared" si="13"/>
        <v>7.8958156610582864E-2</v>
      </c>
    </row>
    <row r="89" spans="1:12">
      <c r="A89" s="32" t="s">
        <v>290</v>
      </c>
      <c r="B89" s="28"/>
      <c r="C89" s="28"/>
      <c r="D89" s="28"/>
      <c r="E89" s="28"/>
      <c r="F89" s="28"/>
      <c r="G89" s="28"/>
      <c r="H89" s="28"/>
      <c r="I89" s="28"/>
      <c r="J89" s="28"/>
      <c r="K89" s="28"/>
      <c r="L89" s="28"/>
    </row>
    <row r="90" spans="1:12">
      <c r="A90" s="33" t="s">
        <v>23</v>
      </c>
      <c r="B90" s="34"/>
      <c r="C90" s="34"/>
      <c r="D90" s="37"/>
      <c r="E90" s="34"/>
      <c r="F90" s="38"/>
      <c r="G90" s="34"/>
      <c r="H90" s="39"/>
      <c r="I90" s="40"/>
      <c r="J90" s="34"/>
      <c r="K90" s="34"/>
      <c r="L90" s="45"/>
    </row>
    <row r="91" spans="1:12">
      <c r="A91" s="34" t="s">
        <v>8</v>
      </c>
      <c r="B91" s="34"/>
      <c r="C91" s="34"/>
      <c r="D91" s="37"/>
      <c r="E91" s="34"/>
      <c r="F91" s="38"/>
      <c r="G91" s="34"/>
      <c r="H91" s="39"/>
      <c r="I91" s="40"/>
      <c r="J91" s="34"/>
      <c r="K91" s="34"/>
      <c r="L91" s="45"/>
    </row>
    <row r="92" spans="1:12">
      <c r="A92" s="33" t="s">
        <v>24</v>
      </c>
      <c r="B92" s="34"/>
      <c r="C92" s="34"/>
      <c r="D92" s="37"/>
      <c r="E92" s="34"/>
      <c r="F92" s="38"/>
      <c r="G92" s="34"/>
      <c r="H92" s="39"/>
      <c r="I92" s="40"/>
      <c r="J92" s="34"/>
      <c r="K92" s="34"/>
      <c r="L92" s="45"/>
    </row>
    <row r="93" spans="1:12" ht="17.25">
      <c r="A93" s="36" t="s">
        <v>0</v>
      </c>
      <c r="B93" s="34">
        <f>'Data Inputs'!C20</f>
        <v>0.96199999999999997</v>
      </c>
      <c r="C93" s="34" t="s">
        <v>49</v>
      </c>
      <c r="D93" s="37">
        <f>'Data Inputs'!G20</f>
        <v>1000</v>
      </c>
      <c r="E93" s="34" t="s">
        <v>51</v>
      </c>
      <c r="F93" s="38">
        <f>B93/D93/$O$3*'Data Inputs'!$C$4</f>
        <v>4982904.0839516073</v>
      </c>
      <c r="G93" s="34" t="str">
        <f>C93</f>
        <v>lb</v>
      </c>
      <c r="H93" s="39">
        <f>'Data Inputs'!H20</f>
        <v>888675</v>
      </c>
      <c r="I93" s="40">
        <f>H93/F93</f>
        <v>0.17834479352354932</v>
      </c>
      <c r="J93" s="34" t="str">
        <f>CONCATENATE("$/",G93)</f>
        <v>$/lb</v>
      </c>
      <c r="K93" s="34"/>
      <c r="L93" s="45">
        <f>IF($R$3="Y",H93/$Q$3*$O$4,H93/$Q$4*$O$4)</f>
        <v>7.1921811395720958E-3</v>
      </c>
    </row>
    <row r="94" spans="1:12" ht="17.25">
      <c r="A94" s="36" t="s">
        <v>6</v>
      </c>
      <c r="B94" s="34">
        <f>'Data Inputs'!C21</f>
        <v>9.6000000000000002E-2</v>
      </c>
      <c r="C94" s="34" t="s">
        <v>49</v>
      </c>
      <c r="D94" s="37">
        <f>'Data Inputs'!G21</f>
        <v>1000</v>
      </c>
      <c r="E94" s="34" t="s">
        <v>51</v>
      </c>
      <c r="F94" s="38">
        <f>B94/D94/$O$3*'Data Inputs'!$C$4</f>
        <v>497254.4616001604</v>
      </c>
      <c r="G94" s="34" t="str">
        <f>C94</f>
        <v>lb</v>
      </c>
      <c r="H94" s="39">
        <f>'Data Inputs'!H21</f>
        <v>94000</v>
      </c>
      <c r="I94" s="40">
        <f>H94/F94</f>
        <v>0.18903802229850053</v>
      </c>
      <c r="J94" s="34" t="str">
        <f>CONCATENATE("$/",G94)</f>
        <v>$/lb</v>
      </c>
      <c r="K94" s="34"/>
      <c r="L94" s="45">
        <f>IF($R$3="Y",H94/$Q$3*$O$4,H94/$Q$4*$O$4)</f>
        <v>7.607562124733755E-4</v>
      </c>
    </row>
    <row r="95" spans="1:12">
      <c r="A95" s="33" t="s">
        <v>25</v>
      </c>
      <c r="B95" s="34"/>
      <c r="C95" s="34"/>
      <c r="D95" s="34"/>
      <c r="E95" s="34"/>
      <c r="F95" s="34"/>
      <c r="G95" s="34"/>
      <c r="H95" s="39"/>
      <c r="I95" s="34"/>
      <c r="J95" s="34"/>
      <c r="K95" s="34"/>
      <c r="L95" s="45"/>
    </row>
    <row r="96" spans="1:12" ht="17.25">
      <c r="A96" s="36" t="s">
        <v>55</v>
      </c>
      <c r="B96" s="102">
        <f>'Data Inputs'!C23</f>
        <v>3.5573854901761939</v>
      </c>
      <c r="C96" s="34" t="s">
        <v>49</v>
      </c>
      <c r="D96" s="37">
        <f>'Data Inputs'!G23</f>
        <v>1000</v>
      </c>
      <c r="E96" s="34" t="s">
        <v>51</v>
      </c>
      <c r="F96" s="38">
        <f>B96/D96/$O$3*'Data Inputs'!$C$4</f>
        <v>18426310.485643607</v>
      </c>
      <c r="G96" s="34" t="str">
        <f>C96</f>
        <v>lb</v>
      </c>
      <c r="H96" s="39">
        <f>'Data Inputs'!H23</f>
        <v>15000</v>
      </c>
      <c r="I96" s="41">
        <f>H96/F96</f>
        <v>8.1405336199489697E-4</v>
      </c>
      <c r="J96" s="34" t="str">
        <f t="shared" ref="J96:J100" si="14">CONCATENATE("$/",G96)</f>
        <v>$/lb</v>
      </c>
      <c r="K96" s="34"/>
      <c r="L96" s="45">
        <f>IF($R$3="Y",H96/$Q$3*$O$4,H96/$Q$4*$O$4)</f>
        <v>1.2139726794787907E-4</v>
      </c>
    </row>
    <row r="97" spans="1:12">
      <c r="A97" s="33" t="s">
        <v>26</v>
      </c>
      <c r="B97" s="34"/>
      <c r="C97" s="34"/>
      <c r="D97" s="37"/>
      <c r="E97" s="34"/>
      <c r="F97" s="34"/>
      <c r="G97" s="34"/>
      <c r="H97" s="39"/>
      <c r="I97" s="41"/>
      <c r="J97" s="34"/>
      <c r="K97" s="34"/>
      <c r="L97" s="45"/>
    </row>
    <row r="98" spans="1:12" ht="17.25">
      <c r="A98" s="36" t="s">
        <v>1</v>
      </c>
      <c r="B98" s="34">
        <f>'Data Inputs'!C25</f>
        <v>0.17699999999999999</v>
      </c>
      <c r="C98" s="34" t="s">
        <v>49</v>
      </c>
      <c r="D98" s="37">
        <f>'Data Inputs'!G25</f>
        <v>1000</v>
      </c>
      <c r="E98" s="34" t="s">
        <v>51</v>
      </c>
      <c r="F98" s="38">
        <f>B98/D98/$O$3*'Data Inputs'!$C$4</f>
        <v>916812.91357529571</v>
      </c>
      <c r="G98" s="34" t="str">
        <f>C98</f>
        <v>lb</v>
      </c>
      <c r="H98" s="39">
        <f>'Data Inputs'!H25</f>
        <v>53985</v>
      </c>
      <c r="I98" s="39">
        <f>H98/F98</f>
        <v>5.888333290319251E-2</v>
      </c>
      <c r="J98" s="34" t="str">
        <f t="shared" si="14"/>
        <v>$/lb</v>
      </c>
      <c r="K98" s="34"/>
      <c r="L98" s="45">
        <f>IF($R$3="Y",H98/$Q$3*$O$4,H98/$Q$4*$O$4)</f>
        <v>4.3690876734441675E-4</v>
      </c>
    </row>
    <row r="99" spans="1:12">
      <c r="A99" s="33" t="s">
        <v>27</v>
      </c>
      <c r="B99" s="34"/>
      <c r="C99" s="34"/>
      <c r="D99" s="34"/>
      <c r="E99" s="34"/>
      <c r="F99" s="34"/>
      <c r="G99" s="34"/>
      <c r="H99" s="39"/>
      <c r="I99" s="39"/>
      <c r="J99" s="34"/>
      <c r="K99" s="34"/>
      <c r="L99" s="45"/>
    </row>
    <row r="100" spans="1:12" ht="17.25">
      <c r="A100" s="36" t="s">
        <v>54</v>
      </c>
      <c r="B100" s="34">
        <f>'Data Inputs'!C27</f>
        <v>0.42799999999999999</v>
      </c>
      <c r="C100" s="34" t="s">
        <v>49</v>
      </c>
      <c r="D100" s="37">
        <f>'Data Inputs'!G27</f>
        <v>1000</v>
      </c>
      <c r="E100" s="34" t="s">
        <v>51</v>
      </c>
      <c r="F100" s="38">
        <f>B100/D100/$O$3*'Data Inputs'!$C$4</f>
        <v>2216926.141300715</v>
      </c>
      <c r="G100" s="34" t="str">
        <f>C100</f>
        <v>lb</v>
      </c>
      <c r="H100" s="39"/>
      <c r="I100" s="39">
        <f t="shared" ref="I100" si="15">H100/F100</f>
        <v>0</v>
      </c>
      <c r="J100" s="34" t="str">
        <f t="shared" si="14"/>
        <v>$/lb</v>
      </c>
      <c r="K100" s="34"/>
      <c r="L100" s="45">
        <f>IF($R$3="Y",H100/$Q$3*$O$4,H100/$Q$4*$O$4)</f>
        <v>0</v>
      </c>
    </row>
    <row r="101" spans="1:12">
      <c r="A101" s="36" t="s">
        <v>58</v>
      </c>
      <c r="B101" s="34"/>
      <c r="C101" s="34"/>
      <c r="D101" s="37"/>
      <c r="E101" s="34"/>
      <c r="F101" s="38"/>
      <c r="G101" s="34"/>
      <c r="H101" s="39">
        <f>'Data Inputs'!H28</f>
        <v>30000</v>
      </c>
      <c r="I101" s="39"/>
      <c r="J101" s="34"/>
      <c r="K101" s="34"/>
      <c r="L101" s="45">
        <f>IF($R$3="Y",H101/$Q$3*$O$4,H101/$Q$4*$O$4)</f>
        <v>2.4279453589575814E-4</v>
      </c>
    </row>
    <row r="102" spans="1:12">
      <c r="A102" s="33" t="s">
        <v>28</v>
      </c>
      <c r="B102" s="34"/>
      <c r="C102" s="34"/>
      <c r="D102" s="34"/>
      <c r="E102" s="34"/>
      <c r="F102" s="34"/>
      <c r="G102" s="34"/>
      <c r="H102" s="39"/>
      <c r="I102" s="39"/>
      <c r="J102" s="34"/>
      <c r="K102" s="34"/>
      <c r="L102" s="45"/>
    </row>
    <row r="103" spans="1:12" ht="17.25">
      <c r="A103" s="36" t="s">
        <v>57</v>
      </c>
      <c r="B103" s="34">
        <f>'Data Inputs'!C30</f>
        <v>0.156</v>
      </c>
      <c r="C103" s="34" t="s">
        <v>49</v>
      </c>
      <c r="D103" s="37">
        <f>'Data Inputs'!G30</f>
        <v>1000</v>
      </c>
      <c r="E103" s="34" t="s">
        <v>51</v>
      </c>
      <c r="F103" s="38">
        <f>B103/D103/$O$3*'Data Inputs'!$C$4</f>
        <v>808038.5001002606</v>
      </c>
      <c r="G103" s="34" t="str">
        <f>C103</f>
        <v>lb</v>
      </c>
      <c r="H103" s="39">
        <f>'Data Inputs'!H30</f>
        <v>1070955</v>
      </c>
      <c r="I103" s="39">
        <f>H103/F103</f>
        <v>1.3253762040634414</v>
      </c>
      <c r="J103" s="34" t="str">
        <f>CONCATENATE("$/",G103)</f>
        <v>$/lb</v>
      </c>
      <c r="K103" s="34"/>
      <c r="L103" s="45">
        <f>IF($R$3="Y",H103/$Q$3*$O$4,H103/$Q$4*$O$4)</f>
        <v>8.667400739674723E-3</v>
      </c>
    </row>
    <row r="104" spans="1:12">
      <c r="A104" s="33" t="s">
        <v>32</v>
      </c>
      <c r="B104" s="34"/>
      <c r="C104" s="34"/>
      <c r="D104" s="34"/>
      <c r="E104" s="34"/>
      <c r="F104" s="38"/>
      <c r="G104" s="34"/>
      <c r="H104" s="39"/>
      <c r="I104" s="39"/>
      <c r="J104" s="34"/>
      <c r="K104" s="34"/>
      <c r="L104" s="45"/>
    </row>
    <row r="105" spans="1:12">
      <c r="A105" s="36" t="s">
        <v>112</v>
      </c>
      <c r="B105" s="37">
        <f>'Data Inputs'!C32</f>
        <v>75600000</v>
      </c>
      <c r="C105" s="34" t="s">
        <v>113</v>
      </c>
      <c r="D105" s="37">
        <f>'Data Inputs'!G32</f>
        <v>38747000000</v>
      </c>
      <c r="E105" s="34" t="s">
        <v>56</v>
      </c>
      <c r="F105" s="38">
        <f>B105/D105*'Data Inputs'!$C$4</f>
        <v>75600000</v>
      </c>
      <c r="G105" s="34" t="str">
        <f t="shared" ref="G105" si="16">C105</f>
        <v>scf</v>
      </c>
      <c r="H105" s="39">
        <f>F105*I105</f>
        <v>428500.79999999993</v>
      </c>
      <c r="I105" s="45">
        <f>'Data Inputs'!H54</f>
        <v>5.6679999999999994E-3</v>
      </c>
      <c r="J105" s="34" t="str">
        <f>CONCATENATE("$/",G105)</f>
        <v>$/scf</v>
      </c>
      <c r="K105" s="34"/>
      <c r="L105" s="45">
        <f>IF($R$3="Y",H105/$Q$3*$O$4,H105/$Q$4*$O$4)</f>
        <v>3.4679217622320354E-3</v>
      </c>
    </row>
    <row r="106" spans="1:12">
      <c r="A106" s="36" t="s">
        <v>125</v>
      </c>
      <c r="B106" s="30" t="s">
        <v>44</v>
      </c>
      <c r="C106" s="34"/>
      <c r="D106" s="42" t="s">
        <v>44</v>
      </c>
      <c r="E106" s="34"/>
      <c r="F106" s="43" t="s">
        <v>44</v>
      </c>
      <c r="G106" s="34"/>
      <c r="H106" s="39">
        <f>'Data Inputs'!H34</f>
        <v>11500</v>
      </c>
      <c r="I106" s="45">
        <v>0</v>
      </c>
      <c r="J106" s="34"/>
      <c r="K106" s="34"/>
      <c r="L106" s="45">
        <f>IF($R$3="Y",H106/$Q$3*$O$4,H106/$Q$4*$O$4)</f>
        <v>9.3071238760040632E-5</v>
      </c>
    </row>
    <row r="107" spans="1:12">
      <c r="A107" s="36" t="s">
        <v>7</v>
      </c>
      <c r="B107" s="30" t="s">
        <v>44</v>
      </c>
      <c r="C107" s="34"/>
      <c r="D107" s="42" t="s">
        <v>44</v>
      </c>
      <c r="E107" s="34"/>
      <c r="F107" s="43" t="s">
        <v>44</v>
      </c>
      <c r="G107" s="34"/>
      <c r="H107" s="39">
        <f>'Data Inputs'!H35</f>
        <v>4000</v>
      </c>
      <c r="I107" s="45">
        <v>0</v>
      </c>
      <c r="J107" s="34"/>
      <c r="K107" s="34"/>
      <c r="L107" s="45">
        <f>IF($R$3="Y",H107/$Q$3*$O$4,H107/$Q$4*$O$4)</f>
        <v>3.2372604786101083E-5</v>
      </c>
    </row>
    <row r="108" spans="1:12">
      <c r="A108" s="33" t="s">
        <v>29</v>
      </c>
      <c r="B108" s="34"/>
      <c r="C108" s="34"/>
      <c r="D108" s="34"/>
      <c r="E108" s="34"/>
      <c r="F108" s="34"/>
      <c r="G108" s="34"/>
      <c r="H108" s="39"/>
      <c r="I108" s="39"/>
      <c r="J108" s="34"/>
      <c r="K108" s="34"/>
      <c r="L108" s="45"/>
    </row>
    <row r="109" spans="1:12" ht="17.25">
      <c r="A109" s="36" t="s">
        <v>59</v>
      </c>
      <c r="B109" s="34">
        <f>'Data Inputs'!C37</f>
        <v>1.073</v>
      </c>
      <c r="C109" s="34" t="s">
        <v>49</v>
      </c>
      <c r="D109" s="37">
        <f>'Data Inputs'!G37</f>
        <v>1000</v>
      </c>
      <c r="E109" s="34" t="s">
        <v>51</v>
      </c>
      <c r="F109" s="38">
        <f>B109/D109/$O$3*'Data Inputs'!$C$4</f>
        <v>5557854.5551767927</v>
      </c>
      <c r="G109" s="34" t="str">
        <f>C109</f>
        <v>lb</v>
      </c>
      <c r="H109" s="39">
        <f>'Data Inputs'!H37</f>
        <v>639756</v>
      </c>
      <c r="I109" s="39">
        <f>H109/F109</f>
        <v>0.11510844583079409</v>
      </c>
      <c r="J109" s="34" t="str">
        <f t="shared" ref="J109" si="17">CONCATENATE("$/",G109)</f>
        <v>$/lb</v>
      </c>
      <c r="K109" s="34"/>
      <c r="L109" s="45">
        <f>IF($R$3="Y",H109/$Q$3*$O$4,H109/$Q$4*$O$4)</f>
        <v>5.177642036884221E-3</v>
      </c>
    </row>
    <row r="110" spans="1:12" ht="17.25">
      <c r="A110" s="36" t="s">
        <v>60</v>
      </c>
      <c r="B110" s="34">
        <f>'Data Inputs'!C38</f>
        <v>0.121</v>
      </c>
      <c r="C110" s="34" t="s">
        <v>49</v>
      </c>
      <c r="D110" s="37">
        <f>'Data Inputs'!G38</f>
        <v>1000</v>
      </c>
      <c r="E110" s="34" t="s">
        <v>51</v>
      </c>
      <c r="F110" s="38">
        <f>B110/D110/$O$3*'Data Inputs'!$C$4</f>
        <v>626747.81097520213</v>
      </c>
      <c r="G110" s="34" t="str">
        <f>C110</f>
        <v>lb</v>
      </c>
      <c r="H110" s="39">
        <f>'Data Inputs'!H38</f>
        <v>258687</v>
      </c>
      <c r="I110" s="39">
        <f>H110/F110</f>
        <v>0.41274495972708741</v>
      </c>
      <c r="J110" s="34" t="str">
        <f>CONCATENATE("$/",G110)</f>
        <v>$/lb</v>
      </c>
      <c r="K110" s="34"/>
      <c r="L110" s="45">
        <f>IF($R$3="Y",H110/$Q$3*$O$4,H110/$Q$4*$O$4)</f>
        <v>2.0935930035755326E-3</v>
      </c>
    </row>
    <row r="111" spans="1:12">
      <c r="A111" s="33" t="s">
        <v>30</v>
      </c>
      <c r="B111" s="34"/>
      <c r="C111" s="34"/>
      <c r="D111" s="34"/>
      <c r="E111" s="34"/>
      <c r="F111" s="34"/>
      <c r="G111" s="34"/>
      <c r="H111" s="39"/>
      <c r="I111" s="34"/>
      <c r="J111" s="34"/>
      <c r="K111" s="34"/>
      <c r="L111" s="45"/>
    </row>
    <row r="112" spans="1:12" ht="17.25">
      <c r="A112" s="36" t="s">
        <v>2</v>
      </c>
      <c r="B112" s="34">
        <f>'Data Inputs'!C40*(100-'Data Inputs'!C110)/100</f>
        <v>2.75E-2</v>
      </c>
      <c r="C112" s="34" t="s">
        <v>49</v>
      </c>
      <c r="D112" s="37">
        <f>'Data Inputs'!G40</f>
        <v>1000</v>
      </c>
      <c r="E112" s="34" t="s">
        <v>51</v>
      </c>
      <c r="F112" s="38">
        <f>B112/D112/$O$3*'Data Inputs'!$C$4</f>
        <v>142442.68431254596</v>
      </c>
      <c r="G112" s="34" t="str">
        <f>C112</f>
        <v>lb</v>
      </c>
      <c r="H112" s="39">
        <f>F112*I112</f>
        <v>29481.5</v>
      </c>
      <c r="I112" s="40">
        <f>I26</f>
        <v>0.20697096619796956</v>
      </c>
      <c r="J112" s="34" t="str">
        <f>CONCATENATE("$/",G112)</f>
        <v>$/lb</v>
      </c>
      <c r="K112" s="34"/>
      <c r="L112" s="45">
        <f t="shared" ref="L112:L123" si="18">IF($R$3="Y",H112/$Q$3*$O$4,H112/$Q$4*$O$4)</f>
        <v>2.3859823700035979E-4</v>
      </c>
    </row>
    <row r="113" spans="1:18">
      <c r="A113" s="36" t="s">
        <v>62</v>
      </c>
      <c r="B113" s="30" t="s">
        <v>44</v>
      </c>
      <c r="C113" s="34"/>
      <c r="D113" s="42" t="s">
        <v>44</v>
      </c>
      <c r="E113" s="34"/>
      <c r="F113" s="43" t="s">
        <v>44</v>
      </c>
      <c r="G113" s="34"/>
      <c r="H113" s="39">
        <f>'Data Inputs'!H41</f>
        <v>10000</v>
      </c>
      <c r="I113" s="44">
        <v>0</v>
      </c>
      <c r="J113" s="34"/>
      <c r="K113" s="34"/>
      <c r="L113" s="45">
        <f t="shared" si="18"/>
        <v>8.0931511965252705E-5</v>
      </c>
    </row>
    <row r="114" spans="1:18">
      <c r="A114" s="36" t="s">
        <v>126</v>
      </c>
      <c r="B114" s="30" t="s">
        <v>44</v>
      </c>
      <c r="C114" s="34"/>
      <c r="D114" s="42" t="s">
        <v>44</v>
      </c>
      <c r="E114" s="34"/>
      <c r="F114" s="43" t="s">
        <v>44</v>
      </c>
      <c r="G114" s="34"/>
      <c r="H114" s="39">
        <f>'Data Inputs'!H42</f>
        <v>200</v>
      </c>
      <c r="I114" s="44">
        <v>0</v>
      </c>
      <c r="J114" s="34"/>
      <c r="K114" s="34"/>
      <c r="L114" s="41">
        <f t="shared" si="18"/>
        <v>1.6186302393050544E-6</v>
      </c>
      <c r="N114" s="90"/>
      <c r="O114" s="90"/>
      <c r="P114" s="90"/>
      <c r="Q114" s="90"/>
      <c r="R114" s="90"/>
    </row>
    <row r="115" spans="1:18" s="90" customFormat="1">
      <c r="A115" s="36" t="s">
        <v>294</v>
      </c>
      <c r="B115" s="37">
        <f>IF('Sensitivity Analysis'!J50="On",'Sensitivity Analysis'!I50,'Sensitivity Analysis'!C50)</f>
        <v>210240</v>
      </c>
      <c r="C115" s="34" t="s">
        <v>439</v>
      </c>
      <c r="D115" s="37">
        <f>'Data Inputs'!G99*365</f>
        <v>1314000000</v>
      </c>
      <c r="E115" s="34" t="s">
        <v>56</v>
      </c>
      <c r="F115" s="38">
        <f>B115/D115*'Data Inputs'!$C$4</f>
        <v>6199520.0000000009</v>
      </c>
      <c r="G115" s="34" t="s">
        <v>61</v>
      </c>
      <c r="H115" s="39">
        <f>F115*I115</f>
        <v>203344.25600000005</v>
      </c>
      <c r="I115" s="45">
        <f>'Data Inputs'!H52</f>
        <v>3.2800000000000003E-2</v>
      </c>
      <c r="J115" s="34" t="str">
        <f t="shared" ref="J115" si="19">CONCATENATE("$/",G115)</f>
        <v>$/kWh</v>
      </c>
      <c r="K115" s="34"/>
      <c r="L115" s="45">
        <f>IF($R$3="Y",H115/$Q$3*$O$4,H115/$Q$4*$O$4)</f>
        <v>1.6456958087529415E-3</v>
      </c>
    </row>
    <row r="116" spans="1:18" s="90" customFormat="1">
      <c r="A116" s="36" t="s">
        <v>299</v>
      </c>
      <c r="B116" s="79">
        <f>'Data Inputs'!C101</f>
        <v>6</v>
      </c>
      <c r="C116" s="34" t="s">
        <v>4</v>
      </c>
      <c r="D116" s="259">
        <f>$D$121</f>
        <v>1314000000</v>
      </c>
      <c r="E116" s="34" t="s">
        <v>56</v>
      </c>
      <c r="F116" s="260">
        <f>$F$121</f>
        <v>31</v>
      </c>
      <c r="G116" s="34" t="s">
        <v>445</v>
      </c>
      <c r="H116" s="39">
        <f>K116/'Data Inputs'!$C$97</f>
        <v>87885</v>
      </c>
      <c r="I116" s="44"/>
      <c r="J116" s="34"/>
      <c r="K116" s="40">
        <f>'Data Inputs'!H101*F116*ROUNDDOWN('Data Inputs'!$C$97/'Data Inputs'!C105,0)</f>
        <v>1757700</v>
      </c>
      <c r="L116" s="45">
        <f t="shared" si="18"/>
        <v>7.1126659290662343E-4</v>
      </c>
    </row>
    <row r="117" spans="1:18" s="90" customFormat="1">
      <c r="A117" s="36" t="s">
        <v>296</v>
      </c>
      <c r="B117" s="79">
        <f>'Data Inputs'!C102</f>
        <v>6</v>
      </c>
      <c r="C117" s="34" t="s">
        <v>4</v>
      </c>
      <c r="D117" s="259">
        <f t="shared" ref="D117:D119" si="20">$D$121</f>
        <v>1314000000</v>
      </c>
      <c r="E117" s="34" t="s">
        <v>56</v>
      </c>
      <c r="F117" s="260">
        <f t="shared" ref="F117:F120" si="21">$F$121</f>
        <v>31</v>
      </c>
      <c r="G117" s="34" t="s">
        <v>445</v>
      </c>
      <c r="H117" s="39">
        <f>K117/'Data Inputs'!$C$97</f>
        <v>2604</v>
      </c>
      <c r="I117" s="44"/>
      <c r="J117" s="34"/>
      <c r="K117" s="40">
        <f>'Data Inputs'!H102*F117*ROUNDDOWN('Data Inputs'!$C$97/'Data Inputs'!C106,0)</f>
        <v>52080</v>
      </c>
      <c r="L117" s="41">
        <f t="shared" si="18"/>
        <v>2.1074565715751806E-5</v>
      </c>
    </row>
    <row r="118" spans="1:18" s="90" customFormat="1">
      <c r="A118" s="36" t="s">
        <v>297</v>
      </c>
      <c r="B118" s="79">
        <f>'Data Inputs'!C103</f>
        <v>6</v>
      </c>
      <c r="C118" s="34" t="s">
        <v>4</v>
      </c>
      <c r="D118" s="259">
        <f t="shared" si="20"/>
        <v>1314000000</v>
      </c>
      <c r="E118" s="34" t="s">
        <v>56</v>
      </c>
      <c r="F118" s="260">
        <f t="shared" si="21"/>
        <v>31</v>
      </c>
      <c r="G118" s="34" t="s">
        <v>445</v>
      </c>
      <c r="H118" s="39">
        <f>K118/'Data Inputs'!$C$97</f>
        <v>1674</v>
      </c>
      <c r="I118" s="44"/>
      <c r="J118" s="34"/>
      <c r="K118" s="40">
        <f>'Data Inputs'!H103*F118*ROUNDDOWN('Data Inputs'!$C$97/'Data Inputs'!C107,0)</f>
        <v>33480</v>
      </c>
      <c r="L118" s="41">
        <f t="shared" si="18"/>
        <v>1.3547935102983304E-5</v>
      </c>
    </row>
    <row r="119" spans="1:18" s="90" customFormat="1">
      <c r="A119" s="36" t="s">
        <v>298</v>
      </c>
      <c r="B119" s="79">
        <f>'Data Inputs'!C104</f>
        <v>6</v>
      </c>
      <c r="C119" s="34" t="s">
        <v>4</v>
      </c>
      <c r="D119" s="259">
        <f t="shared" si="20"/>
        <v>1314000000</v>
      </c>
      <c r="E119" s="34" t="s">
        <v>56</v>
      </c>
      <c r="F119" s="260">
        <f t="shared" si="21"/>
        <v>31</v>
      </c>
      <c r="G119" s="34" t="s">
        <v>445</v>
      </c>
      <c r="H119" s="39">
        <f>K119/'Data Inputs'!$C$97</f>
        <v>9300</v>
      </c>
      <c r="I119" s="44"/>
      <c r="J119" s="34"/>
      <c r="K119" s="40">
        <f>'Data Inputs'!H104*F119*ROUNDDOWN('Data Inputs'!$C$97/'Data Inputs'!C108,0)</f>
        <v>186000</v>
      </c>
      <c r="L119" s="41">
        <f t="shared" si="18"/>
        <v>7.5266306127685017E-5</v>
      </c>
    </row>
    <row r="120" spans="1:18" s="90" customFormat="1">
      <c r="A120" s="36" t="s">
        <v>446</v>
      </c>
      <c r="B120" s="295">
        <f>'Data Inputs'!C96</f>
        <v>0.25</v>
      </c>
      <c r="C120" s="34" t="s">
        <v>416</v>
      </c>
      <c r="D120" s="259">
        <f>'Data Inputs'!G96</f>
        <v>1</v>
      </c>
      <c r="E120" s="34" t="s">
        <v>4</v>
      </c>
      <c r="F120" s="260">
        <f t="shared" si="21"/>
        <v>31</v>
      </c>
      <c r="G120" s="34" t="s">
        <v>4</v>
      </c>
      <c r="H120" s="39"/>
      <c r="I120" s="44"/>
      <c r="J120" s="34"/>
      <c r="K120" s="39">
        <f>B120*K121</f>
        <v>1049287.5</v>
      </c>
      <c r="L120" s="41"/>
    </row>
    <row r="121" spans="1:18" s="90" customFormat="1">
      <c r="A121" s="36" t="s">
        <v>295</v>
      </c>
      <c r="B121" s="79">
        <f>'Data Inputs'!C92</f>
        <v>1</v>
      </c>
      <c r="C121" s="34" t="s">
        <v>4</v>
      </c>
      <c r="D121" s="37">
        <f>'Data Inputs'!G92*365</f>
        <v>1314000000</v>
      </c>
      <c r="E121" s="34" t="s">
        <v>56</v>
      </c>
      <c r="F121" s="38">
        <f>ROUNDUP(B121/D121*'Data Inputs'!$C$4,0)+'Data Inputs'!C93</f>
        <v>31</v>
      </c>
      <c r="G121" s="34" t="s">
        <v>4</v>
      </c>
      <c r="H121" s="39"/>
      <c r="I121" s="41"/>
      <c r="J121" s="34"/>
      <c r="K121" s="245">
        <f>(IF('Sensitivity Analysis'!J51="On",'Sensitivity Analysis'!I51,'Sensitivity Analysis'!C51)*F121)+('Data Inputs'!H94*F121)+'Data Inputs'!H95</f>
        <v>4197150</v>
      </c>
      <c r="L121" s="45">
        <f t="shared" si="18"/>
        <v>0</v>
      </c>
    </row>
    <row r="122" spans="1:18" s="90" customFormat="1">
      <c r="A122" s="36" t="s">
        <v>415</v>
      </c>
      <c r="B122" s="295">
        <f>IF('Sensitivity Analysis'!J52="On",'Sensitivity Analysis'!I52,'Sensitivity Analysis'!C52)</f>
        <v>0.06</v>
      </c>
      <c r="C122" s="34" t="s">
        <v>416</v>
      </c>
      <c r="D122" s="37"/>
      <c r="E122" s="34"/>
      <c r="F122" s="38"/>
      <c r="G122" s="34"/>
      <c r="H122" s="39"/>
      <c r="I122" s="41"/>
      <c r="J122" s="34"/>
      <c r="K122" s="245"/>
      <c r="L122" s="45">
        <f t="shared" si="18"/>
        <v>0</v>
      </c>
    </row>
    <row r="123" spans="1:18" s="90" customFormat="1">
      <c r="A123" s="36" t="s">
        <v>177</v>
      </c>
      <c r="B123" s="79"/>
      <c r="C123" s="34"/>
      <c r="D123" s="37"/>
      <c r="E123" s="34"/>
      <c r="F123" s="38"/>
      <c r="G123" s="34"/>
      <c r="H123" s="245">
        <f>(PMT(B122,'Data Inputs'!C97,SUM(K120:K121))*-1)</f>
        <v>457408.32914423983</v>
      </c>
      <c r="I123" s="41"/>
      <c r="J123" s="34"/>
      <c r="K123" s="39"/>
      <c r="L123" s="45">
        <f t="shared" si="18"/>
        <v>3.7018747663143297E-3</v>
      </c>
      <c r="N123"/>
      <c r="O123"/>
      <c r="P123"/>
      <c r="Q123"/>
      <c r="R123"/>
    </row>
    <row r="124" spans="1:18">
      <c r="A124" s="33" t="s">
        <v>31</v>
      </c>
      <c r="B124" s="34"/>
      <c r="C124" s="34"/>
      <c r="D124" s="37"/>
      <c r="E124" s="34"/>
      <c r="F124" s="34"/>
      <c r="G124" s="34"/>
      <c r="H124" s="39"/>
      <c r="I124" s="40"/>
      <c r="J124" s="34"/>
      <c r="K124" s="34"/>
      <c r="L124" s="45"/>
    </row>
    <row r="125" spans="1:18" ht="17.25">
      <c r="A125" s="36" t="s">
        <v>5</v>
      </c>
      <c r="B125" s="34">
        <f>'Data Inputs'!C44</f>
        <v>0.23699999999999999</v>
      </c>
      <c r="C125" s="34" t="s">
        <v>49</v>
      </c>
      <c r="D125" s="37">
        <f>'Data Inputs'!G44</f>
        <v>1000</v>
      </c>
      <c r="E125" s="34" t="s">
        <v>51</v>
      </c>
      <c r="F125" s="38">
        <f>B125/D125/$O$3*'Data Inputs'!$C$4</f>
        <v>1227596.952075396</v>
      </c>
      <c r="G125" s="34" t="str">
        <f>C125</f>
        <v>lb</v>
      </c>
      <c r="H125" s="39">
        <f>'Data Inputs'!H44</f>
        <v>364796</v>
      </c>
      <c r="I125" s="40">
        <f>H125/F125</f>
        <v>0.29716267980567218</v>
      </c>
      <c r="J125" s="34" t="str">
        <f t="shared" ref="J125" si="22">CONCATENATE("$/",G125)</f>
        <v>$/lb</v>
      </c>
      <c r="K125" s="34"/>
      <c r="L125" s="45">
        <f>IF($R$3="Y",H125/$Q$3*$O$4,H125/$Q$4*$O$4)</f>
        <v>2.9523491838876329E-3</v>
      </c>
    </row>
    <row r="126" spans="1:18">
      <c r="A126" s="33" t="s">
        <v>38</v>
      </c>
      <c r="B126" s="34"/>
      <c r="C126" s="34"/>
      <c r="D126" s="34"/>
      <c r="E126" s="34"/>
      <c r="F126" s="38"/>
      <c r="G126" s="34"/>
      <c r="H126" s="39"/>
      <c r="I126" s="40"/>
      <c r="J126" s="34"/>
      <c r="K126" s="34"/>
      <c r="L126" s="45"/>
    </row>
    <row r="127" spans="1:18">
      <c r="A127" s="36" t="s">
        <v>117</v>
      </c>
      <c r="B127" s="37">
        <f>'Data Inputs'!C46</f>
        <v>76137689</v>
      </c>
      <c r="C127" s="34" t="s">
        <v>61</v>
      </c>
      <c r="D127" s="37">
        <f>'Data Inputs'!G46</f>
        <v>38747000000</v>
      </c>
      <c r="E127" s="34" t="s">
        <v>56</v>
      </c>
      <c r="F127" s="38">
        <f>B127/D127*'Data Inputs'!$C$4</f>
        <v>76137689</v>
      </c>
      <c r="G127" s="34" t="str">
        <f>C127</f>
        <v>kWh</v>
      </c>
      <c r="H127" s="39">
        <f>F127*I127</f>
        <v>2497316.1992000001</v>
      </c>
      <c r="I127" s="45">
        <f>'Data Inputs'!H52</f>
        <v>3.2800000000000003E-2</v>
      </c>
      <c r="J127" s="34" t="str">
        <f t="shared" ref="J127:J133" si="23">CONCATENATE("$/",G127)</f>
        <v>$/kWh</v>
      </c>
      <c r="K127" s="34"/>
      <c r="L127" s="45">
        <f>IF($R$3="Y",H127/$Q$3*$O$4,H127/$Q$4*$O$4)</f>
        <v>2.0211157585657426E-2</v>
      </c>
    </row>
    <row r="128" spans="1:18" ht="17.25">
      <c r="A128" s="36" t="s">
        <v>3</v>
      </c>
      <c r="B128" s="34">
        <f>'Data Inputs'!C47</f>
        <v>2.3E-2</v>
      </c>
      <c r="C128" s="34" t="s">
        <v>49</v>
      </c>
      <c r="D128" s="37">
        <f>'Data Inputs'!G47</f>
        <v>1000</v>
      </c>
      <c r="E128" s="34" t="s">
        <v>51</v>
      </c>
      <c r="F128" s="38">
        <f>B128/D128/$O$3*'Data Inputs'!$C$4</f>
        <v>119133.88142503843</v>
      </c>
      <c r="G128" s="34" t="str">
        <f>C128</f>
        <v>lb</v>
      </c>
      <c r="H128" s="39">
        <f>'Data Inputs'!H47</f>
        <v>10896</v>
      </c>
      <c r="I128" s="40">
        <f>H128/F128</f>
        <v>9.1460127628394228E-2</v>
      </c>
      <c r="J128" s="34" t="str">
        <f t="shared" si="23"/>
        <v>$/lb</v>
      </c>
      <c r="K128" s="34"/>
      <c r="L128" s="45">
        <f>IF($R$3="Y",H128/$Q$3*$O$4,H128/$Q$4*$O$4)</f>
        <v>8.8182975437339358E-5</v>
      </c>
    </row>
    <row r="129" spans="1:12">
      <c r="A129" s="33" t="s">
        <v>36</v>
      </c>
      <c r="B129" s="34"/>
      <c r="C129" s="34"/>
      <c r="D129" s="34"/>
      <c r="E129" s="34"/>
      <c r="F129" s="38"/>
      <c r="G129" s="34"/>
      <c r="H129" s="39"/>
      <c r="I129" s="34"/>
      <c r="J129" s="34"/>
      <c r="K129" s="34"/>
      <c r="L129" s="45"/>
    </row>
    <row r="130" spans="1:12">
      <c r="A130" s="35" t="s">
        <v>53</v>
      </c>
      <c r="B130" s="37">
        <v>49</v>
      </c>
      <c r="C130" s="34" t="s">
        <v>64</v>
      </c>
      <c r="D130" s="37">
        <f>'Data Inputs'!G49</f>
        <v>38747000000</v>
      </c>
      <c r="E130" s="34" t="s">
        <v>56</v>
      </c>
      <c r="F130" s="38">
        <f>B130/D130*'Data Inputs'!$C$4</f>
        <v>49</v>
      </c>
      <c r="G130" s="34" t="str">
        <f>C130</f>
        <v>worker</v>
      </c>
      <c r="H130" s="39">
        <f>'Data Inputs'!H49</f>
        <v>1822389.855</v>
      </c>
      <c r="I130" s="40">
        <f>H130/F130</f>
        <v>37191.629693877549</v>
      </c>
      <c r="J130" s="34" t="str">
        <f>CONCATENATE("$/",G130)</f>
        <v>$/worker</v>
      </c>
      <c r="K130" s="34"/>
      <c r="L130" s="45">
        <f>IF($R$3="Y",H130/$Q$3*$O$4,H130/$Q$4*$O$4)</f>
        <v>1.4748876635528766E-2</v>
      </c>
    </row>
    <row r="131" spans="1:12">
      <c r="A131" s="34" t="s">
        <v>291</v>
      </c>
      <c r="B131" s="30" t="s">
        <v>44</v>
      </c>
      <c r="C131" s="34"/>
      <c r="D131" s="42" t="s">
        <v>44</v>
      </c>
      <c r="E131" s="34"/>
      <c r="F131" s="43" t="s">
        <v>44</v>
      </c>
      <c r="G131" s="34"/>
      <c r="H131" s="39">
        <f>'Data Inputs'!H50-'Data Inputs'!H41</f>
        <v>390000</v>
      </c>
      <c r="I131" s="44">
        <v>0</v>
      </c>
      <c r="J131" s="34"/>
      <c r="K131" s="34"/>
      <c r="L131" s="45">
        <f>IF($R$3="Y",H131/$Q$3*$O$4,H131/$Q$4*$O$4)</f>
        <v>3.1563289666448557E-3</v>
      </c>
    </row>
    <row r="132" spans="1:12">
      <c r="A132" s="34" t="s">
        <v>292</v>
      </c>
      <c r="B132" s="37">
        <f>'Data Inputs'!C51</f>
        <v>39125286</v>
      </c>
      <c r="C132" s="34" t="s">
        <v>61</v>
      </c>
      <c r="D132" s="37">
        <f>'Data Inputs'!G51</f>
        <v>38747000000</v>
      </c>
      <c r="E132" s="34" t="s">
        <v>56</v>
      </c>
      <c r="F132" s="38">
        <f>B132/D132*'Data Inputs'!$C$4</f>
        <v>39125286</v>
      </c>
      <c r="G132" s="34" t="str">
        <f>C132</f>
        <v>kWh</v>
      </c>
      <c r="H132" s="39">
        <f>F132*I132</f>
        <v>1283309.3808000002</v>
      </c>
      <c r="I132" s="45">
        <f>'Data Inputs'!H52</f>
        <v>3.2800000000000003E-2</v>
      </c>
      <c r="J132" s="34" t="str">
        <f t="shared" si="23"/>
        <v>$/kWh</v>
      </c>
      <c r="K132" s="34"/>
      <c r="L132" s="45">
        <f>IF($R$3="Y",H132/$Q$3*$O$4,H132/$Q$4*$O$4)</f>
        <v>1.0386016850733627E-2</v>
      </c>
    </row>
    <row r="133" spans="1:12">
      <c r="A133" s="34" t="s">
        <v>121</v>
      </c>
      <c r="B133" s="37">
        <f>'Data Inputs'!C53</f>
        <v>2287186</v>
      </c>
      <c r="C133" s="34" t="s">
        <v>61</v>
      </c>
      <c r="D133" s="37">
        <f>'Data Inputs'!G53</f>
        <v>38747000000</v>
      </c>
      <c r="E133" s="34" t="s">
        <v>56</v>
      </c>
      <c r="F133" s="38">
        <f>B133/D133*'Data Inputs'!$C$4</f>
        <v>2287186</v>
      </c>
      <c r="G133" s="34" t="str">
        <f>C133</f>
        <v>kWh</v>
      </c>
      <c r="H133" s="39">
        <f>F133*I133</f>
        <v>0</v>
      </c>
      <c r="I133" s="39">
        <v>0</v>
      </c>
      <c r="J133" s="34" t="str">
        <f t="shared" si="23"/>
        <v>$/kWh</v>
      </c>
      <c r="K133" s="34"/>
      <c r="L133" s="45">
        <f>IF($R$3="Y",H133/$Q$3*$O$4,H133/$Q$4*$O$4)</f>
        <v>0</v>
      </c>
    </row>
    <row r="134" spans="1:12">
      <c r="A134" s="91" t="s">
        <v>293</v>
      </c>
      <c r="B134" s="92"/>
      <c r="C134" s="91"/>
      <c r="D134" s="92"/>
      <c r="E134" s="91"/>
      <c r="F134" s="92"/>
      <c r="G134" s="91"/>
      <c r="H134" s="93">
        <f>SUM(H90:H133)</f>
        <v>10665663.32014424</v>
      </c>
      <c r="I134" s="93"/>
      <c r="J134" s="91"/>
      <c r="K134" s="94"/>
      <c r="L134" s="95">
        <f>IF($R$3="Y",H134/$Q$3*$O$4,H134/$Q$4*$O$4)</f>
        <v>8.6318825861161047E-2</v>
      </c>
    </row>
    <row r="136" spans="1:12">
      <c r="H136" s="334"/>
      <c r="I136" s="90"/>
    </row>
    <row r="137" spans="1:12">
      <c r="H137" s="334"/>
      <c r="I137" s="90"/>
    </row>
    <row r="138" spans="1:12">
      <c r="H138" s="334"/>
      <c r="I138" s="90"/>
    </row>
    <row r="139" spans="1:12">
      <c r="H139" s="334"/>
      <c r="I139" s="90"/>
    </row>
    <row r="140" spans="1:12">
      <c r="H140" s="334"/>
      <c r="I140" s="90"/>
    </row>
  </sheetData>
  <mergeCells count="2">
    <mergeCell ref="N2:O2"/>
    <mergeCell ref="P2:Q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1:J32"/>
  <sheetViews>
    <sheetView topLeftCell="A11" zoomScale="90" zoomScaleNormal="90" workbookViewId="0">
      <selection activeCell="E23" sqref="E23"/>
    </sheetView>
  </sheetViews>
  <sheetFormatPr defaultRowHeight="15"/>
  <cols>
    <col min="2" max="2" width="24.42578125" customWidth="1"/>
    <col min="3" max="3" width="15.28515625" customWidth="1"/>
    <col min="4" max="4" width="9.5703125" customWidth="1"/>
    <col min="5" max="5" width="9.7109375" customWidth="1"/>
    <col min="6" max="6" width="19.140625" customWidth="1"/>
    <col min="7" max="9" width="10.7109375" customWidth="1"/>
    <col min="10" max="10" width="30.85546875" customWidth="1"/>
  </cols>
  <sheetData>
    <row r="1" spans="2:6" s="90" customFormat="1" ht="15.75" thickBot="1"/>
    <row r="2" spans="2:6" s="90" customFormat="1" ht="15.75" thickTop="1">
      <c r="B2" s="359" t="s">
        <v>204</v>
      </c>
      <c r="C2" s="363"/>
    </row>
    <row r="3" spans="2:6" s="90" customFormat="1" ht="17.25">
      <c r="B3" s="49" t="s">
        <v>52</v>
      </c>
      <c r="C3" s="169">
        <f>'Unit Process Costs'!O3</f>
        <v>7.4805000000000001</v>
      </c>
    </row>
    <row r="4" spans="2:6" s="90" customFormat="1">
      <c r="B4" s="49" t="s">
        <v>205</v>
      </c>
      <c r="C4" s="169">
        <v>3.7850000000000001</v>
      </c>
    </row>
    <row r="5" spans="2:6" s="90" customFormat="1" ht="17.25">
      <c r="B5" s="170" t="s">
        <v>207</v>
      </c>
      <c r="C5" s="225">
        <f>C4*C3</f>
        <v>28.313692500000002</v>
      </c>
    </row>
    <row r="6" spans="2:6" s="90" customFormat="1">
      <c r="B6" s="170" t="s">
        <v>206</v>
      </c>
      <c r="C6" s="172">
        <v>453592</v>
      </c>
    </row>
    <row r="7" spans="2:6" s="90" customFormat="1">
      <c r="B7" s="170" t="s">
        <v>244</v>
      </c>
      <c r="C7" s="169">
        <v>2.2046199999999998</v>
      </c>
    </row>
    <row r="8" spans="2:6" s="90" customFormat="1" ht="15.75" thickBot="1">
      <c r="B8" s="171" t="s">
        <v>245</v>
      </c>
      <c r="C8" s="226">
        <v>1000</v>
      </c>
    </row>
    <row r="9" spans="2:6" ht="16.5" thickTop="1" thickBot="1"/>
    <row r="10" spans="2:6" ht="15.75" thickTop="1">
      <c r="B10" s="359" t="s">
        <v>198</v>
      </c>
      <c r="C10" s="360"/>
      <c r="D10" s="360"/>
      <c r="E10" s="360"/>
      <c r="F10" s="234" t="s">
        <v>128</v>
      </c>
    </row>
    <row r="11" spans="2:6">
      <c r="B11" s="49"/>
      <c r="C11" s="191" t="s">
        <v>95</v>
      </c>
      <c r="D11" s="191" t="s">
        <v>96</v>
      </c>
      <c r="E11" s="191" t="s">
        <v>97</v>
      </c>
      <c r="F11" s="238"/>
    </row>
    <row r="12" spans="2:6" ht="30">
      <c r="B12" s="49" t="s">
        <v>199</v>
      </c>
      <c r="C12" s="191">
        <v>43</v>
      </c>
      <c r="D12" s="191">
        <v>1.9</v>
      </c>
      <c r="E12" s="191">
        <v>225</v>
      </c>
      <c r="F12" s="235" t="s">
        <v>251</v>
      </c>
    </row>
    <row r="13" spans="2:6" ht="30">
      <c r="B13" s="49" t="s">
        <v>200</v>
      </c>
      <c r="C13" s="191">
        <v>0</v>
      </c>
      <c r="D13" s="191">
        <v>0</v>
      </c>
      <c r="E13" s="191">
        <v>0</v>
      </c>
      <c r="F13" s="235" t="s">
        <v>252</v>
      </c>
    </row>
    <row r="14" spans="2:6">
      <c r="B14" s="49" t="s">
        <v>201</v>
      </c>
      <c r="C14" s="191">
        <f>C12-C13</f>
        <v>43</v>
      </c>
      <c r="D14" s="191">
        <f t="shared" ref="D14:E14" si="0">D12-D13</f>
        <v>1.9</v>
      </c>
      <c r="E14" s="191">
        <f t="shared" si="0"/>
        <v>225</v>
      </c>
      <c r="F14" s="236" t="s">
        <v>253</v>
      </c>
    </row>
    <row r="15" spans="2:6" ht="18" thickBot="1">
      <c r="B15" s="50" t="s">
        <v>203</v>
      </c>
      <c r="C15" s="232">
        <f>C14/$C$6*$C$5*1000</f>
        <v>2.684105490176194</v>
      </c>
      <c r="D15" s="176">
        <f>D14/$C$6*$C$5*1000</f>
        <v>0.11860001003104111</v>
      </c>
      <c r="E15" s="241">
        <f>E14/$C$6*$C$5*1000</f>
        <v>14.044738029991711</v>
      </c>
      <c r="F15" s="239" t="s">
        <v>253</v>
      </c>
    </row>
    <row r="16" spans="2:6" s="90" customFormat="1" ht="16.5" thickTop="1" thickBot="1"/>
    <row r="17" spans="2:10" ht="15.75" thickTop="1">
      <c r="B17" s="359" t="s">
        <v>243</v>
      </c>
      <c r="C17" s="360"/>
      <c r="D17" s="360"/>
      <c r="E17" s="360"/>
      <c r="F17" s="360"/>
      <c r="G17" s="360"/>
      <c r="H17" s="360"/>
      <c r="I17" s="360"/>
      <c r="J17" s="234" t="s">
        <v>128</v>
      </c>
    </row>
    <row r="18" spans="2:10" ht="30">
      <c r="B18" s="49"/>
      <c r="C18" s="173" t="s">
        <v>208</v>
      </c>
      <c r="D18" s="362" t="s">
        <v>202</v>
      </c>
      <c r="E18" s="362"/>
      <c r="F18" s="362"/>
      <c r="G18" s="362" t="s">
        <v>214</v>
      </c>
      <c r="H18" s="362"/>
      <c r="I18" s="362"/>
      <c r="J18" s="238"/>
    </row>
    <row r="19" spans="2:10">
      <c r="B19" s="49" t="s">
        <v>197</v>
      </c>
      <c r="C19" s="48"/>
      <c r="D19" s="153" t="s">
        <v>95</v>
      </c>
      <c r="E19" s="153" t="s">
        <v>96</v>
      </c>
      <c r="F19" s="153" t="s">
        <v>97</v>
      </c>
      <c r="G19" s="153" t="s">
        <v>95</v>
      </c>
      <c r="H19" s="153" t="s">
        <v>96</v>
      </c>
      <c r="I19" s="191" t="s">
        <v>97</v>
      </c>
      <c r="J19" s="238"/>
    </row>
    <row r="20" spans="2:10">
      <c r="B20" s="49" t="s">
        <v>211</v>
      </c>
      <c r="C20" s="153">
        <v>0.44</v>
      </c>
      <c r="D20" s="153">
        <f>'Data Inputs'!C20</f>
        <v>0.96199999999999997</v>
      </c>
      <c r="E20" s="153">
        <f>'Data Inputs'!D20</f>
        <v>0.68200000000000005</v>
      </c>
      <c r="F20" s="175">
        <f>'Data Inputs'!E20</f>
        <v>1.351</v>
      </c>
      <c r="G20" s="174">
        <f>$C20*D20</f>
        <v>0.42327999999999999</v>
      </c>
      <c r="H20" s="174">
        <f>$C20*E20</f>
        <v>0.30008000000000001</v>
      </c>
      <c r="I20" s="174">
        <f t="shared" ref="H20:I23" si="1">$C20*F20</f>
        <v>0.59443999999999997</v>
      </c>
      <c r="J20" s="361" t="s">
        <v>255</v>
      </c>
    </row>
    <row r="21" spans="2:10">
      <c r="B21" s="49" t="s">
        <v>212</v>
      </c>
      <c r="C21" s="153">
        <v>1</v>
      </c>
      <c r="D21" s="153">
        <f>'Data Inputs'!C21</f>
        <v>9.6000000000000002E-2</v>
      </c>
      <c r="E21" s="153">
        <f>'Data Inputs'!D21</f>
        <v>6.2E-2</v>
      </c>
      <c r="F21" s="153">
        <f>'Data Inputs'!E21</f>
        <v>0.161</v>
      </c>
      <c r="G21" s="174">
        <f t="shared" ref="G21:G23" si="2">$C21*D21</f>
        <v>9.6000000000000002E-2</v>
      </c>
      <c r="H21" s="174">
        <f t="shared" si="1"/>
        <v>6.2E-2</v>
      </c>
      <c r="I21" s="174">
        <f>$C21*F21</f>
        <v>0.161</v>
      </c>
      <c r="J21" s="361"/>
    </row>
    <row r="22" spans="2:10">
      <c r="B22" s="49" t="s">
        <v>213</v>
      </c>
      <c r="C22" s="153">
        <v>2</v>
      </c>
      <c r="D22" s="153">
        <f>'Data Inputs'!C25</f>
        <v>0.17699999999999999</v>
      </c>
      <c r="E22" s="153">
        <f>'Data Inputs'!D25</f>
        <v>4.5999999999999999E-2</v>
      </c>
      <c r="F22" s="153">
        <f>'Data Inputs'!E25</f>
        <v>0.29099999999999998</v>
      </c>
      <c r="G22" s="174">
        <f t="shared" si="2"/>
        <v>0.35399999999999998</v>
      </c>
      <c r="H22" s="174">
        <f>$C22*E22</f>
        <v>9.1999999999999998E-2</v>
      </c>
      <c r="I22" s="174">
        <f t="shared" si="1"/>
        <v>0.58199999999999996</v>
      </c>
      <c r="J22" s="361"/>
    </row>
    <row r="23" spans="2:10">
      <c r="B23" s="49" t="s">
        <v>210</v>
      </c>
      <c r="C23" s="153">
        <v>1</v>
      </c>
      <c r="D23" s="175">
        <f>C15</f>
        <v>2.684105490176194</v>
      </c>
      <c r="E23" s="174">
        <f t="shared" ref="E23:F23" si="3">D15</f>
        <v>0.11860001003104111</v>
      </c>
      <c r="F23" s="242">
        <f t="shared" si="3"/>
        <v>14.044738029991711</v>
      </c>
      <c r="G23" s="175">
        <f t="shared" si="2"/>
        <v>2.684105490176194</v>
      </c>
      <c r="H23" s="174">
        <f t="shared" si="1"/>
        <v>0.11860001003104111</v>
      </c>
      <c r="I23" s="242">
        <f t="shared" si="1"/>
        <v>14.044738029991711</v>
      </c>
      <c r="J23" s="361"/>
    </row>
    <row r="24" spans="2:10" ht="15.75" thickBot="1">
      <c r="B24" s="227" t="s">
        <v>209</v>
      </c>
      <c r="C24" s="228" t="s">
        <v>44</v>
      </c>
      <c r="D24" s="228" t="s">
        <v>44</v>
      </c>
      <c r="E24" s="228" t="s">
        <v>44</v>
      </c>
      <c r="F24" s="228" t="s">
        <v>44</v>
      </c>
      <c r="G24" s="233">
        <f>SUM(G20:G23)</f>
        <v>3.5573854901761939</v>
      </c>
      <c r="H24" s="229">
        <f t="shared" ref="H24:I24" si="4">SUM(H20:H23)</f>
        <v>0.57268001003104119</v>
      </c>
      <c r="I24" s="243">
        <f t="shared" si="4"/>
        <v>15.38217802999171</v>
      </c>
      <c r="J24" s="240"/>
    </row>
    <row r="25" spans="2:10" ht="16.5" thickTop="1" thickBot="1">
      <c r="C25" s="188"/>
    </row>
    <row r="26" spans="2:10" ht="15.75" thickTop="1">
      <c r="B26" s="359" t="s">
        <v>246</v>
      </c>
      <c r="C26" s="360"/>
      <c r="D26" s="360"/>
      <c r="E26" s="360"/>
      <c r="F26" s="234" t="s">
        <v>128</v>
      </c>
    </row>
    <row r="27" spans="2:10">
      <c r="B27" s="49"/>
      <c r="C27" s="191" t="s">
        <v>95</v>
      </c>
      <c r="D27" s="191" t="s">
        <v>96</v>
      </c>
      <c r="E27" s="191" t="s">
        <v>97</v>
      </c>
      <c r="F27" s="235"/>
    </row>
    <row r="28" spans="2:10" ht="32.25">
      <c r="B28" s="55" t="s">
        <v>249</v>
      </c>
      <c r="C28" s="175">
        <f>C15</f>
        <v>2.684105490176194</v>
      </c>
      <c r="D28" s="174">
        <f>D15</f>
        <v>0.11860001003104111</v>
      </c>
      <c r="E28" s="242">
        <f>E15</f>
        <v>14.044738029991711</v>
      </c>
      <c r="F28" s="235" t="s">
        <v>254</v>
      </c>
    </row>
    <row r="29" spans="2:10" ht="31.15" customHeight="1">
      <c r="B29" s="230" t="s">
        <v>247</v>
      </c>
      <c r="C29" s="191">
        <v>5</v>
      </c>
      <c r="D29" s="191">
        <v>5</v>
      </c>
      <c r="E29" s="191">
        <v>5</v>
      </c>
      <c r="F29" s="236" t="s">
        <v>259</v>
      </c>
    </row>
    <row r="30" spans="2:10" ht="32.25">
      <c r="B30" s="230" t="s">
        <v>248</v>
      </c>
      <c r="C30" s="174">
        <f>C29/$C$6*$C$5*1000</f>
        <v>0.31210528955537142</v>
      </c>
      <c r="D30" s="174">
        <f t="shared" ref="D30:E30" si="5">D29/$C$6*$C$5*1000</f>
        <v>0.31210528955537142</v>
      </c>
      <c r="E30" s="174">
        <f t="shared" si="5"/>
        <v>0.31210528955537142</v>
      </c>
      <c r="F30" s="236" t="s">
        <v>253</v>
      </c>
    </row>
    <row r="31" spans="2:10" ht="33" thickBot="1">
      <c r="B31" s="231" t="s">
        <v>250</v>
      </c>
      <c r="C31" s="233">
        <f>SUM(C28,C30)</f>
        <v>2.9962107797315656</v>
      </c>
      <c r="D31" s="229">
        <f>SUM(D28,D30)</f>
        <v>0.43070529958641252</v>
      </c>
      <c r="E31" s="243">
        <f>SUM(E28,E30)</f>
        <v>14.356843319547082</v>
      </c>
      <c r="F31" s="237"/>
    </row>
    <row r="32" spans="2:10" ht="15.75" thickTop="1"/>
  </sheetData>
  <mergeCells count="7">
    <mergeCell ref="B26:E26"/>
    <mergeCell ref="J20:J23"/>
    <mergeCell ref="D18:F18"/>
    <mergeCell ref="G18:I18"/>
    <mergeCell ref="B2:C2"/>
    <mergeCell ref="B10:E10"/>
    <mergeCell ref="B17:I1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J13"/>
  <sheetViews>
    <sheetView workbookViewId="0">
      <selection activeCell="C13" sqref="C13"/>
    </sheetView>
  </sheetViews>
  <sheetFormatPr defaultRowHeight="15"/>
  <cols>
    <col min="1" max="1" width="3.28515625" customWidth="1"/>
    <col min="2" max="2" width="25.140625" bestFit="1" customWidth="1"/>
    <col min="3" max="3" width="10" customWidth="1"/>
    <col min="4" max="4" width="9.28515625" customWidth="1"/>
    <col min="5" max="5" width="18.140625" bestFit="1" customWidth="1"/>
    <col min="6" max="6" width="12.5703125" bestFit="1" customWidth="1"/>
    <col min="7" max="7" width="14" style="90" bestFit="1" customWidth="1"/>
    <col min="8" max="8" width="14" style="90" customWidth="1"/>
    <col min="9" max="9" width="9.140625" customWidth="1"/>
    <col min="10" max="10" width="14.42578125" customWidth="1"/>
  </cols>
  <sheetData>
    <row r="2" spans="2:10" ht="15.75" thickBot="1"/>
    <row r="3" spans="2:10" ht="45.75" thickTop="1">
      <c r="B3" s="154" t="s">
        <v>181</v>
      </c>
      <c r="C3" s="155" t="s">
        <v>48</v>
      </c>
      <c r="D3" s="156" t="s">
        <v>4</v>
      </c>
      <c r="E3" s="162" t="s">
        <v>188</v>
      </c>
      <c r="F3" s="163" t="s">
        <v>190</v>
      </c>
      <c r="G3" s="163" t="s">
        <v>189</v>
      </c>
      <c r="H3" s="163" t="s">
        <v>192</v>
      </c>
      <c r="I3" s="163" t="s">
        <v>193</v>
      </c>
      <c r="J3" s="164" t="s">
        <v>194</v>
      </c>
    </row>
    <row r="4" spans="2:10">
      <c r="B4" s="157" t="s">
        <v>0</v>
      </c>
      <c r="C4" s="158">
        <f>VLOOKUP(B4,'Unit Process Costs'!$A$4:$J$38,9,FALSE)</f>
        <v>0.17834479352354932</v>
      </c>
      <c r="D4" s="159" t="str">
        <f>VLOOKUP(B4,'Unit Process Costs'!$A$4:$J$38,10,FALSE)</f>
        <v>$/lb</v>
      </c>
      <c r="E4" s="157" t="s">
        <v>59</v>
      </c>
      <c r="F4" s="165">
        <f>'Data Inputs'!C71</f>
        <v>3</v>
      </c>
      <c r="G4" s="165">
        <v>8.3000000000000007</v>
      </c>
      <c r="H4" s="165">
        <f>F4*G4</f>
        <v>24.900000000000002</v>
      </c>
      <c r="I4" s="158">
        <f>VLOOKUP(E4,$B$4:$C$12,2,FALSE)*H4</f>
        <v>2.8662003011867729</v>
      </c>
      <c r="J4" s="167" t="s">
        <v>44</v>
      </c>
    </row>
    <row r="5" spans="2:10">
      <c r="B5" s="157" t="s">
        <v>6</v>
      </c>
      <c r="C5" s="158">
        <f>VLOOKUP(B5,'Unit Process Costs'!$A$4:$J$38,9,FALSE)</f>
        <v>0.18903802229850053</v>
      </c>
      <c r="D5" s="159" t="str">
        <f>VLOOKUP(B5,'Unit Process Costs'!$A$4:$J$38,10,FALSE)</f>
        <v>$/lb</v>
      </c>
      <c r="E5" s="157" t="s">
        <v>180</v>
      </c>
      <c r="F5" s="165">
        <f>'Data Inputs'!C72</f>
        <v>0.5</v>
      </c>
      <c r="G5" s="165">
        <v>8.3000000000000007</v>
      </c>
      <c r="H5" s="165">
        <f>F5*G5</f>
        <v>4.1500000000000004</v>
      </c>
      <c r="I5" s="158">
        <f t="shared" ref="I5" si="0">VLOOKUP(E5,$B$4:$C$12,2,FALSE)*H5</f>
        <v>0.77500000000000002</v>
      </c>
      <c r="J5" s="167" t="s">
        <v>44</v>
      </c>
    </row>
    <row r="6" spans="2:10">
      <c r="B6" s="157" t="s">
        <v>1</v>
      </c>
      <c r="C6" s="158">
        <f>VLOOKUP(B6,'Unit Process Costs'!$A$4:$J$38,9,FALSE)</f>
        <v>5.888333290319251E-2</v>
      </c>
      <c r="D6" s="159" t="str">
        <f>VLOOKUP(B6,'Unit Process Costs'!$A$4:$J$38,10,FALSE)</f>
        <v>$/lb</v>
      </c>
      <c r="E6" s="157" t="s">
        <v>3</v>
      </c>
      <c r="F6" s="165">
        <f>'Data Inputs'!C73</f>
        <v>1</v>
      </c>
      <c r="G6" s="165">
        <v>8.3000000000000007</v>
      </c>
      <c r="H6" s="165">
        <f t="shared" ref="H6:H7" si="1">F6*G6</f>
        <v>8.3000000000000007</v>
      </c>
      <c r="I6" s="158">
        <f>VLOOKUP(E6,$B$4:$C$12,2,FALSE)*H6</f>
        <v>0.75911905931567214</v>
      </c>
      <c r="J6" s="167" t="s">
        <v>44</v>
      </c>
    </row>
    <row r="7" spans="2:10" ht="15.75" thickBot="1">
      <c r="B7" s="157" t="s">
        <v>59</v>
      </c>
      <c r="C7" s="158">
        <f>VLOOKUP(B7,'Unit Process Costs'!$A$4:$J$38,9,FALSE)</f>
        <v>0.11510844583079409</v>
      </c>
      <c r="D7" s="159" t="str">
        <f>VLOOKUP(B7,'Unit Process Costs'!$A$4:$J$38,10,FALSE)</f>
        <v>$/lb</v>
      </c>
      <c r="E7" s="160" t="s">
        <v>191</v>
      </c>
      <c r="F7" s="166">
        <f>'Data Inputs'!G71</f>
        <v>4.5</v>
      </c>
      <c r="G7" s="166">
        <v>8.3000000000000007</v>
      </c>
      <c r="H7" s="166">
        <f t="shared" si="1"/>
        <v>37.35</v>
      </c>
      <c r="I7" s="161">
        <f>SUM(I4:I6)</f>
        <v>4.4003193605024453</v>
      </c>
      <c r="J7" s="168">
        <f>I7/F7</f>
        <v>0.97784874677832123</v>
      </c>
    </row>
    <row r="8" spans="2:10" ht="15.75" thickTop="1">
      <c r="B8" s="157" t="s">
        <v>60</v>
      </c>
      <c r="C8" s="158">
        <f>VLOOKUP(B8,'Unit Process Costs'!$A$4:$J$38,9,FALSE)</f>
        <v>0.41274495972708741</v>
      </c>
      <c r="D8" s="159" t="str">
        <f>VLOOKUP(B8,'Unit Process Costs'!$A$4:$J$38,10,FALSE)</f>
        <v>$/lb</v>
      </c>
    </row>
    <row r="9" spans="2:10">
      <c r="B9" s="157" t="s">
        <v>2</v>
      </c>
      <c r="C9" s="282">
        <f>VLOOKUP(B9,'Unit Process Costs'!$A$4:$J$38,9,FALSE)</f>
        <v>0.20697096619796956</v>
      </c>
      <c r="D9" s="159" t="str">
        <f>VLOOKUP(B9,'Unit Process Costs'!$A$4:$J$38,10,FALSE)</f>
        <v>$/lb</v>
      </c>
    </row>
    <row r="10" spans="2:10">
      <c r="B10" s="157" t="s">
        <v>5</v>
      </c>
      <c r="C10" s="158">
        <f>VLOOKUP(B10,'Unit Process Costs'!$A$4:$J$38,9,FALSE)</f>
        <v>0.29716267980567218</v>
      </c>
      <c r="D10" s="159" t="str">
        <f>VLOOKUP(B10,'Unit Process Costs'!$A$4:$J$38,10,FALSE)</f>
        <v>$/lb</v>
      </c>
    </row>
    <row r="11" spans="2:10">
      <c r="B11" s="157" t="s">
        <v>3</v>
      </c>
      <c r="C11" s="158">
        <f>VLOOKUP(B11,'Unit Process Costs'!$A$4:$J$38,9,FALSE)</f>
        <v>9.1460127628394228E-2</v>
      </c>
      <c r="D11" s="159" t="str">
        <f>VLOOKUP(B11,'Unit Process Costs'!$A$4:$J$38,10,FALSE)</f>
        <v>$/lb</v>
      </c>
    </row>
    <row r="12" spans="2:10" ht="15.75" thickBot="1">
      <c r="B12" s="160" t="s">
        <v>180</v>
      </c>
      <c r="C12" s="161">
        <f>'Data Inputs'!C74/'Data Inputs'!G74/G5</f>
        <v>0.18674698795180722</v>
      </c>
      <c r="D12" s="180" t="s">
        <v>182</v>
      </c>
    </row>
    <row r="13" spans="2:10" ht="15.7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G40"/>
  <sheetViews>
    <sheetView topLeftCell="A12" zoomScaleNormal="100" workbookViewId="0">
      <selection activeCell="C27" sqref="C27"/>
    </sheetView>
  </sheetViews>
  <sheetFormatPr defaultRowHeight="15"/>
  <cols>
    <col min="1" max="1" width="54.85546875" bestFit="1" customWidth="1"/>
    <col min="2" max="2" width="17.28515625" customWidth="1"/>
    <col min="3" max="3" width="18.28515625" bestFit="1" customWidth="1"/>
    <col min="4" max="6" width="18.28515625" style="90" customWidth="1"/>
    <col min="7" max="7" width="43.28515625" customWidth="1"/>
    <col min="8" max="8" width="30" customWidth="1"/>
  </cols>
  <sheetData>
    <row r="2" spans="1:7">
      <c r="B2" s="13" t="s">
        <v>123</v>
      </c>
      <c r="C2" s="13" t="s">
        <v>124</v>
      </c>
      <c r="D2" s="13" t="s">
        <v>196</v>
      </c>
      <c r="E2" s="13" t="s">
        <v>195</v>
      </c>
      <c r="F2" s="13" t="s">
        <v>276</v>
      </c>
      <c r="G2" s="4" t="s">
        <v>65</v>
      </c>
    </row>
    <row r="3" spans="1:7">
      <c r="A3" s="10" t="s">
        <v>9</v>
      </c>
      <c r="B3" s="17"/>
      <c r="C3" s="17"/>
      <c r="D3" s="17"/>
      <c r="E3" s="17"/>
      <c r="F3" s="17"/>
    </row>
    <row r="4" spans="1:7">
      <c r="A4" s="47" t="s">
        <v>10</v>
      </c>
      <c r="B4" s="18">
        <f>'Data Inputs'!C3</f>
        <v>44396000000</v>
      </c>
      <c r="C4" s="18">
        <f>B4</f>
        <v>44396000000</v>
      </c>
      <c r="D4" s="18">
        <f>B4</f>
        <v>44396000000</v>
      </c>
      <c r="E4" s="18">
        <f>B4</f>
        <v>44396000000</v>
      </c>
      <c r="F4" s="18">
        <f>B4</f>
        <v>44396000000</v>
      </c>
    </row>
    <row r="5" spans="1:7">
      <c r="A5" s="47" t="s">
        <v>114</v>
      </c>
      <c r="B5" s="18">
        <f>'Data Inputs'!C4</f>
        <v>38747000000</v>
      </c>
      <c r="C5" s="18">
        <f t="shared" ref="C5:C11" si="0">B5</f>
        <v>38747000000</v>
      </c>
      <c r="D5" s="18">
        <f t="shared" ref="D5:D10" si="1">B5</f>
        <v>38747000000</v>
      </c>
      <c r="E5" s="18">
        <f>B5</f>
        <v>38747000000</v>
      </c>
      <c r="F5" s="18">
        <f t="shared" ref="F5:F11" si="2">B5</f>
        <v>38747000000</v>
      </c>
    </row>
    <row r="6" spans="1:7">
      <c r="A6" s="47" t="s">
        <v>11</v>
      </c>
      <c r="B6" s="19">
        <f>B5/B4</f>
        <v>0.87275880709973874</v>
      </c>
      <c r="C6" s="19">
        <f t="shared" si="0"/>
        <v>0.87275880709973874</v>
      </c>
      <c r="D6" s="19">
        <f t="shared" si="1"/>
        <v>0.87275880709973874</v>
      </c>
      <c r="E6" s="19">
        <f t="shared" ref="E6:E10" si="3">B6</f>
        <v>0.87275880709973874</v>
      </c>
      <c r="F6" s="19">
        <f t="shared" si="2"/>
        <v>0.87275880709973874</v>
      </c>
    </row>
    <row r="7" spans="1:7">
      <c r="A7" s="47" t="s">
        <v>13</v>
      </c>
      <c r="B7" s="18">
        <f>'Data Inputs'!C5*B6</f>
        <v>15666020587.44031</v>
      </c>
      <c r="C7" s="18">
        <f t="shared" si="0"/>
        <v>15666020587.44031</v>
      </c>
      <c r="D7" s="18">
        <f t="shared" si="1"/>
        <v>15666020587.44031</v>
      </c>
      <c r="E7" s="18">
        <f t="shared" si="3"/>
        <v>15666020587.44031</v>
      </c>
      <c r="F7" s="18">
        <f t="shared" si="2"/>
        <v>15666020587.44031</v>
      </c>
      <c r="G7" s="364" t="s">
        <v>131</v>
      </c>
    </row>
    <row r="8" spans="1:7">
      <c r="A8" s="47" t="s">
        <v>14</v>
      </c>
      <c r="B8" s="18">
        <f>'Data Inputs'!C6*B6</f>
        <v>11878247364.627445</v>
      </c>
      <c r="C8" s="18">
        <f t="shared" si="0"/>
        <v>11878247364.627445</v>
      </c>
      <c r="D8" s="18">
        <f t="shared" si="1"/>
        <v>11878247364.627445</v>
      </c>
      <c r="E8" s="18">
        <f t="shared" si="3"/>
        <v>11878247364.627445</v>
      </c>
      <c r="F8" s="18">
        <f t="shared" si="2"/>
        <v>11878247364.627445</v>
      </c>
      <c r="G8" s="364"/>
    </row>
    <row r="9" spans="1:7">
      <c r="A9" s="47" t="s">
        <v>15</v>
      </c>
      <c r="B9" s="18">
        <f>'Data Inputs'!C7*B6</f>
        <v>5096911433.4624739</v>
      </c>
      <c r="C9" s="18">
        <f t="shared" si="0"/>
        <v>5096911433.4624739</v>
      </c>
      <c r="D9" s="18">
        <f t="shared" si="1"/>
        <v>5096911433.4624739</v>
      </c>
      <c r="E9" s="18">
        <f t="shared" si="3"/>
        <v>5096911433.4624739</v>
      </c>
      <c r="F9" s="18">
        <f t="shared" si="2"/>
        <v>5096911433.4624739</v>
      </c>
      <c r="G9" s="364"/>
    </row>
    <row r="10" spans="1:7">
      <c r="A10" s="47" t="s">
        <v>16</v>
      </c>
      <c r="B10" s="18">
        <f>B5-SUM(B7:B9)</f>
        <v>6105820614.4697685</v>
      </c>
      <c r="C10" s="18">
        <f t="shared" si="0"/>
        <v>6105820614.4697685</v>
      </c>
      <c r="D10" s="18">
        <f t="shared" si="1"/>
        <v>6105820614.4697685</v>
      </c>
      <c r="E10" s="18">
        <f t="shared" si="3"/>
        <v>6105820614.4697685</v>
      </c>
      <c r="F10" s="18">
        <f t="shared" si="2"/>
        <v>6105820614.4697685</v>
      </c>
      <c r="G10" s="364"/>
    </row>
    <row r="11" spans="1:7">
      <c r="A11" s="47" t="s">
        <v>17</v>
      </c>
      <c r="B11" s="19">
        <f>B10/B5</f>
        <v>0.15758176412289387</v>
      </c>
      <c r="C11" s="19">
        <f t="shared" si="0"/>
        <v>0.15758176412289387</v>
      </c>
      <c r="D11" s="19">
        <f>B11</f>
        <v>0.15758176412289387</v>
      </c>
      <c r="E11" s="19">
        <f>B11</f>
        <v>0.15758176412289387</v>
      </c>
      <c r="F11" s="19">
        <f t="shared" si="2"/>
        <v>0.15758176412289387</v>
      </c>
    </row>
    <row r="12" spans="1:7">
      <c r="A12" s="5" t="s">
        <v>12</v>
      </c>
      <c r="B12" s="20"/>
      <c r="C12" s="20"/>
      <c r="D12" s="20"/>
      <c r="E12" s="20"/>
      <c r="F12" s="20"/>
    </row>
    <row r="13" spans="1:7">
      <c r="A13" s="6" t="s">
        <v>18</v>
      </c>
      <c r="B13" s="21">
        <f>'Data Inputs'!C9*B6</f>
        <v>58038460.672132626</v>
      </c>
      <c r="C13" s="21">
        <f>B13</f>
        <v>58038460.672132626</v>
      </c>
      <c r="D13" s="21">
        <f>B13</f>
        <v>58038460.672132626</v>
      </c>
      <c r="E13" s="21">
        <f>B13</f>
        <v>58038460.672132626</v>
      </c>
      <c r="F13" s="21">
        <f>B13</f>
        <v>58038460.672132626</v>
      </c>
      <c r="G13" s="364" t="s">
        <v>131</v>
      </c>
    </row>
    <row r="14" spans="1:7">
      <c r="A14" s="9" t="s">
        <v>19</v>
      </c>
      <c r="B14" s="21">
        <f>'Data Inputs'!C10*B6</f>
        <v>27142798.900801875</v>
      </c>
      <c r="C14" s="21">
        <f t="shared" ref="C14:C17" si="4">B14</f>
        <v>27142798.900801875</v>
      </c>
      <c r="D14" s="21">
        <f t="shared" ref="D14:D17" si="5">B14</f>
        <v>27142798.900801875</v>
      </c>
      <c r="E14" s="21">
        <f>B14</f>
        <v>27142798.900801875</v>
      </c>
      <c r="F14" s="21">
        <f t="shared" ref="F14:F17" si="6">B14</f>
        <v>27142798.900801875</v>
      </c>
      <c r="G14" s="364"/>
    </row>
    <row r="15" spans="1:7">
      <c r="A15" s="9" t="s">
        <v>20</v>
      </c>
      <c r="B15" s="21">
        <f>'Data Inputs'!C11*B6</f>
        <v>13745951.211820886</v>
      </c>
      <c r="C15" s="21">
        <f t="shared" si="4"/>
        <v>13745951.211820886</v>
      </c>
      <c r="D15" s="21">
        <f t="shared" si="5"/>
        <v>13745951.211820886</v>
      </c>
      <c r="E15" s="21">
        <f t="shared" ref="E15:E16" si="7">B15</f>
        <v>13745951.211820886</v>
      </c>
      <c r="F15" s="21">
        <f t="shared" si="6"/>
        <v>13745951.211820886</v>
      </c>
      <c r="G15" s="364"/>
    </row>
    <row r="16" spans="1:7">
      <c r="A16" s="9" t="s">
        <v>21</v>
      </c>
      <c r="B16" s="21">
        <f>'Data Inputs'!C12*B6</f>
        <v>5096911.4334624745</v>
      </c>
      <c r="C16" s="21">
        <f t="shared" si="4"/>
        <v>5096911.4334624745</v>
      </c>
      <c r="D16" s="21">
        <f t="shared" si="5"/>
        <v>5096911.4334624745</v>
      </c>
      <c r="E16" s="21">
        <f t="shared" si="7"/>
        <v>5096911.4334624745</v>
      </c>
      <c r="F16" s="21">
        <f t="shared" si="6"/>
        <v>5096911.4334624745</v>
      </c>
      <c r="G16" s="364"/>
    </row>
    <row r="17" spans="1:7">
      <c r="A17" s="9" t="s">
        <v>22</v>
      </c>
      <c r="B17" s="21">
        <f>'Data Inputs'!C13*B6</f>
        <v>104024122.21821786</v>
      </c>
      <c r="C17" s="21">
        <f t="shared" si="4"/>
        <v>104024122.21821786</v>
      </c>
      <c r="D17" s="21">
        <f t="shared" si="5"/>
        <v>104024122.21821786</v>
      </c>
      <c r="E17" s="21">
        <f>B17</f>
        <v>104024122.21821786</v>
      </c>
      <c r="F17" s="21">
        <f t="shared" si="6"/>
        <v>104024122.21821786</v>
      </c>
      <c r="G17" s="14"/>
    </row>
    <row r="18" spans="1:7">
      <c r="A18" s="7" t="s">
        <v>35</v>
      </c>
      <c r="B18" s="22"/>
      <c r="C18" s="22"/>
      <c r="D18" s="22"/>
      <c r="E18" s="22"/>
      <c r="F18" s="22"/>
    </row>
    <row r="19" spans="1:7">
      <c r="A19" s="8" t="s">
        <v>33</v>
      </c>
      <c r="B19" s="23">
        <f>SUM('Unit Process Costs'!H4:H33)-B20</f>
        <v>6368066.9991999995</v>
      </c>
      <c r="C19" s="23">
        <f>SUM('Unit Process Costs'!H4:H15,'Unit Process Costs'!H22:H24,'Unit Process Costs'!H29:H33)</f>
        <v>4853111.1992000006</v>
      </c>
      <c r="D19" s="23">
        <f>SUM('Unit Process Costs'!H42:H65,'Unit Process Costs'!H77:H81)</f>
        <v>4810458.1086441707</v>
      </c>
      <c r="E19" s="23">
        <f>SUM('Unit Process Costs'!H42:H55,'Unit Process Costs'!H62:H65,'Unit Process Costs'!H77:H81)</f>
        <v>3295502.3086441709</v>
      </c>
      <c r="F19" s="23">
        <f>SUM('Unit Process Costs'!H90:H110,'Unit Process Costs'!H124:H128)</f>
        <v>6368066.9991999995</v>
      </c>
    </row>
    <row r="20" spans="1:7">
      <c r="A20" s="8" t="s">
        <v>34</v>
      </c>
      <c r="B20" s="23">
        <f>SUM('Unit Process Costs'!$H$26:$H$28)</f>
        <v>128126</v>
      </c>
      <c r="C20" s="23">
        <f>SUM('Unit Process Costs'!$H$26:$H$28)</f>
        <v>128126</v>
      </c>
      <c r="D20" s="23">
        <f>SUM('Unit Process Costs'!H66:H76)</f>
        <v>1450012.3715600127</v>
      </c>
      <c r="E20" s="23">
        <f>SUM('Unit Process Costs'!H66:H76)</f>
        <v>1450012.3715600127</v>
      </c>
      <c r="F20" s="23">
        <f>SUM('Unit Process Costs'!H112:H123)</f>
        <v>801897.08514423994</v>
      </c>
    </row>
    <row r="21" spans="1:7">
      <c r="A21" s="7" t="s">
        <v>36</v>
      </c>
      <c r="B21" s="22"/>
      <c r="C21" s="22"/>
      <c r="D21" s="22"/>
      <c r="E21" s="22"/>
      <c r="F21" s="22"/>
    </row>
    <row r="22" spans="1:7">
      <c r="A22" s="8" t="s">
        <v>37</v>
      </c>
      <c r="B22" s="23">
        <f>'Unit Process Costs'!H35</f>
        <v>1822389.855</v>
      </c>
      <c r="C22" s="23">
        <f>B22</f>
        <v>1822389.855</v>
      </c>
      <c r="D22" s="23">
        <f>'Unit Process Costs'!H83</f>
        <v>1822389.855</v>
      </c>
      <c r="E22" s="23">
        <f>'Unit Process Costs'!H83</f>
        <v>1822389.855</v>
      </c>
      <c r="F22" s="23">
        <f>'Unit Process Costs'!H130</f>
        <v>1822389.855</v>
      </c>
    </row>
    <row r="23" spans="1:7" ht="30">
      <c r="A23" s="46" t="s">
        <v>86</v>
      </c>
      <c r="B23" s="23">
        <f>'Unit Process Costs'!H36</f>
        <v>390000</v>
      </c>
      <c r="C23" s="23">
        <f>'Unit Process Costs'!H36</f>
        <v>390000</v>
      </c>
      <c r="D23" s="23">
        <f>'Unit Process Costs'!H84</f>
        <v>390000</v>
      </c>
      <c r="E23" s="23">
        <f>'Unit Process Costs'!H84</f>
        <v>390000</v>
      </c>
      <c r="F23" s="23">
        <f>'Unit Process Costs'!H131</f>
        <v>390000</v>
      </c>
    </row>
    <row r="24" spans="1:7">
      <c r="A24" s="46" t="s">
        <v>127</v>
      </c>
      <c r="B24" s="23">
        <f>'Unit Process Costs'!H37</f>
        <v>1283309.3808000002</v>
      </c>
      <c r="C24" s="23">
        <f>'Unit Process Costs'!H37</f>
        <v>1283309.3808000002</v>
      </c>
      <c r="D24" s="23">
        <f>'Unit Process Costs'!H85</f>
        <v>1283309.3808000002</v>
      </c>
      <c r="E24" s="23">
        <f>'Unit Process Costs'!H85</f>
        <v>1283309.3808000002</v>
      </c>
      <c r="F24" s="23">
        <f>'Unit Process Costs'!H132</f>
        <v>1283309.3808000002</v>
      </c>
    </row>
    <row r="25" spans="1:7">
      <c r="A25" s="11" t="s">
        <v>39</v>
      </c>
      <c r="B25" s="24"/>
      <c r="C25" s="24"/>
      <c r="D25" s="24"/>
      <c r="E25" s="24"/>
      <c r="F25" s="24"/>
    </row>
    <row r="26" spans="1:7">
      <c r="A26" s="12" t="s">
        <v>22</v>
      </c>
      <c r="B26" s="25">
        <f>B17</f>
        <v>104024122.21821786</v>
      </c>
      <c r="C26" s="25">
        <f>C17</f>
        <v>104024122.21821786</v>
      </c>
      <c r="D26" s="25">
        <f>D17</f>
        <v>104024122.21821786</v>
      </c>
      <c r="E26" s="25">
        <f>E17</f>
        <v>104024122.21821786</v>
      </c>
      <c r="F26" s="25">
        <f>F17</f>
        <v>104024122.21821786</v>
      </c>
    </row>
    <row r="27" spans="1:7">
      <c r="A27" s="12" t="s">
        <v>40</v>
      </c>
      <c r="B27" s="25">
        <f>SUM(B19:B24)</f>
        <v>9991892.2349999994</v>
      </c>
      <c r="C27" s="25">
        <f>SUM(C19:C24)</f>
        <v>8476936.4350000005</v>
      </c>
      <c r="D27" s="25">
        <f>SUM(D19:D24)</f>
        <v>9756169.7160041835</v>
      </c>
      <c r="E27" s="25">
        <f>SUM(E19:E24)</f>
        <v>8241213.9160041837</v>
      </c>
      <c r="F27" s="25">
        <f>SUM(F19:F24)</f>
        <v>10665663.32014424</v>
      </c>
    </row>
    <row r="28" spans="1:7">
      <c r="A28" s="12" t="s">
        <v>43</v>
      </c>
      <c r="B28" s="26">
        <f>SUM(B7:B9)</f>
        <v>32641179385.530231</v>
      </c>
      <c r="C28" s="26">
        <f>SUM(C7:C9)</f>
        <v>32641179385.530231</v>
      </c>
      <c r="D28" s="26">
        <f>SUM(D7:D9)</f>
        <v>32641179385.530231</v>
      </c>
      <c r="E28" s="26">
        <f>SUM(E7:E9)</f>
        <v>32641179385.530231</v>
      </c>
      <c r="F28" s="26">
        <f>SUM(F7:F9)</f>
        <v>32641179385.530231</v>
      </c>
    </row>
    <row r="29" spans="1:7">
      <c r="A29" s="12" t="s">
        <v>41</v>
      </c>
      <c r="B29" s="27" t="s">
        <v>44</v>
      </c>
      <c r="C29" s="27" t="s">
        <v>44</v>
      </c>
      <c r="D29" s="27">
        <f>D27-B27</f>
        <v>-235722.51899581589</v>
      </c>
      <c r="E29" s="27">
        <f>E27-B27</f>
        <v>-1750678.3189958157</v>
      </c>
      <c r="F29" s="261">
        <f>F27-B27</f>
        <v>673771.08514424041</v>
      </c>
      <c r="G29" s="340"/>
    </row>
    <row r="30" spans="1:7">
      <c r="A30" s="12" t="s">
        <v>42</v>
      </c>
      <c r="B30" s="27" t="s">
        <v>44</v>
      </c>
      <c r="C30" s="27" t="s">
        <v>44</v>
      </c>
      <c r="D30" s="27"/>
      <c r="E30" s="27"/>
      <c r="F30" s="261">
        <f>F29</f>
        <v>673771.08514424041</v>
      </c>
    </row>
    <row r="31" spans="1:7">
      <c r="A31" s="15" t="s">
        <v>81</v>
      </c>
      <c r="B31" s="29"/>
      <c r="C31" s="29"/>
      <c r="D31" s="29"/>
      <c r="E31" s="29"/>
      <c r="F31" s="29"/>
    </row>
    <row r="32" spans="1:7">
      <c r="A32" s="16" t="s">
        <v>82</v>
      </c>
      <c r="B32" s="31" t="s">
        <v>44</v>
      </c>
      <c r="C32" s="31" t="s">
        <v>44</v>
      </c>
      <c r="D32" s="31" t="s">
        <v>44</v>
      </c>
      <c r="E32" s="31" t="s">
        <v>44</v>
      </c>
      <c r="F32" s="262">
        <f>F30/F7</f>
        <v>4.3008438638489543E-5</v>
      </c>
    </row>
    <row r="33" spans="1:7">
      <c r="A33" s="16" t="s">
        <v>83</v>
      </c>
      <c r="B33" s="31" t="s">
        <v>44</v>
      </c>
      <c r="C33" s="31" t="s">
        <v>44</v>
      </c>
      <c r="D33" s="31" t="s">
        <v>44</v>
      </c>
      <c r="E33" s="31" t="s">
        <v>44</v>
      </c>
      <c r="F33" s="262">
        <f>F30/SUM(F7:F8)</f>
        <v>2.4461390163526207E-5</v>
      </c>
    </row>
    <row r="34" spans="1:7">
      <c r="A34" s="16" t="s">
        <v>84</v>
      </c>
      <c r="B34" s="31" t="s">
        <v>44</v>
      </c>
      <c r="C34" s="31" t="s">
        <v>44</v>
      </c>
      <c r="D34" s="31" t="s">
        <v>44</v>
      </c>
      <c r="E34" s="31" t="s">
        <v>44</v>
      </c>
      <c r="F34" s="262">
        <f>F30/SUM(F7:F9)</f>
        <v>2.0641750629970244E-5</v>
      </c>
    </row>
    <row r="35" spans="1:7">
      <c r="A35" s="16" t="s">
        <v>300</v>
      </c>
      <c r="B35" s="264">
        <v>2.8475000000000002E-3</v>
      </c>
      <c r="C35" s="264">
        <v>2.8475000000000002E-3</v>
      </c>
      <c r="D35" s="264">
        <v>2.8475000000000002E-3</v>
      </c>
      <c r="E35" s="264">
        <v>2.8475000000000002E-3</v>
      </c>
      <c r="F35" s="264">
        <v>2.8475000000000002E-3</v>
      </c>
      <c r="G35" s="90" t="s">
        <v>305</v>
      </c>
    </row>
    <row r="36" spans="1:7" s="90" customFormat="1">
      <c r="A36" s="16" t="s">
        <v>302</v>
      </c>
      <c r="B36" s="264">
        <f>B27/B28</f>
        <v>3.0611308853102854E-4</v>
      </c>
      <c r="C36" s="264">
        <f>C27/C28</f>
        <v>2.5970067854710573E-4</v>
      </c>
      <c r="D36" s="264">
        <f>D27/D28</f>
        <v>2.9889145857055254E-4</v>
      </c>
      <c r="E36" s="264">
        <f>E27/E28</f>
        <v>2.5247904858662973E-4</v>
      </c>
      <c r="F36" s="264">
        <f>F27/F28</f>
        <v>3.2675483916099878E-4</v>
      </c>
    </row>
    <row r="37" spans="1:7">
      <c r="A37" s="16" t="s">
        <v>301</v>
      </c>
      <c r="B37" s="263">
        <f>B36/B35</f>
        <v>0.10750240159123038</v>
      </c>
      <c r="C37" s="263">
        <f>C36/C35</f>
        <v>9.1203047777736856E-2</v>
      </c>
      <c r="D37" s="263">
        <f>D36/D35</f>
        <v>0.10496627166656805</v>
      </c>
      <c r="E37" s="263">
        <f>E36/E35</f>
        <v>8.8666917853074526E-2</v>
      </c>
      <c r="F37" s="263">
        <f>F36/F35</f>
        <v>0.11475147995118481</v>
      </c>
    </row>
    <row r="38" spans="1:7">
      <c r="A38" s="16" t="s">
        <v>304</v>
      </c>
      <c r="B38" s="265" t="s">
        <v>44</v>
      </c>
      <c r="C38" s="265" t="s">
        <v>44</v>
      </c>
      <c r="D38" s="265" t="s">
        <v>44</v>
      </c>
      <c r="E38" s="265" t="s">
        <v>44</v>
      </c>
      <c r="F38" s="264">
        <f>F34+F35</f>
        <v>2.8681417506299703E-3</v>
      </c>
    </row>
    <row r="39" spans="1:7">
      <c r="A39" s="16" t="s">
        <v>303</v>
      </c>
      <c r="B39" s="265" t="s">
        <v>44</v>
      </c>
      <c r="C39" s="265" t="s">
        <v>44</v>
      </c>
      <c r="D39" s="265" t="s">
        <v>44</v>
      </c>
      <c r="E39" s="265" t="s">
        <v>44</v>
      </c>
      <c r="F39" s="263">
        <f>F36/F38</f>
        <v>0.11392562417433832</v>
      </c>
    </row>
    <row r="40" spans="1:7" ht="30">
      <c r="A40" s="16" t="s">
        <v>306</v>
      </c>
      <c r="B40" s="265" t="s">
        <v>44</v>
      </c>
      <c r="C40" s="265" t="s">
        <v>44</v>
      </c>
      <c r="D40" s="265" t="s">
        <v>44</v>
      </c>
      <c r="E40" s="265" t="s">
        <v>44</v>
      </c>
      <c r="F40" s="266">
        <f>F34/F35</f>
        <v>7.2490783599544308E-3</v>
      </c>
    </row>
  </sheetData>
  <mergeCells count="2">
    <mergeCell ref="G7:G10"/>
    <mergeCell ref="G13:G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CG8"/>
  <sheetViews>
    <sheetView workbookViewId="0"/>
  </sheetViews>
  <sheetFormatPr defaultRowHeight="15"/>
  <cols>
    <col min="1" max="26" width="18.7109375" customWidth="1"/>
  </cols>
  <sheetData>
    <row r="1" spans="1:85">
      <c r="A1" s="90" t="s">
        <v>349</v>
      </c>
      <c r="B1" s="90" t="s">
        <v>356</v>
      </c>
      <c r="C1" s="90" t="s">
        <v>353</v>
      </c>
      <c r="D1" s="90" t="s">
        <v>354</v>
      </c>
      <c r="E1" s="90" t="s">
        <v>351</v>
      </c>
      <c r="F1" s="90" t="s">
        <v>352</v>
      </c>
      <c r="G1" s="90" t="s">
        <v>368</v>
      </c>
      <c r="H1" s="90" t="s">
        <v>359</v>
      </c>
      <c r="I1" s="90" t="s">
        <v>360</v>
      </c>
      <c r="J1" s="90" t="s">
        <v>361</v>
      </c>
      <c r="K1" s="90" t="s">
        <v>362</v>
      </c>
      <c r="L1" s="90" t="s">
        <v>357</v>
      </c>
      <c r="M1" s="90" t="s">
        <v>363</v>
      </c>
      <c r="N1" s="90" t="s">
        <v>365</v>
      </c>
      <c r="O1" s="90" t="s">
        <v>369</v>
      </c>
      <c r="P1" s="90" t="s">
        <v>371</v>
      </c>
      <c r="Q1" s="90" t="s">
        <v>370</v>
      </c>
      <c r="R1" s="90" t="s">
        <v>350</v>
      </c>
      <c r="S1" s="90" t="s">
        <v>355</v>
      </c>
      <c r="Y1" s="90" t="s">
        <v>364</v>
      </c>
      <c r="Z1" s="90" t="s">
        <v>366</v>
      </c>
      <c r="AA1" s="90" t="s">
        <v>358</v>
      </c>
      <c r="AB1" s="90" t="s">
        <v>367</v>
      </c>
    </row>
    <row r="2" spans="1:85">
      <c r="E2" s="288" t="e">
        <f ca="1">'Sensitivity Analysis'!$C$40</f>
        <v>#NAME?</v>
      </c>
      <c r="S2">
        <v>9</v>
      </c>
    </row>
    <row r="3" spans="1:85">
      <c r="A3" s="90" t="s">
        <v>347</v>
      </c>
      <c r="B3">
        <v>4</v>
      </c>
      <c r="C3" s="90" t="s">
        <v>348</v>
      </c>
    </row>
    <row r="4" spans="1:85">
      <c r="A4" s="90" t="s">
        <v>349</v>
      </c>
      <c r="B4" s="90" t="s">
        <v>356</v>
      </c>
      <c r="C4" s="90" t="s">
        <v>353</v>
      </c>
      <c r="D4" s="90" t="s">
        <v>354</v>
      </c>
      <c r="E4" s="90" t="s">
        <v>351</v>
      </c>
      <c r="F4" s="90" t="s">
        <v>352</v>
      </c>
      <c r="G4" s="90" t="s">
        <v>368</v>
      </c>
      <c r="H4" s="90" t="s">
        <v>359</v>
      </c>
      <c r="I4" s="90" t="s">
        <v>360</v>
      </c>
      <c r="J4" s="90" t="s">
        <v>361</v>
      </c>
      <c r="K4" s="90" t="s">
        <v>362</v>
      </c>
      <c r="L4" s="90" t="s">
        <v>357</v>
      </c>
      <c r="M4" s="90" t="s">
        <v>363</v>
      </c>
      <c r="N4" s="90" t="s">
        <v>365</v>
      </c>
      <c r="O4" s="90" t="s">
        <v>369</v>
      </c>
      <c r="P4" s="90" t="s">
        <v>371</v>
      </c>
      <c r="Q4" s="90" t="s">
        <v>370</v>
      </c>
      <c r="R4" s="90" t="s">
        <v>350</v>
      </c>
      <c r="S4" s="90" t="s">
        <v>355</v>
      </c>
      <c r="Y4" s="90" t="s">
        <v>364</v>
      </c>
      <c r="Z4" s="90" t="s">
        <v>366</v>
      </c>
      <c r="AA4" s="90" t="s">
        <v>358</v>
      </c>
      <c r="AB4" s="90" t="s">
        <v>367</v>
      </c>
    </row>
    <row r="5" spans="1:85">
      <c r="A5">
        <v>1</v>
      </c>
      <c r="B5" t="b">
        <v>1</v>
      </c>
      <c r="C5">
        <v>0</v>
      </c>
      <c r="D5" s="90" t="s">
        <v>266</v>
      </c>
      <c r="E5" s="2" t="e">
        <f ca="1">'Sensitivity Analysis'!$I$31</f>
        <v>#NAME?</v>
      </c>
      <c r="F5" s="90" t="s">
        <v>409</v>
      </c>
      <c r="G5" s="90" t="s">
        <v>373</v>
      </c>
      <c r="H5" s="289" t="s">
        <v>372</v>
      </c>
      <c r="I5" s="289" t="s">
        <v>372</v>
      </c>
      <c r="J5" s="289" t="s">
        <v>372</v>
      </c>
      <c r="K5" s="289" t="s">
        <v>372</v>
      </c>
      <c r="L5" s="289" t="s">
        <v>399</v>
      </c>
      <c r="M5">
        <v>7</v>
      </c>
      <c r="N5" t="b">
        <v>1</v>
      </c>
      <c r="O5" t="b">
        <v>1</v>
      </c>
      <c r="P5">
        <v>4</v>
      </c>
      <c r="Q5">
        <v>0</v>
      </c>
      <c r="R5">
        <v>1</v>
      </c>
      <c r="S5">
        <v>4</v>
      </c>
      <c r="T5" s="90" t="s">
        <v>389</v>
      </c>
      <c r="U5" s="289" t="s">
        <v>397</v>
      </c>
      <c r="V5" s="90" t="s">
        <v>398</v>
      </c>
      <c r="W5">
        <v>0</v>
      </c>
      <c r="X5">
        <v>0</v>
      </c>
      <c r="Y5">
        <v>0</v>
      </c>
      <c r="Z5">
        <v>4</v>
      </c>
      <c r="AA5" t="b">
        <v>1</v>
      </c>
      <c r="AC5" s="289" t="s">
        <v>374</v>
      </c>
      <c r="AD5" s="289" t="s">
        <v>375</v>
      </c>
      <c r="AE5" s="289" t="s">
        <v>376</v>
      </c>
      <c r="AF5" s="289" t="s">
        <v>377</v>
      </c>
      <c r="AG5" s="289" t="s">
        <v>378</v>
      </c>
      <c r="AH5" s="289" t="s">
        <v>379</v>
      </c>
      <c r="AI5" s="289" t="s">
        <v>380</v>
      </c>
      <c r="BB5" s="289" t="s">
        <v>372</v>
      </c>
      <c r="BC5" s="289" t="s">
        <v>372</v>
      </c>
      <c r="BD5" s="289" t="s">
        <v>372</v>
      </c>
      <c r="BE5" s="289" t="s">
        <v>372</v>
      </c>
      <c r="BF5" s="289" t="s">
        <v>372</v>
      </c>
      <c r="BG5" s="289" t="s">
        <v>372</v>
      </c>
      <c r="BH5" s="289" t="s">
        <v>372</v>
      </c>
      <c r="CA5" s="90" t="s">
        <v>381</v>
      </c>
      <c r="CB5" s="90" t="s">
        <v>382</v>
      </c>
      <c r="CC5" s="90" t="s">
        <v>383</v>
      </c>
      <c r="CD5" s="90" t="s">
        <v>384</v>
      </c>
      <c r="CE5" s="90" t="s">
        <v>385</v>
      </c>
      <c r="CF5" s="90" t="s">
        <v>386</v>
      </c>
      <c r="CG5" s="90" t="s">
        <v>387</v>
      </c>
    </row>
    <row r="6" spans="1:85">
      <c r="A6">
        <v>2</v>
      </c>
      <c r="B6" t="b">
        <v>1</v>
      </c>
      <c r="C6">
        <v>0</v>
      </c>
      <c r="D6" s="90" t="s">
        <v>266</v>
      </c>
      <c r="E6" s="2" t="e">
        <f ca="1">'Sensitivity Analysis'!$I$32</f>
        <v>#NAME?</v>
      </c>
      <c r="F6" s="90" t="s">
        <v>409</v>
      </c>
      <c r="G6" s="90" t="s">
        <v>373</v>
      </c>
      <c r="H6" s="289" t="s">
        <v>372</v>
      </c>
      <c r="I6" s="289" t="s">
        <v>372</v>
      </c>
      <c r="J6" s="289" t="s">
        <v>372</v>
      </c>
      <c r="K6" s="289" t="s">
        <v>372</v>
      </c>
      <c r="L6" s="289" t="s">
        <v>402</v>
      </c>
      <c r="M6">
        <v>7</v>
      </c>
      <c r="N6" t="b">
        <v>1</v>
      </c>
      <c r="O6" t="b">
        <v>1</v>
      </c>
      <c r="P6">
        <v>4</v>
      </c>
      <c r="Q6">
        <v>1</v>
      </c>
      <c r="R6">
        <v>1</v>
      </c>
      <c r="S6">
        <v>5</v>
      </c>
      <c r="T6" s="90" t="s">
        <v>390</v>
      </c>
      <c r="U6" s="289" t="s">
        <v>400</v>
      </c>
      <c r="V6" s="90" t="s">
        <v>401</v>
      </c>
      <c r="W6">
        <v>0</v>
      </c>
      <c r="X6">
        <v>0</v>
      </c>
      <c r="Y6">
        <v>0</v>
      </c>
      <c r="Z6">
        <v>4</v>
      </c>
      <c r="AA6" t="b">
        <v>1</v>
      </c>
      <c r="AC6" s="289" t="s">
        <v>374</v>
      </c>
      <c r="AD6" s="289" t="s">
        <v>375</v>
      </c>
      <c r="AE6" s="289" t="s">
        <v>376</v>
      </c>
      <c r="AF6" s="289" t="s">
        <v>377</v>
      </c>
      <c r="AG6" s="289" t="s">
        <v>378</v>
      </c>
      <c r="AH6" s="289" t="s">
        <v>379</v>
      </c>
      <c r="AI6" s="289" t="s">
        <v>380</v>
      </c>
      <c r="BB6" s="289" t="s">
        <v>372</v>
      </c>
      <c r="BC6" s="289" t="s">
        <v>372</v>
      </c>
      <c r="BD6" s="289" t="s">
        <v>372</v>
      </c>
      <c r="BE6" s="289" t="s">
        <v>372</v>
      </c>
      <c r="BF6" s="289" t="s">
        <v>372</v>
      </c>
      <c r="BG6" s="289" t="s">
        <v>372</v>
      </c>
      <c r="BH6" s="289" t="s">
        <v>372</v>
      </c>
      <c r="CA6" s="90" t="s">
        <v>381</v>
      </c>
      <c r="CB6" s="90" t="s">
        <v>382</v>
      </c>
      <c r="CC6" s="90" t="s">
        <v>383</v>
      </c>
      <c r="CD6" s="90" t="s">
        <v>384</v>
      </c>
      <c r="CE6" s="90" t="s">
        <v>385</v>
      </c>
      <c r="CF6" s="90" t="s">
        <v>386</v>
      </c>
      <c r="CG6" s="90" t="s">
        <v>387</v>
      </c>
    </row>
    <row r="7" spans="1:85">
      <c r="A7">
        <v>3</v>
      </c>
      <c r="B7" t="b">
        <v>1</v>
      </c>
      <c r="C7">
        <v>0</v>
      </c>
      <c r="D7" s="90" t="s">
        <v>266</v>
      </c>
      <c r="E7" s="2" t="e">
        <f ca="1">'Sensitivity Analysis'!$I$33</f>
        <v>#NAME?</v>
      </c>
      <c r="F7" s="90" t="s">
        <v>409</v>
      </c>
      <c r="G7" s="90" t="s">
        <v>373</v>
      </c>
      <c r="H7" s="289" t="s">
        <v>372</v>
      </c>
      <c r="I7" s="289" t="s">
        <v>372</v>
      </c>
      <c r="J7" s="289" t="s">
        <v>372</v>
      </c>
      <c r="K7" s="289" t="s">
        <v>372</v>
      </c>
      <c r="L7" s="289" t="s">
        <v>405</v>
      </c>
      <c r="M7">
        <v>7</v>
      </c>
      <c r="N7" t="b">
        <v>1</v>
      </c>
      <c r="O7" t="b">
        <v>1</v>
      </c>
      <c r="P7">
        <v>4</v>
      </c>
      <c r="Q7">
        <v>2</v>
      </c>
      <c r="R7">
        <v>1</v>
      </c>
      <c r="S7">
        <v>6</v>
      </c>
      <c r="T7" s="90" t="s">
        <v>392</v>
      </c>
      <c r="U7" s="289" t="s">
        <v>403</v>
      </c>
      <c r="V7" s="90" t="s">
        <v>404</v>
      </c>
      <c r="W7">
        <v>0</v>
      </c>
      <c r="X7">
        <v>0</v>
      </c>
      <c r="Y7">
        <v>0</v>
      </c>
      <c r="Z7">
        <v>4</v>
      </c>
      <c r="AA7" t="b">
        <v>1</v>
      </c>
      <c r="AC7" s="289" t="s">
        <v>374</v>
      </c>
      <c r="AD7" s="289" t="s">
        <v>375</v>
      </c>
      <c r="AE7" s="289" t="s">
        <v>376</v>
      </c>
      <c r="AF7" s="289" t="s">
        <v>377</v>
      </c>
      <c r="AG7" s="289" t="s">
        <v>378</v>
      </c>
      <c r="AH7" s="289" t="s">
        <v>379</v>
      </c>
      <c r="AI7" s="289" t="s">
        <v>380</v>
      </c>
      <c r="BB7" s="289" t="s">
        <v>372</v>
      </c>
      <c r="BC7" s="289" t="s">
        <v>372</v>
      </c>
      <c r="BD7" s="289" t="s">
        <v>372</v>
      </c>
      <c r="BE7" s="289" t="s">
        <v>372</v>
      </c>
      <c r="BF7" s="289" t="s">
        <v>372</v>
      </c>
      <c r="BG7" s="289" t="s">
        <v>372</v>
      </c>
      <c r="BH7" s="289" t="s">
        <v>372</v>
      </c>
      <c r="CA7" s="90" t="s">
        <v>381</v>
      </c>
      <c r="CB7" s="90" t="s">
        <v>382</v>
      </c>
      <c r="CC7" s="90" t="s">
        <v>383</v>
      </c>
      <c r="CD7" s="90" t="s">
        <v>384</v>
      </c>
      <c r="CE7" s="90" t="s">
        <v>385</v>
      </c>
      <c r="CF7" s="90" t="s">
        <v>386</v>
      </c>
      <c r="CG7" s="90" t="s">
        <v>387</v>
      </c>
    </row>
    <row r="8" spans="1:85">
      <c r="A8">
        <v>4</v>
      </c>
      <c r="B8" t="b">
        <v>1</v>
      </c>
      <c r="C8">
        <v>0</v>
      </c>
      <c r="D8" s="90" t="s">
        <v>266</v>
      </c>
      <c r="E8" s="290" t="e">
        <f ca="1">'Sensitivity Analysis'!$I$34</f>
        <v>#NAME?</v>
      </c>
      <c r="F8" s="90" t="s">
        <v>409</v>
      </c>
      <c r="G8" s="90" t="s">
        <v>373</v>
      </c>
      <c r="H8" s="289" t="s">
        <v>372</v>
      </c>
      <c r="I8" s="289" t="s">
        <v>372</v>
      </c>
      <c r="J8" s="289" t="s">
        <v>372</v>
      </c>
      <c r="K8" s="289" t="s">
        <v>372</v>
      </c>
      <c r="L8" s="289" t="s">
        <v>408</v>
      </c>
      <c r="M8">
        <v>7</v>
      </c>
      <c r="N8" t="b">
        <v>1</v>
      </c>
      <c r="O8" t="b">
        <v>1</v>
      </c>
      <c r="P8">
        <v>4</v>
      </c>
      <c r="Q8">
        <v>3</v>
      </c>
      <c r="R8">
        <v>1</v>
      </c>
      <c r="S8">
        <v>7</v>
      </c>
      <c r="T8" s="90" t="s">
        <v>391</v>
      </c>
      <c r="U8" s="289" t="s">
        <v>406</v>
      </c>
      <c r="V8" s="90" t="s">
        <v>407</v>
      </c>
      <c r="W8">
        <v>0</v>
      </c>
      <c r="X8">
        <v>0</v>
      </c>
      <c r="Y8">
        <v>0</v>
      </c>
      <c r="Z8">
        <v>4</v>
      </c>
      <c r="AA8" t="b">
        <v>1</v>
      </c>
      <c r="AC8" s="289" t="s">
        <v>374</v>
      </c>
      <c r="AD8" s="289" t="s">
        <v>375</v>
      </c>
      <c r="AE8" s="289" t="s">
        <v>376</v>
      </c>
      <c r="AF8" s="289" t="s">
        <v>377</v>
      </c>
      <c r="AG8" s="289" t="s">
        <v>378</v>
      </c>
      <c r="AH8" s="289" t="s">
        <v>379</v>
      </c>
      <c r="AI8" s="289" t="s">
        <v>380</v>
      </c>
      <c r="BB8" s="289" t="s">
        <v>372</v>
      </c>
      <c r="BC8" s="289" t="s">
        <v>372</v>
      </c>
      <c r="BD8" s="289" t="s">
        <v>372</v>
      </c>
      <c r="BE8" s="289" t="s">
        <v>372</v>
      </c>
      <c r="BF8" s="289" t="s">
        <v>372</v>
      </c>
      <c r="BG8" s="289" t="s">
        <v>372</v>
      </c>
      <c r="BH8" s="289" t="s">
        <v>372</v>
      </c>
      <c r="CA8" s="90" t="s">
        <v>381</v>
      </c>
      <c r="CB8" s="90" t="s">
        <v>382</v>
      </c>
      <c r="CC8" s="90" t="s">
        <v>383</v>
      </c>
      <c r="CD8" s="90" t="s">
        <v>384</v>
      </c>
      <c r="CE8" s="90" t="s">
        <v>385</v>
      </c>
      <c r="CF8" s="90" t="s">
        <v>386</v>
      </c>
      <c r="CG8" s="90" t="s">
        <v>387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N57"/>
  <sheetViews>
    <sheetView zoomScale="90" zoomScaleNormal="90" workbookViewId="0">
      <pane xSplit="2" ySplit="3" topLeftCell="C4" activePane="bottomRight" state="frozen"/>
      <selection pane="topRight" activeCell="C1" sqref="C1"/>
      <selection pane="bottomLeft" activeCell="A4" sqref="A4"/>
      <selection pane="bottomRight" activeCell="B2" sqref="B2"/>
    </sheetView>
  </sheetViews>
  <sheetFormatPr defaultColWidth="9.140625" defaultRowHeight="15"/>
  <cols>
    <col min="1" max="1" width="5.28515625" style="90" customWidth="1"/>
    <col min="2" max="2" width="49.7109375" style="90" bestFit="1" customWidth="1"/>
    <col min="3" max="3" width="19.140625" style="90" bestFit="1" customWidth="1"/>
    <col min="4" max="4" width="13.7109375" style="90" customWidth="1"/>
    <col min="5" max="5" width="15.28515625" style="90" bestFit="1" customWidth="1"/>
    <col min="6" max="6" width="20.7109375" style="90" bestFit="1" customWidth="1"/>
    <col min="7" max="8" width="20.7109375" style="90" customWidth="1"/>
    <col min="9" max="9" width="15.28515625" style="90" bestFit="1" customWidth="1"/>
    <col min="10" max="10" width="21.85546875" style="90" customWidth="1"/>
    <col min="11" max="16384" width="9.140625" style="90"/>
  </cols>
  <sheetData>
    <row r="1" spans="2:14">
      <c r="B1" s="182"/>
    </row>
    <row r="2" spans="2:14">
      <c r="B2" s="268"/>
      <c r="C2" s="268"/>
      <c r="D2" s="268"/>
      <c r="E2" s="268"/>
      <c r="F2" s="268"/>
      <c r="G2" s="268"/>
      <c r="H2" s="268"/>
      <c r="I2" s="268"/>
      <c r="J2" s="268"/>
    </row>
    <row r="3" spans="2:14" ht="30.75" thickBot="1">
      <c r="C3" s="183" t="s">
        <v>331</v>
      </c>
      <c r="D3" s="184" t="s">
        <v>334</v>
      </c>
      <c r="E3" s="184" t="s">
        <v>332</v>
      </c>
      <c r="F3" s="184" t="s">
        <v>333</v>
      </c>
      <c r="G3" s="184" t="s">
        <v>336</v>
      </c>
      <c r="H3" s="184" t="s">
        <v>337</v>
      </c>
      <c r="I3" s="272" t="s">
        <v>335</v>
      </c>
      <c r="J3" s="184" t="s">
        <v>344</v>
      </c>
    </row>
    <row r="4" spans="2:14" ht="15.75" thickTop="1">
      <c r="B4" s="365" t="s">
        <v>329</v>
      </c>
      <c r="C4" s="365"/>
      <c r="D4" s="365"/>
      <c r="E4" s="365"/>
      <c r="F4" s="365"/>
      <c r="G4" s="365"/>
      <c r="H4" s="365"/>
      <c r="I4" s="365"/>
      <c r="J4" s="365"/>
      <c r="N4" s="90" t="s">
        <v>345</v>
      </c>
    </row>
    <row r="5" spans="2:14">
      <c r="B5" s="269" t="s">
        <v>343</v>
      </c>
      <c r="C5" s="185"/>
      <c r="D5" s="186"/>
      <c r="E5" s="186"/>
      <c r="F5" s="186"/>
      <c r="G5" s="186"/>
      <c r="H5" s="186"/>
      <c r="I5" s="186"/>
      <c r="J5" s="186"/>
      <c r="N5" s="90" t="s">
        <v>346</v>
      </c>
    </row>
    <row r="6" spans="2:14" ht="17.25">
      <c r="B6" s="273" t="s">
        <v>410</v>
      </c>
      <c r="C6" s="279">
        <f>'Data Inputs'!C40</f>
        <v>0.11</v>
      </c>
      <c r="D6" s="187" t="s">
        <v>447</v>
      </c>
      <c r="E6" s="274">
        <f>'Data Inputs'!D40</f>
        <v>0.08</v>
      </c>
      <c r="F6" s="274">
        <f>'Data Inputs'!E40</f>
        <v>0.161</v>
      </c>
      <c r="G6" s="281">
        <f>(E6-C6)/C6</f>
        <v>-0.27272727272727271</v>
      </c>
      <c r="H6" s="281">
        <f>(F6-C6)/C6</f>
        <v>0.46363636363636368</v>
      </c>
      <c r="I6" s="274" t="e">
        <f ca="1">_xll.RiskTriang(E6,C6,F6,_xll.RiskName(B6),_xll.RiskStatic(C6))</f>
        <v>#NAME?</v>
      </c>
      <c r="J6" s="187" t="s">
        <v>346</v>
      </c>
    </row>
    <row r="7" spans="2:14" ht="17.25">
      <c r="B7" s="273" t="s">
        <v>472</v>
      </c>
      <c r="C7" s="279">
        <f>'Data Inputs'!C20</f>
        <v>0.96199999999999997</v>
      </c>
      <c r="D7" s="187" t="s">
        <v>447</v>
      </c>
      <c r="E7" s="274">
        <f>'Data Inputs'!D20</f>
        <v>0.68200000000000005</v>
      </c>
      <c r="F7" s="274">
        <f>'Data Inputs'!E20</f>
        <v>1.351</v>
      </c>
      <c r="G7" s="281">
        <f t="shared" ref="G7:G9" si="0">(E7-C7)/C7</f>
        <v>-0.29106029106029097</v>
      </c>
      <c r="H7" s="281">
        <f t="shared" ref="H7:H9" si="1">(F7-C7)/C7</f>
        <v>0.40436590436590442</v>
      </c>
      <c r="I7" s="274" t="e">
        <f ca="1">_xll.RiskTriang(E7,C7,F7,_xll.RiskName(B7),_xll.RiskStatic(C7))</f>
        <v>#NAME?</v>
      </c>
      <c r="J7" s="187" t="s">
        <v>346</v>
      </c>
    </row>
    <row r="8" spans="2:14" ht="17.25">
      <c r="B8" s="273" t="s">
        <v>473</v>
      </c>
      <c r="C8" s="279">
        <f>'Data Inputs'!C25</f>
        <v>0.17699999999999999</v>
      </c>
      <c r="D8" s="187" t="s">
        <v>447</v>
      </c>
      <c r="E8" s="274">
        <f>'Data Inputs'!D25</f>
        <v>4.5999999999999999E-2</v>
      </c>
      <c r="F8" s="274">
        <f>'Data Inputs'!E25</f>
        <v>0.29099999999999998</v>
      </c>
      <c r="G8" s="281">
        <f t="shared" si="0"/>
        <v>-0.74011299435028255</v>
      </c>
      <c r="H8" s="281">
        <f t="shared" si="1"/>
        <v>0.64406779661016944</v>
      </c>
      <c r="I8" s="274" t="e">
        <f ca="1">_xll.RiskTriang(E8,C8,F8,_xll.RiskName(B8),_xll.RiskStatic(C8))</f>
        <v>#NAME?</v>
      </c>
      <c r="J8" s="187" t="s">
        <v>346</v>
      </c>
    </row>
    <row r="9" spans="2:14" ht="17.25">
      <c r="B9" s="273" t="s">
        <v>474</v>
      </c>
      <c r="C9" s="279">
        <f>'Data Inputs'!C47</f>
        <v>2.3E-2</v>
      </c>
      <c r="D9" s="187" t="s">
        <v>447</v>
      </c>
      <c r="E9" s="274">
        <f>'Data Inputs'!D47</f>
        <v>0.01</v>
      </c>
      <c r="F9" s="274">
        <f>'Data Inputs'!E47</f>
        <v>4.2000000000000003E-2</v>
      </c>
      <c r="G9" s="281">
        <f t="shared" si="0"/>
        <v>-0.56521739130434778</v>
      </c>
      <c r="H9" s="281">
        <f t="shared" si="1"/>
        <v>0.82608695652173925</v>
      </c>
      <c r="I9" s="274" t="e">
        <f ca="1">_xll.RiskTriang(E9,C9,F9,_xll.RiskName(B9),_xll.RiskStatic(C9))</f>
        <v>#NAME?</v>
      </c>
      <c r="J9" s="187" t="s">
        <v>346</v>
      </c>
    </row>
    <row r="10" spans="2:14">
      <c r="B10" s="273" t="s">
        <v>481</v>
      </c>
      <c r="C10" s="342">
        <f>'Data Inputs'!H54</f>
        <v>5.6679999999999994E-3</v>
      </c>
      <c r="D10" s="187" t="s">
        <v>342</v>
      </c>
      <c r="E10" s="343">
        <f>C10*(1+G10)</f>
        <v>4.5344000000000001E-3</v>
      </c>
      <c r="F10" s="343">
        <f>C10*(1+H10)</f>
        <v>6.8015999999999988E-3</v>
      </c>
      <c r="G10" s="281">
        <f>-0.2</f>
        <v>-0.2</v>
      </c>
      <c r="H10" s="281">
        <f>0.2</f>
        <v>0.2</v>
      </c>
      <c r="I10" s="343" t="e">
        <f ca="1">_xll.RiskUniform(E10,F10,_xll.RiskName(B10),_xll.RiskStatic(C10))</f>
        <v>#NAME?</v>
      </c>
      <c r="J10" s="187" t="s">
        <v>346</v>
      </c>
    </row>
    <row r="11" spans="2:14">
      <c r="B11" s="273" t="s">
        <v>118</v>
      </c>
      <c r="C11" s="275">
        <f>'Data Inputs'!C51</f>
        <v>39125286</v>
      </c>
      <c r="D11" s="187" t="s">
        <v>342</v>
      </c>
      <c r="E11" s="283">
        <f>C11*(1+G11)</f>
        <v>35212757.399999999</v>
      </c>
      <c r="F11" s="283">
        <f>C11*(1+H11)</f>
        <v>43037814.600000001</v>
      </c>
      <c r="G11" s="281">
        <f>-0.1</f>
        <v>-0.1</v>
      </c>
      <c r="H11" s="281">
        <f>0.1</f>
        <v>0.1</v>
      </c>
      <c r="I11" s="283" t="e">
        <f ca="1">_xll.RiskUniform(E11,F11,_xll.RiskName(B11),_xll.RiskStatic(C11))</f>
        <v>#NAME?</v>
      </c>
      <c r="J11" s="187" t="s">
        <v>346</v>
      </c>
    </row>
    <row r="12" spans="2:14">
      <c r="B12" s="273" t="s">
        <v>475</v>
      </c>
      <c r="C12" s="275">
        <f>'Data Inputs'!C46</f>
        <v>76137689</v>
      </c>
      <c r="D12" s="187" t="s">
        <v>342</v>
      </c>
      <c r="E12" s="283">
        <f>C12*(1+G12)</f>
        <v>68523920.100000009</v>
      </c>
      <c r="F12" s="283">
        <f>C12*(1+H12)</f>
        <v>83751457.900000006</v>
      </c>
      <c r="G12" s="281">
        <f>-0.1</f>
        <v>-0.1</v>
      </c>
      <c r="H12" s="281">
        <f>0.1</f>
        <v>0.1</v>
      </c>
      <c r="I12" s="283" t="e">
        <f ca="1">_xll.RiskUniform(E12,F12,_xll.RiskName(B12),_xll.RiskStatic(C12))</f>
        <v>#NAME?</v>
      </c>
      <c r="J12" s="187" t="s">
        <v>346</v>
      </c>
    </row>
    <row r="13" spans="2:14">
      <c r="B13" s="271" t="s">
        <v>110</v>
      </c>
      <c r="C13" s="280">
        <f>'Data Inputs'!H52</f>
        <v>3.2800000000000003E-2</v>
      </c>
      <c r="D13" s="187" t="s">
        <v>342</v>
      </c>
      <c r="E13" s="285">
        <f>C13*(1+G13)</f>
        <v>2.6240000000000003E-2</v>
      </c>
      <c r="F13" s="285">
        <f>C13*(1+H13)</f>
        <v>3.9359999999999999E-2</v>
      </c>
      <c r="G13" s="281">
        <f>-0.2</f>
        <v>-0.2</v>
      </c>
      <c r="H13" s="281">
        <f>0.2</f>
        <v>0.2</v>
      </c>
      <c r="I13" s="286" t="e">
        <f ca="1">_xll.RiskUniform(E13,F13,_xll.RiskName(B13),_xll.RiskStatic(C13))</f>
        <v>#NAME?</v>
      </c>
      <c r="J13" s="187" t="s">
        <v>346</v>
      </c>
    </row>
    <row r="14" spans="2:14">
      <c r="B14" s="269" t="s">
        <v>267</v>
      </c>
      <c r="C14" s="280"/>
      <c r="D14" s="186"/>
      <c r="E14" s="274"/>
      <c r="F14" s="276"/>
      <c r="G14" s="186"/>
      <c r="H14" s="186"/>
      <c r="I14" s="186"/>
      <c r="J14" s="186"/>
    </row>
    <row r="15" spans="2:14">
      <c r="B15" s="270" t="s">
        <v>339</v>
      </c>
      <c r="C15" s="278" t="e">
        <f ca="1">_xll.RiskOutput(B15)+'Unit Process Costs'!H26</f>
        <v>#NAME?</v>
      </c>
      <c r="D15" s="287" t="s">
        <v>44</v>
      </c>
      <c r="E15" s="287" t="s">
        <v>44</v>
      </c>
      <c r="F15" s="287" t="s">
        <v>44</v>
      </c>
      <c r="G15" s="287" t="s">
        <v>44</v>
      </c>
      <c r="H15" s="287" t="s">
        <v>44</v>
      </c>
      <c r="I15" s="287" t="s">
        <v>44</v>
      </c>
      <c r="J15" s="287" t="s">
        <v>44</v>
      </c>
    </row>
    <row r="16" spans="2:14">
      <c r="B16" s="270" t="s">
        <v>476</v>
      </c>
      <c r="C16" s="278" t="e">
        <f ca="1">_xll.RiskOutput(B16)+'Unit Process Costs'!H7</f>
        <v>#NAME?</v>
      </c>
      <c r="D16" s="287" t="s">
        <v>44</v>
      </c>
      <c r="E16" s="287" t="s">
        <v>44</v>
      </c>
      <c r="F16" s="287" t="s">
        <v>44</v>
      </c>
      <c r="G16" s="287" t="s">
        <v>44</v>
      </c>
      <c r="H16" s="287" t="s">
        <v>44</v>
      </c>
      <c r="I16" s="287" t="s">
        <v>44</v>
      </c>
      <c r="J16" s="287" t="s">
        <v>44</v>
      </c>
    </row>
    <row r="17" spans="2:10">
      <c r="B17" s="270" t="s">
        <v>477</v>
      </c>
      <c r="C17" s="278" t="e">
        <f ca="1">_xll.RiskOutput(B17)+'Unit Process Costs'!H12</f>
        <v>#NAME?</v>
      </c>
      <c r="D17" s="287" t="s">
        <v>44</v>
      </c>
      <c r="E17" s="287" t="s">
        <v>44</v>
      </c>
      <c r="F17" s="287" t="s">
        <v>44</v>
      </c>
      <c r="G17" s="287" t="s">
        <v>44</v>
      </c>
      <c r="H17" s="287" t="s">
        <v>44</v>
      </c>
      <c r="I17" s="287" t="s">
        <v>44</v>
      </c>
      <c r="J17" s="287" t="s">
        <v>44</v>
      </c>
    </row>
    <row r="18" spans="2:10">
      <c r="B18" s="270" t="s">
        <v>478</v>
      </c>
      <c r="C18" s="278" t="e">
        <f ca="1">_xll.RiskOutput(B18)+'Unit Process Costs'!H33</f>
        <v>#NAME?</v>
      </c>
      <c r="D18" s="287" t="s">
        <v>44</v>
      </c>
      <c r="E18" s="287" t="s">
        <v>44</v>
      </c>
      <c r="F18" s="287" t="s">
        <v>44</v>
      </c>
      <c r="G18" s="287" t="s">
        <v>44</v>
      </c>
      <c r="H18" s="287" t="s">
        <v>44</v>
      </c>
      <c r="I18" s="287" t="s">
        <v>44</v>
      </c>
      <c r="J18" s="287" t="s">
        <v>44</v>
      </c>
    </row>
    <row r="19" spans="2:10">
      <c r="B19" s="270" t="s">
        <v>479</v>
      </c>
      <c r="C19" s="278" t="e">
        <f ca="1">_xll.RiskOutput(B19)+'Unit Process Costs'!H19</f>
        <v>#NAME?</v>
      </c>
      <c r="D19" s="287" t="s">
        <v>44</v>
      </c>
      <c r="E19" s="287" t="s">
        <v>44</v>
      </c>
      <c r="F19" s="287" t="s">
        <v>44</v>
      </c>
      <c r="G19" s="287" t="s">
        <v>44</v>
      </c>
      <c r="H19" s="287" t="s">
        <v>44</v>
      </c>
      <c r="I19" s="287" t="s">
        <v>44</v>
      </c>
      <c r="J19" s="287" t="s">
        <v>44</v>
      </c>
    </row>
    <row r="20" spans="2:10">
      <c r="B20" s="270" t="s">
        <v>340</v>
      </c>
      <c r="C20" s="278" t="e">
        <f ca="1">_xll.RiskOutput(B20)+'Unit Process Costs'!H37</f>
        <v>#NAME?</v>
      </c>
      <c r="D20" s="287" t="s">
        <v>44</v>
      </c>
      <c r="E20" s="287" t="s">
        <v>44</v>
      </c>
      <c r="F20" s="287" t="s">
        <v>44</v>
      </c>
      <c r="G20" s="287" t="s">
        <v>44</v>
      </c>
      <c r="H20" s="287" t="s">
        <v>44</v>
      </c>
      <c r="I20" s="287" t="s">
        <v>44</v>
      </c>
      <c r="J20" s="287" t="s">
        <v>44</v>
      </c>
    </row>
    <row r="21" spans="2:10">
      <c r="B21" s="270" t="s">
        <v>480</v>
      </c>
      <c r="C21" s="277" t="e">
        <f ca="1">_xll.RiskOutput(B21)+'Unit Process Costs'!H32</f>
        <v>#NAME?</v>
      </c>
      <c r="D21" s="287" t="s">
        <v>44</v>
      </c>
      <c r="E21" s="287" t="s">
        <v>44</v>
      </c>
      <c r="F21" s="287" t="s">
        <v>44</v>
      </c>
      <c r="G21" s="287" t="s">
        <v>44</v>
      </c>
      <c r="H21" s="287" t="s">
        <v>44</v>
      </c>
      <c r="I21" s="287" t="s">
        <v>44</v>
      </c>
      <c r="J21" s="287" t="s">
        <v>44</v>
      </c>
    </row>
    <row r="22" spans="2:10" ht="15.75" thickBot="1">
      <c r="B22" s="270" t="s">
        <v>341</v>
      </c>
      <c r="C22" s="277" t="e">
        <f ca="1">_xll.RiskOutput()+'Unit Process Costs'!H39</f>
        <v>#NAME?</v>
      </c>
      <c r="D22" s="287" t="s">
        <v>44</v>
      </c>
      <c r="E22" s="287" t="s">
        <v>44</v>
      </c>
      <c r="F22" s="287" t="s">
        <v>44</v>
      </c>
      <c r="G22" s="287" t="s">
        <v>44</v>
      </c>
      <c r="H22" s="287" t="s">
        <v>44</v>
      </c>
      <c r="I22" s="287" t="s">
        <v>44</v>
      </c>
      <c r="J22" s="287" t="s">
        <v>44</v>
      </c>
    </row>
    <row r="23" spans="2:10" ht="15.75" thickTop="1">
      <c r="B23" s="365" t="s">
        <v>330</v>
      </c>
      <c r="C23" s="365"/>
      <c r="D23" s="365"/>
      <c r="E23" s="365"/>
      <c r="F23" s="365"/>
      <c r="G23" s="365"/>
      <c r="H23" s="365"/>
      <c r="I23" s="365"/>
      <c r="J23" s="365"/>
    </row>
    <row r="24" spans="2:10">
      <c r="B24" s="269" t="s">
        <v>267</v>
      </c>
      <c r="C24" s="277"/>
      <c r="D24" s="186"/>
      <c r="E24" s="274"/>
      <c r="F24" s="276"/>
      <c r="G24" s="186"/>
      <c r="H24" s="186"/>
      <c r="I24" s="186"/>
      <c r="J24" s="186"/>
    </row>
    <row r="25" spans="2:10">
      <c r="B25" s="270" t="s">
        <v>339</v>
      </c>
      <c r="C25" s="277" t="e">
        <f ca="1">C15</f>
        <v>#NAME?</v>
      </c>
      <c r="D25" s="287" t="s">
        <v>44</v>
      </c>
      <c r="E25" s="287" t="s">
        <v>44</v>
      </c>
      <c r="F25" s="287" t="s">
        <v>44</v>
      </c>
      <c r="G25" s="287" t="s">
        <v>44</v>
      </c>
      <c r="H25" s="287" t="s">
        <v>44</v>
      </c>
      <c r="I25" s="287" t="s">
        <v>44</v>
      </c>
      <c r="J25" s="287" t="s">
        <v>44</v>
      </c>
    </row>
    <row r="26" spans="2:10">
      <c r="B26" s="270" t="s">
        <v>338</v>
      </c>
      <c r="C26" s="278" t="e">
        <f ca="1">C21</f>
        <v>#NAME?</v>
      </c>
      <c r="D26" s="287" t="s">
        <v>44</v>
      </c>
      <c r="E26" s="287" t="s">
        <v>44</v>
      </c>
      <c r="F26" s="287" t="s">
        <v>44</v>
      </c>
      <c r="G26" s="287" t="s">
        <v>44</v>
      </c>
      <c r="H26" s="287" t="s">
        <v>44</v>
      </c>
      <c r="I26" s="287" t="s">
        <v>44</v>
      </c>
      <c r="J26" s="287" t="s">
        <v>44</v>
      </c>
    </row>
    <row r="27" spans="2:10">
      <c r="B27" s="270" t="s">
        <v>340</v>
      </c>
      <c r="C27" s="278" t="e">
        <f ca="1">C20</f>
        <v>#NAME?</v>
      </c>
      <c r="D27" s="287" t="s">
        <v>44</v>
      </c>
      <c r="E27" s="287" t="s">
        <v>44</v>
      </c>
      <c r="F27" s="287" t="s">
        <v>44</v>
      </c>
      <c r="G27" s="287" t="s">
        <v>44</v>
      </c>
      <c r="H27" s="287" t="s">
        <v>44</v>
      </c>
      <c r="I27" s="287" t="s">
        <v>44</v>
      </c>
      <c r="J27" s="287" t="s">
        <v>44</v>
      </c>
    </row>
    <row r="28" spans="2:10" ht="15.75" thickBot="1">
      <c r="B28" s="270" t="s">
        <v>341</v>
      </c>
      <c r="C28" s="277" t="e">
        <f ca="1">_xll.RiskOutput()+'Unit Process Costs'!H40</f>
        <v>#NAME?</v>
      </c>
      <c r="D28" s="287" t="s">
        <v>44</v>
      </c>
      <c r="E28" s="287" t="s">
        <v>44</v>
      </c>
      <c r="F28" s="287" t="s">
        <v>44</v>
      </c>
      <c r="G28" s="287" t="s">
        <v>44</v>
      </c>
      <c r="H28" s="287" t="s">
        <v>44</v>
      </c>
      <c r="I28" s="287" t="s">
        <v>44</v>
      </c>
      <c r="J28" s="287" t="s">
        <v>44</v>
      </c>
    </row>
    <row r="29" spans="2:10" ht="15.75" thickTop="1">
      <c r="B29" s="365" t="s">
        <v>196</v>
      </c>
      <c r="C29" s="365"/>
      <c r="D29" s="365"/>
      <c r="E29" s="365"/>
      <c r="F29" s="365"/>
      <c r="G29" s="365"/>
      <c r="H29" s="365"/>
      <c r="I29" s="365"/>
      <c r="J29" s="365"/>
    </row>
    <row r="30" spans="2:10">
      <c r="B30" s="269" t="s">
        <v>343</v>
      </c>
      <c r="C30" s="277"/>
      <c r="D30" s="187"/>
      <c r="E30" s="285"/>
      <c r="F30" s="285"/>
      <c r="G30" s="281"/>
      <c r="H30" s="281"/>
      <c r="I30" s="186"/>
      <c r="J30" s="187"/>
    </row>
    <row r="31" spans="2:10">
      <c r="B31" s="273" t="s">
        <v>389</v>
      </c>
      <c r="C31" s="275">
        <f>'Data Inputs'!C80</f>
        <v>3</v>
      </c>
      <c r="D31" s="187" t="s">
        <v>342</v>
      </c>
      <c r="E31" s="283">
        <f>'Data Inputs'!D80</f>
        <v>1</v>
      </c>
      <c r="F31" s="283">
        <f>'Data Inputs'!E80</f>
        <v>5</v>
      </c>
      <c r="G31" s="281">
        <f>(E31-C31)/C31</f>
        <v>-0.66666666666666663</v>
      </c>
      <c r="H31" s="281">
        <f>(F31-C31)/C31</f>
        <v>0.66666666666666663</v>
      </c>
      <c r="I31" s="283" t="e">
        <f ca="1">_xll.RiskUniform(E31,F31,_xll.RiskName(B31),_xll.RiskStatic(C31))</f>
        <v>#NAME?</v>
      </c>
      <c r="J31" s="187" t="s">
        <v>346</v>
      </c>
    </row>
    <row r="32" spans="2:10">
      <c r="B32" s="273" t="s">
        <v>390</v>
      </c>
      <c r="C32" s="275">
        <f>'Data Inputs'!C81</f>
        <v>2</v>
      </c>
      <c r="D32" s="187" t="s">
        <v>342</v>
      </c>
      <c r="E32" s="283">
        <f>'Data Inputs'!D81</f>
        <v>1</v>
      </c>
      <c r="F32" s="283">
        <f>'Data Inputs'!E81</f>
        <v>3</v>
      </c>
      <c r="G32" s="281">
        <f>(E32-C32)/C32</f>
        <v>-0.5</v>
      </c>
      <c r="H32" s="281">
        <f>(F32-C32)/C32</f>
        <v>0.5</v>
      </c>
      <c r="I32" s="283" t="e">
        <f ca="1">_xll.RiskUniform(E32,F32,_xll.RiskName(B32),_xll.RiskStatic(C32))</f>
        <v>#NAME?</v>
      </c>
      <c r="J32" s="187" t="s">
        <v>346</v>
      </c>
    </row>
    <row r="33" spans="2:10">
      <c r="B33" s="273" t="s">
        <v>392</v>
      </c>
      <c r="C33" s="275">
        <f>'Data Inputs'!H59</f>
        <v>810000</v>
      </c>
      <c r="D33" s="187" t="s">
        <v>342</v>
      </c>
      <c r="E33" s="283">
        <f>C33*(1+G33)</f>
        <v>729000</v>
      </c>
      <c r="F33" s="283">
        <f>C33*(1+H33)</f>
        <v>891000.00000000012</v>
      </c>
      <c r="G33" s="281">
        <f>-0.1</f>
        <v>-0.1</v>
      </c>
      <c r="H33" s="281">
        <f>0.1</f>
        <v>0.1</v>
      </c>
      <c r="I33" s="283" t="e">
        <f ca="1">_xll.RiskUniform(E33,F33,_xll.RiskName(B33),_xll.RiskStatic(C33))</f>
        <v>#NAME?</v>
      </c>
      <c r="J33" s="187" t="s">
        <v>346</v>
      </c>
    </row>
    <row r="34" spans="2:10">
      <c r="B34" s="271" t="s">
        <v>391</v>
      </c>
      <c r="C34" s="291">
        <f>'Data Inputs'!C56</f>
        <v>0.06</v>
      </c>
      <c r="D34" s="187" t="s">
        <v>342</v>
      </c>
      <c r="E34" s="281">
        <f>'Data Inputs'!D56</f>
        <v>0.04</v>
      </c>
      <c r="F34" s="281">
        <f>'Data Inputs'!E56</f>
        <v>0.08</v>
      </c>
      <c r="G34" s="281">
        <f>(E34-C34)/C34</f>
        <v>-0.33333333333333331</v>
      </c>
      <c r="H34" s="281">
        <f>(F34-C34)/C34</f>
        <v>0.33333333333333343</v>
      </c>
      <c r="I34" s="281" t="e">
        <f ca="1">_xll.RiskUniform(E34,F34,_xll.RiskName(B34),_xll.RiskStatic(C34))</f>
        <v>#NAME?</v>
      </c>
      <c r="J34" s="187" t="s">
        <v>346</v>
      </c>
    </row>
    <row r="35" spans="2:10">
      <c r="B35" s="269" t="s">
        <v>267</v>
      </c>
      <c r="C35" s="277"/>
      <c r="D35" s="187"/>
      <c r="E35" s="284"/>
      <c r="F35" s="284"/>
      <c r="G35" s="281"/>
      <c r="H35" s="281"/>
      <c r="I35" s="276"/>
      <c r="J35" s="187"/>
    </row>
    <row r="36" spans="2:10">
      <c r="B36" s="270" t="s">
        <v>393</v>
      </c>
      <c r="C36" s="277" t="e">
        <f ca="1">_xll.RiskOutput("Pre-Treatment Ferrate Cost ($)")+'Unit Process Costs'!H47</f>
        <v>#NAME?</v>
      </c>
      <c r="D36" s="287" t="s">
        <v>44</v>
      </c>
      <c r="E36" s="287" t="s">
        <v>44</v>
      </c>
      <c r="F36" s="287" t="s">
        <v>44</v>
      </c>
      <c r="G36" s="287" t="s">
        <v>44</v>
      </c>
      <c r="H36" s="287" t="s">
        <v>44</v>
      </c>
      <c r="I36" s="287" t="s">
        <v>44</v>
      </c>
      <c r="J36" s="287" t="s">
        <v>44</v>
      </c>
    </row>
    <row r="37" spans="2:10">
      <c r="B37" s="270" t="s">
        <v>394</v>
      </c>
      <c r="C37" s="277" t="e">
        <f ca="1">_xll.RiskOutput("Disinfection Ferrate Cost ($)")+'Unit Process Costs'!H70</f>
        <v>#NAME?</v>
      </c>
      <c r="D37" s="287" t="s">
        <v>44</v>
      </c>
      <c r="E37" s="287" t="s">
        <v>44</v>
      </c>
      <c r="F37" s="287" t="s">
        <v>44</v>
      </c>
      <c r="G37" s="287" t="s">
        <v>44</v>
      </c>
      <c r="H37" s="287" t="s">
        <v>44</v>
      </c>
      <c r="I37" s="287" t="s">
        <v>44</v>
      </c>
      <c r="J37" s="287" t="s">
        <v>44</v>
      </c>
    </row>
    <row r="38" spans="2:10">
      <c r="B38" s="270" t="s">
        <v>395</v>
      </c>
      <c r="C38" s="277" t="e">
        <f ca="1">_xll.RiskOutput("Ferrator Total Capital Cost ($)")+'Unit Process Costs'!K73</f>
        <v>#NAME?</v>
      </c>
      <c r="D38" s="287" t="s">
        <v>44</v>
      </c>
      <c r="E38" s="287" t="s">
        <v>44</v>
      </c>
      <c r="F38" s="287" t="s">
        <v>44</v>
      </c>
      <c r="G38" s="287" t="s">
        <v>44</v>
      </c>
      <c r="H38" s="287" t="s">
        <v>44</v>
      </c>
      <c r="I38" s="287" t="s">
        <v>44</v>
      </c>
      <c r="J38" s="287" t="s">
        <v>44</v>
      </c>
    </row>
    <row r="39" spans="2:10">
      <c r="B39" s="270" t="s">
        <v>396</v>
      </c>
      <c r="C39" s="277" t="e">
        <f ca="1">_xll.RiskOutput("Ferrator Amortized Capital Cost ($)")+'Unit Process Costs'!H76</f>
        <v>#NAME?</v>
      </c>
      <c r="D39" s="287"/>
      <c r="E39" s="287"/>
      <c r="F39" s="287"/>
      <c r="G39" s="287"/>
      <c r="H39" s="287"/>
      <c r="I39" s="287"/>
      <c r="J39" s="287"/>
    </row>
    <row r="40" spans="2:10" ht="15.75" thickBot="1">
      <c r="B40" s="270" t="s">
        <v>341</v>
      </c>
      <c r="C40" s="277" t="e">
        <f ca="1">_xll.RiskOutput()+'Unit Process Costs'!H88</f>
        <v>#NAME?</v>
      </c>
      <c r="D40" s="287" t="s">
        <v>44</v>
      </c>
      <c r="E40" s="287" t="s">
        <v>44</v>
      </c>
      <c r="F40" s="287" t="s">
        <v>44</v>
      </c>
      <c r="G40" s="287" t="s">
        <v>44</v>
      </c>
      <c r="H40" s="287" t="s">
        <v>44</v>
      </c>
      <c r="I40" s="287" t="s">
        <v>44</v>
      </c>
      <c r="J40" s="287" t="s">
        <v>44</v>
      </c>
    </row>
    <row r="41" spans="2:10" ht="15.75" thickTop="1">
      <c r="B41" s="365" t="s">
        <v>195</v>
      </c>
      <c r="C41" s="365"/>
      <c r="D41" s="365"/>
      <c r="E41" s="365"/>
      <c r="F41" s="365"/>
      <c r="G41" s="365"/>
      <c r="H41" s="365"/>
      <c r="I41" s="365"/>
      <c r="J41" s="365"/>
    </row>
    <row r="42" spans="2:10">
      <c r="B42" s="269" t="s">
        <v>267</v>
      </c>
      <c r="C42" s="277"/>
      <c r="D42" s="187"/>
      <c r="E42" s="284"/>
      <c r="F42" s="284"/>
      <c r="G42" s="281"/>
      <c r="H42" s="281"/>
      <c r="I42" s="276"/>
      <c r="J42" s="187"/>
    </row>
    <row r="43" spans="2:10">
      <c r="B43" s="270" t="s">
        <v>393</v>
      </c>
      <c r="C43" s="277" t="e">
        <f ca="1">C36</f>
        <v>#NAME?</v>
      </c>
      <c r="D43" s="287" t="s">
        <v>44</v>
      </c>
      <c r="E43" s="287" t="s">
        <v>44</v>
      </c>
      <c r="F43" s="287" t="s">
        <v>44</v>
      </c>
      <c r="G43" s="287" t="s">
        <v>44</v>
      </c>
      <c r="H43" s="287" t="s">
        <v>44</v>
      </c>
      <c r="I43" s="287" t="s">
        <v>44</v>
      </c>
      <c r="J43" s="287" t="s">
        <v>44</v>
      </c>
    </row>
    <row r="44" spans="2:10">
      <c r="B44" s="270" t="s">
        <v>394</v>
      </c>
      <c r="C44" s="277" t="e">
        <f t="shared" ref="C44" ca="1" si="2">C37</f>
        <v>#NAME?</v>
      </c>
      <c r="D44" s="287" t="s">
        <v>44</v>
      </c>
      <c r="E44" s="287" t="s">
        <v>44</v>
      </c>
      <c r="F44" s="287" t="s">
        <v>44</v>
      </c>
      <c r="G44" s="287" t="s">
        <v>44</v>
      </c>
      <c r="H44" s="287" t="s">
        <v>44</v>
      </c>
      <c r="I44" s="287" t="s">
        <v>44</v>
      </c>
      <c r="J44" s="287" t="s">
        <v>44</v>
      </c>
    </row>
    <row r="45" spans="2:10">
      <c r="B45" s="270" t="s">
        <v>395</v>
      </c>
      <c r="C45" s="277" t="e">
        <f ca="1">C38</f>
        <v>#NAME?</v>
      </c>
      <c r="D45" s="287"/>
      <c r="E45" s="287"/>
      <c r="F45" s="287"/>
      <c r="G45" s="287"/>
      <c r="H45" s="287"/>
      <c r="I45" s="287"/>
      <c r="J45" s="287"/>
    </row>
    <row r="46" spans="2:10">
      <c r="B46" s="270" t="s">
        <v>396</v>
      </c>
      <c r="C46" s="277" t="e">
        <f ca="1">C39</f>
        <v>#NAME?</v>
      </c>
      <c r="D46" s="287" t="s">
        <v>44</v>
      </c>
      <c r="E46" s="287" t="s">
        <v>44</v>
      </c>
      <c r="F46" s="287" t="s">
        <v>44</v>
      </c>
      <c r="G46" s="287" t="s">
        <v>44</v>
      </c>
      <c r="H46" s="287" t="s">
        <v>44</v>
      </c>
      <c r="I46" s="287" t="s">
        <v>44</v>
      </c>
      <c r="J46" s="287" t="s">
        <v>44</v>
      </c>
    </row>
    <row r="47" spans="2:10" ht="15.75" thickBot="1">
      <c r="B47" s="270" t="s">
        <v>341</v>
      </c>
      <c r="C47" s="277" t="e">
        <f ca="1">_xll.RiskOutput()+'Unit Process Costs'!H87</f>
        <v>#NAME?</v>
      </c>
      <c r="D47" s="287" t="s">
        <v>44</v>
      </c>
      <c r="E47" s="287" t="s">
        <v>44</v>
      </c>
      <c r="F47" s="287" t="s">
        <v>44</v>
      </c>
      <c r="G47" s="287" t="s">
        <v>44</v>
      </c>
      <c r="H47" s="287" t="s">
        <v>44</v>
      </c>
      <c r="I47" s="287" t="s">
        <v>44</v>
      </c>
      <c r="J47" s="287" t="s">
        <v>44</v>
      </c>
    </row>
    <row r="48" spans="2:10" ht="15.75" thickTop="1">
      <c r="B48" s="365" t="s">
        <v>276</v>
      </c>
      <c r="C48" s="365"/>
      <c r="D48" s="365"/>
      <c r="E48" s="365"/>
      <c r="F48" s="365"/>
      <c r="G48" s="365"/>
      <c r="H48" s="365"/>
      <c r="I48" s="365"/>
      <c r="J48" s="365"/>
    </row>
    <row r="49" spans="2:10">
      <c r="B49" s="269" t="s">
        <v>343</v>
      </c>
      <c r="C49" s="277"/>
      <c r="D49" s="187"/>
      <c r="E49" s="285"/>
      <c r="F49" s="285"/>
      <c r="G49" s="281"/>
      <c r="H49" s="281"/>
      <c r="I49" s="186"/>
      <c r="J49" s="187"/>
    </row>
    <row r="50" spans="2:10">
      <c r="B50" s="273" t="s">
        <v>440</v>
      </c>
      <c r="C50" s="275">
        <f>'Data Inputs'!C99</f>
        <v>210240</v>
      </c>
      <c r="D50" s="187" t="s">
        <v>342</v>
      </c>
      <c r="E50" s="283">
        <f>C50*(1+G50)</f>
        <v>157680</v>
      </c>
      <c r="F50" s="283">
        <f>C50*(1+H50)</f>
        <v>262800</v>
      </c>
      <c r="G50" s="281">
        <f>-0.25</f>
        <v>-0.25</v>
      </c>
      <c r="H50" s="281">
        <f>0.25</f>
        <v>0.25</v>
      </c>
      <c r="I50" s="283" t="e">
        <f ca="1">_xll.RiskUniform(E50,F50,_xll.RiskName(B50),_xll.RiskStatic(C50))</f>
        <v>#NAME?</v>
      </c>
      <c r="J50" s="187" t="s">
        <v>346</v>
      </c>
    </row>
    <row r="51" spans="2:10">
      <c r="B51" s="273" t="s">
        <v>417</v>
      </c>
      <c r="C51" s="275">
        <f>'Data Inputs'!H92</f>
        <v>45050</v>
      </c>
      <c r="D51" s="187" t="s">
        <v>342</v>
      </c>
      <c r="E51" s="283">
        <f>C51*(1+G51)</f>
        <v>40545</v>
      </c>
      <c r="F51" s="283">
        <f>C51*(1+H51)</f>
        <v>49555.000000000007</v>
      </c>
      <c r="G51" s="281">
        <f>-0.1</f>
        <v>-0.1</v>
      </c>
      <c r="H51" s="281">
        <f>0.1</f>
        <v>0.1</v>
      </c>
      <c r="I51" s="283" t="e">
        <f ca="1">_xll.RiskUniform(E51,F51,_xll.RiskName(B51),_xll.RiskStatic(C51))</f>
        <v>#NAME?</v>
      </c>
      <c r="J51" s="187" t="s">
        <v>346</v>
      </c>
    </row>
    <row r="52" spans="2:10">
      <c r="B52" s="271" t="s">
        <v>391</v>
      </c>
      <c r="C52" s="299">
        <f>'Data Inputs'!C56</f>
        <v>0.06</v>
      </c>
      <c r="D52" s="187" t="s">
        <v>342</v>
      </c>
      <c r="E52" s="281">
        <f>'Data Inputs'!D56</f>
        <v>0.04</v>
      </c>
      <c r="F52" s="281">
        <f>'Data Inputs'!E56</f>
        <v>0.08</v>
      </c>
      <c r="G52" s="281">
        <f>(E52-C52)/C52</f>
        <v>-0.33333333333333331</v>
      </c>
      <c r="H52" s="281">
        <f>(F52-C52)/C52</f>
        <v>0.33333333333333343</v>
      </c>
      <c r="I52" s="281" t="e">
        <f ca="1">_xll.RiskUniform(E52,F52,_xll.RiskName(B52),_xll.RiskStatic(C52))</f>
        <v>#NAME?</v>
      </c>
      <c r="J52" s="187" t="s">
        <v>346</v>
      </c>
    </row>
    <row r="53" spans="2:10">
      <c r="B53" s="269" t="s">
        <v>267</v>
      </c>
      <c r="C53" s="277"/>
      <c r="D53" s="187"/>
      <c r="E53" s="284"/>
      <c r="F53" s="284"/>
      <c r="G53" s="281"/>
      <c r="H53" s="281"/>
      <c r="I53" s="276"/>
      <c r="J53" s="187"/>
    </row>
    <row r="54" spans="2:10">
      <c r="B54" s="270" t="s">
        <v>388</v>
      </c>
      <c r="C54" s="277" t="e">
        <f ca="1">_xll.RiskOutput("UV Electricity Costs ($)")+'Unit Process Costs'!H115</f>
        <v>#NAME?</v>
      </c>
      <c r="D54" s="287" t="s">
        <v>44</v>
      </c>
      <c r="E54" s="287" t="s">
        <v>44</v>
      </c>
      <c r="F54" s="287" t="s">
        <v>44</v>
      </c>
      <c r="G54" s="287" t="s">
        <v>44</v>
      </c>
      <c r="H54" s="287" t="s">
        <v>44</v>
      </c>
      <c r="I54" s="287" t="s">
        <v>44</v>
      </c>
      <c r="J54" s="287" t="s">
        <v>44</v>
      </c>
    </row>
    <row r="55" spans="2:10">
      <c r="B55" s="270" t="s">
        <v>411</v>
      </c>
      <c r="C55" s="277" t="e">
        <f ca="1">_xll.RiskOutput("UV Total Capital Cost ($)")+SUM('Unit Process Costs'!K120:K121)</f>
        <v>#NAME?</v>
      </c>
      <c r="D55" s="287" t="s">
        <v>44</v>
      </c>
      <c r="E55" s="287" t="s">
        <v>44</v>
      </c>
      <c r="F55" s="287" t="s">
        <v>44</v>
      </c>
      <c r="G55" s="287" t="s">
        <v>44</v>
      </c>
      <c r="H55" s="287" t="s">
        <v>44</v>
      </c>
      <c r="I55" s="287" t="s">
        <v>44</v>
      </c>
      <c r="J55" s="287" t="s">
        <v>44</v>
      </c>
    </row>
    <row r="56" spans="2:10">
      <c r="B56" s="270" t="s">
        <v>412</v>
      </c>
      <c r="C56" s="277" t="e">
        <f ca="1">_xll.RiskOutput("UV Amortized Capital Cost ($)")+'Unit Process Costs'!H123</f>
        <v>#NAME?</v>
      </c>
      <c r="D56" s="287" t="s">
        <v>44</v>
      </c>
      <c r="E56" s="287" t="s">
        <v>44</v>
      </c>
      <c r="F56" s="287" t="s">
        <v>44</v>
      </c>
      <c r="G56" s="287" t="s">
        <v>44</v>
      </c>
      <c r="H56" s="287" t="s">
        <v>44</v>
      </c>
      <c r="I56" s="287" t="s">
        <v>44</v>
      </c>
      <c r="J56" s="287" t="s">
        <v>44</v>
      </c>
    </row>
    <row r="57" spans="2:10">
      <c r="B57" s="270" t="s">
        <v>341</v>
      </c>
      <c r="C57" s="277" t="e">
        <f ca="1">_xll.RiskOutput("Total Costs ($) / Conventional UV")+'Unit Process Costs'!H134</f>
        <v>#NAME?</v>
      </c>
      <c r="D57" s="287" t="s">
        <v>44</v>
      </c>
      <c r="E57" s="287" t="s">
        <v>44</v>
      </c>
      <c r="F57" s="287" t="s">
        <v>44</v>
      </c>
      <c r="G57" s="287" t="s">
        <v>44</v>
      </c>
      <c r="H57" s="287" t="s">
        <v>44</v>
      </c>
      <c r="I57" s="287" t="s">
        <v>44</v>
      </c>
      <c r="J57" s="287" t="s">
        <v>44</v>
      </c>
    </row>
  </sheetData>
  <mergeCells count="5">
    <mergeCell ref="B4:J4"/>
    <mergeCell ref="B23:J23"/>
    <mergeCell ref="B29:J29"/>
    <mergeCell ref="B41:J41"/>
    <mergeCell ref="B48:J48"/>
  </mergeCells>
  <dataValidations count="1">
    <dataValidation type="list" showInputMessage="1" showErrorMessage="1" error="You must select one of the options." prompt="Select &quot;on&quot; to switch calculations to use the @Risk formulas. Select &quot;off&quot; to switch calculations to use the deterministic inputs." sqref="J31:J34 J50:J52 J6:J13">
      <formula1>Uncertainty_On_Off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AD39"/>
  <sheetViews>
    <sheetView topLeftCell="A16" workbookViewId="0">
      <pane xSplit="4" topLeftCell="E1" activePane="topRight" state="frozen"/>
      <selection pane="topRight" activeCell="G34" sqref="G34"/>
    </sheetView>
  </sheetViews>
  <sheetFormatPr defaultColWidth="9.140625" defaultRowHeight="15"/>
  <cols>
    <col min="1" max="1" width="4.42578125" style="90" customWidth="1"/>
    <col min="2" max="2" width="29.42578125" style="90" customWidth="1"/>
    <col min="3" max="4" width="15.140625" style="90" customWidth="1"/>
    <col min="5" max="5" width="15.140625" style="48" customWidth="1"/>
    <col min="6" max="6" width="15.140625" style="90" customWidth="1"/>
    <col min="7" max="7" width="22.7109375" style="90" customWidth="1"/>
    <col min="8" max="8" width="15.140625" style="90" customWidth="1"/>
    <col min="9" max="9" width="16.7109375" style="90" customWidth="1"/>
    <col min="10" max="10" width="16.42578125" style="90" customWidth="1"/>
    <col min="11" max="11" width="15.140625" style="90" customWidth="1"/>
    <col min="12" max="12" width="15.7109375" style="90" customWidth="1"/>
    <col min="13" max="16" width="15.7109375" style="188" customWidth="1"/>
    <col min="17" max="18" width="15.5703125" style="90" customWidth="1"/>
    <col min="19" max="19" width="14.7109375" style="90" customWidth="1"/>
    <col min="20" max="20" width="15.7109375" style="90" customWidth="1"/>
    <col min="21" max="21" width="15.140625" style="90" customWidth="1"/>
    <col min="22" max="22" width="16" style="90" customWidth="1"/>
    <col min="23" max="23" width="17.140625" style="90" customWidth="1"/>
    <col min="24" max="24" width="15.42578125" style="90" customWidth="1"/>
    <col min="25" max="25" width="9.140625" style="90"/>
    <col min="26" max="26" width="12" style="90" bestFit="1" customWidth="1"/>
    <col min="27" max="27" width="9.140625" style="90"/>
    <col min="28" max="28" width="24.140625" style="90" customWidth="1"/>
    <col min="29" max="29" width="13.42578125" style="90" bestFit="1" customWidth="1"/>
    <col min="30" max="30" width="26.28515625" style="90" customWidth="1"/>
    <col min="31" max="16384" width="9.140625" style="90"/>
  </cols>
  <sheetData>
    <row r="1" spans="2:30" ht="15.75" thickBot="1">
      <c r="B1" s="182"/>
      <c r="I1" s="333" t="s">
        <v>242</v>
      </c>
      <c r="X1" s="190"/>
    </row>
    <row r="2" spans="2:30" ht="15.75" thickTop="1">
      <c r="C2" s="189"/>
      <c r="D2" s="48"/>
      <c r="F2" s="48"/>
      <c r="G2" s="48"/>
      <c r="H2" s="48"/>
      <c r="I2" s="366" t="s">
        <v>225</v>
      </c>
      <c r="J2" s="367"/>
      <c r="K2" s="367"/>
      <c r="L2" s="368"/>
      <c r="M2" s="369" t="s">
        <v>460</v>
      </c>
      <c r="N2" s="370"/>
      <c r="O2" s="370"/>
      <c r="P2" s="370"/>
      <c r="Q2" s="366" t="s">
        <v>226</v>
      </c>
      <c r="R2" s="367"/>
      <c r="S2" s="367"/>
      <c r="T2" s="368"/>
      <c r="U2" s="366" t="s">
        <v>227</v>
      </c>
      <c r="V2" s="367"/>
      <c r="W2" s="367"/>
      <c r="X2" s="368"/>
      <c r="Z2" s="357" t="s">
        <v>50</v>
      </c>
      <c r="AA2" s="358"/>
      <c r="AB2" s="357" t="s">
        <v>88</v>
      </c>
      <c r="AC2" s="358"/>
      <c r="AD2" s="181" t="s">
        <v>115</v>
      </c>
    </row>
    <row r="3" spans="2:30" ht="30">
      <c r="C3" s="371" t="s">
        <v>228</v>
      </c>
      <c r="D3" s="362"/>
      <c r="E3" s="371" t="s">
        <v>258</v>
      </c>
      <c r="F3" s="386"/>
      <c r="G3" s="311" t="s">
        <v>450</v>
      </c>
      <c r="H3" s="306"/>
      <c r="I3" s="366" t="s">
        <v>229</v>
      </c>
      <c r="J3" s="367"/>
      <c r="K3" s="367" t="s">
        <v>230</v>
      </c>
      <c r="L3" s="368"/>
      <c r="M3" s="369" t="s">
        <v>229</v>
      </c>
      <c r="N3" s="370"/>
      <c r="O3" s="370" t="s">
        <v>230</v>
      </c>
      <c r="P3" s="370"/>
      <c r="Q3" s="366" t="s">
        <v>229</v>
      </c>
      <c r="R3" s="367"/>
      <c r="S3" s="367" t="s">
        <v>230</v>
      </c>
      <c r="T3" s="368"/>
      <c r="U3" s="366" t="s">
        <v>229</v>
      </c>
      <c r="V3" s="367"/>
      <c r="W3" s="367" t="s">
        <v>230</v>
      </c>
      <c r="X3" s="368"/>
      <c r="Z3" s="49" t="s">
        <v>52</v>
      </c>
      <c r="AA3" s="48">
        <v>7.4805000000000001</v>
      </c>
      <c r="AB3" s="55" t="s">
        <v>89</v>
      </c>
      <c r="AC3" s="52">
        <f>'Cost Calculations'!B5</f>
        <v>38747000000</v>
      </c>
      <c r="AD3" s="53" t="s">
        <v>93</v>
      </c>
    </row>
    <row r="4" spans="2:30" ht="30.75" thickBot="1">
      <c r="C4" s="192" t="s">
        <v>229</v>
      </c>
      <c r="D4" s="310" t="s">
        <v>230</v>
      </c>
      <c r="E4" s="192" t="s">
        <v>448</v>
      </c>
      <c r="F4" s="193" t="s">
        <v>256</v>
      </c>
      <c r="G4" s="308"/>
      <c r="H4" s="310"/>
      <c r="I4" s="318" t="s">
        <v>458</v>
      </c>
      <c r="J4" s="319" t="s">
        <v>459</v>
      </c>
      <c r="K4" s="319" t="s">
        <v>458</v>
      </c>
      <c r="L4" s="320" t="s">
        <v>459</v>
      </c>
      <c r="M4" s="197" t="s">
        <v>231</v>
      </c>
      <c r="N4" s="198" t="s">
        <v>232</v>
      </c>
      <c r="O4" s="198" t="s">
        <v>231</v>
      </c>
      <c r="P4" s="198" t="s">
        <v>232</v>
      </c>
      <c r="Q4" s="194" t="s">
        <v>231</v>
      </c>
      <c r="R4" s="195" t="s">
        <v>232</v>
      </c>
      <c r="S4" s="195" t="s">
        <v>231</v>
      </c>
      <c r="T4" s="196" t="s">
        <v>232</v>
      </c>
      <c r="U4" s="194" t="s">
        <v>233</v>
      </c>
      <c r="V4" s="195" t="s">
        <v>234</v>
      </c>
      <c r="W4" s="195" t="s">
        <v>233</v>
      </c>
      <c r="X4" s="196" t="s">
        <v>234</v>
      </c>
      <c r="Z4" s="50" t="s">
        <v>85</v>
      </c>
      <c r="AA4" s="51">
        <v>264.17</v>
      </c>
      <c r="AB4" s="300" t="s">
        <v>90</v>
      </c>
      <c r="AC4" s="301">
        <f>SUM('Cost Calculations'!B7:B9)</f>
        <v>32641179385.530231</v>
      </c>
      <c r="AD4" s="54" t="s">
        <v>92</v>
      </c>
    </row>
    <row r="5" spans="2:30" ht="15.75" thickTop="1">
      <c r="B5" s="1" t="s">
        <v>23</v>
      </c>
      <c r="C5" s="200">
        <f>'Unit Process Costs'!H5</f>
        <v>0</v>
      </c>
      <c r="D5" s="223">
        <f>'Unit Process Costs'!H5</f>
        <v>0</v>
      </c>
      <c r="E5" s="200">
        <v>0</v>
      </c>
      <c r="F5" s="201">
        <v>0</v>
      </c>
      <c r="G5" s="312">
        <f>'Unit Process Costs'!H91</f>
        <v>0</v>
      </c>
      <c r="H5" s="223"/>
      <c r="I5" s="202">
        <f>C5</f>
        <v>0</v>
      </c>
      <c r="J5" s="203">
        <f>C5</f>
        <v>0</v>
      </c>
      <c r="K5" s="203">
        <f>D5</f>
        <v>0</v>
      </c>
      <c r="L5" s="204">
        <f>D5</f>
        <v>0</v>
      </c>
      <c r="M5" s="205">
        <f>C5</f>
        <v>0</v>
      </c>
      <c r="N5" s="205">
        <f>C5</f>
        <v>0</v>
      </c>
      <c r="O5" s="205">
        <f t="shared" ref="O5:O7" si="0">D5</f>
        <v>0</v>
      </c>
      <c r="P5" s="205">
        <f>D5</f>
        <v>0</v>
      </c>
      <c r="Q5" s="202">
        <f>C5</f>
        <v>0</v>
      </c>
      <c r="R5" s="203">
        <f>C5</f>
        <v>0</v>
      </c>
      <c r="S5" s="203">
        <f>D5</f>
        <v>0</v>
      </c>
      <c r="T5" s="204">
        <f>D5</f>
        <v>0</v>
      </c>
      <c r="U5" s="202">
        <f>C5</f>
        <v>0</v>
      </c>
      <c r="V5" s="203">
        <f>C5</f>
        <v>0</v>
      </c>
      <c r="W5" s="203">
        <f>D5</f>
        <v>0</v>
      </c>
      <c r="X5" s="204">
        <f>D5</f>
        <v>0</v>
      </c>
    </row>
    <row r="6" spans="2:30" ht="30">
      <c r="B6" s="1" t="s">
        <v>218</v>
      </c>
      <c r="C6" s="200">
        <f>'Unit Process Costs'!H37</f>
        <v>1283309.3808000002</v>
      </c>
      <c r="D6" s="223">
        <f>'Unit Process Costs'!H37</f>
        <v>1283309.3808000002</v>
      </c>
      <c r="E6" s="200">
        <f>'Unit Process Costs'!$H85</f>
        <v>1283309.3808000002</v>
      </c>
      <c r="F6" s="201">
        <f>'Unit Process Costs'!$H85</f>
        <v>1283309.3808000002</v>
      </c>
      <c r="G6" s="312">
        <f>'Unit Process Costs'!H132</f>
        <v>1283309.3808000002</v>
      </c>
      <c r="H6" s="223"/>
      <c r="I6" s="202">
        <f t="shared" ref="I6:I7" si="1">C6</f>
        <v>1283309.3808000002</v>
      </c>
      <c r="J6" s="203">
        <f>C6</f>
        <v>1283309.3808000002</v>
      </c>
      <c r="K6" s="203">
        <f t="shared" ref="K6:K7" si="2">D6</f>
        <v>1283309.3808000002</v>
      </c>
      <c r="L6" s="204">
        <f t="shared" ref="L6:L7" si="3">D6</f>
        <v>1283309.3808000002</v>
      </c>
      <c r="M6" s="205">
        <f>C6</f>
        <v>1283309.3808000002</v>
      </c>
      <c r="N6" s="206">
        <f>C6</f>
        <v>1283309.3808000002</v>
      </c>
      <c r="O6" s="205">
        <f t="shared" si="0"/>
        <v>1283309.3808000002</v>
      </c>
      <c r="P6" s="205">
        <f>D6</f>
        <v>1283309.3808000002</v>
      </c>
      <c r="Q6" s="202">
        <f>'Unit Process Costs'!H37*(1-0.1)</f>
        <v>1154978.4427200002</v>
      </c>
      <c r="R6" s="203">
        <f>'Unit Process Costs'!H37*(1+0.1)</f>
        <v>1411640.3188800004</v>
      </c>
      <c r="S6" s="203">
        <f>Q6</f>
        <v>1154978.4427200002</v>
      </c>
      <c r="T6" s="204">
        <f>R6</f>
        <v>1411640.3188800004</v>
      </c>
      <c r="U6" s="202">
        <f>'Unit Process Costs'!H37*(1-0.2)</f>
        <v>1026647.5046400002</v>
      </c>
      <c r="V6" s="203">
        <f>'Unit Process Costs'!H37*(1+0.2)</f>
        <v>1539971.2569600001</v>
      </c>
      <c r="W6" s="203">
        <f>U6</f>
        <v>1026647.5046400002</v>
      </c>
      <c r="X6" s="204">
        <f>V6</f>
        <v>1539971.2569600001</v>
      </c>
    </row>
    <row r="7" spans="2:30">
      <c r="B7" s="1" t="s">
        <v>219</v>
      </c>
      <c r="C7" s="200">
        <f>SUM('Unit Process Costs'!H7:H24)</f>
        <v>3495058.8</v>
      </c>
      <c r="D7" s="223">
        <f>SUM('Unit Process Costs'!H7:H15,'Unit Process Costs'!H22:H24)</f>
        <v>1980103</v>
      </c>
      <c r="E7" s="200">
        <f>SUM('Unit Process Costs'!H45:H65)</f>
        <v>1937449.9094441705</v>
      </c>
      <c r="F7" s="201">
        <f>SUM('Unit Process Costs'!H45:H55,'Unit Process Costs'!H62:H65)</f>
        <v>422494.10944417067</v>
      </c>
      <c r="G7" s="312">
        <f>SUM('Unit Process Costs'!H93:H110)</f>
        <v>3495058.8</v>
      </c>
      <c r="H7" s="223"/>
      <c r="I7" s="202">
        <f t="shared" si="1"/>
        <v>3495058.8</v>
      </c>
      <c r="J7" s="203">
        <f>C7</f>
        <v>3495058.8</v>
      </c>
      <c r="K7" s="203">
        <f t="shared" si="2"/>
        <v>1980103</v>
      </c>
      <c r="L7" s="204">
        <f t="shared" si="3"/>
        <v>1980103</v>
      </c>
      <c r="M7" s="205">
        <f>C7</f>
        <v>3495058.8</v>
      </c>
      <c r="N7" s="205">
        <f>C7</f>
        <v>3495058.8</v>
      </c>
      <c r="O7" s="205">
        <f t="shared" si="0"/>
        <v>1980103</v>
      </c>
      <c r="P7" s="205">
        <f>D7</f>
        <v>1980103</v>
      </c>
      <c r="Q7" s="202">
        <f t="shared" ref="Q7:Q11" si="4">C7</f>
        <v>3495058.8</v>
      </c>
      <c r="R7" s="203">
        <f>C7</f>
        <v>3495058.8</v>
      </c>
      <c r="S7" s="203">
        <f t="shared" ref="S7:S11" si="5">D7</f>
        <v>1980103</v>
      </c>
      <c r="T7" s="204">
        <f t="shared" ref="T7:T11" si="6">D7</f>
        <v>1980103</v>
      </c>
      <c r="U7" s="202">
        <f t="shared" ref="U7:U11" si="7">C7</f>
        <v>3495058.8</v>
      </c>
      <c r="V7" s="203">
        <f>C7</f>
        <v>3495058.8</v>
      </c>
      <c r="W7" s="203">
        <f t="shared" ref="W7:W11" si="8">D7</f>
        <v>1980103</v>
      </c>
      <c r="X7" s="204">
        <f t="shared" ref="X7:X11" si="9">D7</f>
        <v>1980103</v>
      </c>
    </row>
    <row r="8" spans="2:30">
      <c r="B8" s="1" t="s">
        <v>220</v>
      </c>
      <c r="C8" s="200">
        <f>SUM('Unit Process Costs'!H26:H28)</f>
        <v>128126</v>
      </c>
      <c r="D8" s="223">
        <f>SUM('Unit Process Costs'!H26:H28)</f>
        <v>128126</v>
      </c>
      <c r="E8" s="200">
        <f>SUM('Unit Process Costs'!$H66:$H76)</f>
        <v>1450012.3715600127</v>
      </c>
      <c r="F8" s="201">
        <f>SUM('Unit Process Costs'!$H66:$H76)</f>
        <v>1450012.3715600127</v>
      </c>
      <c r="G8" s="312">
        <f>SUM('Unit Process Costs'!H111:H123)</f>
        <v>801897.08514423994</v>
      </c>
      <c r="H8" s="223"/>
      <c r="I8" s="207">
        <f>(('Data Inputs'!D40/'Data Inputs'!$C40)*'Data Inputs'!$H40)+SUM('Unit Process Costs'!$H27:$H28)</f>
        <v>95964.363636363632</v>
      </c>
      <c r="J8" s="205">
        <f>(('Data Inputs'!E40/'Data Inputs'!$C40)*'Data Inputs'!$H40)+SUM('Unit Process Costs'!$H27:$H28)</f>
        <v>182800.78181818183</v>
      </c>
      <c r="K8" s="205">
        <f>I8</f>
        <v>95964.363636363632</v>
      </c>
      <c r="L8" s="208">
        <f>J8</f>
        <v>182800.78181818183</v>
      </c>
      <c r="M8" s="205">
        <f>('Unit Process Costs'!H26*(1-0.1))+SUM('Unit Process Costs'!H27:H28)</f>
        <v>116333.40000000001</v>
      </c>
      <c r="N8" s="205">
        <f>('Unit Process Costs'!H26*(1+0.1))+SUM('Unit Process Costs'!H27:H28)</f>
        <v>139918.6</v>
      </c>
      <c r="O8" s="205">
        <f>M8</f>
        <v>116333.40000000001</v>
      </c>
      <c r="P8" s="205">
        <f>N8</f>
        <v>139918.6</v>
      </c>
      <c r="Q8" s="202">
        <f t="shared" si="4"/>
        <v>128126</v>
      </c>
      <c r="R8" s="203">
        <f>C8</f>
        <v>128126</v>
      </c>
      <c r="S8" s="203">
        <f t="shared" si="5"/>
        <v>128126</v>
      </c>
      <c r="T8" s="204">
        <f t="shared" si="6"/>
        <v>128126</v>
      </c>
      <c r="U8" s="202">
        <f t="shared" si="7"/>
        <v>128126</v>
      </c>
      <c r="V8" s="203">
        <f>C8</f>
        <v>128126</v>
      </c>
      <c r="W8" s="203">
        <f t="shared" si="8"/>
        <v>128126</v>
      </c>
      <c r="X8" s="204">
        <f t="shared" si="9"/>
        <v>128126</v>
      </c>
    </row>
    <row r="9" spans="2:30">
      <c r="B9" s="1" t="s">
        <v>221</v>
      </c>
      <c r="C9" s="200">
        <v>0</v>
      </c>
      <c r="D9" s="223">
        <v>0</v>
      </c>
      <c r="E9" s="200">
        <v>0</v>
      </c>
      <c r="F9" s="201">
        <v>0</v>
      </c>
      <c r="G9" s="312">
        <v>0</v>
      </c>
      <c r="H9" s="223"/>
      <c r="I9" s="202">
        <f>C9</f>
        <v>0</v>
      </c>
      <c r="J9" s="203">
        <f>C9</f>
        <v>0</v>
      </c>
      <c r="K9" s="203">
        <f>D9</f>
        <v>0</v>
      </c>
      <c r="L9" s="204">
        <f>D9</f>
        <v>0</v>
      </c>
      <c r="M9" s="205">
        <f>C9</f>
        <v>0</v>
      </c>
      <c r="N9" s="205">
        <f t="shared" ref="N9:O11" si="10">C9</f>
        <v>0</v>
      </c>
      <c r="O9" s="205">
        <f t="shared" si="10"/>
        <v>0</v>
      </c>
      <c r="P9" s="205">
        <f>D9</f>
        <v>0</v>
      </c>
      <c r="Q9" s="202">
        <f t="shared" si="4"/>
        <v>0</v>
      </c>
      <c r="R9" s="203">
        <f>C9</f>
        <v>0</v>
      </c>
      <c r="S9" s="203">
        <f t="shared" si="5"/>
        <v>0</v>
      </c>
      <c r="T9" s="204">
        <f t="shared" si="6"/>
        <v>0</v>
      </c>
      <c r="U9" s="202">
        <f t="shared" si="7"/>
        <v>0</v>
      </c>
      <c r="V9" s="203">
        <f>C9</f>
        <v>0</v>
      </c>
      <c r="W9" s="203">
        <f t="shared" si="8"/>
        <v>0</v>
      </c>
      <c r="X9" s="204">
        <f t="shared" si="9"/>
        <v>0</v>
      </c>
    </row>
    <row r="10" spans="2:30">
      <c r="B10" s="1" t="s">
        <v>38</v>
      </c>
      <c r="C10" s="200">
        <f>SUM('Unit Process Costs'!H30:H33)</f>
        <v>2873008.1992000001</v>
      </c>
      <c r="D10" s="223">
        <f>SUM('Unit Process Costs'!H30:H33)</f>
        <v>2873008.1992000001</v>
      </c>
      <c r="E10" s="200">
        <f>SUM('Unit Process Costs'!$H77:$H81)</f>
        <v>2873008.1992000001</v>
      </c>
      <c r="F10" s="201">
        <f>SUM('Unit Process Costs'!$H77:$H81)</f>
        <v>2873008.1992000001</v>
      </c>
      <c r="G10" s="312">
        <f>SUM('Unit Process Costs'!H124:H128)</f>
        <v>2873008.1992000001</v>
      </c>
      <c r="H10" s="223"/>
      <c r="I10" s="202">
        <f t="shared" ref="I10:I11" si="11">C10</f>
        <v>2873008.1992000001</v>
      </c>
      <c r="J10" s="203">
        <f>C10</f>
        <v>2873008.1992000001</v>
      </c>
      <c r="K10" s="203">
        <f t="shared" ref="K10:K11" si="12">D10</f>
        <v>2873008.1992000001</v>
      </c>
      <c r="L10" s="204">
        <f t="shared" ref="L10:L11" si="13">D10</f>
        <v>2873008.1992000001</v>
      </c>
      <c r="M10" s="205">
        <f>C10</f>
        <v>2873008.1992000001</v>
      </c>
      <c r="N10" s="205">
        <f t="shared" si="10"/>
        <v>2873008.1992000001</v>
      </c>
      <c r="O10" s="205">
        <f t="shared" si="10"/>
        <v>2873008.1992000001</v>
      </c>
      <c r="P10" s="205">
        <f>D10</f>
        <v>2873008.1992000001</v>
      </c>
      <c r="Q10" s="202">
        <f t="shared" si="4"/>
        <v>2873008.1992000001</v>
      </c>
      <c r="R10" s="203">
        <f>C10</f>
        <v>2873008.1992000001</v>
      </c>
      <c r="S10" s="203">
        <f t="shared" si="5"/>
        <v>2873008.1992000001</v>
      </c>
      <c r="T10" s="204">
        <f t="shared" si="6"/>
        <v>2873008.1992000001</v>
      </c>
      <c r="U10" s="207">
        <f>('Unit Process Costs'!$H$32*(1-0.2))+SUM('Unit Process Costs'!$H$30,'Unit Process Costs'!$H$33)</f>
        <v>2373544.9593600002</v>
      </c>
      <c r="V10" s="205">
        <f>('Unit Process Costs'!$H$32*(1+0.2))+SUM('Unit Process Costs'!$H$30,'Unit Process Costs'!$H$33)</f>
        <v>3372471.4390400001</v>
      </c>
      <c r="W10" s="205">
        <f>U10</f>
        <v>2373544.9593600002</v>
      </c>
      <c r="X10" s="208">
        <f>V10</f>
        <v>3372471.4390400001</v>
      </c>
    </row>
    <row r="11" spans="2:30">
      <c r="B11" s="1" t="s">
        <v>222</v>
      </c>
      <c r="C11" s="200">
        <f>SUM('Unit Process Costs'!H35:H36)</f>
        <v>2212389.855</v>
      </c>
      <c r="D11" s="223">
        <f>SUM('Unit Process Costs'!H35:H36)</f>
        <v>2212389.855</v>
      </c>
      <c r="E11" s="200">
        <f>SUM('Unit Process Costs'!$H83:$H84)</f>
        <v>2212389.855</v>
      </c>
      <c r="F11" s="201">
        <f>SUM('Unit Process Costs'!$H83:$H84)</f>
        <v>2212389.855</v>
      </c>
      <c r="G11" s="312">
        <f>SUM('Unit Process Costs'!H130:H131)</f>
        <v>2212389.855</v>
      </c>
      <c r="H11" s="223"/>
      <c r="I11" s="202">
        <f t="shared" si="11"/>
        <v>2212389.855</v>
      </c>
      <c r="J11" s="203">
        <f>C11</f>
        <v>2212389.855</v>
      </c>
      <c r="K11" s="203">
        <f t="shared" si="12"/>
        <v>2212389.855</v>
      </c>
      <c r="L11" s="204">
        <f t="shared" si="13"/>
        <v>2212389.855</v>
      </c>
      <c r="M11" s="205">
        <f>C11</f>
        <v>2212389.855</v>
      </c>
      <c r="N11" s="205">
        <f t="shared" si="10"/>
        <v>2212389.855</v>
      </c>
      <c r="O11" s="205">
        <f t="shared" si="10"/>
        <v>2212389.855</v>
      </c>
      <c r="P11" s="205">
        <f>D11</f>
        <v>2212389.855</v>
      </c>
      <c r="Q11" s="202">
        <f t="shared" si="4"/>
        <v>2212389.855</v>
      </c>
      <c r="R11" s="203">
        <f>C11</f>
        <v>2212389.855</v>
      </c>
      <c r="S11" s="203">
        <f t="shared" si="5"/>
        <v>2212389.855</v>
      </c>
      <c r="T11" s="204">
        <f t="shared" si="6"/>
        <v>2212389.855</v>
      </c>
      <c r="U11" s="202">
        <f t="shared" si="7"/>
        <v>2212389.855</v>
      </c>
      <c r="V11" s="203">
        <f>C11</f>
        <v>2212389.855</v>
      </c>
      <c r="W11" s="203">
        <f t="shared" si="8"/>
        <v>2212389.855</v>
      </c>
      <c r="X11" s="204">
        <f t="shared" si="9"/>
        <v>2212389.855</v>
      </c>
    </row>
    <row r="12" spans="2:30">
      <c r="B12" s="209" t="s">
        <v>235</v>
      </c>
      <c r="C12" s="210">
        <f>SUM(C5:C11)</f>
        <v>9991892.2350000013</v>
      </c>
      <c r="D12" s="212">
        <f>SUM(D5:D11)</f>
        <v>8476936.4350000005</v>
      </c>
      <c r="E12" s="210">
        <f>SUM(E5:E11)</f>
        <v>9756169.7160041835</v>
      </c>
      <c r="F12" s="211">
        <f>SUM(F5:F11)</f>
        <v>8241213.9160041846</v>
      </c>
      <c r="G12" s="313">
        <f>SUM(G5:G11)</f>
        <v>10665663.320144242</v>
      </c>
      <c r="H12" s="212"/>
      <c r="I12" s="210">
        <f t="shared" ref="I12:L12" si="14">SUM(I5:I11)</f>
        <v>9959730.5986363646</v>
      </c>
      <c r="J12" s="212">
        <f t="shared" si="14"/>
        <v>10046567.016818183</v>
      </c>
      <c r="K12" s="212">
        <f t="shared" si="14"/>
        <v>8444774.7986363638</v>
      </c>
      <c r="L12" s="211">
        <f t="shared" si="14"/>
        <v>8531611.2168181818</v>
      </c>
      <c r="M12" s="213">
        <f>SUM(M5:M11)</f>
        <v>9980099.6350000016</v>
      </c>
      <c r="N12" s="213">
        <f>SUM(N5:N11)</f>
        <v>10003684.835000001</v>
      </c>
      <c r="O12" s="213">
        <f t="shared" ref="O12:T12" si="15">SUM(O5:O11)</f>
        <v>8465143.8350000009</v>
      </c>
      <c r="P12" s="213">
        <f t="shared" si="15"/>
        <v>8488729.0350000001</v>
      </c>
      <c r="Q12" s="210">
        <f t="shared" si="15"/>
        <v>9863561.2969200015</v>
      </c>
      <c r="R12" s="212">
        <f t="shared" si="15"/>
        <v>10120223.173080001</v>
      </c>
      <c r="S12" s="212">
        <f t="shared" si="15"/>
        <v>8348605.4969200008</v>
      </c>
      <c r="T12" s="211">
        <f t="shared" si="15"/>
        <v>8605267.3730800003</v>
      </c>
      <c r="U12" s="210">
        <f>SUM(U5:U11)</f>
        <v>9235767.1190000009</v>
      </c>
      <c r="V12" s="212">
        <f t="shared" ref="V12:X12" si="16">SUM(V5:V11)</f>
        <v>10748017.351</v>
      </c>
      <c r="W12" s="212">
        <f t="shared" si="16"/>
        <v>7720811.3190000001</v>
      </c>
      <c r="X12" s="211">
        <f t="shared" si="16"/>
        <v>9233061.5510000009</v>
      </c>
    </row>
    <row r="13" spans="2:30">
      <c r="C13" s="3"/>
    </row>
    <row r="14" spans="2:30">
      <c r="C14" s="389" t="s">
        <v>236</v>
      </c>
      <c r="D14" s="389"/>
      <c r="E14" s="389"/>
      <c r="F14" s="389"/>
      <c r="G14" s="389"/>
      <c r="H14" s="389"/>
      <c r="I14" s="389"/>
      <c r="J14" s="389"/>
      <c r="K14" s="389"/>
      <c r="L14" s="389"/>
      <c r="M14" s="389"/>
      <c r="N14" s="389"/>
      <c r="O14" s="389"/>
      <c r="P14" s="389"/>
      <c r="Q14" s="389"/>
      <c r="R14" s="389"/>
      <c r="S14" s="389"/>
      <c r="T14" s="389"/>
      <c r="U14" s="389"/>
      <c r="V14" s="389"/>
      <c r="W14" s="389"/>
      <c r="X14" s="389"/>
    </row>
    <row r="15" spans="2:30" ht="17.25">
      <c r="C15" s="374"/>
      <c r="D15" s="375"/>
      <c r="E15" s="375"/>
      <c r="F15" s="376"/>
      <c r="G15" s="314"/>
      <c r="H15" s="48"/>
      <c r="I15" s="366" t="s">
        <v>237</v>
      </c>
      <c r="J15" s="367"/>
      <c r="K15" s="367"/>
      <c r="L15" s="368"/>
      <c r="M15" s="369" t="s">
        <v>461</v>
      </c>
      <c r="N15" s="370"/>
      <c r="O15" s="370"/>
      <c r="P15" s="372"/>
      <c r="Q15" s="373" t="s">
        <v>238</v>
      </c>
      <c r="R15" s="373"/>
      <c r="S15" s="373"/>
      <c r="T15" s="373"/>
      <c r="U15" s="366" t="s">
        <v>239</v>
      </c>
      <c r="V15" s="367"/>
      <c r="W15" s="367"/>
      <c r="X15" s="368"/>
    </row>
    <row r="16" spans="2:30">
      <c r="C16" s="371" t="s">
        <v>240</v>
      </c>
      <c r="D16" s="386"/>
      <c r="E16" s="371" t="s">
        <v>257</v>
      </c>
      <c r="F16" s="362"/>
      <c r="G16" s="387" t="s">
        <v>451</v>
      </c>
      <c r="H16" s="306"/>
      <c r="I16" s="366" t="s">
        <v>229</v>
      </c>
      <c r="J16" s="367"/>
      <c r="K16" s="367" t="s">
        <v>230</v>
      </c>
      <c r="L16" s="368"/>
      <c r="M16" s="369" t="s">
        <v>229</v>
      </c>
      <c r="N16" s="370"/>
      <c r="O16" s="370" t="s">
        <v>230</v>
      </c>
      <c r="P16" s="372"/>
      <c r="Q16" s="373" t="s">
        <v>229</v>
      </c>
      <c r="R16" s="373"/>
      <c r="S16" s="373" t="s">
        <v>230</v>
      </c>
      <c r="T16" s="373"/>
      <c r="U16" s="366" t="s">
        <v>229</v>
      </c>
      <c r="V16" s="367"/>
      <c r="W16" s="367" t="s">
        <v>230</v>
      </c>
      <c r="X16" s="368"/>
    </row>
    <row r="17" spans="2:24" ht="17.25">
      <c r="C17" s="192" t="s">
        <v>229</v>
      </c>
      <c r="D17" s="310" t="s">
        <v>230</v>
      </c>
      <c r="E17" s="310" t="s">
        <v>448</v>
      </c>
      <c r="F17" s="310" t="s">
        <v>256</v>
      </c>
      <c r="G17" s="388"/>
      <c r="H17" s="310"/>
      <c r="I17" s="318" t="s">
        <v>458</v>
      </c>
      <c r="J17" s="319" t="s">
        <v>459</v>
      </c>
      <c r="K17" s="319" t="s">
        <v>458</v>
      </c>
      <c r="L17" s="320" t="s">
        <v>459</v>
      </c>
      <c r="M17" s="197" t="s">
        <v>231</v>
      </c>
      <c r="N17" s="198" t="s">
        <v>232</v>
      </c>
      <c r="O17" s="198" t="s">
        <v>231</v>
      </c>
      <c r="P17" s="199" t="s">
        <v>232</v>
      </c>
      <c r="Q17" s="195" t="s">
        <v>231</v>
      </c>
      <c r="R17" s="195" t="s">
        <v>232</v>
      </c>
      <c r="S17" s="195" t="s">
        <v>231</v>
      </c>
      <c r="T17" s="195" t="s">
        <v>232</v>
      </c>
      <c r="U17" s="194" t="s">
        <v>233</v>
      </c>
      <c r="V17" s="195" t="s">
        <v>234</v>
      </c>
      <c r="W17" s="195" t="s">
        <v>233</v>
      </c>
      <c r="X17" s="196" t="s">
        <v>234</v>
      </c>
    </row>
    <row r="18" spans="2:24">
      <c r="B18" s="1" t="s">
        <v>23</v>
      </c>
      <c r="C18" s="214">
        <f>IF($AD$3="Y",C5/$AC$3*$AA$4,C5/$AC$4*$AA$4)</f>
        <v>0</v>
      </c>
      <c r="D18" s="224">
        <f>IF($AD$3="Y",D5/$AC$3*$AA$4,D5/$AC$4*$AA$4)</f>
        <v>0</v>
      </c>
      <c r="E18" s="224">
        <f>IF($AD$3="Y",E5/$AC$3*$AA$4,E5/$AC$4*$AA$4)</f>
        <v>0</v>
      </c>
      <c r="F18" s="224">
        <f>IF($AD$3="Y",F5/$AC$3*$AA$4,F5/$AC$4*$AA$4)</f>
        <v>0</v>
      </c>
      <c r="G18" s="315">
        <f>IF($AD$3="Y",G5/$AC$3*$AA$4,G5/$AC$4*$AA$4)</f>
        <v>0</v>
      </c>
      <c r="H18" s="224"/>
      <c r="I18" s="321">
        <f>IF($AD$3="Y",I5/$AC$3*$AA$4,I5/$AC$4*$AA$4)</f>
        <v>0</v>
      </c>
      <c r="J18" s="322">
        <f t="shared" ref="J18:X18" si="17">IF($AD$3="Y",J5/$AC$3*$AA$4,J5/$AC$4*$AA$4)</f>
        <v>0</v>
      </c>
      <c r="K18" s="322">
        <f t="shared" si="17"/>
        <v>0</v>
      </c>
      <c r="L18" s="322">
        <f t="shared" si="17"/>
        <v>0</v>
      </c>
      <c r="M18" s="321">
        <f t="shared" si="17"/>
        <v>0</v>
      </c>
      <c r="N18" s="322">
        <f t="shared" si="17"/>
        <v>0</v>
      </c>
      <c r="O18" s="322">
        <f t="shared" si="17"/>
        <v>0</v>
      </c>
      <c r="P18" s="331">
        <f t="shared" si="17"/>
        <v>0</v>
      </c>
      <c r="Q18" s="322">
        <f t="shared" si="17"/>
        <v>0</v>
      </c>
      <c r="R18" s="322">
        <f t="shared" si="17"/>
        <v>0</v>
      </c>
      <c r="S18" s="322">
        <f t="shared" si="17"/>
        <v>0</v>
      </c>
      <c r="T18" s="322">
        <f t="shared" si="17"/>
        <v>0</v>
      </c>
      <c r="U18" s="321">
        <f t="shared" si="17"/>
        <v>0</v>
      </c>
      <c r="V18" s="322">
        <f t="shared" si="17"/>
        <v>0</v>
      </c>
      <c r="W18" s="322">
        <f t="shared" si="17"/>
        <v>0</v>
      </c>
      <c r="X18" s="331">
        <f t="shared" si="17"/>
        <v>0</v>
      </c>
    </row>
    <row r="19" spans="2:24" ht="30">
      <c r="B19" s="1" t="s">
        <v>218</v>
      </c>
      <c r="C19" s="214">
        <f t="shared" ref="C19:C25" si="18">IF($AD$3="Y",C6/$AC$3*$AA$4,C6/$AC$4*$AA$4)</f>
        <v>1.0386016850733627E-2</v>
      </c>
      <c r="D19" s="224">
        <f>IF($AD$3="Y",D6/$AC$3*$AA$4,D6/$AC$4*$AA$4)</f>
        <v>1.0386016850733627E-2</v>
      </c>
      <c r="E19" s="224">
        <f t="shared" ref="E19:E25" si="19">IF($AD$3="Y",E6/$AC$3*$AA$4,E6/$AC$4*$AA$4)</f>
        <v>1.0386016850733627E-2</v>
      </c>
      <c r="F19" s="224">
        <f>IF($AD$3="Y",F6/$AC$3*$AA$4,F6/$AC$4*$AA$4)</f>
        <v>1.0386016850733627E-2</v>
      </c>
      <c r="G19" s="315">
        <f t="shared" ref="G19:G24" si="20">IF($AD$3="Y",G6/$AC$3*$AA$4,G6/$AC$4*$AA$4)</f>
        <v>1.0386016850733627E-2</v>
      </c>
      <c r="H19" s="224"/>
      <c r="I19" s="323">
        <f t="shared" ref="I19:X25" si="21">IF($AD$3="Y",I6/$AC$3*$AA$4,I6/$AC$4*$AA$4)</f>
        <v>1.0386016850733627E-2</v>
      </c>
      <c r="J19" s="324">
        <f t="shared" si="21"/>
        <v>1.0386016850733627E-2</v>
      </c>
      <c r="K19" s="324">
        <f t="shared" si="21"/>
        <v>1.0386016850733627E-2</v>
      </c>
      <c r="L19" s="324">
        <f t="shared" si="21"/>
        <v>1.0386016850733627E-2</v>
      </c>
      <c r="M19" s="323">
        <f t="shared" si="21"/>
        <v>1.0386016850733627E-2</v>
      </c>
      <c r="N19" s="324">
        <f t="shared" si="21"/>
        <v>1.0386016850733627E-2</v>
      </c>
      <c r="O19" s="324">
        <f t="shared" si="21"/>
        <v>1.0386016850733627E-2</v>
      </c>
      <c r="P19" s="332">
        <f t="shared" si="21"/>
        <v>1.0386016850733627E-2</v>
      </c>
      <c r="Q19" s="324">
        <f t="shared" si="21"/>
        <v>9.3474151656602628E-3</v>
      </c>
      <c r="R19" s="324">
        <f t="shared" si="21"/>
        <v>1.1424618535806992E-2</v>
      </c>
      <c r="S19" s="324">
        <f t="shared" si="21"/>
        <v>9.3474151656602628E-3</v>
      </c>
      <c r="T19" s="324">
        <f t="shared" si="21"/>
        <v>1.1424618535806992E-2</v>
      </c>
      <c r="U19" s="323">
        <f t="shared" si="21"/>
        <v>8.3088134805869018E-3</v>
      </c>
      <c r="V19" s="324">
        <f t="shared" si="21"/>
        <v>1.2463220220880351E-2</v>
      </c>
      <c r="W19" s="324">
        <f t="shared" si="21"/>
        <v>8.3088134805869018E-3</v>
      </c>
      <c r="X19" s="332">
        <f t="shared" si="21"/>
        <v>1.2463220220880351E-2</v>
      </c>
    </row>
    <row r="20" spans="2:24">
      <c r="B20" s="1" t="s">
        <v>219</v>
      </c>
      <c r="C20" s="214">
        <f t="shared" si="18"/>
        <v>2.8286039309146176E-2</v>
      </c>
      <c r="D20" s="224">
        <f t="shared" ref="D20" si="22">IF($AD$3="Y",D7/$AC$3*$AA$4,D7/$AC$4*$AA$4)</f>
        <v>1.6025272963693278E-2</v>
      </c>
      <c r="E20" s="224">
        <f t="shared" si="19"/>
        <v>1.5680075052825867E-2</v>
      </c>
      <c r="F20" s="224">
        <f t="shared" ref="F20" si="23">IF($AD$3="Y",F7/$AC$3*$AA$4,F7/$AC$4*$AA$4)</f>
        <v>3.419308707372969E-3</v>
      </c>
      <c r="G20" s="315">
        <f t="shared" si="20"/>
        <v>2.8286039309146176E-2</v>
      </c>
      <c r="H20" s="224"/>
      <c r="I20" s="323">
        <f t="shared" si="21"/>
        <v>2.8286039309146176E-2</v>
      </c>
      <c r="J20" s="324">
        <f t="shared" si="21"/>
        <v>2.8286039309146176E-2</v>
      </c>
      <c r="K20" s="324">
        <f t="shared" si="21"/>
        <v>1.6025272963693278E-2</v>
      </c>
      <c r="L20" s="324">
        <f t="shared" si="21"/>
        <v>1.6025272963693278E-2</v>
      </c>
      <c r="M20" s="323">
        <f t="shared" si="21"/>
        <v>2.8286039309146176E-2</v>
      </c>
      <c r="N20" s="324">
        <f t="shared" si="21"/>
        <v>2.8286039309146176E-2</v>
      </c>
      <c r="O20" s="324">
        <f t="shared" si="21"/>
        <v>1.6025272963693278E-2</v>
      </c>
      <c r="P20" s="332">
        <f t="shared" si="21"/>
        <v>1.6025272963693278E-2</v>
      </c>
      <c r="Q20" s="324">
        <f t="shared" si="21"/>
        <v>2.8286039309146176E-2</v>
      </c>
      <c r="R20" s="324">
        <f t="shared" si="21"/>
        <v>2.8286039309146176E-2</v>
      </c>
      <c r="S20" s="324">
        <f t="shared" si="21"/>
        <v>1.6025272963693278E-2</v>
      </c>
      <c r="T20" s="324">
        <f t="shared" si="21"/>
        <v>1.6025272963693278E-2</v>
      </c>
      <c r="U20" s="323">
        <f t="shared" si="21"/>
        <v>2.8286039309146176E-2</v>
      </c>
      <c r="V20" s="324">
        <f t="shared" si="21"/>
        <v>2.8286039309146176E-2</v>
      </c>
      <c r="W20" s="324">
        <f t="shared" si="21"/>
        <v>1.6025272963693278E-2</v>
      </c>
      <c r="X20" s="332">
        <f t="shared" si="21"/>
        <v>1.6025272963693278E-2</v>
      </c>
    </row>
    <row r="21" spans="2:24">
      <c r="B21" s="1" t="s">
        <v>220</v>
      </c>
      <c r="C21" s="214">
        <f t="shared" si="18"/>
        <v>1.036943090205997E-3</v>
      </c>
      <c r="D21" s="224">
        <f t="shared" ref="D21" si="24">IF($AD$3="Y",D8/$AC$3*$AA$4,D8/$AC$4*$AA$4)</f>
        <v>1.036943090205997E-3</v>
      </c>
      <c r="E21" s="224">
        <f t="shared" si="19"/>
        <v>1.1735169359867363E-2</v>
      </c>
      <c r="F21" s="224">
        <f t="shared" ref="F21" si="25">IF($AD$3="Y",F8/$AC$3*$AA$4,F8/$AC$4*$AA$4)</f>
        <v>1.1735169359867363E-2</v>
      </c>
      <c r="G21" s="315">
        <f t="shared" si="20"/>
        <v>6.4898743541252331E-3</v>
      </c>
      <c r="H21" s="224"/>
      <c r="I21" s="323">
        <f t="shared" si="21"/>
        <v>7.7665410438742253E-4</v>
      </c>
      <c r="J21" s="324">
        <f t="shared" si="21"/>
        <v>1.4794343660975734E-3</v>
      </c>
      <c r="K21" s="324">
        <f t="shared" si="21"/>
        <v>7.7665410438742253E-4</v>
      </c>
      <c r="L21" s="324">
        <f t="shared" si="21"/>
        <v>1.4794343660975734E-3</v>
      </c>
      <c r="M21" s="323">
        <f t="shared" si="21"/>
        <v>9.4150379540585305E-4</v>
      </c>
      <c r="N21" s="324">
        <f t="shared" si="21"/>
        <v>1.1323823850061408E-3</v>
      </c>
      <c r="O21" s="324">
        <f t="shared" si="21"/>
        <v>9.4150379540585305E-4</v>
      </c>
      <c r="P21" s="332">
        <f t="shared" si="21"/>
        <v>1.1323823850061408E-3</v>
      </c>
      <c r="Q21" s="324">
        <f t="shared" si="21"/>
        <v>1.036943090205997E-3</v>
      </c>
      <c r="R21" s="324">
        <f t="shared" si="21"/>
        <v>1.036943090205997E-3</v>
      </c>
      <c r="S21" s="324">
        <f t="shared" si="21"/>
        <v>1.036943090205997E-3</v>
      </c>
      <c r="T21" s="324">
        <f t="shared" si="21"/>
        <v>1.036943090205997E-3</v>
      </c>
      <c r="U21" s="323">
        <f t="shared" si="21"/>
        <v>1.036943090205997E-3</v>
      </c>
      <c r="V21" s="324">
        <f t="shared" si="21"/>
        <v>1.036943090205997E-3</v>
      </c>
      <c r="W21" s="324">
        <f t="shared" si="21"/>
        <v>1.036943090205997E-3</v>
      </c>
      <c r="X21" s="332">
        <f t="shared" si="21"/>
        <v>1.036943090205997E-3</v>
      </c>
    </row>
    <row r="22" spans="2:24">
      <c r="B22" s="1" t="s">
        <v>221</v>
      </c>
      <c r="C22" s="214">
        <f t="shared" si="18"/>
        <v>0</v>
      </c>
      <c r="D22" s="224">
        <f t="shared" ref="D22" si="26">IF($AD$3="Y",D9/$AC$3*$AA$4,D9/$AC$4*$AA$4)</f>
        <v>0</v>
      </c>
      <c r="E22" s="224">
        <f t="shared" si="19"/>
        <v>0</v>
      </c>
      <c r="F22" s="224">
        <f t="shared" ref="F22" si="27">IF($AD$3="Y",F9/$AC$3*$AA$4,F9/$AC$4*$AA$4)</f>
        <v>0</v>
      </c>
      <c r="G22" s="315">
        <f t="shared" si="20"/>
        <v>0</v>
      </c>
      <c r="H22" s="224"/>
      <c r="I22" s="323">
        <f t="shared" si="21"/>
        <v>0</v>
      </c>
      <c r="J22" s="324">
        <f t="shared" si="21"/>
        <v>0</v>
      </c>
      <c r="K22" s="324">
        <f t="shared" si="21"/>
        <v>0</v>
      </c>
      <c r="L22" s="324">
        <f t="shared" si="21"/>
        <v>0</v>
      </c>
      <c r="M22" s="323">
        <f t="shared" si="21"/>
        <v>0</v>
      </c>
      <c r="N22" s="324">
        <f t="shared" si="21"/>
        <v>0</v>
      </c>
      <c r="O22" s="324">
        <f t="shared" si="21"/>
        <v>0</v>
      </c>
      <c r="P22" s="332">
        <f t="shared" si="21"/>
        <v>0</v>
      </c>
      <c r="Q22" s="324">
        <f t="shared" si="21"/>
        <v>0</v>
      </c>
      <c r="R22" s="324">
        <f t="shared" si="21"/>
        <v>0</v>
      </c>
      <c r="S22" s="324">
        <f t="shared" si="21"/>
        <v>0</v>
      </c>
      <c r="T22" s="324">
        <f t="shared" si="21"/>
        <v>0</v>
      </c>
      <c r="U22" s="323">
        <f t="shared" si="21"/>
        <v>0</v>
      </c>
      <c r="V22" s="324">
        <f t="shared" si="21"/>
        <v>0</v>
      </c>
      <c r="W22" s="324">
        <f t="shared" si="21"/>
        <v>0</v>
      </c>
      <c r="X22" s="332">
        <f t="shared" si="21"/>
        <v>0</v>
      </c>
    </row>
    <row r="23" spans="2:24">
      <c r="B23" s="1" t="s">
        <v>38</v>
      </c>
      <c r="C23" s="214">
        <f t="shared" si="18"/>
        <v>2.3251689744982394E-2</v>
      </c>
      <c r="D23" s="224">
        <f t="shared" ref="D23" si="28">IF($AD$3="Y",D10/$AC$3*$AA$4,D10/$AC$4*$AA$4)</f>
        <v>2.3251689744982394E-2</v>
      </c>
      <c r="E23" s="224">
        <f t="shared" si="19"/>
        <v>2.3251689744982394E-2</v>
      </c>
      <c r="F23" s="224">
        <f t="shared" ref="F23" si="29">IF($AD$3="Y",F10/$AC$3*$AA$4,F10/$AC$4*$AA$4)</f>
        <v>2.3251689744982394E-2</v>
      </c>
      <c r="G23" s="315">
        <f t="shared" si="20"/>
        <v>2.3251689744982394E-2</v>
      </c>
      <c r="H23" s="224"/>
      <c r="I23" s="323">
        <f t="shared" si="21"/>
        <v>2.3251689744982394E-2</v>
      </c>
      <c r="J23" s="324">
        <f t="shared" si="21"/>
        <v>2.3251689744982394E-2</v>
      </c>
      <c r="K23" s="324">
        <f t="shared" si="21"/>
        <v>2.3251689744982394E-2</v>
      </c>
      <c r="L23" s="324">
        <f t="shared" si="21"/>
        <v>2.3251689744982394E-2</v>
      </c>
      <c r="M23" s="323">
        <f t="shared" si="21"/>
        <v>2.3251689744982394E-2</v>
      </c>
      <c r="N23" s="324">
        <f t="shared" si="21"/>
        <v>2.3251689744982394E-2</v>
      </c>
      <c r="O23" s="324">
        <f t="shared" si="21"/>
        <v>2.3251689744982394E-2</v>
      </c>
      <c r="P23" s="332">
        <f t="shared" si="21"/>
        <v>2.3251689744982394E-2</v>
      </c>
      <c r="Q23" s="324">
        <f t="shared" si="21"/>
        <v>2.3251689744982394E-2</v>
      </c>
      <c r="R23" s="324">
        <f t="shared" si="21"/>
        <v>2.3251689744982394E-2</v>
      </c>
      <c r="S23" s="324">
        <f t="shared" si="21"/>
        <v>2.3251689744982394E-2</v>
      </c>
      <c r="T23" s="324">
        <f t="shared" si="21"/>
        <v>2.3251689744982394E-2</v>
      </c>
      <c r="U23" s="323">
        <f t="shared" si="21"/>
        <v>1.920945822785091E-2</v>
      </c>
      <c r="V23" s="324">
        <f t="shared" si="21"/>
        <v>2.7293921262113881E-2</v>
      </c>
      <c r="W23" s="324">
        <f t="shared" si="21"/>
        <v>1.920945822785091E-2</v>
      </c>
      <c r="X23" s="332">
        <f t="shared" si="21"/>
        <v>2.7293921262113881E-2</v>
      </c>
    </row>
    <row r="24" spans="2:24">
      <c r="B24" s="1" t="s">
        <v>222</v>
      </c>
      <c r="C24" s="214">
        <f t="shared" si="18"/>
        <v>1.790520560217362E-2</v>
      </c>
      <c r="D24" s="224">
        <f t="shared" ref="D24" si="30">IF($AD$3="Y",D11/$AC$3*$AA$4,D11/$AC$4*$AA$4)</f>
        <v>1.790520560217362E-2</v>
      </c>
      <c r="E24" s="224">
        <f t="shared" si="19"/>
        <v>1.790520560217362E-2</v>
      </c>
      <c r="F24" s="224">
        <f t="shared" ref="F24" si="31">IF($AD$3="Y",F11/$AC$3*$AA$4,F11/$AC$4*$AA$4)</f>
        <v>1.790520560217362E-2</v>
      </c>
      <c r="G24" s="315">
        <f t="shared" si="20"/>
        <v>1.790520560217362E-2</v>
      </c>
      <c r="H24" s="224"/>
      <c r="I24" s="323">
        <f t="shared" si="21"/>
        <v>1.790520560217362E-2</v>
      </c>
      <c r="J24" s="324">
        <f t="shared" si="21"/>
        <v>1.790520560217362E-2</v>
      </c>
      <c r="K24" s="324">
        <f t="shared" si="21"/>
        <v>1.790520560217362E-2</v>
      </c>
      <c r="L24" s="324">
        <f t="shared" si="21"/>
        <v>1.790520560217362E-2</v>
      </c>
      <c r="M24" s="323">
        <f t="shared" si="21"/>
        <v>1.790520560217362E-2</v>
      </c>
      <c r="N24" s="324">
        <f t="shared" si="21"/>
        <v>1.790520560217362E-2</v>
      </c>
      <c r="O24" s="324">
        <f t="shared" si="21"/>
        <v>1.790520560217362E-2</v>
      </c>
      <c r="P24" s="332">
        <f t="shared" si="21"/>
        <v>1.790520560217362E-2</v>
      </c>
      <c r="Q24" s="324">
        <f t="shared" si="21"/>
        <v>1.790520560217362E-2</v>
      </c>
      <c r="R24" s="324">
        <f t="shared" si="21"/>
        <v>1.790520560217362E-2</v>
      </c>
      <c r="S24" s="324">
        <f t="shared" si="21"/>
        <v>1.790520560217362E-2</v>
      </c>
      <c r="T24" s="324">
        <f t="shared" si="21"/>
        <v>1.790520560217362E-2</v>
      </c>
      <c r="U24" s="323">
        <f t="shared" si="21"/>
        <v>1.790520560217362E-2</v>
      </c>
      <c r="V24" s="324">
        <f t="shared" si="21"/>
        <v>1.790520560217362E-2</v>
      </c>
      <c r="W24" s="324">
        <f>IF($AD$3="Y",W11/$AC$3*$AA$4,W11/$AC$4*$AA$4)</f>
        <v>1.790520560217362E-2</v>
      </c>
      <c r="X24" s="332">
        <f t="shared" si="21"/>
        <v>1.790520560217362E-2</v>
      </c>
    </row>
    <row r="25" spans="2:24">
      <c r="B25" s="209" t="s">
        <v>235</v>
      </c>
      <c r="C25" s="215">
        <f t="shared" si="18"/>
        <v>8.0865894597241833E-2</v>
      </c>
      <c r="D25" s="219">
        <f>IF($AD$3="Y",D12/$AC$3*$AA$4,D12/$AC$4*$AA$4)</f>
        <v>6.8605128251788924E-2</v>
      </c>
      <c r="E25" s="219">
        <f t="shared" si="19"/>
        <v>7.8958156610582864E-2</v>
      </c>
      <c r="F25" s="219">
        <f>IF($AD$3="Y",F12/$AC$3*$AA$4,F12/$AC$4*$AA$4)</f>
        <v>6.6697390265129983E-2</v>
      </c>
      <c r="G25" s="316">
        <f>IF($AD$3="Y",G12/$AC$3*$AA$4,G12/$AC$4*$AA$4)</f>
        <v>8.6318825861161061E-2</v>
      </c>
      <c r="H25" s="219"/>
      <c r="I25" s="323">
        <f t="shared" si="21"/>
        <v>8.0605605611423242E-2</v>
      </c>
      <c r="J25" s="324">
        <f t="shared" si="21"/>
        <v>8.130838587313341E-2</v>
      </c>
      <c r="K25" s="324">
        <f t="shared" si="21"/>
        <v>6.8344839265970347E-2</v>
      </c>
      <c r="L25" s="324">
        <f t="shared" si="21"/>
        <v>6.9047619527680487E-2</v>
      </c>
      <c r="M25" s="323">
        <f t="shared" si="21"/>
        <v>8.0770455302441688E-2</v>
      </c>
      <c r="N25" s="324">
        <f t="shared" si="21"/>
        <v>8.0961333892041978E-2</v>
      </c>
      <c r="O25" s="324">
        <f t="shared" si="21"/>
        <v>6.8509688956988779E-2</v>
      </c>
      <c r="P25" s="332">
        <f t="shared" si="21"/>
        <v>6.8700567546589056E-2</v>
      </c>
      <c r="Q25" s="324">
        <f t="shared" si="21"/>
        <v>7.9827292912168474E-2</v>
      </c>
      <c r="R25" s="324">
        <f t="shared" si="21"/>
        <v>8.1904496282315178E-2</v>
      </c>
      <c r="S25" s="324">
        <f t="shared" si="21"/>
        <v>6.7566526566715551E-2</v>
      </c>
      <c r="T25" s="324">
        <f t="shared" si="21"/>
        <v>6.9643729936862284E-2</v>
      </c>
      <c r="U25" s="323">
        <f t="shared" si="21"/>
        <v>7.4746459709963617E-2</v>
      </c>
      <c r="V25" s="324">
        <f t="shared" si="21"/>
        <v>8.6985329484520021E-2</v>
      </c>
      <c r="W25" s="324">
        <f t="shared" si="21"/>
        <v>6.2485693364510708E-2</v>
      </c>
      <c r="X25" s="332">
        <f t="shared" si="21"/>
        <v>7.4724563139067141E-2</v>
      </c>
    </row>
    <row r="26" spans="2:24">
      <c r="B26" s="209"/>
      <c r="C26" s="219"/>
      <c r="D26" s="219"/>
      <c r="E26" s="219"/>
      <c r="F26" s="219"/>
      <c r="G26" s="219"/>
      <c r="H26" s="219"/>
      <c r="I26" s="216"/>
      <c r="J26" s="216"/>
      <c r="K26" s="216"/>
      <c r="L26" s="216"/>
      <c r="M26" s="217"/>
      <c r="N26" s="217"/>
      <c r="O26" s="217"/>
      <c r="P26" s="217"/>
      <c r="Q26" s="218"/>
      <c r="R26" s="218"/>
      <c r="S26" s="218"/>
      <c r="T26" s="218"/>
      <c r="U26" s="216"/>
      <c r="V26" s="216"/>
      <c r="W26" s="216"/>
      <c r="X26" s="216"/>
    </row>
    <row r="27" spans="2:24" ht="17.25">
      <c r="B27" s="209" t="s">
        <v>452</v>
      </c>
      <c r="C27" s="219">
        <f>C25</f>
        <v>8.0865894597241833E-2</v>
      </c>
      <c r="D27" s="219"/>
      <c r="E27" s="219"/>
      <c r="F27" s="219"/>
      <c r="G27" s="219"/>
      <c r="H27" s="219"/>
      <c r="I27" s="216"/>
      <c r="J27" s="216"/>
      <c r="K27" s="216"/>
      <c r="L27" s="216"/>
      <c r="M27" s="217"/>
      <c r="N27" s="217"/>
      <c r="O27" s="217"/>
      <c r="P27" s="217"/>
      <c r="Q27" s="218"/>
      <c r="R27" s="218"/>
      <c r="S27" s="218"/>
      <c r="T27" s="218"/>
      <c r="U27" s="216"/>
      <c r="V27" s="216"/>
      <c r="W27" s="216"/>
      <c r="X27" s="216"/>
    </row>
    <row r="29" spans="2:24">
      <c r="B29" s="209" t="s">
        <v>241</v>
      </c>
      <c r="I29" s="389" t="s">
        <v>241</v>
      </c>
      <c r="J29" s="389"/>
      <c r="K29" s="389"/>
      <c r="L29" s="389"/>
      <c r="M29" s="389"/>
      <c r="N29" s="389"/>
      <c r="O29" s="389"/>
      <c r="P29" s="389"/>
      <c r="Q29" s="389"/>
      <c r="R29" s="389"/>
      <c r="S29" s="389"/>
      <c r="T29" s="389"/>
      <c r="U29" s="389"/>
      <c r="V29" s="389"/>
      <c r="W29" s="389"/>
      <c r="X29" s="389"/>
    </row>
    <row r="30" spans="2:24">
      <c r="B30" s="377"/>
      <c r="C30" s="380" t="s">
        <v>453</v>
      </c>
      <c r="D30" s="381"/>
      <c r="E30" s="380" t="s">
        <v>454</v>
      </c>
      <c r="F30" s="385"/>
      <c r="G30" s="309"/>
      <c r="H30" s="311"/>
      <c r="I30" s="382" t="s">
        <v>455</v>
      </c>
      <c r="J30" s="382"/>
      <c r="K30" s="382"/>
      <c r="L30" s="382"/>
      <c r="M30" s="383" t="s">
        <v>462</v>
      </c>
      <c r="N30" s="383"/>
      <c r="O30" s="383"/>
      <c r="P30" s="383"/>
      <c r="Q30" s="382" t="s">
        <v>456</v>
      </c>
      <c r="R30" s="382"/>
      <c r="S30" s="382"/>
      <c r="T30" s="382"/>
      <c r="U30" s="382" t="s">
        <v>457</v>
      </c>
      <c r="V30" s="382"/>
      <c r="W30" s="382"/>
      <c r="X30" s="382"/>
    </row>
    <row r="31" spans="2:24" ht="30">
      <c r="B31" s="378"/>
      <c r="C31" s="371"/>
      <c r="D31" s="362"/>
      <c r="E31" s="371"/>
      <c r="F31" s="386"/>
      <c r="G31" s="311" t="s">
        <v>449</v>
      </c>
      <c r="H31" s="311"/>
      <c r="I31" s="382" t="s">
        <v>229</v>
      </c>
      <c r="J31" s="384"/>
      <c r="K31" s="382" t="s">
        <v>230</v>
      </c>
      <c r="L31" s="382"/>
      <c r="M31" s="383" t="s">
        <v>229</v>
      </c>
      <c r="N31" s="383"/>
      <c r="O31" s="383" t="s">
        <v>230</v>
      </c>
      <c r="P31" s="383"/>
      <c r="Q31" s="382" t="s">
        <v>229</v>
      </c>
      <c r="R31" s="382"/>
      <c r="S31" s="382" t="s">
        <v>230</v>
      </c>
      <c r="T31" s="382"/>
      <c r="U31" s="382" t="s">
        <v>229</v>
      </c>
      <c r="V31" s="382"/>
      <c r="W31" s="382" t="s">
        <v>230</v>
      </c>
      <c r="X31" s="382"/>
    </row>
    <row r="32" spans="2:24" ht="17.25">
      <c r="B32" s="379"/>
      <c r="C32" s="192" t="s">
        <v>229</v>
      </c>
      <c r="D32" s="310" t="s">
        <v>230</v>
      </c>
      <c r="E32" s="192" t="s">
        <v>448</v>
      </c>
      <c r="F32" s="193" t="s">
        <v>256</v>
      </c>
      <c r="G32" s="308"/>
      <c r="H32" s="307"/>
      <c r="I32" s="318" t="s">
        <v>458</v>
      </c>
      <c r="J32" s="319" t="s">
        <v>459</v>
      </c>
      <c r="K32" s="318" t="s">
        <v>458</v>
      </c>
      <c r="L32" s="320" t="s">
        <v>459</v>
      </c>
      <c r="M32" s="221" t="s">
        <v>231</v>
      </c>
      <c r="N32" s="221" t="s">
        <v>232</v>
      </c>
      <c r="O32" s="221" t="s">
        <v>231</v>
      </c>
      <c r="P32" s="221" t="s">
        <v>232</v>
      </c>
      <c r="Q32" s="220" t="s">
        <v>231</v>
      </c>
      <c r="R32" s="220" t="s">
        <v>232</v>
      </c>
      <c r="S32" s="220" t="s">
        <v>231</v>
      </c>
      <c r="T32" s="220" t="s">
        <v>232</v>
      </c>
      <c r="U32" s="220" t="s">
        <v>233</v>
      </c>
      <c r="V32" s="220" t="s">
        <v>234</v>
      </c>
      <c r="W32" s="220" t="s">
        <v>233</v>
      </c>
      <c r="X32" s="220" t="s">
        <v>234</v>
      </c>
    </row>
    <row r="33" spans="2:24">
      <c r="B33" s="222" t="s">
        <v>23</v>
      </c>
      <c r="C33" s="325">
        <f>C18/$C$27</f>
        <v>0</v>
      </c>
      <c r="D33" s="326">
        <f>D18/$C$27</f>
        <v>0</v>
      </c>
      <c r="E33" s="325">
        <f>E18/$C$27</f>
        <v>0</v>
      </c>
      <c r="F33" s="327">
        <f>F18/$C$27</f>
        <v>0</v>
      </c>
      <c r="G33" s="328">
        <f>G18/$C$27</f>
        <v>0</v>
      </c>
      <c r="H33" s="317"/>
      <c r="I33" s="330">
        <f t="shared" ref="I33" si="32">I18/$C$27</f>
        <v>0</v>
      </c>
      <c r="J33" s="330">
        <f t="shared" ref="J33:X33" si="33">J18/$C$27</f>
        <v>0</v>
      </c>
      <c r="K33" s="330">
        <f t="shared" si="33"/>
        <v>0</v>
      </c>
      <c r="L33" s="330">
        <f t="shared" si="33"/>
        <v>0</v>
      </c>
      <c r="M33" s="330">
        <f t="shared" si="33"/>
        <v>0</v>
      </c>
      <c r="N33" s="330">
        <f t="shared" si="33"/>
        <v>0</v>
      </c>
      <c r="O33" s="330">
        <f t="shared" si="33"/>
        <v>0</v>
      </c>
      <c r="P33" s="330">
        <f t="shared" si="33"/>
        <v>0</v>
      </c>
      <c r="Q33" s="330">
        <f t="shared" si="33"/>
        <v>0</v>
      </c>
      <c r="R33" s="330">
        <f t="shared" si="33"/>
        <v>0</v>
      </c>
      <c r="S33" s="330">
        <f t="shared" si="33"/>
        <v>0</v>
      </c>
      <c r="T33" s="330">
        <f t="shared" si="33"/>
        <v>0</v>
      </c>
      <c r="U33" s="330">
        <f t="shared" si="33"/>
        <v>0</v>
      </c>
      <c r="V33" s="330">
        <f t="shared" si="33"/>
        <v>0</v>
      </c>
      <c r="W33" s="330">
        <f t="shared" si="33"/>
        <v>0</v>
      </c>
      <c r="X33" s="330">
        <f t="shared" si="33"/>
        <v>0</v>
      </c>
    </row>
    <row r="34" spans="2:24" ht="30">
      <c r="B34" s="222" t="s">
        <v>218</v>
      </c>
      <c r="C34" s="325">
        <f t="shared" ref="C34:G38" si="34">C19/$C$27</f>
        <v>0.12843507021670755</v>
      </c>
      <c r="D34" s="326">
        <f t="shared" si="34"/>
        <v>0.12843507021670755</v>
      </c>
      <c r="E34" s="325">
        <f t="shared" si="34"/>
        <v>0.12843507021670755</v>
      </c>
      <c r="F34" s="327">
        <f t="shared" si="34"/>
        <v>0.12843507021670755</v>
      </c>
      <c r="G34" s="329">
        <f t="shared" si="34"/>
        <v>0.12843507021670755</v>
      </c>
      <c r="H34" s="317"/>
      <c r="I34" s="330">
        <f t="shared" ref="I34:X34" si="35">I19/$C$27</f>
        <v>0.12843507021670755</v>
      </c>
      <c r="J34" s="330">
        <f t="shared" si="35"/>
        <v>0.12843507021670755</v>
      </c>
      <c r="K34" s="330">
        <f t="shared" si="35"/>
        <v>0.12843507021670755</v>
      </c>
      <c r="L34" s="330">
        <f t="shared" si="35"/>
        <v>0.12843507021670755</v>
      </c>
      <c r="M34" s="330">
        <f t="shared" si="35"/>
        <v>0.12843507021670755</v>
      </c>
      <c r="N34" s="330">
        <f t="shared" si="35"/>
        <v>0.12843507021670755</v>
      </c>
      <c r="O34" s="330">
        <f t="shared" si="35"/>
        <v>0.12843507021670755</v>
      </c>
      <c r="P34" s="330">
        <f t="shared" si="35"/>
        <v>0.12843507021670755</v>
      </c>
      <c r="Q34" s="330">
        <f t="shared" si="35"/>
        <v>0.11559156319503679</v>
      </c>
      <c r="R34" s="330">
        <f t="shared" si="35"/>
        <v>0.14127857723837833</v>
      </c>
      <c r="S34" s="330">
        <f t="shared" si="35"/>
        <v>0.11559156319503679</v>
      </c>
      <c r="T34" s="330">
        <f t="shared" si="35"/>
        <v>0.14127857723837833</v>
      </c>
      <c r="U34" s="330">
        <f t="shared" si="35"/>
        <v>0.10274805617336605</v>
      </c>
      <c r="V34" s="330">
        <f t="shared" si="35"/>
        <v>0.15412208426004906</v>
      </c>
      <c r="W34" s="330">
        <f t="shared" si="35"/>
        <v>0.10274805617336605</v>
      </c>
      <c r="X34" s="330">
        <f t="shared" si="35"/>
        <v>0.15412208426004906</v>
      </c>
    </row>
    <row r="35" spans="2:24">
      <c r="B35" s="222" t="s">
        <v>219</v>
      </c>
      <c r="C35" s="325">
        <f t="shared" si="34"/>
        <v>0.34978948109121583</v>
      </c>
      <c r="D35" s="326">
        <f t="shared" si="34"/>
        <v>0.19817097236737757</v>
      </c>
      <c r="E35" s="325">
        <f t="shared" si="34"/>
        <v>0.19390220229333469</v>
      </c>
      <c r="F35" s="327">
        <f t="shared" si="34"/>
        <v>4.2283693569496413E-2</v>
      </c>
      <c r="G35" s="329">
        <f t="shared" si="34"/>
        <v>0.34978948109121583</v>
      </c>
      <c r="H35" s="317"/>
      <c r="I35" s="330">
        <f t="shared" ref="I35:X35" si="36">I20/$C$27</f>
        <v>0.34978948109121583</v>
      </c>
      <c r="J35" s="330">
        <f t="shared" si="36"/>
        <v>0.34978948109121583</v>
      </c>
      <c r="K35" s="330">
        <f t="shared" si="36"/>
        <v>0.19817097236737757</v>
      </c>
      <c r="L35" s="330">
        <f t="shared" si="36"/>
        <v>0.19817097236737757</v>
      </c>
      <c r="M35" s="330">
        <f t="shared" si="36"/>
        <v>0.34978948109121583</v>
      </c>
      <c r="N35" s="330">
        <f t="shared" si="36"/>
        <v>0.34978948109121583</v>
      </c>
      <c r="O35" s="330">
        <f t="shared" si="36"/>
        <v>0.19817097236737757</v>
      </c>
      <c r="P35" s="330">
        <f t="shared" si="36"/>
        <v>0.19817097236737757</v>
      </c>
      <c r="Q35" s="330">
        <f t="shared" si="36"/>
        <v>0.34978948109121583</v>
      </c>
      <c r="R35" s="330">
        <f t="shared" si="36"/>
        <v>0.34978948109121583</v>
      </c>
      <c r="S35" s="330">
        <f t="shared" si="36"/>
        <v>0.19817097236737757</v>
      </c>
      <c r="T35" s="330">
        <f t="shared" si="36"/>
        <v>0.19817097236737757</v>
      </c>
      <c r="U35" s="330">
        <f t="shared" si="36"/>
        <v>0.34978948109121583</v>
      </c>
      <c r="V35" s="330">
        <f t="shared" si="36"/>
        <v>0.34978948109121583</v>
      </c>
      <c r="W35" s="330">
        <f t="shared" si="36"/>
        <v>0.19817097236737757</v>
      </c>
      <c r="X35" s="330">
        <f t="shared" si="36"/>
        <v>0.19817097236737757</v>
      </c>
    </row>
    <row r="36" spans="2:24">
      <c r="B36" s="222" t="s">
        <v>220</v>
      </c>
      <c r="C36" s="325">
        <f t="shared" si="34"/>
        <v>1.2822996584290121E-2</v>
      </c>
      <c r="D36" s="326">
        <f t="shared" si="34"/>
        <v>1.2822996584290121E-2</v>
      </c>
      <c r="E36" s="325">
        <f t="shared" si="34"/>
        <v>0.14511889614670292</v>
      </c>
      <c r="F36" s="327">
        <f t="shared" si="34"/>
        <v>0.14511889614670292</v>
      </c>
      <c r="G36" s="329">
        <f t="shared" si="34"/>
        <v>8.025477720179193E-2</v>
      </c>
      <c r="H36" s="317"/>
      <c r="I36" s="330">
        <f t="shared" ref="I36:X36" si="37">I21/$C$27</f>
        <v>9.6042232421418433E-3</v>
      </c>
      <c r="J36" s="330">
        <f t="shared" si="37"/>
        <v>1.8294911265942192E-2</v>
      </c>
      <c r="K36" s="330">
        <f t="shared" si="37"/>
        <v>9.6042232421418433E-3</v>
      </c>
      <c r="L36" s="330">
        <f t="shared" si="37"/>
        <v>1.8294911265942192E-2</v>
      </c>
      <c r="M36" s="330">
        <f t="shared" si="37"/>
        <v>1.1642779692169087E-2</v>
      </c>
      <c r="N36" s="330">
        <f t="shared" si="37"/>
        <v>1.4003213476411154E-2</v>
      </c>
      <c r="O36" s="330">
        <f t="shared" si="37"/>
        <v>1.1642779692169087E-2</v>
      </c>
      <c r="P36" s="330">
        <f t="shared" si="37"/>
        <v>1.4003213476411154E-2</v>
      </c>
      <c r="Q36" s="330">
        <f t="shared" si="37"/>
        <v>1.2822996584290121E-2</v>
      </c>
      <c r="R36" s="330">
        <f t="shared" si="37"/>
        <v>1.2822996584290121E-2</v>
      </c>
      <c r="S36" s="330">
        <f t="shared" si="37"/>
        <v>1.2822996584290121E-2</v>
      </c>
      <c r="T36" s="330">
        <f t="shared" si="37"/>
        <v>1.2822996584290121E-2</v>
      </c>
      <c r="U36" s="330">
        <f t="shared" si="37"/>
        <v>1.2822996584290121E-2</v>
      </c>
      <c r="V36" s="330">
        <f t="shared" si="37"/>
        <v>1.2822996584290121E-2</v>
      </c>
      <c r="W36" s="330">
        <f t="shared" si="37"/>
        <v>1.2822996584290121E-2</v>
      </c>
      <c r="X36" s="330">
        <f t="shared" si="37"/>
        <v>1.2822996584290121E-2</v>
      </c>
    </row>
    <row r="37" spans="2:24">
      <c r="B37" s="222" t="s">
        <v>221</v>
      </c>
      <c r="C37" s="325">
        <f t="shared" si="34"/>
        <v>0</v>
      </c>
      <c r="D37" s="326">
        <f t="shared" si="34"/>
        <v>0</v>
      </c>
      <c r="E37" s="325">
        <f t="shared" si="34"/>
        <v>0</v>
      </c>
      <c r="F37" s="327">
        <f t="shared" si="34"/>
        <v>0</v>
      </c>
      <c r="G37" s="329">
        <f t="shared" si="34"/>
        <v>0</v>
      </c>
      <c r="H37" s="317"/>
      <c r="I37" s="330">
        <f t="shared" ref="I37:X37" si="38">I22/$C$27</f>
        <v>0</v>
      </c>
      <c r="J37" s="330">
        <f t="shared" si="38"/>
        <v>0</v>
      </c>
      <c r="K37" s="330">
        <f t="shared" si="38"/>
        <v>0</v>
      </c>
      <c r="L37" s="330">
        <f t="shared" si="38"/>
        <v>0</v>
      </c>
      <c r="M37" s="330">
        <f t="shared" si="38"/>
        <v>0</v>
      </c>
      <c r="N37" s="330">
        <f t="shared" si="38"/>
        <v>0</v>
      </c>
      <c r="O37" s="330">
        <f t="shared" si="38"/>
        <v>0</v>
      </c>
      <c r="P37" s="330">
        <f t="shared" si="38"/>
        <v>0</v>
      </c>
      <c r="Q37" s="330">
        <f t="shared" si="38"/>
        <v>0</v>
      </c>
      <c r="R37" s="330">
        <f t="shared" si="38"/>
        <v>0</v>
      </c>
      <c r="S37" s="330">
        <f t="shared" si="38"/>
        <v>0</v>
      </c>
      <c r="T37" s="330">
        <f t="shared" si="38"/>
        <v>0</v>
      </c>
      <c r="U37" s="330">
        <f t="shared" si="38"/>
        <v>0</v>
      </c>
      <c r="V37" s="330">
        <f t="shared" si="38"/>
        <v>0</v>
      </c>
      <c r="W37" s="330">
        <f t="shared" si="38"/>
        <v>0</v>
      </c>
      <c r="X37" s="330">
        <f t="shared" si="38"/>
        <v>0</v>
      </c>
    </row>
    <row r="38" spans="2:24">
      <c r="B38" s="222" t="s">
        <v>38</v>
      </c>
      <c r="C38" s="325">
        <f t="shared" si="34"/>
        <v>0.28753394568611451</v>
      </c>
      <c r="D38" s="326">
        <f t="shared" si="34"/>
        <v>0.28753394568611451</v>
      </c>
      <c r="E38" s="325">
        <f t="shared" si="34"/>
        <v>0.28753394568611451</v>
      </c>
      <c r="F38" s="327">
        <f t="shared" si="34"/>
        <v>0.28753394568611451</v>
      </c>
      <c r="G38" s="329">
        <f t="shared" si="34"/>
        <v>0.28753394568611451</v>
      </c>
      <c r="H38" s="317"/>
      <c r="I38" s="330">
        <f t="shared" ref="I38:X38" si="39">I23/$C$27</f>
        <v>0.28753394568611451</v>
      </c>
      <c r="J38" s="330">
        <f t="shared" si="39"/>
        <v>0.28753394568611451</v>
      </c>
      <c r="K38" s="330">
        <f t="shared" si="39"/>
        <v>0.28753394568611451</v>
      </c>
      <c r="L38" s="330">
        <f t="shared" si="39"/>
        <v>0.28753394568611451</v>
      </c>
      <c r="M38" s="330">
        <f t="shared" si="39"/>
        <v>0.28753394568611451</v>
      </c>
      <c r="N38" s="330">
        <f t="shared" si="39"/>
        <v>0.28753394568611451</v>
      </c>
      <c r="O38" s="330">
        <f t="shared" si="39"/>
        <v>0.28753394568611451</v>
      </c>
      <c r="P38" s="330">
        <f t="shared" si="39"/>
        <v>0.28753394568611451</v>
      </c>
      <c r="Q38" s="330">
        <f t="shared" si="39"/>
        <v>0.28753394568611451</v>
      </c>
      <c r="R38" s="330">
        <f t="shared" si="39"/>
        <v>0.28753394568611451</v>
      </c>
      <c r="S38" s="330">
        <f t="shared" si="39"/>
        <v>0.28753394568611451</v>
      </c>
      <c r="T38" s="330">
        <f t="shared" si="39"/>
        <v>0.28753394568611451</v>
      </c>
      <c r="U38" s="330">
        <f t="shared" si="39"/>
        <v>0.23754709353708311</v>
      </c>
      <c r="V38" s="330">
        <f t="shared" si="39"/>
        <v>0.33752079783514594</v>
      </c>
      <c r="W38" s="330">
        <f t="shared" si="39"/>
        <v>0.23754709353708311</v>
      </c>
      <c r="X38" s="330">
        <f t="shared" si="39"/>
        <v>0.33752079783514594</v>
      </c>
    </row>
    <row r="39" spans="2:24">
      <c r="B39" s="222" t="s">
        <v>222</v>
      </c>
      <c r="C39" s="325">
        <f>C24/$C$27</f>
        <v>0.22141850642167174</v>
      </c>
      <c r="D39" s="326">
        <f>D24/$C$27</f>
        <v>0.22141850642167174</v>
      </c>
      <c r="E39" s="325">
        <f t="shared" ref="E39:G39" si="40">E24/$C$27</f>
        <v>0.22141850642167174</v>
      </c>
      <c r="F39" s="327">
        <f t="shared" si="40"/>
        <v>0.22141850642167174</v>
      </c>
      <c r="G39" s="329">
        <f t="shared" si="40"/>
        <v>0.22141850642167174</v>
      </c>
      <c r="H39" s="317"/>
      <c r="I39" s="330">
        <f t="shared" ref="I39:X39" si="41">I24/$C$27</f>
        <v>0.22141850642167174</v>
      </c>
      <c r="J39" s="330">
        <f t="shared" si="41"/>
        <v>0.22141850642167174</v>
      </c>
      <c r="K39" s="330">
        <f t="shared" si="41"/>
        <v>0.22141850642167174</v>
      </c>
      <c r="L39" s="330">
        <f t="shared" si="41"/>
        <v>0.22141850642167174</v>
      </c>
      <c r="M39" s="330">
        <f t="shared" si="41"/>
        <v>0.22141850642167174</v>
      </c>
      <c r="N39" s="330">
        <f t="shared" si="41"/>
        <v>0.22141850642167174</v>
      </c>
      <c r="O39" s="330">
        <f t="shared" si="41"/>
        <v>0.22141850642167174</v>
      </c>
      <c r="P39" s="330">
        <f t="shared" si="41"/>
        <v>0.22141850642167174</v>
      </c>
      <c r="Q39" s="330">
        <f t="shared" si="41"/>
        <v>0.22141850642167174</v>
      </c>
      <c r="R39" s="330">
        <f t="shared" si="41"/>
        <v>0.22141850642167174</v>
      </c>
      <c r="S39" s="330">
        <f t="shared" si="41"/>
        <v>0.22141850642167174</v>
      </c>
      <c r="T39" s="330">
        <f t="shared" si="41"/>
        <v>0.22141850642167174</v>
      </c>
      <c r="U39" s="330">
        <f t="shared" si="41"/>
        <v>0.22141850642167174</v>
      </c>
      <c r="V39" s="330">
        <f t="shared" si="41"/>
        <v>0.22141850642167174</v>
      </c>
      <c r="W39" s="330">
        <f t="shared" si="41"/>
        <v>0.22141850642167174</v>
      </c>
      <c r="X39" s="330">
        <f t="shared" si="41"/>
        <v>0.22141850642167174</v>
      </c>
    </row>
  </sheetData>
  <mergeCells count="50">
    <mergeCell ref="C14:X14"/>
    <mergeCell ref="I29:X29"/>
    <mergeCell ref="W31:X31"/>
    <mergeCell ref="E3:F3"/>
    <mergeCell ref="K31:L31"/>
    <mergeCell ref="M31:N31"/>
    <mergeCell ref="O31:P31"/>
    <mergeCell ref="Q31:R31"/>
    <mergeCell ref="S31:T31"/>
    <mergeCell ref="U31:V31"/>
    <mergeCell ref="S16:T16"/>
    <mergeCell ref="U16:V16"/>
    <mergeCell ref="W16:X16"/>
    <mergeCell ref="U30:X30"/>
    <mergeCell ref="Q16:R16"/>
    <mergeCell ref="S3:T3"/>
    <mergeCell ref="C16:D16"/>
    <mergeCell ref="I16:J16"/>
    <mergeCell ref="K16:L16"/>
    <mergeCell ref="M16:N16"/>
    <mergeCell ref="O16:P16"/>
    <mergeCell ref="E16:F16"/>
    <mergeCell ref="G16:G17"/>
    <mergeCell ref="B30:B32"/>
    <mergeCell ref="C30:D31"/>
    <mergeCell ref="I30:L30"/>
    <mergeCell ref="M30:P30"/>
    <mergeCell ref="Q30:T30"/>
    <mergeCell ref="I31:J31"/>
    <mergeCell ref="E30:F31"/>
    <mergeCell ref="I15:L15"/>
    <mergeCell ref="M15:P15"/>
    <mergeCell ref="Q15:T15"/>
    <mergeCell ref="U15:X15"/>
    <mergeCell ref="C15:D15"/>
    <mergeCell ref="E15:F15"/>
    <mergeCell ref="C3:D3"/>
    <mergeCell ref="I3:J3"/>
    <mergeCell ref="K3:L3"/>
    <mergeCell ref="M3:N3"/>
    <mergeCell ref="O3:P3"/>
    <mergeCell ref="Z2:AA2"/>
    <mergeCell ref="AB2:AC2"/>
    <mergeCell ref="Q3:R3"/>
    <mergeCell ref="I2:L2"/>
    <mergeCell ref="M2:P2"/>
    <mergeCell ref="Q2:T2"/>
    <mergeCell ref="U2:X2"/>
    <mergeCell ref="W3:X3"/>
    <mergeCell ref="U3: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TOC</vt:lpstr>
      <vt:lpstr>Data Inputs</vt:lpstr>
      <vt:lpstr>Unit Process Costs</vt:lpstr>
      <vt:lpstr>Sludge Calculations</vt:lpstr>
      <vt:lpstr>Chemical Unit Costs</vt:lpstr>
      <vt:lpstr>Cost Calculations</vt:lpstr>
      <vt:lpstr>senseInfo</vt:lpstr>
      <vt:lpstr>Sensitivity Analysis</vt:lpstr>
      <vt:lpstr>Results</vt:lpstr>
      <vt:lpstr>Data Quality Information</vt:lpstr>
      <vt:lpstr>Uncertainty_On_Off</vt:lpstr>
    </vt:vector>
  </TitlesOfParts>
  <Company>Eastern Research Group, Inc.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LWeiss</dc:creator>
  <cp:lastModifiedBy>SCashman</cp:lastModifiedBy>
  <cp:lastPrinted>2013-04-10T18:18:42Z</cp:lastPrinted>
  <dcterms:created xsi:type="dcterms:W3CDTF">2013-02-26T14:55:40Z</dcterms:created>
  <dcterms:modified xsi:type="dcterms:W3CDTF">2014-09-26T17:29:28Z</dcterms:modified>
</cp:coreProperties>
</file>