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riv\Great Lakes Invasive Species\Publications\RuffeID Paper\Science hub docs\"/>
    </mc:Choice>
  </mc:AlternateContent>
  <bookViews>
    <workbookView xWindow="0" yWindow="0" windowWidth="19200" windowHeight="11355" activeTab="1"/>
  </bookViews>
  <sheets>
    <sheet name="Overview" sheetId="3" r:id="rId1"/>
    <sheet name="Metadata" sheetId="2" r:id="rId2"/>
    <sheet name="RuffeID_Morph_Measure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Q18" i="1"/>
  <c r="I18" i="1" l="1"/>
  <c r="K18" i="1"/>
  <c r="M18" i="1"/>
  <c r="N18" i="1"/>
  <c r="O18" i="1" s="1"/>
  <c r="S18" i="1"/>
  <c r="U18" i="1"/>
  <c r="Y18" i="1"/>
  <c r="I19" i="1"/>
  <c r="K19" i="1"/>
  <c r="M19" i="1"/>
  <c r="O19" i="1"/>
  <c r="Q19" i="1"/>
  <c r="S19" i="1"/>
  <c r="U19" i="1"/>
  <c r="Y19" i="1"/>
  <c r="Y14" i="1"/>
  <c r="U14" i="1"/>
  <c r="S14" i="1"/>
  <c r="Q14" i="1"/>
  <c r="O14" i="1"/>
  <c r="M14" i="1"/>
  <c r="K14" i="1"/>
  <c r="I14" i="1"/>
  <c r="Y13" i="1"/>
  <c r="U13" i="1"/>
  <c r="S13" i="1"/>
  <c r="Q13" i="1"/>
  <c r="O13" i="1"/>
  <c r="M13" i="1"/>
  <c r="K13" i="1"/>
  <c r="I13" i="1"/>
  <c r="Y12" i="1"/>
  <c r="U12" i="1"/>
  <c r="S12" i="1"/>
  <c r="Q12" i="1"/>
  <c r="O12" i="1"/>
  <c r="M12" i="1"/>
  <c r="K12" i="1"/>
  <c r="I12" i="1"/>
  <c r="Y11" i="1"/>
  <c r="U11" i="1"/>
  <c r="S11" i="1"/>
  <c r="Q11" i="1"/>
  <c r="O11" i="1"/>
  <c r="M11" i="1"/>
  <c r="K11" i="1"/>
  <c r="I11" i="1"/>
  <c r="Y10" i="1"/>
  <c r="U10" i="1"/>
  <c r="S10" i="1"/>
  <c r="Q10" i="1"/>
  <c r="O10" i="1"/>
  <c r="M10" i="1"/>
  <c r="K10" i="1"/>
  <c r="I10" i="1"/>
  <c r="Y31" i="1"/>
  <c r="U31" i="1"/>
  <c r="S31" i="1"/>
  <c r="Q31" i="1"/>
  <c r="O31" i="1"/>
  <c r="M31" i="1"/>
  <c r="K31" i="1"/>
  <c r="I31" i="1"/>
  <c r="Y27" i="1"/>
  <c r="U27" i="1"/>
  <c r="S27" i="1"/>
  <c r="Q27" i="1"/>
  <c r="O27" i="1"/>
  <c r="M27" i="1"/>
  <c r="K27" i="1"/>
  <c r="I27" i="1"/>
  <c r="Y26" i="1"/>
  <c r="U26" i="1"/>
  <c r="S26" i="1"/>
  <c r="Q26" i="1"/>
  <c r="O26" i="1"/>
  <c r="M26" i="1"/>
  <c r="K26" i="1"/>
  <c r="I26" i="1"/>
  <c r="Y25" i="1"/>
  <c r="U25" i="1"/>
  <c r="S25" i="1"/>
  <c r="Q25" i="1"/>
  <c r="O25" i="1"/>
  <c r="M25" i="1"/>
  <c r="K25" i="1"/>
  <c r="I25" i="1"/>
  <c r="G30" i="1"/>
  <c r="S30" i="1" s="1"/>
  <c r="H30" i="1"/>
  <c r="J30" i="1"/>
  <c r="N30" i="1"/>
  <c r="P30" i="1"/>
  <c r="Q30" i="1" s="1"/>
  <c r="G32" i="1"/>
  <c r="U32" i="1" s="1"/>
  <c r="J32" i="1"/>
  <c r="G33" i="1"/>
  <c r="U33" i="1" s="1"/>
  <c r="H33" i="1"/>
  <c r="J33" i="1"/>
  <c r="N33" i="1"/>
  <c r="P33" i="1"/>
  <c r="G36" i="1"/>
  <c r="O36" i="1" s="1"/>
  <c r="H36" i="1"/>
  <c r="J36" i="1"/>
  <c r="P36" i="1"/>
  <c r="I30" i="1" l="1"/>
  <c r="M30" i="1"/>
  <c r="Y33" i="1"/>
  <c r="Y30" i="1"/>
  <c r="K30" i="1"/>
  <c r="Q36" i="1"/>
  <c r="S33" i="1"/>
  <c r="Q33" i="1"/>
  <c r="I33" i="1"/>
  <c r="S32" i="1"/>
  <c r="M33" i="1"/>
  <c r="K33" i="1"/>
  <c r="O33" i="1"/>
  <c r="M36" i="1"/>
  <c r="K32" i="1"/>
  <c r="S36" i="1"/>
  <c r="M32" i="1"/>
  <c r="I36" i="1"/>
  <c r="K36" i="1"/>
  <c r="Y36" i="1"/>
  <c r="Q32" i="1"/>
  <c r="U30" i="1"/>
  <c r="O30" i="1"/>
  <c r="U36" i="1"/>
  <c r="Y32" i="1"/>
  <c r="O32" i="1"/>
  <c r="I32" i="1"/>
  <c r="Y35" i="1" l="1"/>
  <c r="U35" i="1"/>
  <c r="S35" i="1"/>
  <c r="Q35" i="1"/>
  <c r="O35" i="1"/>
  <c r="M35" i="1"/>
  <c r="K35" i="1"/>
  <c r="I35" i="1"/>
  <c r="Y40" i="1"/>
  <c r="U40" i="1"/>
  <c r="S40" i="1"/>
  <c r="Q40" i="1"/>
  <c r="O40" i="1"/>
  <c r="M40" i="1"/>
  <c r="K40" i="1"/>
  <c r="I40" i="1"/>
  <c r="Y39" i="1"/>
  <c r="U39" i="1"/>
  <c r="S39" i="1"/>
  <c r="Q39" i="1"/>
  <c r="O39" i="1"/>
  <c r="M39" i="1"/>
  <c r="K39" i="1"/>
  <c r="I39" i="1"/>
  <c r="Y38" i="1"/>
  <c r="U38" i="1"/>
  <c r="S38" i="1"/>
  <c r="Q38" i="1"/>
  <c r="O38" i="1"/>
  <c r="M38" i="1"/>
  <c r="K38" i="1"/>
  <c r="I38" i="1"/>
  <c r="Y37" i="1"/>
  <c r="U37" i="1"/>
  <c r="S37" i="1"/>
  <c r="Q37" i="1"/>
  <c r="O37" i="1"/>
  <c r="M37" i="1"/>
  <c r="K37" i="1"/>
  <c r="I37" i="1"/>
  <c r="Y34" i="1"/>
  <c r="U34" i="1"/>
  <c r="S34" i="1"/>
  <c r="Q34" i="1"/>
  <c r="O34" i="1"/>
  <c r="M34" i="1"/>
  <c r="K34" i="1"/>
  <c r="I34" i="1"/>
  <c r="N29" i="1"/>
  <c r="J29" i="1"/>
  <c r="H29" i="1"/>
  <c r="G29" i="1"/>
  <c r="Q29" i="1" s="1"/>
  <c r="N28" i="1"/>
  <c r="J28" i="1"/>
  <c r="G28" i="1"/>
  <c r="J24" i="1"/>
  <c r="H24" i="1"/>
  <c r="G24" i="1"/>
  <c r="S24" i="1" s="1"/>
  <c r="Y21" i="1"/>
  <c r="U21" i="1"/>
  <c r="S21" i="1"/>
  <c r="Q21" i="1"/>
  <c r="O21" i="1"/>
  <c r="M21" i="1"/>
  <c r="K21" i="1"/>
  <c r="I21" i="1"/>
  <c r="Y16" i="1"/>
  <c r="U16" i="1"/>
  <c r="S16" i="1"/>
  <c r="Q16" i="1"/>
  <c r="N16" i="1"/>
  <c r="O16" i="1" s="1"/>
  <c r="M16" i="1"/>
  <c r="K16" i="1"/>
  <c r="I16" i="1"/>
  <c r="P15" i="1"/>
  <c r="N15" i="1"/>
  <c r="J15" i="1"/>
  <c r="H15" i="1"/>
  <c r="G15" i="1"/>
  <c r="P23" i="1"/>
  <c r="N23" i="1"/>
  <c r="J23" i="1"/>
  <c r="H23" i="1"/>
  <c r="G23" i="1"/>
  <c r="M23" i="1" s="1"/>
  <c r="N22" i="1"/>
  <c r="J22" i="1"/>
  <c r="H22" i="1"/>
  <c r="G22" i="1"/>
  <c r="S22" i="1" s="1"/>
  <c r="G17" i="1"/>
  <c r="Y20" i="1"/>
  <c r="U20" i="1"/>
  <c r="S20" i="1"/>
  <c r="Q20" i="1"/>
  <c r="N20" i="1"/>
  <c r="M20" i="1"/>
  <c r="K20" i="1"/>
  <c r="I20" i="1"/>
  <c r="Y9" i="1"/>
  <c r="U9" i="1"/>
  <c r="S9" i="1"/>
  <c r="Q9" i="1"/>
  <c r="O9" i="1"/>
  <c r="M9" i="1"/>
  <c r="K9" i="1"/>
  <c r="H9" i="1"/>
  <c r="Y8" i="1"/>
  <c r="U8" i="1"/>
  <c r="S8" i="1"/>
  <c r="Q8" i="1"/>
  <c r="O8" i="1"/>
  <c r="M8" i="1"/>
  <c r="K8" i="1"/>
  <c r="I8" i="1"/>
  <c r="Y7" i="1"/>
  <c r="U7" i="1"/>
  <c r="S7" i="1"/>
  <c r="Q7" i="1"/>
  <c r="O7" i="1"/>
  <c r="M7" i="1"/>
  <c r="K7" i="1"/>
  <c r="I7" i="1"/>
  <c r="P6" i="1"/>
  <c r="N6" i="1"/>
  <c r="J6" i="1"/>
  <c r="G6" i="1"/>
  <c r="P5" i="1"/>
  <c r="N5" i="1"/>
  <c r="J5" i="1"/>
  <c r="G5" i="1"/>
  <c r="S15" i="1" l="1"/>
  <c r="Q24" i="1"/>
  <c r="O20" i="1"/>
  <c r="Y28" i="1"/>
  <c r="I9" i="1"/>
  <c r="U17" i="1"/>
  <c r="Y15" i="1"/>
  <c r="K29" i="1"/>
  <c r="K28" i="1"/>
  <c r="I24" i="1"/>
  <c r="I22" i="1"/>
  <c r="K24" i="1"/>
  <c r="K22" i="1"/>
  <c r="I23" i="1"/>
  <c r="U23" i="1"/>
  <c r="M15" i="1"/>
  <c r="U24" i="1"/>
  <c r="O28" i="1"/>
  <c r="K23" i="1"/>
  <c r="Y24" i="1"/>
  <c r="Y22" i="1"/>
  <c r="Q15" i="1"/>
  <c r="U22" i="1"/>
  <c r="S23" i="1"/>
  <c r="K15" i="1"/>
  <c r="O24" i="1"/>
  <c r="I29" i="1"/>
  <c r="O23" i="1"/>
  <c r="O15" i="1"/>
  <c r="U15" i="1"/>
  <c r="Q28" i="1"/>
  <c r="O22" i="1"/>
  <c r="Q23" i="1"/>
  <c r="I15" i="1"/>
  <c r="Y5" i="1"/>
  <c r="U5" i="1"/>
  <c r="O5" i="1"/>
  <c r="Y6" i="1"/>
  <c r="U6" i="1"/>
  <c r="O6" i="1"/>
  <c r="I5" i="1"/>
  <c r="I6" i="1"/>
  <c r="S17" i="1"/>
  <c r="K17" i="1"/>
  <c r="Q17" i="1"/>
  <c r="I17" i="1"/>
  <c r="Y17" i="1"/>
  <c r="K5" i="1"/>
  <c r="Q5" i="1"/>
  <c r="K6" i="1"/>
  <c r="Q6" i="1"/>
  <c r="M17" i="1"/>
  <c r="M5" i="1"/>
  <c r="S5" i="1"/>
  <c r="M6" i="1"/>
  <c r="S6" i="1"/>
  <c r="O17" i="1"/>
  <c r="Y29" i="1"/>
  <c r="U29" i="1"/>
  <c r="S29" i="1"/>
  <c r="M29" i="1"/>
  <c r="O29" i="1"/>
  <c r="M28" i="1"/>
  <c r="S28" i="1"/>
  <c r="Q22" i="1"/>
  <c r="Y23" i="1"/>
  <c r="I28" i="1"/>
  <c r="U28" i="1"/>
  <c r="M22" i="1"/>
  <c r="M24" i="1"/>
</calcChain>
</file>

<file path=xl/sharedStrings.xml><?xml version="1.0" encoding="utf-8"?>
<sst xmlns="http://schemas.openxmlformats.org/spreadsheetml/2006/main" count="318" uniqueCount="150">
  <si>
    <t>MBW (%TL)</t>
  </si>
  <si>
    <t>Max Body Depth</t>
  </si>
  <si>
    <t>MBD (%TL)</t>
  </si>
  <si>
    <t>Head Length</t>
  </si>
  <si>
    <t>HeadL (% of TL)</t>
  </si>
  <si>
    <t>Head Width</t>
  </si>
  <si>
    <t>HeadW (%TL)</t>
  </si>
  <si>
    <t>Head Depth</t>
  </si>
  <si>
    <t>HeadD (%TL)</t>
  </si>
  <si>
    <t>CP Depth</t>
  </si>
  <si>
    <t>CPD (%TL)</t>
  </si>
  <si>
    <t>Swim Bladder Length</t>
  </si>
  <si>
    <t>Swim Bladder Depth</t>
  </si>
  <si>
    <t>Postanal Depth</t>
  </si>
  <si>
    <t>PostADepth (%TL)</t>
  </si>
  <si>
    <t>Ruffe</t>
  </si>
  <si>
    <t>NA</t>
  </si>
  <si>
    <t>Myomeres</t>
  </si>
  <si>
    <t>Preanal</t>
  </si>
  <si>
    <t>Postanal</t>
  </si>
  <si>
    <t>Total</t>
  </si>
  <si>
    <t>(% of TL)</t>
  </si>
  <si>
    <t>Max Body</t>
  </si>
  <si>
    <t>Width</t>
  </si>
  <si>
    <t>Length</t>
  </si>
  <si>
    <t>Stage</t>
  </si>
  <si>
    <t>Devlopment</t>
  </si>
  <si>
    <t>yolksac</t>
  </si>
  <si>
    <t>preflexion</t>
  </si>
  <si>
    <t>SLRE_RP_009</t>
  </si>
  <si>
    <t>SLRE_RP_010</t>
  </si>
  <si>
    <t>SLRE_RP_012</t>
  </si>
  <si>
    <t>SLRE_RP_017</t>
  </si>
  <si>
    <t>SLRE_RP_018</t>
  </si>
  <si>
    <t>SLRE_RP_001</t>
  </si>
  <si>
    <t>SLRE_RP_003</t>
  </si>
  <si>
    <t>SLRE_RP_004</t>
  </si>
  <si>
    <t>SLRE_RP_005</t>
  </si>
  <si>
    <t>SLRE_RP_006</t>
  </si>
  <si>
    <t>SLRE_RP_008</t>
  </si>
  <si>
    <t>SLRE_RP_011</t>
  </si>
  <si>
    <t>SLRE_RP_013</t>
  </si>
  <si>
    <t>SLRE_RP_014</t>
  </si>
  <si>
    <t>SLRE_RP_020</t>
  </si>
  <si>
    <t>SLRE_RP_026</t>
  </si>
  <si>
    <t>SLRE_RP_027</t>
  </si>
  <si>
    <t>SLRE_RP_021</t>
  </si>
  <si>
    <t>SLRE_RP_022</t>
  </si>
  <si>
    <t>SLRE_RP_024</t>
  </si>
  <si>
    <t>SLRE_RP_031</t>
  </si>
  <si>
    <t>SLRE_RP_032</t>
  </si>
  <si>
    <t>SLRE_RP_033</t>
  </si>
  <si>
    <t>SLRE_RP_034</t>
  </si>
  <si>
    <t>SLRE_RP_035</t>
  </si>
  <si>
    <t>SLRE_RP_036</t>
  </si>
  <si>
    <t>SLRE_RP_037</t>
  </si>
  <si>
    <t>SLRE_RP_038</t>
  </si>
  <si>
    <t>SLRE_RP_039</t>
  </si>
  <si>
    <t>SLRE_RP_040</t>
  </si>
  <si>
    <t>SLRE_RP_041</t>
  </si>
  <si>
    <t>SLRE_RP_042</t>
  </si>
  <si>
    <t>SLRE_RP_043</t>
  </si>
  <si>
    <t>SLRE_RP_044</t>
  </si>
  <si>
    <t>SLRE_RP_045</t>
  </si>
  <si>
    <t>SLRE_RP_047</t>
  </si>
  <si>
    <t>Indiv. fish code</t>
  </si>
  <si>
    <t>Common name</t>
  </si>
  <si>
    <t>species name</t>
  </si>
  <si>
    <t>Morphological / DNA ID</t>
  </si>
  <si>
    <t>Black crappie</t>
  </si>
  <si>
    <t>Johnny darter</t>
  </si>
  <si>
    <t>Pumpkinseed</t>
  </si>
  <si>
    <t>Pomoxis nigromaculatis</t>
  </si>
  <si>
    <t>Gymnocephalus cernua</t>
  </si>
  <si>
    <t>Etheostma nigrum</t>
  </si>
  <si>
    <t>Lepomis gibbosus</t>
  </si>
  <si>
    <t>For further information about the data, please consult the author information.</t>
  </si>
  <si>
    <t xml:space="preserve">Morphological measurements made on individual fish.  </t>
  </si>
  <si>
    <t>Preanal Myomeres</t>
  </si>
  <si>
    <t>Postanal Myomeres</t>
  </si>
  <si>
    <t>Preanal Length</t>
  </si>
  <si>
    <t>Preanal length (% of TL)</t>
  </si>
  <si>
    <t>Max Body Width</t>
  </si>
  <si>
    <t>E</t>
  </si>
  <si>
    <t>S</t>
  </si>
  <si>
    <t>T</t>
  </si>
  <si>
    <t>X</t>
  </si>
  <si>
    <t>W</t>
  </si>
  <si>
    <t>D</t>
  </si>
  <si>
    <t>A</t>
  </si>
  <si>
    <t>I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</si>
  <si>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</si>
  <si>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</si>
  <si>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</si>
  <si>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</si>
  <si>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</si>
  <si>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</si>
  <si>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</si>
  <si>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</si>
  <si>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</si>
  <si>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</si>
  <si>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</si>
  <si>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</si>
  <si>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U</t>
  </si>
  <si>
    <t>V</t>
  </si>
  <si>
    <t>Y</t>
  </si>
  <si>
    <t>Column</t>
  </si>
  <si>
    <t>Heading</t>
  </si>
  <si>
    <t>Units</t>
  </si>
  <si>
    <t>counts</t>
  </si>
  <si>
    <t>mm</t>
  </si>
  <si>
    <t>text</t>
  </si>
  <si>
    <t>B</t>
  </si>
  <si>
    <t>C</t>
  </si>
  <si>
    <t>description</t>
  </si>
  <si>
    <t>Scientific name</t>
  </si>
  <si>
    <t>fish species name</t>
  </si>
  <si>
    <t xml:space="preserve">larval development stage (as described in Kendall et al., 1984) </t>
  </si>
  <si>
    <t>Total Length (TL)</t>
  </si>
  <si>
    <t>Column H result as a percent of total length (column G)</t>
  </si>
  <si>
    <t>Column J result as a percent of total length (column G)</t>
  </si>
  <si>
    <t>Column L result as a percent of total length (column G)</t>
  </si>
  <si>
    <t>Column N result as a percent of total length (column G)</t>
  </si>
  <si>
    <t>Column P result as a percent of total length (column G)</t>
  </si>
  <si>
    <t>Column R result as a percent of total length (column G)</t>
  </si>
  <si>
    <t>Column T result as a percent of total length (column G)</t>
  </si>
  <si>
    <t>Column X result as a percent of total length (column G)</t>
  </si>
  <si>
    <t>Dorsal view; measure of maximum width</t>
  </si>
  <si>
    <t>Description:  Morphological measurements made on images of individual fish specimens using Nikon NIS-Elements D4.30.01 software</t>
  </si>
  <si>
    <t>measurement from anterior margin of snout to posterior margin of caudal fin</t>
  </si>
  <si>
    <t>measurement from anterior margin of snout to posterior margin of vent.</t>
  </si>
  <si>
    <t xml:space="preserve">Myomeres fully or partially anterior to poster margin of vent </t>
  </si>
  <si>
    <t>Myomeres fully posterior to posterior margin of vent</t>
  </si>
  <si>
    <t>lengthwise measurement from anterior margin of snout to origin of pectoral fin</t>
  </si>
  <si>
    <t>Lateral view; measure of maximum depth (includes yolk sac if present)</t>
  </si>
  <si>
    <t>Lateral view; measure of body depth at posterior margin of vent</t>
  </si>
  <si>
    <t>Lateral view; measure of head depth at posterior margin of eye</t>
  </si>
  <si>
    <t>Dorsal view; measure of head width at posterior margin of eye</t>
  </si>
  <si>
    <t>unique identifier for individual larval fish specimen</t>
  </si>
  <si>
    <t>maximum length of swim bladder if present</t>
  </si>
  <si>
    <t>maximum depth of swim bladder if present</t>
  </si>
  <si>
    <t>lateral view; depth measure at anterior margin of caudal fin</t>
  </si>
  <si>
    <t>Source:  Data generated by authors</t>
  </si>
  <si>
    <t>This document was created as a general overview to the data set in this file.</t>
  </si>
  <si>
    <t xml:space="preserve">The data provided in the file are measurements (and calculations) of various morphological characteristics made on individual larval fish specimens. </t>
  </si>
  <si>
    <t>regarding morphological descriptions.  Journal of Great lakes Research 43:  205-210.</t>
  </si>
  <si>
    <t xml:space="preserve">Peterson and Lietz (2017).  Identification of ruffe larvae (Gymnocephalus cernua) in the St. Louis River, Lake Superior: Clarification and guidance </t>
  </si>
  <si>
    <t>These data were analyzed and submitted for publication with the reference:</t>
  </si>
  <si>
    <t>The following two tabs include 1) Metadata, and 2) the datafile.</t>
  </si>
  <si>
    <t>dataset name:  RuffeID_Morph_measure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</si>
</sst>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1" fillId="0" borderId="0" xfId="0" applyFont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/>
    <xf numFmtId="0" fontId="0" fillId="0" borderId="0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7" sqref="A17"/>
    </sheetView>
  </sheetViews>
  <sheetFormatPr defaultRowHeight="15" x14ac:dyDescent="0.25"/>
  <cols>
    <col min="1" max="1" width="160" customWidth="1"/>
  </cols>
  <sheetData>
    <row r="1" spans="1:1" s="29" customFormat="1" ht="20.100000000000001" customHeight="1" x14ac:dyDescent="0.3">
      <c r="A1" s="29" t="s">
        <v>143</v>
      </c>
    </row>
    <row r="2" spans="1:1" s="29" customFormat="1" ht="20.100000000000001" customHeight="1" x14ac:dyDescent="0.3">
      <c r="A2" s="29" t="s">
        <v>148</v>
      </c>
    </row>
    <row r="3" spans="1:1" s="29" customFormat="1" ht="20.100000000000001" customHeight="1" x14ac:dyDescent="0.3"/>
    <row r="4" spans="1:1" s="29" customFormat="1" ht="20.100000000000001" customHeight="1" x14ac:dyDescent="0.3">
      <c r="A4" s="29" t="s">
        <v>147</v>
      </c>
    </row>
    <row r="5" spans="1:1" s="29" customFormat="1" ht="20.100000000000001" customHeight="1" x14ac:dyDescent="0.3">
      <c r="A5" s="30" t="s">
        <v>146</v>
      </c>
    </row>
    <row r="6" spans="1:1" s="29" customFormat="1" ht="20.100000000000001" customHeight="1" x14ac:dyDescent="0.3">
      <c r="A6" s="29" t="s">
        <v>145</v>
      </c>
    </row>
    <row r="7" spans="1:1" s="29" customFormat="1" ht="20.100000000000001" customHeight="1" x14ac:dyDescent="0.3"/>
    <row r="8" spans="1:1" s="29" customFormat="1" ht="20.100000000000001" customHeight="1" x14ac:dyDescent="0.3">
      <c r="A8" s="29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G4" sqref="G4"/>
    </sheetView>
  </sheetViews>
  <sheetFormatPr defaultRowHeight="15" x14ac:dyDescent="0.25"/>
  <cols>
    <col min="1" max="1" width="7.85546875" style="20" customWidth="1"/>
    <col min="2" max="2" width="22.140625" customWidth="1"/>
    <col min="3" max="3" width="10.140625" customWidth="1"/>
  </cols>
  <sheetData>
    <row r="1" spans="1:5" s="9" customFormat="1" ht="20.100000000000001" customHeight="1" x14ac:dyDescent="0.3">
      <c r="A1" s="28" t="s">
        <v>144</v>
      </c>
    </row>
    <row r="2" spans="1:5" s="9" customFormat="1" ht="20.100000000000001" customHeight="1" x14ac:dyDescent="0.25"/>
    <row r="3" spans="1:5" ht="20.100000000000001" customHeight="1" x14ac:dyDescent="0.3">
      <c r="A3" s="28" t="s">
        <v>149</v>
      </c>
    </row>
    <row r="4" spans="1:5" ht="20.100000000000001" customHeight="1" x14ac:dyDescent="0.3">
      <c r="A4" s="28" t="s">
        <v>128</v>
      </c>
    </row>
    <row r="5" spans="1:5" ht="20.100000000000001" customHeight="1" x14ac:dyDescent="0.3">
      <c r="A5" s="28" t="s">
        <v>142</v>
      </c>
    </row>
    <row r="7" spans="1:5" ht="15.75" thickBot="1" x14ac:dyDescent="0.3">
      <c r="A7" s="27" t="s">
        <v>106</v>
      </c>
      <c r="B7" s="15" t="s">
        <v>107</v>
      </c>
      <c r="C7" s="15" t="s">
        <v>108</v>
      </c>
      <c r="D7" s="15" t="s">
        <v>114</v>
      </c>
      <c r="E7" s="18"/>
    </row>
    <row r="8" spans="1:5" ht="15.75" thickTop="1" x14ac:dyDescent="0.25">
      <c r="A8" s="13" t="s">
        <v>89</v>
      </c>
      <c r="B8" s="25" t="s">
        <v>65</v>
      </c>
      <c r="C8" s="26" t="s">
        <v>111</v>
      </c>
      <c r="D8" t="s">
        <v>138</v>
      </c>
    </row>
    <row r="9" spans="1:5" x14ac:dyDescent="0.25">
      <c r="A9" s="13" t="s">
        <v>112</v>
      </c>
      <c r="B9" s="22" t="s">
        <v>66</v>
      </c>
      <c r="C9" s="26" t="s">
        <v>111</v>
      </c>
      <c r="D9" t="s">
        <v>116</v>
      </c>
    </row>
    <row r="10" spans="1:5" x14ac:dyDescent="0.25">
      <c r="A10" s="13" t="s">
        <v>113</v>
      </c>
      <c r="B10" s="22" t="s">
        <v>67</v>
      </c>
      <c r="C10" s="26" t="s">
        <v>111</v>
      </c>
      <c r="D10" t="s">
        <v>115</v>
      </c>
    </row>
    <row r="11" spans="1:5" x14ac:dyDescent="0.25">
      <c r="A11" s="13" t="s">
        <v>88</v>
      </c>
      <c r="B11" s="22" t="s">
        <v>25</v>
      </c>
      <c r="C11" s="26" t="s">
        <v>111</v>
      </c>
      <c r="D11" t="s">
        <v>117</v>
      </c>
    </row>
    <row r="12" spans="1:5" x14ac:dyDescent="0.25">
      <c r="A12" s="13" t="s">
        <v>83</v>
      </c>
      <c r="B12" s="22" t="s">
        <v>78</v>
      </c>
      <c r="C12" t="s">
        <v>109</v>
      </c>
      <c r="D12" t="s">
        <v>131</v>
      </c>
    </row>
    <row r="13" spans="1:5" x14ac:dyDescent="0.25">
      <c r="A13" s="13" t="s">
        <v>91</v>
      </c>
      <c r="B13" s="22" t="s">
        <v>79</v>
      </c>
      <c r="C13" t="s">
        <v>109</v>
      </c>
      <c r="D13" t="s">
        <v>132</v>
      </c>
    </row>
    <row r="14" spans="1:5" x14ac:dyDescent="0.25">
      <c r="A14" s="13" t="s">
        <v>92</v>
      </c>
      <c r="B14" s="23" t="s">
        <v>118</v>
      </c>
      <c r="C14" t="s">
        <v>110</v>
      </c>
      <c r="D14" t="s">
        <v>129</v>
      </c>
    </row>
    <row r="15" spans="1:5" x14ac:dyDescent="0.25">
      <c r="A15" s="13" t="s">
        <v>93</v>
      </c>
      <c r="B15" s="23" t="s">
        <v>80</v>
      </c>
      <c r="C15" t="s">
        <v>110</v>
      </c>
      <c r="D15" t="s">
        <v>130</v>
      </c>
    </row>
    <row r="16" spans="1:5" x14ac:dyDescent="0.25">
      <c r="A16" s="13" t="s">
        <v>90</v>
      </c>
      <c r="B16" s="23" t="s">
        <v>81</v>
      </c>
      <c r="C16" t="s">
        <v>21</v>
      </c>
      <c r="D16" t="s">
        <v>119</v>
      </c>
    </row>
    <row r="17" spans="1:4" x14ac:dyDescent="0.25">
      <c r="A17" s="21" t="s">
        <v>94</v>
      </c>
      <c r="B17" s="23" t="s">
        <v>82</v>
      </c>
      <c r="C17" t="s">
        <v>110</v>
      </c>
      <c r="D17" t="s">
        <v>127</v>
      </c>
    </row>
    <row r="18" spans="1:4" x14ac:dyDescent="0.25">
      <c r="A18" s="13" t="s">
        <v>95</v>
      </c>
      <c r="B18" s="23" t="s">
        <v>0</v>
      </c>
      <c r="C18" t="s">
        <v>21</v>
      </c>
      <c r="D18" t="s">
        <v>120</v>
      </c>
    </row>
    <row r="19" spans="1:4" x14ac:dyDescent="0.25">
      <c r="A19" s="13" t="s">
        <v>96</v>
      </c>
      <c r="B19" s="23" t="s">
        <v>1</v>
      </c>
      <c r="C19" t="s">
        <v>110</v>
      </c>
      <c r="D19" t="s">
        <v>134</v>
      </c>
    </row>
    <row r="20" spans="1:4" x14ac:dyDescent="0.25">
      <c r="A20" s="13" t="s">
        <v>97</v>
      </c>
      <c r="B20" s="23" t="s">
        <v>2</v>
      </c>
      <c r="C20" t="s">
        <v>21</v>
      </c>
      <c r="D20" t="s">
        <v>121</v>
      </c>
    </row>
    <row r="21" spans="1:4" x14ac:dyDescent="0.25">
      <c r="A21" s="13" t="s">
        <v>98</v>
      </c>
      <c r="B21" s="23" t="s">
        <v>3</v>
      </c>
      <c r="C21" t="s">
        <v>110</v>
      </c>
      <c r="D21" t="s">
        <v>133</v>
      </c>
    </row>
    <row r="22" spans="1:4" x14ac:dyDescent="0.25">
      <c r="A22" s="13" t="s">
        <v>99</v>
      </c>
      <c r="B22" s="23" t="s">
        <v>4</v>
      </c>
      <c r="C22" t="s">
        <v>21</v>
      </c>
      <c r="D22" t="s">
        <v>122</v>
      </c>
    </row>
    <row r="23" spans="1:4" x14ac:dyDescent="0.25">
      <c r="A23" s="13" t="s">
        <v>100</v>
      </c>
      <c r="B23" s="23" t="s">
        <v>5</v>
      </c>
      <c r="C23" t="s">
        <v>110</v>
      </c>
      <c r="D23" t="s">
        <v>137</v>
      </c>
    </row>
    <row r="24" spans="1:4" x14ac:dyDescent="0.25">
      <c r="A24" s="13" t="s">
        <v>101</v>
      </c>
      <c r="B24" s="23" t="s">
        <v>6</v>
      </c>
      <c r="C24" t="s">
        <v>21</v>
      </c>
      <c r="D24" t="s">
        <v>123</v>
      </c>
    </row>
    <row r="25" spans="1:4" x14ac:dyDescent="0.25">
      <c r="A25" s="13" t="s">
        <v>102</v>
      </c>
      <c r="B25" s="23" t="s">
        <v>7</v>
      </c>
      <c r="C25" t="s">
        <v>110</v>
      </c>
      <c r="D25" t="s">
        <v>136</v>
      </c>
    </row>
    <row r="26" spans="1:4" x14ac:dyDescent="0.25">
      <c r="A26" s="13" t="s">
        <v>84</v>
      </c>
      <c r="B26" s="23" t="s">
        <v>8</v>
      </c>
      <c r="C26" t="s">
        <v>21</v>
      </c>
      <c r="D26" t="s">
        <v>124</v>
      </c>
    </row>
    <row r="27" spans="1:4" x14ac:dyDescent="0.25">
      <c r="A27" s="13" t="s">
        <v>85</v>
      </c>
      <c r="B27" s="23" t="s">
        <v>9</v>
      </c>
      <c r="C27" t="s">
        <v>110</v>
      </c>
      <c r="D27" t="s">
        <v>141</v>
      </c>
    </row>
    <row r="28" spans="1:4" x14ac:dyDescent="0.25">
      <c r="A28" s="13" t="s">
        <v>103</v>
      </c>
      <c r="B28" s="23" t="s">
        <v>10</v>
      </c>
      <c r="C28" t="s">
        <v>21</v>
      </c>
      <c r="D28" t="s">
        <v>125</v>
      </c>
    </row>
    <row r="29" spans="1:4" x14ac:dyDescent="0.25">
      <c r="A29" s="13" t="s">
        <v>104</v>
      </c>
      <c r="B29" s="23" t="s">
        <v>11</v>
      </c>
      <c r="C29" t="s">
        <v>110</v>
      </c>
      <c r="D29" t="s">
        <v>139</v>
      </c>
    </row>
    <row r="30" spans="1:4" x14ac:dyDescent="0.25">
      <c r="A30" s="13" t="s">
        <v>87</v>
      </c>
      <c r="B30" s="22" t="s">
        <v>12</v>
      </c>
      <c r="C30" t="s">
        <v>110</v>
      </c>
      <c r="D30" t="s">
        <v>140</v>
      </c>
    </row>
    <row r="31" spans="1:4" x14ac:dyDescent="0.25">
      <c r="A31" s="13" t="s">
        <v>86</v>
      </c>
      <c r="B31" s="22" t="s">
        <v>13</v>
      </c>
      <c r="C31" t="s">
        <v>110</v>
      </c>
      <c r="D31" t="s">
        <v>135</v>
      </c>
    </row>
    <row r="32" spans="1:4" x14ac:dyDescent="0.25">
      <c r="A32" s="13" t="s">
        <v>105</v>
      </c>
      <c r="B32" s="22" t="s">
        <v>14</v>
      </c>
      <c r="C32" t="s">
        <v>21</v>
      </c>
      <c r="D32" t="s">
        <v>126</v>
      </c>
    </row>
    <row r="35" spans="2:2" x14ac:dyDescent="0.25">
      <c r="B35" s="24"/>
    </row>
    <row r="36" spans="2:2" x14ac:dyDescent="0.25">
      <c r="B36" s="19"/>
    </row>
    <row r="37" spans="2:2" x14ac:dyDescent="0.25">
      <c r="B37" s="19"/>
    </row>
    <row r="38" spans="2:2" x14ac:dyDescent="0.25">
      <c r="B38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>
      <selection activeCell="C28" sqref="C28"/>
    </sheetView>
  </sheetViews>
  <sheetFormatPr defaultRowHeight="15" x14ac:dyDescent="0.25"/>
  <cols>
    <col min="1" max="1" width="16" customWidth="1"/>
    <col min="2" max="2" width="14.5703125" customWidth="1"/>
    <col min="3" max="3" width="25" customWidth="1"/>
    <col min="4" max="4" width="11.85546875" customWidth="1"/>
    <col min="5" max="6" width="10.5703125" customWidth="1"/>
    <col min="7" max="7" width="11.140625" customWidth="1"/>
  </cols>
  <sheetData>
    <row r="1" spans="1:26" x14ac:dyDescent="0.25">
      <c r="A1" t="s">
        <v>77</v>
      </c>
    </row>
    <row r="3" spans="1:26" x14ac:dyDescent="0.25">
      <c r="B3" s="31" t="s">
        <v>68</v>
      </c>
      <c r="C3" s="31"/>
      <c r="D3" s="6" t="s">
        <v>26</v>
      </c>
      <c r="E3" s="6" t="s">
        <v>18</v>
      </c>
      <c r="F3" s="1" t="s">
        <v>19</v>
      </c>
      <c r="G3" s="6" t="s">
        <v>20</v>
      </c>
      <c r="H3" s="6" t="s">
        <v>18</v>
      </c>
      <c r="I3" s="6" t="s">
        <v>18</v>
      </c>
      <c r="J3" s="2" t="s">
        <v>22</v>
      </c>
    </row>
    <row r="4" spans="1:26" s="18" customFormat="1" ht="15.75" thickBot="1" x14ac:dyDescent="0.3">
      <c r="A4" s="15" t="s">
        <v>65</v>
      </c>
      <c r="B4" s="16" t="s">
        <v>66</v>
      </c>
      <c r="C4" s="16" t="s">
        <v>67</v>
      </c>
      <c r="D4" s="16" t="s">
        <v>25</v>
      </c>
      <c r="E4" s="16" t="s">
        <v>17</v>
      </c>
      <c r="F4" s="16" t="s">
        <v>17</v>
      </c>
      <c r="G4" s="17" t="s">
        <v>24</v>
      </c>
      <c r="H4" s="17" t="s">
        <v>24</v>
      </c>
      <c r="I4" s="17" t="s">
        <v>21</v>
      </c>
      <c r="J4" s="17" t="s">
        <v>23</v>
      </c>
      <c r="K4" s="17" t="s">
        <v>0</v>
      </c>
      <c r="L4" s="17" t="s">
        <v>1</v>
      </c>
      <c r="M4" s="17" t="s">
        <v>2</v>
      </c>
      <c r="N4" s="17" t="s">
        <v>3</v>
      </c>
      <c r="O4" s="17" t="s">
        <v>4</v>
      </c>
      <c r="P4" s="17" t="s">
        <v>5</v>
      </c>
      <c r="Q4" s="17" t="s">
        <v>6</v>
      </c>
      <c r="R4" s="17" t="s">
        <v>7</v>
      </c>
      <c r="S4" s="17" t="s">
        <v>8</v>
      </c>
      <c r="T4" s="17" t="s">
        <v>9</v>
      </c>
      <c r="U4" s="17" t="s">
        <v>10</v>
      </c>
      <c r="V4" s="17" t="s">
        <v>11</v>
      </c>
      <c r="W4" s="16" t="s">
        <v>12</v>
      </c>
      <c r="X4" s="16" t="s">
        <v>13</v>
      </c>
      <c r="Y4" s="16" t="s">
        <v>14</v>
      </c>
    </row>
    <row r="5" spans="1:26" ht="15.75" thickTop="1" x14ac:dyDescent="0.25">
      <c r="A5" s="7" t="s">
        <v>29</v>
      </c>
      <c r="B5" s="3" t="s">
        <v>69</v>
      </c>
      <c r="C5" s="14" t="s">
        <v>72</v>
      </c>
      <c r="D5" s="3" t="s">
        <v>28</v>
      </c>
      <c r="E5" s="3">
        <v>12</v>
      </c>
      <c r="F5" s="3">
        <v>22</v>
      </c>
      <c r="G5" s="4">
        <f>AVERAGE(4.66,4.72)</f>
        <v>4.6899999999999995</v>
      </c>
      <c r="H5" s="4">
        <v>1.89</v>
      </c>
      <c r="I5" s="4">
        <f t="shared" ref="I5:I18" si="0">(H5/G5)*100</f>
        <v>40.298507462686565</v>
      </c>
      <c r="J5" s="4">
        <f>AVERAGE(0.36,0.34)</f>
        <v>0.35</v>
      </c>
      <c r="K5" s="4">
        <f t="shared" ref="K5:K18" si="1">(J5/G5)*100</f>
        <v>7.4626865671641802</v>
      </c>
      <c r="L5" s="4">
        <v>0.51</v>
      </c>
      <c r="M5" s="4">
        <f t="shared" ref="M5:M18" si="2">(L5/G5)*100</f>
        <v>10.874200426439232</v>
      </c>
      <c r="N5" s="4">
        <f>AVERAGE(0.78,0.77)</f>
        <v>0.77500000000000002</v>
      </c>
      <c r="O5" s="4">
        <f t="shared" ref="O5:O18" si="3">(N5/G5)*100</f>
        <v>16.524520255863543</v>
      </c>
      <c r="P5" s="4">
        <f>AVERAGE(0.47,0.46)</f>
        <v>0.46499999999999997</v>
      </c>
      <c r="Q5" s="4">
        <f t="shared" ref="Q5:Q17" si="4">(P5/G5)*100</f>
        <v>9.9147121535181242</v>
      </c>
      <c r="R5" s="4">
        <v>0.65</v>
      </c>
      <c r="S5" s="4">
        <f t="shared" ref="S5:S18" si="5">(R5/G5)*100</f>
        <v>13.859275053304906</v>
      </c>
      <c r="T5" s="4">
        <v>0.14000000000000001</v>
      </c>
      <c r="U5" s="4">
        <f t="shared" ref="U5:U18" si="6">(T5/G5)*100</f>
        <v>2.9850746268656723</v>
      </c>
      <c r="V5" s="4">
        <v>0.36</v>
      </c>
      <c r="W5" s="4">
        <v>0.28000000000000003</v>
      </c>
      <c r="X5" s="3">
        <v>0.27</v>
      </c>
      <c r="Y5" s="4">
        <f t="shared" ref="Y5:Y18" si="7">(X5/G5)*100</f>
        <v>5.7569296375266532</v>
      </c>
    </row>
    <row r="6" spans="1:26" x14ac:dyDescent="0.25">
      <c r="A6" s="7" t="s">
        <v>30</v>
      </c>
      <c r="B6" s="3" t="s">
        <v>69</v>
      </c>
      <c r="C6" s="14" t="s">
        <v>72</v>
      </c>
      <c r="D6" s="3" t="s">
        <v>28</v>
      </c>
      <c r="E6" s="3">
        <v>12</v>
      </c>
      <c r="F6" s="3">
        <v>21</v>
      </c>
      <c r="G6" s="4">
        <f>AVERAGE(4.4,4.4,4.46)</f>
        <v>4.4200000000000008</v>
      </c>
      <c r="H6" s="4">
        <v>1.63</v>
      </c>
      <c r="I6" s="4">
        <f t="shared" si="0"/>
        <v>36.877828054298632</v>
      </c>
      <c r="J6" s="4">
        <f>AVERAGE(0.38,0.32)</f>
        <v>0.35</v>
      </c>
      <c r="K6" s="4">
        <f t="shared" si="1"/>
        <v>7.9185520361990935</v>
      </c>
      <c r="L6" s="4">
        <v>0.59</v>
      </c>
      <c r="M6" s="4">
        <f t="shared" si="2"/>
        <v>13.348416289592757</v>
      </c>
      <c r="N6" s="4">
        <f>AVERAGE(0.75,0.73)</f>
        <v>0.74</v>
      </c>
      <c r="O6" s="4">
        <f t="shared" si="3"/>
        <v>16.742081447963798</v>
      </c>
      <c r="P6" s="4">
        <f>AVERAGE(0.47,0.43)</f>
        <v>0.44999999999999996</v>
      </c>
      <c r="Q6" s="4">
        <f t="shared" si="4"/>
        <v>10.18099547511312</v>
      </c>
      <c r="R6" s="4">
        <v>0.7</v>
      </c>
      <c r="S6" s="4">
        <f t="shared" si="5"/>
        <v>15.837104072398187</v>
      </c>
      <c r="T6" s="4">
        <v>0.15</v>
      </c>
      <c r="U6" s="4">
        <f t="shared" si="6"/>
        <v>3.3936651583710398</v>
      </c>
      <c r="V6" s="4">
        <v>0.4</v>
      </c>
      <c r="W6" s="4">
        <v>0.28000000000000003</v>
      </c>
      <c r="X6" s="3">
        <v>0.25</v>
      </c>
      <c r="Y6" s="4">
        <f t="shared" si="7"/>
        <v>5.6561085972850664</v>
      </c>
    </row>
    <row r="7" spans="1:26" x14ac:dyDescent="0.25">
      <c r="A7" s="7" t="s">
        <v>31</v>
      </c>
      <c r="B7" s="3" t="s">
        <v>69</v>
      </c>
      <c r="C7" s="14" t="s">
        <v>72</v>
      </c>
      <c r="D7" s="3" t="s">
        <v>28</v>
      </c>
      <c r="E7" s="3">
        <v>12</v>
      </c>
      <c r="F7" s="3">
        <v>22</v>
      </c>
      <c r="G7" s="4">
        <v>4.91</v>
      </c>
      <c r="H7" s="4">
        <v>1.87</v>
      </c>
      <c r="I7" s="4">
        <f t="shared" si="0"/>
        <v>38.085539714867615</v>
      </c>
      <c r="J7" s="4">
        <v>0.35</v>
      </c>
      <c r="K7" s="4">
        <f t="shared" si="1"/>
        <v>7.1283095723014247</v>
      </c>
      <c r="L7" s="4">
        <v>0.57999999999999996</v>
      </c>
      <c r="M7" s="4">
        <f t="shared" si="2"/>
        <v>11.812627291242361</v>
      </c>
      <c r="N7" s="4">
        <v>0.84</v>
      </c>
      <c r="O7" s="4">
        <f t="shared" si="3"/>
        <v>17.107942973523421</v>
      </c>
      <c r="P7" s="4">
        <v>0.57999999999999996</v>
      </c>
      <c r="Q7" s="4">
        <f t="shared" si="4"/>
        <v>11.812627291242361</v>
      </c>
      <c r="R7" s="4">
        <v>0.67</v>
      </c>
      <c r="S7" s="4">
        <f t="shared" si="5"/>
        <v>13.645621181262729</v>
      </c>
      <c r="T7" s="4">
        <v>0.19</v>
      </c>
      <c r="U7" s="4">
        <f t="shared" si="6"/>
        <v>3.8696537678207736</v>
      </c>
      <c r="V7" s="4">
        <v>0.41</v>
      </c>
      <c r="W7" s="4">
        <v>0.3</v>
      </c>
      <c r="X7" s="3">
        <v>0.3</v>
      </c>
      <c r="Y7" s="4">
        <f t="shared" si="7"/>
        <v>6.1099796334012222</v>
      </c>
    </row>
    <row r="8" spans="1:26" x14ac:dyDescent="0.25">
      <c r="A8" s="7" t="s">
        <v>32</v>
      </c>
      <c r="B8" s="3" t="s">
        <v>69</v>
      </c>
      <c r="C8" s="14" t="s">
        <v>72</v>
      </c>
      <c r="D8" s="3" t="s">
        <v>28</v>
      </c>
      <c r="E8" s="5">
        <v>11</v>
      </c>
      <c r="F8" s="3">
        <v>21</v>
      </c>
      <c r="G8" s="4">
        <v>4.7300000000000004</v>
      </c>
      <c r="H8" s="4">
        <v>1.71</v>
      </c>
      <c r="I8" s="4">
        <f t="shared" si="0"/>
        <v>36.152219873150102</v>
      </c>
      <c r="J8" s="4">
        <v>0.32</v>
      </c>
      <c r="K8" s="4">
        <f t="shared" si="1"/>
        <v>6.7653276955602522</v>
      </c>
      <c r="L8" s="4">
        <v>0.55000000000000004</v>
      </c>
      <c r="M8" s="4">
        <f t="shared" si="2"/>
        <v>11.627906976744185</v>
      </c>
      <c r="N8" s="4">
        <v>0.78</v>
      </c>
      <c r="O8" s="4">
        <f t="shared" si="3"/>
        <v>16.490486257928115</v>
      </c>
      <c r="P8" s="4">
        <v>0.41</v>
      </c>
      <c r="Q8" s="4">
        <f t="shared" si="4"/>
        <v>8.6680761099365728</v>
      </c>
      <c r="R8" s="4">
        <v>0.63</v>
      </c>
      <c r="S8" s="4">
        <f t="shared" si="5"/>
        <v>13.319238900634248</v>
      </c>
      <c r="T8" s="4">
        <v>0.12</v>
      </c>
      <c r="U8" s="4">
        <f t="shared" si="6"/>
        <v>2.5369978858350946</v>
      </c>
      <c r="V8" s="4">
        <v>0.42</v>
      </c>
      <c r="W8" s="4">
        <v>0.2</v>
      </c>
      <c r="X8" s="3">
        <v>0.27</v>
      </c>
      <c r="Y8" s="4">
        <f t="shared" si="7"/>
        <v>5.7082452431289639</v>
      </c>
    </row>
    <row r="9" spans="1:26" x14ac:dyDescent="0.25">
      <c r="A9" s="7" t="s">
        <v>33</v>
      </c>
      <c r="B9" s="3" t="s">
        <v>69</v>
      </c>
      <c r="C9" s="14" t="s">
        <v>72</v>
      </c>
      <c r="D9" s="3" t="s">
        <v>28</v>
      </c>
      <c r="E9" s="3">
        <v>11</v>
      </c>
      <c r="F9" s="3">
        <v>21</v>
      </c>
      <c r="G9" s="4">
        <v>5.13</v>
      </c>
      <c r="H9" s="4">
        <f>AVERAGE(1.94,1.8)</f>
        <v>1.87</v>
      </c>
      <c r="I9" s="4">
        <f t="shared" si="0"/>
        <v>36.452241715399616</v>
      </c>
      <c r="J9" s="4">
        <v>0.38</v>
      </c>
      <c r="K9" s="4">
        <f t="shared" si="1"/>
        <v>7.4074074074074066</v>
      </c>
      <c r="L9" s="4">
        <v>0.77</v>
      </c>
      <c r="M9" s="4">
        <f t="shared" si="2"/>
        <v>15.009746588693959</v>
      </c>
      <c r="N9" s="4">
        <v>0.79</v>
      </c>
      <c r="O9" s="4">
        <f t="shared" si="3"/>
        <v>15.399610136452244</v>
      </c>
      <c r="P9" s="4">
        <v>0.51</v>
      </c>
      <c r="Q9" s="4">
        <f t="shared" si="4"/>
        <v>9.9415204678362574</v>
      </c>
      <c r="R9" s="4">
        <v>0.77</v>
      </c>
      <c r="S9" s="4">
        <f t="shared" si="5"/>
        <v>15.009746588693959</v>
      </c>
      <c r="T9" s="4">
        <v>0.21</v>
      </c>
      <c r="U9" s="4">
        <f t="shared" si="6"/>
        <v>4.0935672514619883</v>
      </c>
      <c r="V9" s="4">
        <v>0.46</v>
      </c>
      <c r="W9" s="4">
        <v>0.2</v>
      </c>
      <c r="X9" s="3">
        <v>0.3</v>
      </c>
      <c r="Y9" s="4">
        <f t="shared" si="7"/>
        <v>5.8479532163742682</v>
      </c>
    </row>
    <row r="10" spans="1:26" x14ac:dyDescent="0.25">
      <c r="A10" t="s">
        <v>55</v>
      </c>
      <c r="B10" s="3" t="s">
        <v>69</v>
      </c>
      <c r="C10" s="14" t="s">
        <v>72</v>
      </c>
      <c r="D10" s="3" t="s">
        <v>27</v>
      </c>
      <c r="E10" s="3">
        <v>12</v>
      </c>
      <c r="F10" s="3">
        <v>22</v>
      </c>
      <c r="G10" s="4">
        <v>4.3899999999999997</v>
      </c>
      <c r="H10" s="4">
        <v>1.7</v>
      </c>
      <c r="I10" s="4">
        <f t="shared" si="0"/>
        <v>38.724373576309794</v>
      </c>
      <c r="J10" s="4">
        <v>0.31</v>
      </c>
      <c r="K10" s="4">
        <f t="shared" si="1"/>
        <v>7.0615034168564916</v>
      </c>
      <c r="L10" s="4">
        <v>0.5</v>
      </c>
      <c r="M10" s="4">
        <f t="shared" si="2"/>
        <v>11.389521640091118</v>
      </c>
      <c r="N10" s="4">
        <v>0.67</v>
      </c>
      <c r="O10" s="4">
        <f t="shared" si="3"/>
        <v>15.261958997722097</v>
      </c>
      <c r="P10" s="4">
        <v>0.4</v>
      </c>
      <c r="Q10" s="4">
        <f t="shared" si="4"/>
        <v>9.1116173120728927</v>
      </c>
      <c r="R10" s="4">
        <v>0.61</v>
      </c>
      <c r="S10" s="4">
        <f t="shared" si="5"/>
        <v>13.895216400911162</v>
      </c>
      <c r="T10" s="4">
        <v>0.13</v>
      </c>
      <c r="U10" s="4">
        <f t="shared" si="6"/>
        <v>2.9612756264236904</v>
      </c>
      <c r="V10" s="4">
        <v>0.14000000000000001</v>
      </c>
      <c r="W10" s="4">
        <v>0.12</v>
      </c>
      <c r="X10" s="3">
        <v>0.31</v>
      </c>
      <c r="Y10" s="4">
        <f t="shared" si="7"/>
        <v>7.0615034168564916</v>
      </c>
    </row>
    <row r="11" spans="1:26" x14ac:dyDescent="0.25">
      <c r="A11" t="s">
        <v>56</v>
      </c>
      <c r="B11" s="3" t="s">
        <v>69</v>
      </c>
      <c r="C11" s="14" t="s">
        <v>72</v>
      </c>
      <c r="D11" s="3" t="s">
        <v>27</v>
      </c>
      <c r="E11" s="3">
        <v>12</v>
      </c>
      <c r="F11" s="3">
        <v>22</v>
      </c>
      <c r="G11" s="4">
        <v>4.32</v>
      </c>
      <c r="H11" s="4">
        <v>1.67</v>
      </c>
      <c r="I11" s="4">
        <f t="shared" si="0"/>
        <v>38.657407407407405</v>
      </c>
      <c r="J11" s="4">
        <v>0.44</v>
      </c>
      <c r="K11" s="4">
        <f t="shared" si="1"/>
        <v>10.185185185185185</v>
      </c>
      <c r="L11" s="4">
        <v>0.59</v>
      </c>
      <c r="M11" s="4">
        <f t="shared" si="2"/>
        <v>13.657407407407407</v>
      </c>
      <c r="N11" s="4">
        <v>0.66</v>
      </c>
      <c r="O11" s="4">
        <f t="shared" si="3"/>
        <v>15.277777777777777</v>
      </c>
      <c r="P11" s="4">
        <v>0.5</v>
      </c>
      <c r="Q11" s="4">
        <f t="shared" si="4"/>
        <v>11.574074074074073</v>
      </c>
      <c r="R11" s="4">
        <v>0.67</v>
      </c>
      <c r="S11" s="4">
        <f t="shared" si="5"/>
        <v>15.50925925925926</v>
      </c>
      <c r="T11" s="4">
        <v>0.16</v>
      </c>
      <c r="U11" s="4">
        <f t="shared" si="6"/>
        <v>3.7037037037037033</v>
      </c>
      <c r="V11" s="4">
        <v>0.21</v>
      </c>
      <c r="W11" s="4">
        <v>0.35</v>
      </c>
      <c r="X11" s="3">
        <v>0.27</v>
      </c>
      <c r="Y11" s="4">
        <f t="shared" si="7"/>
        <v>6.25</v>
      </c>
    </row>
    <row r="12" spans="1:26" x14ac:dyDescent="0.25">
      <c r="A12" t="s">
        <v>57</v>
      </c>
      <c r="B12" s="3" t="s">
        <v>69</v>
      </c>
      <c r="C12" s="14" t="s">
        <v>72</v>
      </c>
      <c r="D12" s="3" t="s">
        <v>27</v>
      </c>
      <c r="E12" s="3">
        <v>12</v>
      </c>
      <c r="F12" s="3">
        <v>23</v>
      </c>
      <c r="G12" s="4">
        <v>4.54</v>
      </c>
      <c r="H12" s="4">
        <v>1.83</v>
      </c>
      <c r="I12" s="4">
        <f t="shared" si="0"/>
        <v>40.308370044052865</v>
      </c>
      <c r="J12" s="4">
        <v>0.35</v>
      </c>
      <c r="K12" s="4">
        <f t="shared" si="1"/>
        <v>7.709251101321585</v>
      </c>
      <c r="L12" s="4">
        <v>0.59</v>
      </c>
      <c r="M12" s="4">
        <f t="shared" si="2"/>
        <v>12.995594713656386</v>
      </c>
      <c r="N12" s="4">
        <v>0.68</v>
      </c>
      <c r="O12" s="4">
        <f t="shared" si="3"/>
        <v>14.977973568281937</v>
      </c>
      <c r="P12" s="4">
        <v>0.46</v>
      </c>
      <c r="Q12" s="4">
        <f t="shared" si="4"/>
        <v>10.132158590308372</v>
      </c>
      <c r="R12" s="4">
        <v>0.64</v>
      </c>
      <c r="S12" s="4">
        <f t="shared" si="5"/>
        <v>14.096916299559473</v>
      </c>
      <c r="T12" s="4">
        <v>0.16</v>
      </c>
      <c r="U12" s="4">
        <f t="shared" si="6"/>
        <v>3.5242290748898681</v>
      </c>
      <c r="V12" s="4">
        <v>0.43</v>
      </c>
      <c r="W12" s="4">
        <v>0.2</v>
      </c>
      <c r="X12" s="3">
        <v>0.32</v>
      </c>
      <c r="Y12" s="4">
        <f t="shared" si="7"/>
        <v>7.0484581497797363</v>
      </c>
    </row>
    <row r="13" spans="1:26" x14ac:dyDescent="0.25">
      <c r="A13" t="s">
        <v>58</v>
      </c>
      <c r="B13" s="3" t="s">
        <v>69</v>
      </c>
      <c r="C13" s="14" t="s">
        <v>72</v>
      </c>
      <c r="D13" s="3" t="s">
        <v>27</v>
      </c>
      <c r="E13" s="3">
        <v>12</v>
      </c>
      <c r="F13" s="3">
        <v>22</v>
      </c>
      <c r="G13" s="4">
        <v>4.5</v>
      </c>
      <c r="H13" s="4">
        <v>1.88</v>
      </c>
      <c r="I13" s="4">
        <f t="shared" si="0"/>
        <v>41.777777777777771</v>
      </c>
      <c r="J13" s="4">
        <v>0.36</v>
      </c>
      <c r="K13" s="4">
        <f t="shared" si="1"/>
        <v>8</v>
      </c>
      <c r="L13" s="4">
        <v>0.56999999999999995</v>
      </c>
      <c r="M13" s="4">
        <f t="shared" si="2"/>
        <v>12.666666666666664</v>
      </c>
      <c r="N13" s="4">
        <v>0.74</v>
      </c>
      <c r="O13" s="4">
        <f t="shared" si="3"/>
        <v>16.444444444444446</v>
      </c>
      <c r="P13" s="4">
        <v>0.47</v>
      </c>
      <c r="Q13" s="4">
        <f t="shared" si="4"/>
        <v>10.444444444444443</v>
      </c>
      <c r="R13" s="4">
        <v>0.72</v>
      </c>
      <c r="S13" s="4">
        <f t="shared" si="5"/>
        <v>16</v>
      </c>
      <c r="T13" s="4">
        <v>0.15</v>
      </c>
      <c r="U13" s="4">
        <f t="shared" si="6"/>
        <v>3.3333333333333335</v>
      </c>
      <c r="V13" s="4">
        <v>0.37</v>
      </c>
      <c r="W13" s="4">
        <v>0.21</v>
      </c>
      <c r="X13" s="3">
        <v>0.25</v>
      </c>
      <c r="Y13" s="4">
        <f t="shared" si="7"/>
        <v>5.5555555555555554</v>
      </c>
    </row>
    <row r="14" spans="1:26" x14ac:dyDescent="0.25">
      <c r="A14" t="s">
        <v>59</v>
      </c>
      <c r="B14" s="3" t="s">
        <v>69</v>
      </c>
      <c r="C14" s="14" t="s">
        <v>72</v>
      </c>
      <c r="D14" s="3" t="s">
        <v>27</v>
      </c>
      <c r="E14" s="3">
        <v>12</v>
      </c>
      <c r="F14" s="3">
        <v>23</v>
      </c>
      <c r="G14" s="4">
        <v>4.22</v>
      </c>
      <c r="H14" s="4">
        <v>1.63</v>
      </c>
      <c r="I14" s="4">
        <f t="shared" si="0"/>
        <v>38.625592417061611</v>
      </c>
      <c r="J14" s="4">
        <v>0.39</v>
      </c>
      <c r="K14" s="4">
        <f t="shared" si="1"/>
        <v>9.2417061611374418</v>
      </c>
      <c r="L14" s="4">
        <v>0.56999999999999995</v>
      </c>
      <c r="M14" s="4">
        <f t="shared" si="2"/>
        <v>13.507109004739338</v>
      </c>
      <c r="N14" s="4">
        <v>0.73</v>
      </c>
      <c r="O14" s="4">
        <f t="shared" si="3"/>
        <v>17.298578199052134</v>
      </c>
      <c r="P14" s="4">
        <v>0.5</v>
      </c>
      <c r="Q14" s="4">
        <f t="shared" si="4"/>
        <v>11.848341232227488</v>
      </c>
      <c r="R14" s="4">
        <v>0.68</v>
      </c>
      <c r="S14" s="4">
        <f t="shared" si="5"/>
        <v>16.113744075829388</v>
      </c>
      <c r="T14" s="4">
        <v>0.17</v>
      </c>
      <c r="U14" s="4">
        <f t="shared" si="6"/>
        <v>4.0284360189573469</v>
      </c>
      <c r="V14" s="4">
        <v>0.33</v>
      </c>
      <c r="W14" s="4">
        <v>0.26</v>
      </c>
      <c r="X14" s="3">
        <v>0.28999999999999998</v>
      </c>
      <c r="Y14" s="4">
        <f t="shared" si="7"/>
        <v>6.8720379146919433</v>
      </c>
    </row>
    <row r="15" spans="1:26" x14ac:dyDescent="0.25">
      <c r="A15" s="7" t="s">
        <v>38</v>
      </c>
      <c r="B15" s="3" t="s">
        <v>15</v>
      </c>
      <c r="C15" s="14" t="s">
        <v>73</v>
      </c>
      <c r="D15" s="3" t="s">
        <v>28</v>
      </c>
      <c r="E15" s="3">
        <v>13</v>
      </c>
      <c r="F15" s="3">
        <v>20</v>
      </c>
      <c r="G15" s="4">
        <f>AVERAGE(7.59,7.75,7.48,7.54)</f>
        <v>7.59</v>
      </c>
      <c r="H15" s="4">
        <f>AVERAGE(3.42,3.59)</f>
        <v>3.5049999999999999</v>
      </c>
      <c r="I15" s="4">
        <f t="shared" si="0"/>
        <v>46.179183135704875</v>
      </c>
      <c r="J15" s="4">
        <f>AVERAGE(0.87,0.93)</f>
        <v>0.9</v>
      </c>
      <c r="K15" s="4">
        <f t="shared" si="1"/>
        <v>11.857707509881424</v>
      </c>
      <c r="L15" s="4">
        <v>1.06</v>
      </c>
      <c r="M15" s="4">
        <f t="shared" si="2"/>
        <v>13.965744400527011</v>
      </c>
      <c r="N15" s="4">
        <f>AVERAGE(1.78,1.9, 1.69)</f>
        <v>1.7899999999999998</v>
      </c>
      <c r="O15" s="4">
        <f t="shared" si="3"/>
        <v>23.583662714097496</v>
      </c>
      <c r="P15" s="4">
        <f>AVERAGE(0.96,0.88)</f>
        <v>0.91999999999999993</v>
      </c>
      <c r="Q15" s="4">
        <f t="shared" si="4"/>
        <v>12.121212121212119</v>
      </c>
      <c r="R15" s="4">
        <v>1.06</v>
      </c>
      <c r="S15" s="4">
        <f t="shared" si="5"/>
        <v>13.965744400527011</v>
      </c>
      <c r="T15" s="4">
        <v>0.31</v>
      </c>
      <c r="U15" s="4">
        <f t="shared" si="6"/>
        <v>4.0843214756258233</v>
      </c>
      <c r="V15" s="4">
        <v>0.85</v>
      </c>
      <c r="W15" s="4">
        <v>0.28999999999999998</v>
      </c>
      <c r="X15" s="3">
        <v>0.57999999999999996</v>
      </c>
      <c r="Y15" s="4">
        <f t="shared" si="7"/>
        <v>7.64163372859025</v>
      </c>
      <c r="Z15" s="10"/>
    </row>
    <row r="16" spans="1:26" x14ac:dyDescent="0.25">
      <c r="A16" s="7" t="s">
        <v>39</v>
      </c>
      <c r="B16" s="3" t="s">
        <v>15</v>
      </c>
      <c r="C16" s="14" t="s">
        <v>73</v>
      </c>
      <c r="D16" s="3" t="s">
        <v>28</v>
      </c>
      <c r="E16" s="3">
        <v>13</v>
      </c>
      <c r="F16" s="3">
        <v>21</v>
      </c>
      <c r="G16" s="4">
        <v>5.51</v>
      </c>
      <c r="H16" s="4">
        <v>2.52</v>
      </c>
      <c r="I16" s="4">
        <f t="shared" si="0"/>
        <v>45.735027223230489</v>
      </c>
      <c r="J16" s="4">
        <v>0.55000000000000004</v>
      </c>
      <c r="K16" s="4">
        <f t="shared" si="1"/>
        <v>9.9818511796733222</v>
      </c>
      <c r="L16" s="4">
        <v>0.83</v>
      </c>
      <c r="M16" s="4">
        <f t="shared" si="2"/>
        <v>15.063520871143377</v>
      </c>
      <c r="N16" s="4">
        <f>AVERAGE(1.14,1.12,1.08)</f>
        <v>1.1133333333333333</v>
      </c>
      <c r="O16" s="4">
        <f t="shared" si="3"/>
        <v>20.205686630369026</v>
      </c>
      <c r="P16" s="4">
        <v>0.5</v>
      </c>
      <c r="Q16" s="4">
        <f t="shared" si="4"/>
        <v>9.0744101633393832</v>
      </c>
      <c r="R16" s="4">
        <v>0.79</v>
      </c>
      <c r="S16" s="4">
        <f t="shared" si="5"/>
        <v>14.337568058076226</v>
      </c>
      <c r="T16" s="4">
        <v>0.09</v>
      </c>
      <c r="U16" s="4">
        <f t="shared" si="6"/>
        <v>1.6333938294010888</v>
      </c>
      <c r="V16" s="4">
        <v>0.36</v>
      </c>
      <c r="W16" s="4">
        <v>0.27</v>
      </c>
      <c r="X16" s="3">
        <v>0.26</v>
      </c>
      <c r="Y16" s="4">
        <f t="shared" si="7"/>
        <v>4.7186932849364798</v>
      </c>
      <c r="Z16" s="10"/>
    </row>
    <row r="17" spans="1:26" x14ac:dyDescent="0.25">
      <c r="A17" s="7" t="s">
        <v>35</v>
      </c>
      <c r="B17" s="3" t="s">
        <v>15</v>
      </c>
      <c r="C17" s="14" t="s">
        <v>73</v>
      </c>
      <c r="D17" s="3" t="s">
        <v>28</v>
      </c>
      <c r="E17" s="3">
        <v>13</v>
      </c>
      <c r="F17" s="3">
        <v>22</v>
      </c>
      <c r="G17" s="4">
        <f>AVERAGE(5.05,5.01)</f>
        <v>5.0299999999999994</v>
      </c>
      <c r="H17" s="4">
        <v>2.21</v>
      </c>
      <c r="I17" s="4">
        <f t="shared" si="0"/>
        <v>43.936381709741553</v>
      </c>
      <c r="J17" s="4">
        <v>0.42</v>
      </c>
      <c r="K17" s="4">
        <f t="shared" si="1"/>
        <v>8.3499005964214721</v>
      </c>
      <c r="L17" s="4">
        <v>0.63</v>
      </c>
      <c r="M17" s="4">
        <f t="shared" si="2"/>
        <v>12.524850894632209</v>
      </c>
      <c r="N17" s="4">
        <v>0.86</v>
      </c>
      <c r="O17" s="4">
        <f t="shared" si="3"/>
        <v>17.097415506958253</v>
      </c>
      <c r="P17" s="4">
        <v>0.68</v>
      </c>
      <c r="Q17" s="4">
        <f t="shared" si="4"/>
        <v>13.518886679920481</v>
      </c>
      <c r="R17" s="4">
        <v>0.82</v>
      </c>
      <c r="S17" s="4">
        <f t="shared" si="5"/>
        <v>16.302186878727635</v>
      </c>
      <c r="T17" s="4">
        <v>0.19</v>
      </c>
      <c r="U17" s="4">
        <f t="shared" si="6"/>
        <v>3.7773359840954277</v>
      </c>
      <c r="V17" s="4" t="s">
        <v>16</v>
      </c>
      <c r="W17" s="4" t="s">
        <v>16</v>
      </c>
      <c r="X17" s="3">
        <v>0.28000000000000003</v>
      </c>
      <c r="Y17" s="4">
        <f t="shared" si="7"/>
        <v>5.566600397614315</v>
      </c>
      <c r="Z17" s="10"/>
    </row>
    <row r="18" spans="1:26" s="10" customFormat="1" x14ac:dyDescent="0.25">
      <c r="A18" s="7" t="s">
        <v>40</v>
      </c>
      <c r="B18" s="3" t="s">
        <v>15</v>
      </c>
      <c r="C18" s="14" t="s">
        <v>73</v>
      </c>
      <c r="D18" s="3" t="s">
        <v>28</v>
      </c>
      <c r="E18" s="3">
        <v>14</v>
      </c>
      <c r="F18" s="3">
        <v>20</v>
      </c>
      <c r="G18" s="4">
        <v>5.01</v>
      </c>
      <c r="H18" s="4">
        <v>2.61</v>
      </c>
      <c r="I18" s="4">
        <f t="shared" si="0"/>
        <v>52.095808383233532</v>
      </c>
      <c r="J18" s="4">
        <v>0.56999999999999995</v>
      </c>
      <c r="K18" s="4">
        <f t="shared" si="1"/>
        <v>11.377245508982035</v>
      </c>
      <c r="L18" s="4">
        <v>0.89</v>
      </c>
      <c r="M18" s="4">
        <f t="shared" si="2"/>
        <v>17.764471057884233</v>
      </c>
      <c r="N18" s="4">
        <f>AVERAGE(1.33,1.16)</f>
        <v>1.2450000000000001</v>
      </c>
      <c r="O18" s="4">
        <f t="shared" si="3"/>
        <v>24.85029940119761</v>
      </c>
      <c r="P18" s="4">
        <v>0.57999999999999996</v>
      </c>
      <c r="Q18" s="4">
        <f t="shared" ref="Q18" si="8">(P18/G18)*100</f>
        <v>11.576846307385228</v>
      </c>
      <c r="R18" s="4">
        <v>0.76</v>
      </c>
      <c r="S18" s="4">
        <f t="shared" si="5"/>
        <v>15.169660678642716</v>
      </c>
      <c r="T18" s="4">
        <v>0.13</v>
      </c>
      <c r="U18" s="4">
        <f t="shared" si="6"/>
        <v>2.5948103792415171</v>
      </c>
      <c r="V18" s="4">
        <v>0.56000000000000005</v>
      </c>
      <c r="W18" s="4">
        <v>0.21</v>
      </c>
      <c r="X18" s="3">
        <v>0.27</v>
      </c>
      <c r="Y18" s="4">
        <f t="shared" si="7"/>
        <v>5.3892215568862287</v>
      </c>
    </row>
    <row r="19" spans="1:26" s="10" customFormat="1" x14ac:dyDescent="0.25">
      <c r="A19" s="10" t="s">
        <v>64</v>
      </c>
      <c r="B19" s="3" t="s">
        <v>15</v>
      </c>
      <c r="C19" s="14" t="s">
        <v>73</v>
      </c>
      <c r="D19" s="3" t="s">
        <v>28</v>
      </c>
      <c r="E19" s="3">
        <v>15</v>
      </c>
      <c r="F19" s="3">
        <v>21</v>
      </c>
      <c r="G19" s="4">
        <v>5.33</v>
      </c>
      <c r="H19" s="4">
        <v>2.4500000000000002</v>
      </c>
      <c r="I19" s="4">
        <f t="shared" ref="I19" si="9">(H19/G19)*100</f>
        <v>45.966228893058165</v>
      </c>
      <c r="J19" s="4">
        <v>0.47</v>
      </c>
      <c r="K19" s="4">
        <f t="shared" ref="K19" si="10">(J19/G19)*100</f>
        <v>8.8180112570356464</v>
      </c>
      <c r="L19" s="4">
        <v>0.78</v>
      </c>
      <c r="M19" s="4">
        <f t="shared" ref="M19" si="11">(L19/G19)*100</f>
        <v>14.634146341463413</v>
      </c>
      <c r="N19" s="4">
        <v>1.0900000000000001</v>
      </c>
      <c r="O19" s="4">
        <f t="shared" ref="O19" si="12">(N19/G19)*100</f>
        <v>20.450281425891184</v>
      </c>
      <c r="P19" s="4">
        <v>0.64</v>
      </c>
      <c r="Q19" s="4">
        <f t="shared" ref="Q19" si="13">(P19/G19)*100</f>
        <v>12.007504690431519</v>
      </c>
      <c r="R19" s="4">
        <v>0.87</v>
      </c>
      <c r="S19" s="4">
        <f t="shared" ref="S19" si="14">(R19/G19)*100</f>
        <v>16.322701688555348</v>
      </c>
      <c r="T19" s="4">
        <v>0.13</v>
      </c>
      <c r="U19" s="4">
        <f t="shared" ref="U19" si="15">(T19/G19)*100</f>
        <v>2.4390243902439024</v>
      </c>
      <c r="V19" s="4">
        <v>0.28000000000000003</v>
      </c>
      <c r="W19" s="4">
        <v>0.18</v>
      </c>
      <c r="X19" s="3">
        <v>0.27</v>
      </c>
      <c r="Y19" s="4">
        <f t="shared" ref="Y19" si="16">(X19/G19)*100</f>
        <v>5.0656660412757981</v>
      </c>
    </row>
    <row r="20" spans="1:26" s="10" customFormat="1" x14ac:dyDescent="0.25">
      <c r="A20" s="7" t="s">
        <v>34</v>
      </c>
      <c r="B20" s="3" t="s">
        <v>15</v>
      </c>
      <c r="C20" s="14" t="s">
        <v>73</v>
      </c>
      <c r="D20" s="3" t="s">
        <v>27</v>
      </c>
      <c r="E20" s="3">
        <v>13</v>
      </c>
      <c r="F20" s="3">
        <v>22</v>
      </c>
      <c r="G20" s="4">
        <v>4.5</v>
      </c>
      <c r="H20" s="4">
        <v>2.09</v>
      </c>
      <c r="I20" s="4">
        <f t="shared" ref="I20:I40" si="17">(H20/G20)*100</f>
        <v>46.444444444444443</v>
      </c>
      <c r="J20" s="4">
        <v>0.42</v>
      </c>
      <c r="K20" s="4">
        <f t="shared" ref="K20:K40" si="18">(J20/G20)*100</f>
        <v>9.3333333333333321</v>
      </c>
      <c r="L20" s="4">
        <v>0.55000000000000004</v>
      </c>
      <c r="M20" s="4">
        <f t="shared" ref="M20:M40" si="19">(L20/G20)*100</f>
        <v>12.222222222222223</v>
      </c>
      <c r="N20" s="4">
        <f>AVERAGE(0.84,0.79)</f>
        <v>0.81499999999999995</v>
      </c>
      <c r="O20" s="4">
        <f t="shared" ref="O20:O40" si="20">(N20/G20)*100</f>
        <v>18.111111111111111</v>
      </c>
      <c r="P20" s="4">
        <v>0.55000000000000004</v>
      </c>
      <c r="Q20" s="4">
        <f t="shared" ref="Q20:Q40" si="21">(P20/G20)*100</f>
        <v>12.222222222222223</v>
      </c>
      <c r="R20" s="4">
        <v>0.59</v>
      </c>
      <c r="S20" s="4">
        <f t="shared" ref="S20:S40" si="22">(R20/G20)*100</f>
        <v>13.111111111111109</v>
      </c>
      <c r="T20" s="4">
        <v>0.15</v>
      </c>
      <c r="U20" s="4">
        <f t="shared" ref="U20:U40" si="23">(T20/G20)*100</f>
        <v>3.3333333333333335</v>
      </c>
      <c r="V20" s="4" t="s">
        <v>16</v>
      </c>
      <c r="W20" s="4" t="s">
        <v>16</v>
      </c>
      <c r="X20" s="3">
        <v>0.26</v>
      </c>
      <c r="Y20" s="4">
        <f t="shared" ref="Y20:Y40" si="24">(X20/G20)*100</f>
        <v>5.7777777777777786</v>
      </c>
    </row>
    <row r="21" spans="1:26" s="10" customFormat="1" x14ac:dyDescent="0.25">
      <c r="A21" s="7" t="s">
        <v>41</v>
      </c>
      <c r="B21" s="3" t="s">
        <v>15</v>
      </c>
      <c r="C21" s="14" t="s">
        <v>73</v>
      </c>
      <c r="D21" s="3" t="s">
        <v>27</v>
      </c>
      <c r="E21" s="3">
        <v>13</v>
      </c>
      <c r="F21" s="3">
        <v>20</v>
      </c>
      <c r="G21" s="4">
        <v>5.0999999999999996</v>
      </c>
      <c r="H21" s="4">
        <v>2.3199999999999998</v>
      </c>
      <c r="I21" s="4">
        <f>(H21/G21)*100</f>
        <v>45.490196078431374</v>
      </c>
      <c r="J21" s="4">
        <v>0.45</v>
      </c>
      <c r="K21" s="4">
        <f>(J21/G21)*100</f>
        <v>8.8235294117647065</v>
      </c>
      <c r="L21" s="4">
        <v>0.61</v>
      </c>
      <c r="M21" s="4">
        <f>(L21/G21)*100</f>
        <v>11.96078431372549</v>
      </c>
      <c r="N21" s="4">
        <v>0.8</v>
      </c>
      <c r="O21" s="4">
        <f>(N21/G21)*100</f>
        <v>15.686274509803924</v>
      </c>
      <c r="P21" s="4">
        <v>0.56000000000000005</v>
      </c>
      <c r="Q21" s="4">
        <f>(P21/G21)*100</f>
        <v>10.980392156862747</v>
      </c>
      <c r="R21" s="4">
        <v>0.66</v>
      </c>
      <c r="S21" s="4">
        <f>(R21/G21)*100</f>
        <v>12.941176470588237</v>
      </c>
      <c r="T21" s="4">
        <v>0.15</v>
      </c>
      <c r="U21" s="4">
        <f>(T21/G21)*100</f>
        <v>2.9411764705882351</v>
      </c>
      <c r="V21" s="4" t="s">
        <v>16</v>
      </c>
      <c r="W21" s="4" t="s">
        <v>16</v>
      </c>
      <c r="X21" s="3">
        <v>0.28000000000000003</v>
      </c>
      <c r="Y21" s="4">
        <f>(X21/G21)*100</f>
        <v>5.4901960784313735</v>
      </c>
    </row>
    <row r="22" spans="1:26" s="10" customFormat="1" x14ac:dyDescent="0.25">
      <c r="A22" s="7" t="s">
        <v>36</v>
      </c>
      <c r="B22" s="3" t="s">
        <v>15</v>
      </c>
      <c r="C22" s="14" t="s">
        <v>73</v>
      </c>
      <c r="D22" s="3" t="s">
        <v>27</v>
      </c>
      <c r="E22" s="3">
        <v>14</v>
      </c>
      <c r="F22" s="3">
        <v>22</v>
      </c>
      <c r="G22" s="4">
        <f>AVERAGE(4.55,4.5)</f>
        <v>4.5250000000000004</v>
      </c>
      <c r="H22" s="4">
        <f>AVERAGE(2.11, 2.16)</f>
        <v>2.1349999999999998</v>
      </c>
      <c r="I22" s="4">
        <f t="shared" si="17"/>
        <v>47.182320441988942</v>
      </c>
      <c r="J22" s="4">
        <f>AVERAGE(0.53,0.55)</f>
        <v>0.54</v>
      </c>
      <c r="K22" s="4">
        <f t="shared" si="18"/>
        <v>11.933701657458563</v>
      </c>
      <c r="L22" s="4">
        <v>0.76</v>
      </c>
      <c r="M22" s="4">
        <f t="shared" si="19"/>
        <v>16.795580110497234</v>
      </c>
      <c r="N22" s="4">
        <f>AVERAGE(0.95,0.86)</f>
        <v>0.90500000000000003</v>
      </c>
      <c r="O22" s="4">
        <f t="shared" si="20"/>
        <v>20</v>
      </c>
      <c r="P22" s="4">
        <v>0.64</v>
      </c>
      <c r="Q22" s="4">
        <f t="shared" si="21"/>
        <v>14.143646408839777</v>
      </c>
      <c r="R22" s="4">
        <v>0.73</v>
      </c>
      <c r="S22" s="4">
        <f t="shared" si="22"/>
        <v>16.13259668508287</v>
      </c>
      <c r="T22" s="4">
        <v>0.15</v>
      </c>
      <c r="U22" s="4">
        <f t="shared" si="23"/>
        <v>3.3149171270718232</v>
      </c>
      <c r="V22" s="4" t="s">
        <v>16</v>
      </c>
      <c r="W22" s="4" t="s">
        <v>16</v>
      </c>
      <c r="X22" s="3">
        <v>0.32</v>
      </c>
      <c r="Y22" s="4">
        <f t="shared" si="24"/>
        <v>7.0718232044198883</v>
      </c>
    </row>
    <row r="23" spans="1:26" s="10" customFormat="1" x14ac:dyDescent="0.25">
      <c r="A23" s="7" t="s">
        <v>37</v>
      </c>
      <c r="B23" s="3" t="s">
        <v>15</v>
      </c>
      <c r="C23" s="14" t="s">
        <v>73</v>
      </c>
      <c r="D23" s="3" t="s">
        <v>27</v>
      </c>
      <c r="E23" s="3">
        <v>14</v>
      </c>
      <c r="F23" s="3">
        <v>22</v>
      </c>
      <c r="G23" s="4">
        <f>AVERAGE(4.78,4.77)</f>
        <v>4.7750000000000004</v>
      </c>
      <c r="H23" s="4">
        <f>AVERAGE(2.19,2.23)</f>
        <v>2.21</v>
      </c>
      <c r="I23" s="4">
        <f t="shared" si="17"/>
        <v>46.282722513089006</v>
      </c>
      <c r="J23" s="4">
        <f>AVERAGE(0.46,0.46)</f>
        <v>0.46</v>
      </c>
      <c r="K23" s="4">
        <f t="shared" si="18"/>
        <v>9.63350785340314</v>
      </c>
      <c r="L23" s="4">
        <v>0.68</v>
      </c>
      <c r="M23" s="4">
        <f t="shared" si="19"/>
        <v>14.240837696335079</v>
      </c>
      <c r="N23" s="4">
        <f>AVERAGE(0.88,0.93)</f>
        <v>0.90500000000000003</v>
      </c>
      <c r="O23" s="4">
        <f t="shared" si="20"/>
        <v>18.952879581151834</v>
      </c>
      <c r="P23" s="4">
        <f>AVERAGE(0.59,0.65)</f>
        <v>0.62</v>
      </c>
      <c r="Q23" s="4">
        <f t="shared" si="21"/>
        <v>12.984293193717274</v>
      </c>
      <c r="R23" s="4">
        <v>0.65</v>
      </c>
      <c r="S23" s="4">
        <f t="shared" si="22"/>
        <v>13.612565445026178</v>
      </c>
      <c r="T23" s="4">
        <v>0.15</v>
      </c>
      <c r="U23" s="4">
        <f t="shared" si="23"/>
        <v>3.1413612565445024</v>
      </c>
      <c r="V23" s="4" t="s">
        <v>16</v>
      </c>
      <c r="W23" s="4" t="s">
        <v>16</v>
      </c>
      <c r="X23" s="3">
        <v>0.3</v>
      </c>
      <c r="Y23" s="4">
        <f t="shared" si="24"/>
        <v>6.2827225130890048</v>
      </c>
    </row>
    <row r="24" spans="1:26" s="10" customFormat="1" x14ac:dyDescent="0.25">
      <c r="A24" s="7" t="s">
        <v>42</v>
      </c>
      <c r="B24" s="3" t="s">
        <v>15</v>
      </c>
      <c r="C24" s="14" t="s">
        <v>73</v>
      </c>
      <c r="D24" s="3" t="s">
        <v>27</v>
      </c>
      <c r="E24" s="3">
        <v>14</v>
      </c>
      <c r="F24" s="3">
        <v>20</v>
      </c>
      <c r="G24" s="4">
        <f>AVERAGE(4.71,4.65)</f>
        <v>4.68</v>
      </c>
      <c r="H24" s="4">
        <f>AVERAGE(1.93,1.92)</f>
        <v>1.9249999999999998</v>
      </c>
      <c r="I24" s="4">
        <f t="shared" si="17"/>
        <v>41.13247863247863</v>
      </c>
      <c r="J24" s="4">
        <f>AVERAGE(0.44,0.43)</f>
        <v>0.435</v>
      </c>
      <c r="K24" s="4">
        <f t="shared" si="18"/>
        <v>9.2948717948717956</v>
      </c>
      <c r="L24" s="4">
        <v>0.65</v>
      </c>
      <c r="M24" s="4">
        <f t="shared" si="19"/>
        <v>13.888888888888889</v>
      </c>
      <c r="N24" s="4">
        <v>0.78</v>
      </c>
      <c r="O24" s="4">
        <f t="shared" si="20"/>
        <v>16.666666666666668</v>
      </c>
      <c r="P24" s="4">
        <f>AVERAGE(0.55,0.54)</f>
        <v>0.54500000000000004</v>
      </c>
      <c r="Q24" s="4">
        <f t="shared" si="21"/>
        <v>11.645299145299147</v>
      </c>
      <c r="R24" s="4">
        <v>0.6</v>
      </c>
      <c r="S24" s="4">
        <f t="shared" si="22"/>
        <v>12.820512820512823</v>
      </c>
      <c r="T24" s="4">
        <v>0.17</v>
      </c>
      <c r="U24" s="4">
        <f t="shared" si="23"/>
        <v>3.6324786324786329</v>
      </c>
      <c r="V24" s="4" t="s">
        <v>16</v>
      </c>
      <c r="W24" s="4" t="s">
        <v>16</v>
      </c>
      <c r="X24" s="3">
        <v>0.26</v>
      </c>
      <c r="Y24" s="4">
        <f t="shared" si="24"/>
        <v>5.5555555555555562</v>
      </c>
    </row>
    <row r="25" spans="1:26" x14ac:dyDescent="0.25">
      <c r="A25" t="s">
        <v>61</v>
      </c>
      <c r="B25" s="3" t="s">
        <v>70</v>
      </c>
      <c r="C25" s="14" t="s">
        <v>74</v>
      </c>
      <c r="D25" s="3" t="s">
        <v>28</v>
      </c>
      <c r="E25" s="3">
        <v>17</v>
      </c>
      <c r="F25" s="3">
        <v>22</v>
      </c>
      <c r="G25" s="4">
        <v>7.21</v>
      </c>
      <c r="H25" s="4">
        <v>3.62</v>
      </c>
      <c r="I25" s="4">
        <f t="shared" si="17"/>
        <v>50.208044382801667</v>
      </c>
      <c r="J25" s="4">
        <v>0.45</v>
      </c>
      <c r="K25" s="4">
        <f t="shared" si="18"/>
        <v>6.2413314840499305</v>
      </c>
      <c r="L25" s="4">
        <v>0.76</v>
      </c>
      <c r="M25" s="4">
        <f t="shared" si="19"/>
        <v>10.540915395284326</v>
      </c>
      <c r="N25" s="4">
        <v>1.39</v>
      </c>
      <c r="O25" s="4">
        <f t="shared" si="20"/>
        <v>19.278779472954231</v>
      </c>
      <c r="P25" s="4">
        <v>0.81</v>
      </c>
      <c r="Q25" s="4">
        <f t="shared" si="21"/>
        <v>11.234396671289876</v>
      </c>
      <c r="R25" s="4">
        <v>0.91</v>
      </c>
      <c r="S25" s="4">
        <f t="shared" si="22"/>
        <v>12.621359223300971</v>
      </c>
      <c r="T25" s="4">
        <v>0.28000000000000003</v>
      </c>
      <c r="U25" s="4">
        <f t="shared" si="23"/>
        <v>3.8834951456310685</v>
      </c>
      <c r="V25" s="4" t="s">
        <v>16</v>
      </c>
      <c r="W25" s="4" t="s">
        <v>16</v>
      </c>
      <c r="X25" s="3">
        <v>0.5</v>
      </c>
      <c r="Y25" s="4">
        <f t="shared" si="24"/>
        <v>6.9348127600554781</v>
      </c>
    </row>
    <row r="26" spans="1:26" x14ac:dyDescent="0.25">
      <c r="A26" t="s">
        <v>62</v>
      </c>
      <c r="B26" s="3" t="s">
        <v>70</v>
      </c>
      <c r="C26" s="14" t="s">
        <v>74</v>
      </c>
      <c r="D26" s="3" t="s">
        <v>28</v>
      </c>
      <c r="E26" s="3">
        <v>17</v>
      </c>
      <c r="F26" s="3">
        <v>22</v>
      </c>
      <c r="G26" s="4">
        <v>7.4</v>
      </c>
      <c r="H26" s="4">
        <v>3.63</v>
      </c>
      <c r="I26" s="4">
        <f t="shared" si="17"/>
        <v>49.054054054054049</v>
      </c>
      <c r="J26" s="4">
        <v>0.51</v>
      </c>
      <c r="K26" s="4">
        <f t="shared" si="18"/>
        <v>6.8918918918918921</v>
      </c>
      <c r="L26" s="4">
        <v>0.87</v>
      </c>
      <c r="M26" s="4">
        <f t="shared" si="19"/>
        <v>11.756756756756756</v>
      </c>
      <c r="N26" s="4">
        <v>1.34</v>
      </c>
      <c r="O26" s="4">
        <f t="shared" si="20"/>
        <v>18.108108108108109</v>
      </c>
      <c r="P26" s="4">
        <v>0.91</v>
      </c>
      <c r="Q26" s="4">
        <f t="shared" si="21"/>
        <v>12.297297297297296</v>
      </c>
      <c r="R26" s="4">
        <v>1.05</v>
      </c>
      <c r="S26" s="4">
        <f t="shared" si="22"/>
        <v>14.189189189189189</v>
      </c>
      <c r="T26" s="4">
        <v>0.3</v>
      </c>
      <c r="U26" s="4">
        <f t="shared" si="23"/>
        <v>4.0540540540540535</v>
      </c>
      <c r="V26" s="4" t="s">
        <v>16</v>
      </c>
      <c r="W26" s="4" t="s">
        <v>16</v>
      </c>
      <c r="X26" s="3">
        <v>0.5</v>
      </c>
      <c r="Y26" s="4">
        <f t="shared" si="24"/>
        <v>6.7567567567567561</v>
      </c>
    </row>
    <row r="27" spans="1:26" x14ac:dyDescent="0.25">
      <c r="A27" t="s">
        <v>63</v>
      </c>
      <c r="B27" s="3" t="s">
        <v>70</v>
      </c>
      <c r="C27" s="14" t="s">
        <v>74</v>
      </c>
      <c r="D27" s="3" t="s">
        <v>28</v>
      </c>
      <c r="E27" s="3">
        <v>17</v>
      </c>
      <c r="F27" s="3">
        <v>22</v>
      </c>
      <c r="G27" s="4">
        <v>7.83</v>
      </c>
      <c r="H27" s="4">
        <v>3.94</v>
      </c>
      <c r="I27" s="4">
        <f t="shared" si="17"/>
        <v>50.31928480204342</v>
      </c>
      <c r="J27" s="4">
        <v>0.52</v>
      </c>
      <c r="K27" s="4">
        <f t="shared" si="18"/>
        <v>6.6411238825031926</v>
      </c>
      <c r="L27" s="4">
        <v>0.87</v>
      </c>
      <c r="M27" s="4">
        <f t="shared" si="19"/>
        <v>11.111111111111111</v>
      </c>
      <c r="N27" s="4">
        <v>1.45</v>
      </c>
      <c r="O27" s="4">
        <f t="shared" si="20"/>
        <v>18.518518518518519</v>
      </c>
      <c r="P27" s="4">
        <v>0.9</v>
      </c>
      <c r="Q27" s="4">
        <f t="shared" si="21"/>
        <v>11.494252873563218</v>
      </c>
      <c r="R27" s="4">
        <v>0.97</v>
      </c>
      <c r="S27" s="4">
        <f t="shared" si="22"/>
        <v>12.388250319284802</v>
      </c>
      <c r="T27" s="4">
        <v>0.27</v>
      </c>
      <c r="U27" s="4">
        <f t="shared" si="23"/>
        <v>3.4482758620689653</v>
      </c>
      <c r="V27" s="4" t="s">
        <v>16</v>
      </c>
      <c r="W27" s="4" t="s">
        <v>16</v>
      </c>
      <c r="X27" s="3">
        <v>0.55000000000000004</v>
      </c>
      <c r="Y27" s="4">
        <f t="shared" si="24"/>
        <v>7.0242656449553005</v>
      </c>
    </row>
    <row r="28" spans="1:26" x14ac:dyDescent="0.25">
      <c r="A28" s="7" t="s">
        <v>43</v>
      </c>
      <c r="B28" s="3" t="s">
        <v>70</v>
      </c>
      <c r="C28" s="14" t="s">
        <v>74</v>
      </c>
      <c r="D28" s="3" t="s">
        <v>27</v>
      </c>
      <c r="E28" s="3">
        <v>16</v>
      </c>
      <c r="F28" s="3">
        <v>20</v>
      </c>
      <c r="G28" s="4">
        <f>AVERAGE(5.74,5.74,5.67)</f>
        <v>5.7166666666666659</v>
      </c>
      <c r="H28" s="4">
        <v>2.94</v>
      </c>
      <c r="I28" s="4">
        <f t="shared" si="17"/>
        <v>51.428571428571438</v>
      </c>
      <c r="J28" s="4">
        <f>AVERAGE(0.6,0.55)</f>
        <v>0.57499999999999996</v>
      </c>
      <c r="K28" s="4">
        <f t="shared" si="18"/>
        <v>10.058309037900875</v>
      </c>
      <c r="L28" s="4">
        <v>0.75</v>
      </c>
      <c r="M28" s="4">
        <f t="shared" si="19"/>
        <v>13.119533527696795</v>
      </c>
      <c r="N28" s="4">
        <f>AVERAGE(1.08,0.97)</f>
        <v>1.0249999999999999</v>
      </c>
      <c r="O28" s="4">
        <f t="shared" si="20"/>
        <v>17.930029154518952</v>
      </c>
      <c r="P28" s="4">
        <v>0.79</v>
      </c>
      <c r="Q28" s="4">
        <f t="shared" si="21"/>
        <v>13.819241982507291</v>
      </c>
      <c r="R28" s="4">
        <v>0.86</v>
      </c>
      <c r="S28" s="4">
        <f t="shared" si="22"/>
        <v>15.043731778425659</v>
      </c>
      <c r="T28" s="4">
        <v>0.21</v>
      </c>
      <c r="U28" s="4">
        <f t="shared" si="23"/>
        <v>3.6734693877551026</v>
      </c>
      <c r="V28" s="4" t="s">
        <v>16</v>
      </c>
      <c r="W28" s="4" t="s">
        <v>16</v>
      </c>
      <c r="X28" s="3">
        <v>0.48</v>
      </c>
      <c r="Y28" s="4">
        <f t="shared" si="24"/>
        <v>8.3965014577259485</v>
      </c>
    </row>
    <row r="29" spans="1:26" x14ac:dyDescent="0.25">
      <c r="A29" s="8" t="s">
        <v>44</v>
      </c>
      <c r="B29" s="3" t="s">
        <v>70</v>
      </c>
      <c r="C29" s="14" t="s">
        <v>74</v>
      </c>
      <c r="D29" s="3" t="s">
        <v>27</v>
      </c>
      <c r="E29" s="3">
        <v>16</v>
      </c>
      <c r="F29" s="3">
        <v>21</v>
      </c>
      <c r="G29" s="4">
        <f>AVERAGE(5.94,5.87,5.83)</f>
        <v>5.88</v>
      </c>
      <c r="H29" s="4">
        <f>AVERAGE(2.94,3.05)</f>
        <v>2.9950000000000001</v>
      </c>
      <c r="I29" s="4">
        <f t="shared" si="17"/>
        <v>50.935374149659864</v>
      </c>
      <c r="J29" s="4">
        <f>AVERAGE(0.58,0.57)</f>
        <v>0.57499999999999996</v>
      </c>
      <c r="K29" s="4">
        <f t="shared" si="18"/>
        <v>9.7789115646258509</v>
      </c>
      <c r="L29" s="4">
        <v>0.81</v>
      </c>
      <c r="M29" s="4">
        <f t="shared" si="19"/>
        <v>13.775510204081634</v>
      </c>
      <c r="N29" s="4">
        <f>AVERAGE(1.01,0.91)</f>
        <v>0.96</v>
      </c>
      <c r="O29" s="4">
        <f t="shared" si="20"/>
        <v>16.326530612244898</v>
      </c>
      <c r="P29" s="4">
        <v>0.7</v>
      </c>
      <c r="Q29" s="4">
        <f t="shared" si="21"/>
        <v>11.904761904761903</v>
      </c>
      <c r="R29" s="4">
        <v>0.71</v>
      </c>
      <c r="S29" s="4">
        <f t="shared" si="22"/>
        <v>12.074829931972788</v>
      </c>
      <c r="T29" s="4">
        <v>0.17</v>
      </c>
      <c r="U29" s="4">
        <f t="shared" si="23"/>
        <v>2.8911564625850339</v>
      </c>
      <c r="V29" s="4" t="s">
        <v>16</v>
      </c>
      <c r="W29" s="4" t="s">
        <v>16</v>
      </c>
      <c r="X29" s="3">
        <v>0.42</v>
      </c>
      <c r="Y29" s="4">
        <f t="shared" si="24"/>
        <v>7.1428571428571423</v>
      </c>
    </row>
    <row r="30" spans="1:26" x14ac:dyDescent="0.25">
      <c r="A30" s="8" t="s">
        <v>45</v>
      </c>
      <c r="B30" s="3" t="s">
        <v>70</v>
      </c>
      <c r="C30" s="14" t="s">
        <v>74</v>
      </c>
      <c r="D30" s="3" t="s">
        <v>27</v>
      </c>
      <c r="E30" s="3">
        <v>16</v>
      </c>
      <c r="F30" s="3">
        <v>21</v>
      </c>
      <c r="G30" s="4">
        <f>AVERAGE(6.21,6.1,5.91)</f>
        <v>6.0733333333333333</v>
      </c>
      <c r="H30" s="4">
        <f>AVERAGE(3.03,3.02)</f>
        <v>3.0249999999999999</v>
      </c>
      <c r="I30" s="4">
        <f t="shared" si="17"/>
        <v>49.807903402854002</v>
      </c>
      <c r="J30" s="4">
        <f>AVERAGE(0.61,0.6)</f>
        <v>0.60499999999999998</v>
      </c>
      <c r="K30" s="4">
        <f t="shared" si="18"/>
        <v>9.9615806805708011</v>
      </c>
      <c r="L30" s="4">
        <v>0.82</v>
      </c>
      <c r="M30" s="4">
        <f t="shared" si="19"/>
        <v>13.50164654226125</v>
      </c>
      <c r="N30" s="4">
        <f>AVERAGE(1.01,0.83)</f>
        <v>0.91999999999999993</v>
      </c>
      <c r="O30" s="4">
        <f t="shared" si="20"/>
        <v>15.148188803512621</v>
      </c>
      <c r="P30" s="4">
        <f>AVERAGE(0.7,0.68)</f>
        <v>0.69</v>
      </c>
      <c r="Q30" s="4">
        <f t="shared" si="21"/>
        <v>11.361141602634467</v>
      </c>
      <c r="R30" s="4">
        <v>0.56999999999999995</v>
      </c>
      <c r="S30" s="4">
        <f t="shared" si="22"/>
        <v>9.3852908891328202</v>
      </c>
      <c r="T30" s="4">
        <v>0.17</v>
      </c>
      <c r="U30" s="4">
        <f t="shared" si="23"/>
        <v>2.7991218441273329</v>
      </c>
      <c r="V30" s="4" t="s">
        <v>16</v>
      </c>
      <c r="W30" s="4" t="s">
        <v>16</v>
      </c>
      <c r="X30" s="3">
        <v>0.43</v>
      </c>
      <c r="Y30" s="4">
        <f t="shared" si="24"/>
        <v>7.0801317233808998</v>
      </c>
    </row>
    <row r="31" spans="1:26" x14ac:dyDescent="0.25">
      <c r="A31" t="s">
        <v>60</v>
      </c>
      <c r="B31" s="3" t="s">
        <v>70</v>
      </c>
      <c r="C31" s="14" t="s">
        <v>74</v>
      </c>
      <c r="D31" s="3" t="s">
        <v>27</v>
      </c>
      <c r="E31" s="3">
        <v>16</v>
      </c>
      <c r="F31" s="3">
        <v>22</v>
      </c>
      <c r="G31" s="4">
        <v>6.18</v>
      </c>
      <c r="H31" s="4">
        <v>3.13</v>
      </c>
      <c r="I31" s="4">
        <f t="shared" si="17"/>
        <v>50.647249190938517</v>
      </c>
      <c r="J31" s="4">
        <v>0.54</v>
      </c>
      <c r="K31" s="4">
        <f t="shared" si="18"/>
        <v>8.7378640776699026</v>
      </c>
      <c r="L31" s="4">
        <v>0.85</v>
      </c>
      <c r="M31" s="4">
        <f t="shared" si="19"/>
        <v>13.754045307443366</v>
      </c>
      <c r="N31" s="4">
        <v>0.93</v>
      </c>
      <c r="O31" s="4">
        <f t="shared" si="20"/>
        <v>15.04854368932039</v>
      </c>
      <c r="P31" s="4">
        <v>0.77</v>
      </c>
      <c r="Q31" s="4">
        <f t="shared" si="21"/>
        <v>12.459546925566343</v>
      </c>
      <c r="R31" s="4">
        <v>0.77</v>
      </c>
      <c r="S31" s="4">
        <f t="shared" si="22"/>
        <v>12.459546925566343</v>
      </c>
      <c r="T31" s="4">
        <v>0.2</v>
      </c>
      <c r="U31" s="4">
        <f t="shared" si="23"/>
        <v>3.2362459546925573</v>
      </c>
      <c r="V31" s="4" t="s">
        <v>16</v>
      </c>
      <c r="W31" s="4" t="s">
        <v>16</v>
      </c>
      <c r="X31" s="3">
        <v>0.49</v>
      </c>
      <c r="Y31" s="4">
        <f t="shared" si="24"/>
        <v>7.9288025889967635</v>
      </c>
    </row>
    <row r="32" spans="1:26" x14ac:dyDescent="0.25">
      <c r="A32" s="7" t="s">
        <v>46</v>
      </c>
      <c r="B32" s="3" t="s">
        <v>71</v>
      </c>
      <c r="C32" s="14" t="s">
        <v>75</v>
      </c>
      <c r="D32" s="3" t="s">
        <v>28</v>
      </c>
      <c r="E32" s="3">
        <v>12</v>
      </c>
      <c r="F32" s="3">
        <v>19</v>
      </c>
      <c r="G32" s="4">
        <f>AVERAGE(5.29,5.22,5.3)</f>
        <v>5.27</v>
      </c>
      <c r="H32" s="4">
        <v>2.12</v>
      </c>
      <c r="I32" s="4">
        <f t="shared" si="17"/>
        <v>40.22770398481974</v>
      </c>
      <c r="J32" s="4">
        <f>AVERAGE(0.3,0.41)</f>
        <v>0.35499999999999998</v>
      </c>
      <c r="K32" s="4">
        <f t="shared" si="18"/>
        <v>6.7362428842504745</v>
      </c>
      <c r="L32" s="4">
        <v>0.59</v>
      </c>
      <c r="M32" s="4">
        <f t="shared" si="19"/>
        <v>11.195445920303605</v>
      </c>
      <c r="N32" s="4">
        <v>0.89</v>
      </c>
      <c r="O32" s="4">
        <f t="shared" si="20"/>
        <v>16.888045540796963</v>
      </c>
      <c r="P32" s="4">
        <v>0.38</v>
      </c>
      <c r="Q32" s="4">
        <f t="shared" si="21"/>
        <v>7.2106261859582546</v>
      </c>
      <c r="R32" s="4">
        <v>0.65</v>
      </c>
      <c r="S32" s="4">
        <f t="shared" si="22"/>
        <v>12.333965844402279</v>
      </c>
      <c r="T32" s="4">
        <v>0.15</v>
      </c>
      <c r="U32" s="4">
        <f t="shared" si="23"/>
        <v>2.8462998102466797</v>
      </c>
      <c r="V32" s="4">
        <v>0.52</v>
      </c>
      <c r="W32" s="4">
        <v>0.3</v>
      </c>
      <c r="X32" s="3">
        <v>0.26</v>
      </c>
      <c r="Y32" s="4">
        <f t="shared" si="24"/>
        <v>4.9335863377609108</v>
      </c>
    </row>
    <row r="33" spans="1:25" x14ac:dyDescent="0.25">
      <c r="A33" s="7" t="s">
        <v>47</v>
      </c>
      <c r="B33" s="3" t="s">
        <v>71</v>
      </c>
      <c r="C33" s="14" t="s">
        <v>75</v>
      </c>
      <c r="D33" s="3" t="s">
        <v>28</v>
      </c>
      <c r="E33" s="3">
        <v>12</v>
      </c>
      <c r="F33" s="3">
        <v>18</v>
      </c>
      <c r="G33" s="4">
        <f>AVERAGE(5.35,5.33,5.3)</f>
        <v>5.3266666666666671</v>
      </c>
      <c r="H33" s="4">
        <f>AVERAGE(2.17,2.21)</f>
        <v>2.19</v>
      </c>
      <c r="I33" s="4">
        <f t="shared" si="17"/>
        <v>41.11389236545682</v>
      </c>
      <c r="J33" s="4">
        <f>AVERAGE(0.36,0.33)</f>
        <v>0.34499999999999997</v>
      </c>
      <c r="K33" s="4">
        <f t="shared" si="18"/>
        <v>6.4768460575719642</v>
      </c>
      <c r="L33" s="4">
        <v>0.6</v>
      </c>
      <c r="M33" s="4">
        <f t="shared" si="19"/>
        <v>11.264080100125156</v>
      </c>
      <c r="N33" s="4">
        <f>AVERAGE(0.84,0.9)</f>
        <v>0.87</v>
      </c>
      <c r="O33" s="4">
        <f t="shared" si="20"/>
        <v>16.332916145181475</v>
      </c>
      <c r="P33" s="4">
        <f>AVERAGE(0.56,0.58)</f>
        <v>0.57000000000000006</v>
      </c>
      <c r="Q33" s="4">
        <f t="shared" si="21"/>
        <v>10.700876095118899</v>
      </c>
      <c r="R33" s="4">
        <v>0.64</v>
      </c>
      <c r="S33" s="4">
        <f t="shared" si="22"/>
        <v>12.015018773466833</v>
      </c>
      <c r="T33" s="4">
        <v>0.18</v>
      </c>
      <c r="U33" s="4">
        <f t="shared" si="23"/>
        <v>3.3792240300375469</v>
      </c>
      <c r="V33" s="4">
        <v>0.43</v>
      </c>
      <c r="W33" s="4">
        <v>0.25</v>
      </c>
      <c r="X33" s="3">
        <v>0.27</v>
      </c>
      <c r="Y33" s="4">
        <f t="shared" si="24"/>
        <v>5.0688360450563206</v>
      </c>
    </row>
    <row r="34" spans="1:25" x14ac:dyDescent="0.25">
      <c r="A34" t="s">
        <v>49</v>
      </c>
      <c r="B34" s="3" t="s">
        <v>71</v>
      </c>
      <c r="C34" s="14" t="s">
        <v>75</v>
      </c>
      <c r="D34" s="3" t="s">
        <v>28</v>
      </c>
      <c r="E34" s="3">
        <v>12</v>
      </c>
      <c r="F34" s="3">
        <v>19</v>
      </c>
      <c r="G34" s="4">
        <v>4.67</v>
      </c>
      <c r="H34" s="4">
        <v>1.91</v>
      </c>
      <c r="I34" s="4">
        <f t="shared" si="17"/>
        <v>40.899357601713064</v>
      </c>
      <c r="J34" s="4">
        <v>0.41</v>
      </c>
      <c r="K34" s="4">
        <f t="shared" si="18"/>
        <v>8.7794432548179877</v>
      </c>
      <c r="L34" s="4">
        <v>0.59</v>
      </c>
      <c r="M34" s="4">
        <f t="shared" si="19"/>
        <v>12.633832976445394</v>
      </c>
      <c r="N34" s="4">
        <v>0.81</v>
      </c>
      <c r="O34" s="4">
        <f t="shared" si="20"/>
        <v>17.344753747323342</v>
      </c>
      <c r="P34" s="4">
        <v>0.54</v>
      </c>
      <c r="Q34" s="4">
        <f t="shared" si="21"/>
        <v>11.563169164882229</v>
      </c>
      <c r="R34" s="4">
        <v>0.64</v>
      </c>
      <c r="S34" s="4">
        <f t="shared" si="22"/>
        <v>13.704496788008566</v>
      </c>
      <c r="T34" s="4">
        <v>0.16</v>
      </c>
      <c r="U34" s="4">
        <f t="shared" si="23"/>
        <v>3.4261241970021414</v>
      </c>
      <c r="V34" s="4">
        <v>0.39</v>
      </c>
      <c r="W34" s="4">
        <v>0.32</v>
      </c>
      <c r="X34" s="3">
        <v>0.39</v>
      </c>
      <c r="Y34" s="4">
        <f t="shared" si="24"/>
        <v>8.3511777301927204</v>
      </c>
    </row>
    <row r="35" spans="1:25" x14ac:dyDescent="0.25">
      <c r="A35" t="s">
        <v>54</v>
      </c>
      <c r="B35" s="3" t="s">
        <v>71</v>
      </c>
      <c r="C35" s="14" t="s">
        <v>75</v>
      </c>
      <c r="D35" s="3" t="s">
        <v>28</v>
      </c>
      <c r="E35" s="3">
        <v>12</v>
      </c>
      <c r="F35" s="3">
        <v>18</v>
      </c>
      <c r="G35" s="4">
        <v>6.23</v>
      </c>
      <c r="H35" s="4">
        <v>2.65</v>
      </c>
      <c r="I35" s="4">
        <f t="shared" si="17"/>
        <v>42.53611556982343</v>
      </c>
      <c r="J35" s="4">
        <v>0.52</v>
      </c>
      <c r="K35" s="4">
        <f t="shared" si="18"/>
        <v>8.346709470304976</v>
      </c>
      <c r="L35" s="4">
        <v>0.82</v>
      </c>
      <c r="M35" s="4">
        <f t="shared" si="19"/>
        <v>13.162118780096307</v>
      </c>
      <c r="N35" s="4">
        <v>0.99</v>
      </c>
      <c r="O35" s="4">
        <f t="shared" si="20"/>
        <v>15.890850722311395</v>
      </c>
      <c r="P35" s="4">
        <v>0.67</v>
      </c>
      <c r="Q35" s="4">
        <f t="shared" si="21"/>
        <v>10.754414125200643</v>
      </c>
      <c r="R35" s="4">
        <v>0.92</v>
      </c>
      <c r="S35" s="4">
        <f t="shared" si="22"/>
        <v>14.767255216693417</v>
      </c>
      <c r="T35" s="4">
        <v>0.24</v>
      </c>
      <c r="U35" s="4">
        <f t="shared" si="23"/>
        <v>3.8523274478330656</v>
      </c>
      <c r="V35" s="4">
        <v>0.51</v>
      </c>
      <c r="W35" s="4">
        <v>0.33</v>
      </c>
      <c r="X35" s="3">
        <v>0.46</v>
      </c>
      <c r="Y35" s="4">
        <f t="shared" si="24"/>
        <v>7.3836276083467087</v>
      </c>
    </row>
    <row r="36" spans="1:25" x14ac:dyDescent="0.25">
      <c r="A36" s="7" t="s">
        <v>48</v>
      </c>
      <c r="B36" s="3" t="s">
        <v>71</v>
      </c>
      <c r="C36" s="14" t="s">
        <v>75</v>
      </c>
      <c r="D36" s="3" t="s">
        <v>27</v>
      </c>
      <c r="E36" s="3">
        <v>12</v>
      </c>
      <c r="F36" s="3">
        <v>19</v>
      </c>
      <c r="G36" s="4">
        <f>AVERAGE(4.86,5.06)</f>
        <v>4.96</v>
      </c>
      <c r="H36" s="4">
        <f>AVERAGE(2.08,2.07)</f>
        <v>2.0750000000000002</v>
      </c>
      <c r="I36" s="4">
        <f t="shared" si="17"/>
        <v>41.83467741935484</v>
      </c>
      <c r="J36" s="4">
        <f>AVERAGE(0.42,0.45)</f>
        <v>0.435</v>
      </c>
      <c r="K36" s="4">
        <f t="shared" si="18"/>
        <v>8.7701612903225818</v>
      </c>
      <c r="L36" s="4">
        <v>0.6</v>
      </c>
      <c r="M36" s="4">
        <f t="shared" si="19"/>
        <v>12.096774193548386</v>
      </c>
      <c r="N36" s="4">
        <v>0.83</v>
      </c>
      <c r="O36" s="4">
        <f t="shared" si="20"/>
        <v>16.733870967741936</v>
      </c>
      <c r="P36" s="4">
        <f>AVERAGE(0.54,0.56)</f>
        <v>0.55000000000000004</v>
      </c>
      <c r="Q36" s="4">
        <f t="shared" si="21"/>
        <v>11.088709677419356</v>
      </c>
      <c r="R36" s="4">
        <v>0.65</v>
      </c>
      <c r="S36" s="4">
        <f t="shared" si="22"/>
        <v>13.104838709677418</v>
      </c>
      <c r="T36" s="4">
        <v>0.17</v>
      </c>
      <c r="U36" s="4">
        <f t="shared" si="23"/>
        <v>3.42741935483871</v>
      </c>
      <c r="V36" s="4">
        <v>0.39</v>
      </c>
      <c r="W36" s="4">
        <v>0.18</v>
      </c>
      <c r="X36" s="3">
        <v>0.27</v>
      </c>
      <c r="Y36" s="4">
        <f t="shared" si="24"/>
        <v>5.4435483870967749</v>
      </c>
    </row>
    <row r="37" spans="1:25" x14ac:dyDescent="0.25">
      <c r="A37" t="s">
        <v>50</v>
      </c>
      <c r="B37" s="3" t="s">
        <v>71</v>
      </c>
      <c r="C37" s="14" t="s">
        <v>75</v>
      </c>
      <c r="D37" s="3" t="s">
        <v>27</v>
      </c>
      <c r="E37" s="3">
        <v>12</v>
      </c>
      <c r="F37" s="3">
        <v>20</v>
      </c>
      <c r="G37" s="4">
        <v>4.71</v>
      </c>
      <c r="H37" s="4">
        <v>1.94</v>
      </c>
      <c r="I37" s="4">
        <f t="shared" si="17"/>
        <v>41.188959660297236</v>
      </c>
      <c r="J37" s="4">
        <v>0.34</v>
      </c>
      <c r="K37" s="4">
        <f t="shared" si="18"/>
        <v>7.218683651804672</v>
      </c>
      <c r="L37" s="4">
        <v>0.54</v>
      </c>
      <c r="M37" s="4">
        <f t="shared" si="19"/>
        <v>11.464968152866243</v>
      </c>
      <c r="N37" s="4">
        <v>0.78</v>
      </c>
      <c r="O37" s="4">
        <f t="shared" si="20"/>
        <v>16.560509554140129</v>
      </c>
      <c r="P37" s="4">
        <v>0.5</v>
      </c>
      <c r="Q37" s="4">
        <f t="shared" si="21"/>
        <v>10.615711252653929</v>
      </c>
      <c r="R37" s="4">
        <v>0.68</v>
      </c>
      <c r="S37" s="4">
        <f t="shared" si="22"/>
        <v>14.437367303609344</v>
      </c>
      <c r="T37" s="4">
        <v>0.16</v>
      </c>
      <c r="U37" s="4">
        <f t="shared" si="23"/>
        <v>3.397027600849257</v>
      </c>
      <c r="V37" s="4">
        <v>0.36</v>
      </c>
      <c r="W37" s="4">
        <v>0.25</v>
      </c>
      <c r="X37" s="3">
        <v>0.35</v>
      </c>
      <c r="Y37" s="4">
        <f t="shared" si="24"/>
        <v>7.4309978768577496</v>
      </c>
    </row>
    <row r="38" spans="1:25" x14ac:dyDescent="0.25">
      <c r="A38" t="s">
        <v>51</v>
      </c>
      <c r="B38" s="3" t="s">
        <v>71</v>
      </c>
      <c r="C38" s="14" t="s">
        <v>75</v>
      </c>
      <c r="D38" s="3" t="s">
        <v>27</v>
      </c>
      <c r="E38" s="3">
        <v>12</v>
      </c>
      <c r="F38" s="3">
        <v>20</v>
      </c>
      <c r="G38" s="4">
        <v>4.62</v>
      </c>
      <c r="H38" s="4">
        <v>1.83</v>
      </c>
      <c r="I38" s="4">
        <f t="shared" si="17"/>
        <v>39.61038961038961</v>
      </c>
      <c r="J38" s="4">
        <v>0.38</v>
      </c>
      <c r="K38" s="4">
        <f t="shared" si="18"/>
        <v>8.2251082251082259</v>
      </c>
      <c r="L38" s="4">
        <v>0.64</v>
      </c>
      <c r="M38" s="4">
        <f t="shared" si="19"/>
        <v>13.852813852813853</v>
      </c>
      <c r="N38" s="4">
        <v>0.85</v>
      </c>
      <c r="O38" s="4">
        <f t="shared" si="20"/>
        <v>18.398268398268396</v>
      </c>
      <c r="P38" s="4">
        <v>0.54</v>
      </c>
      <c r="Q38" s="4">
        <f t="shared" si="21"/>
        <v>11.688311688311689</v>
      </c>
      <c r="R38" s="4">
        <v>0.64</v>
      </c>
      <c r="S38" s="4">
        <f t="shared" si="22"/>
        <v>13.852813852813853</v>
      </c>
      <c r="T38" s="4">
        <v>0.17</v>
      </c>
      <c r="U38" s="4">
        <f t="shared" si="23"/>
        <v>3.6796536796536801</v>
      </c>
      <c r="V38" s="4">
        <v>0.33</v>
      </c>
      <c r="W38" s="4">
        <v>0.28000000000000003</v>
      </c>
      <c r="X38" s="3">
        <v>0.41</v>
      </c>
      <c r="Y38" s="4">
        <f t="shared" si="24"/>
        <v>8.8744588744588739</v>
      </c>
    </row>
    <row r="39" spans="1:25" x14ac:dyDescent="0.25">
      <c r="A39" t="s">
        <v>52</v>
      </c>
      <c r="B39" s="3" t="s">
        <v>71</v>
      </c>
      <c r="C39" s="14" t="s">
        <v>75</v>
      </c>
      <c r="D39" s="3" t="s">
        <v>27</v>
      </c>
      <c r="E39" s="3">
        <v>11</v>
      </c>
      <c r="F39" s="3">
        <v>19</v>
      </c>
      <c r="G39" s="4">
        <v>4.8899999999999997</v>
      </c>
      <c r="H39" s="4">
        <v>2.1</v>
      </c>
      <c r="I39" s="4">
        <f t="shared" si="17"/>
        <v>42.944785276073624</v>
      </c>
      <c r="J39" s="4">
        <v>0.44</v>
      </c>
      <c r="K39" s="4">
        <f t="shared" si="18"/>
        <v>8.997955010224949</v>
      </c>
      <c r="L39" s="4">
        <v>0.66</v>
      </c>
      <c r="M39" s="4">
        <f t="shared" si="19"/>
        <v>13.496932515337425</v>
      </c>
      <c r="N39" s="4">
        <v>0.82</v>
      </c>
      <c r="O39" s="4">
        <f t="shared" si="20"/>
        <v>16.768916155419223</v>
      </c>
      <c r="P39" s="4">
        <v>0.54</v>
      </c>
      <c r="Q39" s="4">
        <f t="shared" si="21"/>
        <v>11.042944785276076</v>
      </c>
      <c r="R39" s="4">
        <v>0.61</v>
      </c>
      <c r="S39" s="4">
        <f t="shared" si="22"/>
        <v>12.474437627811861</v>
      </c>
      <c r="T39" s="4">
        <v>0.17</v>
      </c>
      <c r="U39" s="4">
        <f t="shared" si="23"/>
        <v>3.4764826175869121</v>
      </c>
      <c r="V39" s="4">
        <v>0.38</v>
      </c>
      <c r="W39" s="4">
        <v>0.28000000000000003</v>
      </c>
      <c r="X39" s="3">
        <v>0.38</v>
      </c>
      <c r="Y39" s="4">
        <f t="shared" si="24"/>
        <v>7.7709611451942742</v>
      </c>
    </row>
    <row r="40" spans="1:25" x14ac:dyDescent="0.25">
      <c r="A40" t="s">
        <v>53</v>
      </c>
      <c r="B40" s="3" t="s">
        <v>71</v>
      </c>
      <c r="C40" s="14" t="s">
        <v>75</v>
      </c>
      <c r="D40" s="3" t="s">
        <v>27</v>
      </c>
      <c r="E40" s="3">
        <v>12</v>
      </c>
      <c r="F40" s="3">
        <v>19</v>
      </c>
      <c r="G40" s="4">
        <v>4.8499999999999996</v>
      </c>
      <c r="H40" s="4">
        <v>2.0299999999999998</v>
      </c>
      <c r="I40" s="4">
        <f t="shared" si="17"/>
        <v>41.855670103092784</v>
      </c>
      <c r="J40" s="4">
        <v>0.39</v>
      </c>
      <c r="K40" s="4">
        <f t="shared" si="18"/>
        <v>8.0412371134020617</v>
      </c>
      <c r="L40" s="4">
        <v>0.69</v>
      </c>
      <c r="M40" s="4">
        <f t="shared" si="19"/>
        <v>14.226804123711339</v>
      </c>
      <c r="N40" s="4">
        <v>0.83</v>
      </c>
      <c r="O40" s="4">
        <f t="shared" si="20"/>
        <v>17.11340206185567</v>
      </c>
      <c r="P40" s="4">
        <v>0.55000000000000004</v>
      </c>
      <c r="Q40" s="4">
        <f t="shared" si="21"/>
        <v>11.340206185567011</v>
      </c>
      <c r="R40" s="4">
        <v>0.61</v>
      </c>
      <c r="S40" s="4">
        <f t="shared" si="22"/>
        <v>12.577319587628866</v>
      </c>
      <c r="T40" s="4">
        <v>0.16</v>
      </c>
      <c r="U40" s="4">
        <f t="shared" si="23"/>
        <v>3.2989690721649487</v>
      </c>
      <c r="V40" s="4">
        <v>0.33</v>
      </c>
      <c r="W40" s="4">
        <v>0.24</v>
      </c>
      <c r="X40" s="3">
        <v>0.39</v>
      </c>
      <c r="Y40" s="4">
        <f t="shared" si="24"/>
        <v>8.0412371134020617</v>
      </c>
    </row>
    <row r="41" spans="1:25" x14ac:dyDescent="0.25">
      <c r="B41" s="3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3"/>
      <c r="Y41" s="4"/>
    </row>
    <row r="42" spans="1:25" s="10" customFormat="1" x14ac:dyDescent="0.25">
      <c r="B42" s="3"/>
      <c r="C42" s="3"/>
      <c r="D42" s="3"/>
      <c r="E42" s="3"/>
      <c r="F42" s="3"/>
      <c r="G42" s="4"/>
      <c r="H42" s="11"/>
      <c r="I42" s="11"/>
      <c r="J42" s="2"/>
    </row>
    <row r="43" spans="1:25" s="10" customFormat="1" x14ac:dyDescent="0.2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0" customFormat="1" x14ac:dyDescent="0.25"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s="10" customFormat="1" x14ac:dyDescent="0.25"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10" customFormat="1" x14ac:dyDescent="0.25"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s="10" customFormat="1" x14ac:dyDescent="0.25"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s="10" customFormat="1" x14ac:dyDescent="0.2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s="10" customFormat="1" x14ac:dyDescent="0.25"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10" customFormat="1" x14ac:dyDescent="0.2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s="10" customFormat="1" x14ac:dyDescent="0.25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s="10" customFormat="1" x14ac:dyDescent="0.25">
      <c r="B52" s="3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3"/>
      <c r="Y52" s="4"/>
    </row>
    <row r="53" spans="1:25" s="10" customFormat="1" x14ac:dyDescent="0.25">
      <c r="A53" s="7"/>
      <c r="B53" s="3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3"/>
      <c r="Y53" s="4"/>
    </row>
    <row r="54" spans="1:25" s="3" customFormat="1" x14ac:dyDescent="0.25"/>
    <row r="55" spans="1:25" s="10" customFormat="1" x14ac:dyDescent="0.25">
      <c r="B55" s="3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3"/>
      <c r="Y55" s="4"/>
    </row>
    <row r="56" spans="1:25" s="10" customFormat="1" x14ac:dyDescent="0.25">
      <c r="B56" s="3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3"/>
      <c r="Y56" s="4"/>
    </row>
    <row r="57" spans="1:25" s="10" customFormat="1" x14ac:dyDescent="0.25"/>
    <row r="58" spans="1:25" s="10" customFormat="1" x14ac:dyDescent="0.25"/>
    <row r="59" spans="1:25" s="10" customFormat="1" x14ac:dyDescent="0.25">
      <c r="A59" s="7"/>
      <c r="B59" s="3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3"/>
      <c r="Y59" s="4"/>
    </row>
    <row r="60" spans="1:25" s="10" customFormat="1" x14ac:dyDescent="0.25">
      <c r="A60" s="7"/>
      <c r="B60" s="3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3"/>
      <c r="Y60" s="4"/>
    </row>
    <row r="61" spans="1:25" s="10" customFormat="1" x14ac:dyDescent="0.25">
      <c r="A61" s="7"/>
      <c r="B61" s="3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3"/>
      <c r="Y61" s="4"/>
    </row>
    <row r="62" spans="1:25" s="10" customFormat="1" x14ac:dyDescent="0.25"/>
  </sheetData>
  <sortState ref="A5:Z40">
    <sortCondition ref="B5:B40"/>
    <sortCondition ref="D5:D40"/>
  </sortState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Metadata</vt:lpstr>
      <vt:lpstr>RuffeID_Morph_Measure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newuser</cp:lastModifiedBy>
  <dcterms:created xsi:type="dcterms:W3CDTF">2016-11-30T21:38:56Z</dcterms:created>
  <dcterms:modified xsi:type="dcterms:W3CDTF">2017-09-26T15:39:59Z</dcterms:modified>
</cp:coreProperties>
</file>