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\\AA.AD.EPA.GOV\ORD\RTP\USERS\R-Z\tstoker\Net MyDocuments\Triclosan Hershberger\ScienceHub\"/>
    </mc:Choice>
  </mc:AlternateContent>
  <bookViews>
    <workbookView xWindow="0" yWindow="0" windowWidth="16275" windowHeight="7095" firstSheet="3" activeTab="5"/>
  </bookViews>
  <sheets>
    <sheet name="Abbreviations" sheetId="7" r:id="rId1"/>
    <sheet name="Thyroid Hormone (T4) Figure 1" sheetId="1" r:id="rId2"/>
    <sheet name="Estrogen RIA Figure 2" sheetId="2" r:id="rId3"/>
    <sheet name="Testosterone RIA Figure 3" sheetId="3" r:id="rId4"/>
    <sheet name="Cytotoxicity Figure 4" sheetId="4" r:id="rId5"/>
    <sheet name="Aromatase Figure 5" sheetId="5" r:id="rId6"/>
    <sheet name="Table 1" sheetId="8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8" l="1"/>
  <c r="H68" i="8" l="1"/>
  <c r="H69" i="8" s="1"/>
  <c r="B68" i="8"/>
  <c r="B69" i="8" s="1"/>
  <c r="H67" i="8"/>
  <c r="B67" i="8"/>
  <c r="I66" i="8"/>
  <c r="G66" i="8"/>
  <c r="F66" i="8"/>
  <c r="E66" i="8"/>
  <c r="D66" i="8"/>
  <c r="C66" i="8"/>
  <c r="I65" i="8"/>
  <c r="G65" i="8"/>
  <c r="F65" i="8"/>
  <c r="E65" i="8"/>
  <c r="D65" i="8"/>
  <c r="C65" i="8"/>
  <c r="I64" i="8"/>
  <c r="G64" i="8"/>
  <c r="F64" i="8"/>
  <c r="E64" i="8"/>
  <c r="D64" i="8"/>
  <c r="C64" i="8"/>
  <c r="I63" i="8"/>
  <c r="G63" i="8"/>
  <c r="F63" i="8"/>
  <c r="E63" i="8"/>
  <c r="D63" i="8"/>
  <c r="C63" i="8"/>
  <c r="I62" i="8"/>
  <c r="G62" i="8"/>
  <c r="F62" i="8"/>
  <c r="E62" i="8"/>
  <c r="D62" i="8"/>
  <c r="C62" i="8"/>
  <c r="I61" i="8"/>
  <c r="G61" i="8"/>
  <c r="F61" i="8"/>
  <c r="F68" i="8" s="1"/>
  <c r="F69" i="8" s="1"/>
  <c r="E61" i="8"/>
  <c r="D61" i="8"/>
  <c r="C61" i="8"/>
  <c r="H57" i="8"/>
  <c r="H58" i="8" s="1"/>
  <c r="B57" i="8"/>
  <c r="B58" i="8" s="1"/>
  <c r="H56" i="8"/>
  <c r="B56" i="8"/>
  <c r="I55" i="8"/>
  <c r="G55" i="8"/>
  <c r="F55" i="8"/>
  <c r="E55" i="8"/>
  <c r="D55" i="8"/>
  <c r="C55" i="8"/>
  <c r="I54" i="8"/>
  <c r="G54" i="8"/>
  <c r="F54" i="8"/>
  <c r="E54" i="8"/>
  <c r="D54" i="8"/>
  <c r="C54" i="8"/>
  <c r="I53" i="8"/>
  <c r="G53" i="8"/>
  <c r="F53" i="8"/>
  <c r="E53" i="8"/>
  <c r="D53" i="8"/>
  <c r="C53" i="8"/>
  <c r="I52" i="8"/>
  <c r="G52" i="8"/>
  <c r="F52" i="8"/>
  <c r="E52" i="8"/>
  <c r="D52" i="8"/>
  <c r="C52" i="8"/>
  <c r="C57" i="8" s="1"/>
  <c r="C58" i="8" s="1"/>
  <c r="I51" i="8"/>
  <c r="I57" i="8" s="1"/>
  <c r="I58" i="8" s="1"/>
  <c r="G51" i="8"/>
  <c r="F51" i="8"/>
  <c r="E51" i="8"/>
  <c r="D51" i="8"/>
  <c r="C51" i="8"/>
  <c r="H47" i="8"/>
  <c r="H48" i="8" s="1"/>
  <c r="B47" i="8"/>
  <c r="B48" i="8" s="1"/>
  <c r="H46" i="8"/>
  <c r="B46" i="8"/>
  <c r="I45" i="8"/>
  <c r="G45" i="8"/>
  <c r="F45" i="8"/>
  <c r="E45" i="8"/>
  <c r="D45" i="8"/>
  <c r="C45" i="8"/>
  <c r="I44" i="8"/>
  <c r="G44" i="8"/>
  <c r="F44" i="8"/>
  <c r="E44" i="8"/>
  <c r="D44" i="8"/>
  <c r="C44" i="8"/>
  <c r="I43" i="8"/>
  <c r="G43" i="8"/>
  <c r="F43" i="8"/>
  <c r="E43" i="8"/>
  <c r="D43" i="8"/>
  <c r="C43" i="8"/>
  <c r="I42" i="8"/>
  <c r="G42" i="8"/>
  <c r="F42" i="8"/>
  <c r="E42" i="8"/>
  <c r="D42" i="8"/>
  <c r="C42" i="8"/>
  <c r="I41" i="8"/>
  <c r="G41" i="8"/>
  <c r="F41" i="8"/>
  <c r="E41" i="8"/>
  <c r="D41" i="8"/>
  <c r="C41" i="8"/>
  <c r="I40" i="8"/>
  <c r="G40" i="8"/>
  <c r="F40" i="8"/>
  <c r="E40" i="8"/>
  <c r="D40" i="8"/>
  <c r="D47" i="8" s="1"/>
  <c r="D48" i="8" s="1"/>
  <c r="C40" i="8"/>
  <c r="H36" i="8"/>
  <c r="H37" i="8" s="1"/>
  <c r="B36" i="8"/>
  <c r="B37" i="8" s="1"/>
  <c r="H35" i="8"/>
  <c r="B35" i="8"/>
  <c r="I34" i="8"/>
  <c r="G34" i="8"/>
  <c r="F34" i="8"/>
  <c r="E34" i="8"/>
  <c r="D34" i="8"/>
  <c r="C34" i="8"/>
  <c r="I33" i="8"/>
  <c r="G33" i="8"/>
  <c r="F33" i="8"/>
  <c r="E33" i="8"/>
  <c r="D33" i="8"/>
  <c r="C33" i="8"/>
  <c r="G32" i="8"/>
  <c r="F32" i="8"/>
  <c r="E32" i="8"/>
  <c r="D32" i="8"/>
  <c r="C32" i="8"/>
  <c r="I31" i="8"/>
  <c r="G31" i="8"/>
  <c r="G36" i="8" s="1"/>
  <c r="G37" i="8" s="1"/>
  <c r="F31" i="8"/>
  <c r="E31" i="8"/>
  <c r="D31" i="8"/>
  <c r="C31" i="8"/>
  <c r="C36" i="8" s="1"/>
  <c r="C37" i="8" s="1"/>
  <c r="I30" i="8"/>
  <c r="G30" i="8"/>
  <c r="F30" i="8"/>
  <c r="E30" i="8"/>
  <c r="E36" i="8" s="1"/>
  <c r="E37" i="8" s="1"/>
  <c r="D30" i="8"/>
  <c r="C30" i="8"/>
  <c r="H26" i="8"/>
  <c r="H27" i="8" s="1"/>
  <c r="B26" i="8"/>
  <c r="B27" i="8" s="1"/>
  <c r="H25" i="8"/>
  <c r="B25" i="8"/>
  <c r="I24" i="8"/>
  <c r="G24" i="8"/>
  <c r="F24" i="8"/>
  <c r="E24" i="8"/>
  <c r="D24" i="8"/>
  <c r="C24" i="8"/>
  <c r="I23" i="8"/>
  <c r="G23" i="8"/>
  <c r="F23" i="8"/>
  <c r="E23" i="8"/>
  <c r="D23" i="8"/>
  <c r="C23" i="8"/>
  <c r="I22" i="8"/>
  <c r="G22" i="8"/>
  <c r="F22" i="8"/>
  <c r="E22" i="8"/>
  <c r="D22" i="8"/>
  <c r="C22" i="8"/>
  <c r="I21" i="8"/>
  <c r="G21" i="8"/>
  <c r="F21" i="8"/>
  <c r="E21" i="8"/>
  <c r="D21" i="8"/>
  <c r="C21" i="8"/>
  <c r="G20" i="8"/>
  <c r="F20" i="8"/>
  <c r="E20" i="8"/>
  <c r="D20" i="8"/>
  <c r="C20" i="8"/>
  <c r="I19" i="8"/>
  <c r="G19" i="8"/>
  <c r="F19" i="8"/>
  <c r="E19" i="8"/>
  <c r="D19" i="8"/>
  <c r="C19" i="8"/>
  <c r="I18" i="8"/>
  <c r="G18" i="8"/>
  <c r="F18" i="8"/>
  <c r="E18" i="8"/>
  <c r="D18" i="8"/>
  <c r="C18" i="8"/>
  <c r="H14" i="8"/>
  <c r="H15" i="8" s="1"/>
  <c r="B14" i="8"/>
  <c r="B15" i="8" s="1"/>
  <c r="H13" i="8"/>
  <c r="B13" i="8"/>
  <c r="I12" i="8"/>
  <c r="G12" i="8"/>
  <c r="F12" i="8"/>
  <c r="E12" i="8"/>
  <c r="D12" i="8"/>
  <c r="C12" i="8"/>
  <c r="I11" i="8"/>
  <c r="G11" i="8"/>
  <c r="F11" i="8"/>
  <c r="E11" i="8"/>
  <c r="D11" i="8"/>
  <c r="C11" i="8"/>
  <c r="I10" i="8"/>
  <c r="G10" i="8"/>
  <c r="F10" i="8"/>
  <c r="E10" i="8"/>
  <c r="D10" i="8"/>
  <c r="C10" i="8"/>
  <c r="I9" i="8"/>
  <c r="G9" i="8"/>
  <c r="F9" i="8"/>
  <c r="E9" i="8"/>
  <c r="E14" i="8" s="1"/>
  <c r="E15" i="8" s="1"/>
  <c r="D9" i="8"/>
  <c r="C9" i="8"/>
  <c r="I8" i="8"/>
  <c r="G8" i="8"/>
  <c r="G14" i="8" s="1"/>
  <c r="G15" i="8" s="1"/>
  <c r="F8" i="8"/>
  <c r="E8" i="8"/>
  <c r="D8" i="8"/>
  <c r="D14" i="8" s="1"/>
  <c r="D15" i="8" s="1"/>
  <c r="C8" i="8"/>
  <c r="C14" i="8" s="1"/>
  <c r="C15" i="8" s="1"/>
  <c r="F47" i="8" l="1"/>
  <c r="F48" i="8" s="1"/>
  <c r="F57" i="8"/>
  <c r="F58" i="8" s="1"/>
  <c r="D68" i="8"/>
  <c r="D69" i="8" s="1"/>
  <c r="I68" i="8"/>
  <c r="I69" i="8" s="1"/>
  <c r="E35" i="8"/>
  <c r="C47" i="8"/>
  <c r="C48" i="8" s="1"/>
  <c r="G47" i="8"/>
  <c r="G48" i="8" s="1"/>
  <c r="E47" i="8"/>
  <c r="E48" i="8" s="1"/>
  <c r="G57" i="8"/>
  <c r="G58" i="8" s="1"/>
  <c r="G67" i="8"/>
  <c r="D13" i="8"/>
  <c r="I14" i="8"/>
  <c r="I15" i="8" s="1"/>
  <c r="F14" i="8"/>
  <c r="F15" i="8" s="1"/>
  <c r="E46" i="8"/>
  <c r="D57" i="8"/>
  <c r="D58" i="8" s="1"/>
  <c r="C56" i="8"/>
  <c r="E26" i="8"/>
  <c r="E27" i="8" s="1"/>
  <c r="C26" i="8"/>
  <c r="C27" i="8" s="1"/>
  <c r="G26" i="8"/>
  <c r="G27" i="8" s="1"/>
  <c r="D36" i="8"/>
  <c r="D37" i="8" s="1"/>
  <c r="I36" i="8"/>
  <c r="I37" i="8" s="1"/>
  <c r="F36" i="8"/>
  <c r="F37" i="8" s="1"/>
  <c r="E57" i="8"/>
  <c r="E58" i="8" s="1"/>
  <c r="G56" i="8"/>
  <c r="E68" i="8"/>
  <c r="E69" i="8" s="1"/>
  <c r="C68" i="8"/>
  <c r="C69" i="8" s="1"/>
  <c r="G68" i="8"/>
  <c r="G69" i="8" s="1"/>
  <c r="C67" i="8"/>
  <c r="F26" i="8"/>
  <c r="F27" i="8" s="1"/>
  <c r="D26" i="8"/>
  <c r="D27" i="8" s="1"/>
  <c r="I26" i="8"/>
  <c r="I27" i="8" s="1"/>
  <c r="I47" i="8"/>
  <c r="I48" i="8" s="1"/>
  <c r="E13" i="8"/>
  <c r="I13" i="8"/>
  <c r="D25" i="8"/>
  <c r="F35" i="8"/>
  <c r="F46" i="8"/>
  <c r="D56" i="8"/>
  <c r="D67" i="8"/>
  <c r="F13" i="8"/>
  <c r="E25" i="8"/>
  <c r="I25" i="8"/>
  <c r="C35" i="8"/>
  <c r="G35" i="8"/>
  <c r="C46" i="8"/>
  <c r="G46" i="8"/>
  <c r="E56" i="8"/>
  <c r="I56" i="8"/>
  <c r="E67" i="8"/>
  <c r="I67" i="8"/>
  <c r="C13" i="8"/>
  <c r="G13" i="8"/>
  <c r="F25" i="8"/>
  <c r="D35" i="8"/>
  <c r="D46" i="8"/>
  <c r="F56" i="8"/>
  <c r="F67" i="8"/>
  <c r="C25" i="8"/>
  <c r="G25" i="8"/>
  <c r="I35" i="8"/>
  <c r="I46" i="8"/>
  <c r="J7" i="4" l="1"/>
  <c r="I7" i="4"/>
  <c r="H7" i="4"/>
  <c r="G7" i="4"/>
  <c r="F7" i="4"/>
  <c r="E7" i="4"/>
  <c r="D7" i="4"/>
  <c r="C7" i="4"/>
  <c r="G6" i="3" l="1"/>
  <c r="F6" i="3"/>
  <c r="E6" i="3"/>
  <c r="D6" i="3"/>
  <c r="L6" i="3"/>
  <c r="K6" i="3"/>
  <c r="J6" i="3"/>
  <c r="I6" i="3"/>
  <c r="H6" i="3"/>
  <c r="C6" i="3"/>
  <c r="B6" i="3"/>
  <c r="B5" i="2"/>
  <c r="M5" i="2"/>
  <c r="L5" i="2"/>
  <c r="K5" i="2"/>
  <c r="J5" i="2"/>
  <c r="I5" i="2"/>
  <c r="H5" i="2"/>
  <c r="D5" i="2"/>
  <c r="C5" i="2"/>
</calcChain>
</file>

<file path=xl/sharedStrings.xml><?xml version="1.0" encoding="utf-8"?>
<sst xmlns="http://schemas.openxmlformats.org/spreadsheetml/2006/main" count="145" uniqueCount="94">
  <si>
    <t>Blank</t>
  </si>
  <si>
    <t>DMSO 0.1%</t>
  </si>
  <si>
    <t>Forskolin 10.0 µM (FKN)</t>
  </si>
  <si>
    <t>Prochloraz  0.3 µM   (PCZ)</t>
  </si>
  <si>
    <t>Prochloraz  3 µM     (PCZ)</t>
  </si>
  <si>
    <t>Triclosan 0.01 µM  (TCS)</t>
  </si>
  <si>
    <t>Triclosan 0.1 µM  (TCS)</t>
  </si>
  <si>
    <t>Triclosan 0.3 µM (TCS)</t>
  </si>
  <si>
    <t>Triclosan 1 µM  (TCS)</t>
  </si>
  <si>
    <t>Triclosan 3 µM  (TCS)</t>
  </si>
  <si>
    <t>Triclosan 10 µM  (TCS)</t>
  </si>
  <si>
    <t>Forskolin 1.0 µM  (FKN)</t>
  </si>
  <si>
    <t>Mean</t>
  </si>
  <si>
    <t>SEM</t>
  </si>
  <si>
    <t>Triclosan   1 µM  (TCS)</t>
  </si>
  <si>
    <t>Triclosan   3 µM  (TCS)</t>
  </si>
  <si>
    <t>Control</t>
  </si>
  <si>
    <t>TP 0.2mg/kg</t>
  </si>
  <si>
    <t>TCS 50mg/kg</t>
  </si>
  <si>
    <t>TCS 200mg/kg</t>
  </si>
  <si>
    <t>Oral Dose</t>
  </si>
  <si>
    <t>Subcutaneous Injection</t>
  </si>
  <si>
    <t>A</t>
  </si>
  <si>
    <t>A + L</t>
  </si>
  <si>
    <t>A + TCS 1µM</t>
  </si>
  <si>
    <t>A + TCS 3µM</t>
  </si>
  <si>
    <t>A + TCS 10µM</t>
  </si>
  <si>
    <t>A + TCS 30µM</t>
  </si>
  <si>
    <t>n</t>
  </si>
  <si>
    <t>Aromatase</t>
  </si>
  <si>
    <t>L</t>
  </si>
  <si>
    <t>Letrozole</t>
  </si>
  <si>
    <t>TCS</t>
  </si>
  <si>
    <t>Triclosan</t>
  </si>
  <si>
    <t>N</t>
  </si>
  <si>
    <t>SD</t>
  </si>
  <si>
    <t xml:space="preserve">Abbreviations </t>
  </si>
  <si>
    <t>TP= Testosterone Proprionate</t>
  </si>
  <si>
    <t xml:space="preserve">TCS= Triclosan </t>
  </si>
  <si>
    <t>T4= Thyroxine</t>
  </si>
  <si>
    <t>mg= milligram</t>
  </si>
  <si>
    <t>kg= kilogram</t>
  </si>
  <si>
    <t>ASTs- Accessory sex tissues</t>
  </si>
  <si>
    <t>FDA= Fedearl Drug Administration</t>
  </si>
  <si>
    <t>ng= nanogram</t>
  </si>
  <si>
    <t>μM= micromolar</t>
  </si>
  <si>
    <t>min= minute</t>
  </si>
  <si>
    <t>nm= nanometers</t>
  </si>
  <si>
    <t>E= estrogen</t>
  </si>
  <si>
    <t>DMSO= dimethyl sulfoxide</t>
  </si>
  <si>
    <t>AR= androgen receptor</t>
  </si>
  <si>
    <t>LH= Luteinizing hormone</t>
  </si>
  <si>
    <t>GD= gestational day</t>
  </si>
  <si>
    <t>FSH= follicle stimulating hormone</t>
  </si>
  <si>
    <t>T= testosterone</t>
  </si>
  <si>
    <t>hCG= human chorionic gonadotropin</t>
  </si>
  <si>
    <t>EDSP= Endocrine Disruptors Screening Program</t>
  </si>
  <si>
    <t>μg/L= micrograms per liter</t>
  </si>
  <si>
    <t>ANOVA= analysis of variance</t>
  </si>
  <si>
    <t>Fig 5.  Effect of Triclosan on Aromatase enzyme activity (pmole/min/mg).</t>
  </si>
  <si>
    <t>Fig 4. H295R cell viability after Triclosan exposure (percent live).</t>
  </si>
  <si>
    <t>Fig. 3 The effect of Triclosan on Testosterone production in H295R cells (ng/ml).</t>
  </si>
  <si>
    <t>Fig. 3   Effect of Triclosan on Estrogen Production in H295R cells (pg/ml).</t>
  </si>
  <si>
    <t>T4 (µg/dl)</t>
  </si>
  <si>
    <r>
      <t>Fig 1.  Effect of Triclosan on T4 production in Hershberger male rats (</t>
    </r>
    <r>
      <rPr>
        <sz val="11"/>
        <color theme="1"/>
        <rFont val="Calibri"/>
        <family val="2"/>
      </rPr>
      <t>μg/dl)</t>
    </r>
    <r>
      <rPr>
        <sz val="11"/>
        <color theme="1"/>
        <rFont val="Calibri"/>
        <family val="2"/>
        <scheme val="minor"/>
      </rPr>
      <t>.</t>
    </r>
  </si>
  <si>
    <t>pmole= picomole</t>
  </si>
  <si>
    <t>Animal #</t>
  </si>
  <si>
    <t>Body Wt (g)</t>
  </si>
  <si>
    <t>GP Wt (mg)</t>
  </si>
  <si>
    <t>SV Wt (mg)</t>
  </si>
  <si>
    <t>VP Wt (mg)</t>
  </si>
  <si>
    <t>COW Wt (mg)</t>
  </si>
  <si>
    <t>LABC Wt (mg)</t>
  </si>
  <si>
    <t>Liver Wt (g)</t>
  </si>
  <si>
    <t>Thyroid Wt (mg)</t>
  </si>
  <si>
    <t>Average</t>
  </si>
  <si>
    <t>StDev</t>
  </si>
  <si>
    <t>41538*</t>
  </si>
  <si>
    <t>Control + TP</t>
  </si>
  <si>
    <t>50 mg/kg TCS</t>
  </si>
  <si>
    <t>200 mg/kg TCS + TP</t>
  </si>
  <si>
    <t xml:space="preserve">   </t>
  </si>
  <si>
    <t xml:space="preserve"> 50 mg/kg TCS + TP</t>
  </si>
  <si>
    <t>200 mg/kg TCS</t>
  </si>
  <si>
    <t xml:space="preserve">  </t>
  </si>
  <si>
    <t xml:space="preserve">Percent </t>
  </si>
  <si>
    <t xml:space="preserve">TP= Testosterone Proprionate,  TCS= Triclosan,  GP = glans penis, SV = seminal vesical, VP = ventral prostate, COW = cowper's gland, LABC = levitor ani bulbocavernosus muscle.  </t>
  </si>
  <si>
    <t xml:space="preserve"> partial</t>
  </si>
  <si>
    <r>
      <rPr>
        <b/>
        <sz val="11"/>
        <color theme="1"/>
        <rFont val="Calibri"/>
        <family val="2"/>
        <scheme val="minor"/>
      </rPr>
      <t>Triclosan Concentration (</t>
    </r>
    <r>
      <rPr>
        <b/>
        <sz val="11"/>
        <color theme="1"/>
        <rFont val="Calibri"/>
        <family val="2"/>
      </rPr>
      <t>µM)</t>
    </r>
  </si>
  <si>
    <t xml:space="preserve">Table 1:  Accessory Sex Tissue and Thyroid Weights for Triclosan Hershberger experiment in castrated male rats.  </t>
  </si>
  <si>
    <t>3600 *</t>
  </si>
  <si>
    <t>8.6 #</t>
  </si>
  <si>
    <t>*  Maximum detection limit assigned to each n.</t>
  </si>
  <si>
    <t># Lowest detectable limit assigned to each 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</si>
</sst>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</font>
    <font>
      <b/>
      <u/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3F3F3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2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4" fillId="7" borderId="37" applyNumberFormat="0" applyAlignment="0" applyProtection="0"/>
  </cellStyleXfs>
  <cellXfs count="107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2" borderId="6" xfId="0" applyFont="1" applyFill="1" applyBorder="1"/>
    <xf numFmtId="164" fontId="2" fillId="0" borderId="2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4" fontId="0" fillId="0" borderId="9" xfId="0" applyNumberFormat="1" applyBorder="1"/>
    <xf numFmtId="0" fontId="0" fillId="0" borderId="12" xfId="0" applyBorder="1"/>
    <xf numFmtId="0" fontId="0" fillId="0" borderId="5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64" fontId="2" fillId="0" borderId="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left"/>
    </xf>
    <xf numFmtId="2" fontId="0" fillId="0" borderId="18" xfId="0" applyNumberFormat="1" applyBorder="1" applyAlignment="1">
      <alignment horizontal="left"/>
    </xf>
    <xf numFmtId="0" fontId="1" fillId="0" borderId="22" xfId="0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2" fontId="0" fillId="0" borderId="25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0" fontId="0" fillId="0" borderId="13" xfId="0" applyBorder="1"/>
    <xf numFmtId="0" fontId="0" fillId="0" borderId="26" xfId="0" applyBorder="1"/>
    <xf numFmtId="2" fontId="0" fillId="0" borderId="1" xfId="0" applyNumberFormat="1" applyBorder="1"/>
    <xf numFmtId="2" fontId="0" fillId="0" borderId="13" xfId="0" applyNumberFormat="1" applyBorder="1"/>
    <xf numFmtId="0" fontId="0" fillId="0" borderId="27" xfId="0" applyBorder="1"/>
    <xf numFmtId="2" fontId="0" fillId="0" borderId="25" xfId="0" applyNumberFormat="1" applyBorder="1"/>
    <xf numFmtId="2" fontId="0" fillId="0" borderId="18" xfId="0" applyNumberFormat="1" applyBorder="1"/>
    <xf numFmtId="0" fontId="0" fillId="0" borderId="22" xfId="0" applyBorder="1"/>
    <xf numFmtId="0" fontId="1" fillId="0" borderId="23" xfId="0" applyFont="1" applyBorder="1" applyAlignment="1">
      <alignment horizontal="center" vertical="center"/>
    </xf>
    <xf numFmtId="2" fontId="0" fillId="0" borderId="28" xfId="0" applyNumberFormat="1" applyBorder="1"/>
    <xf numFmtId="2" fontId="0" fillId="0" borderId="9" xfId="0" applyNumberFormat="1" applyBorder="1"/>
    <xf numFmtId="0" fontId="0" fillId="0" borderId="4" xfId="0" applyBorder="1"/>
    <xf numFmtId="2" fontId="0" fillId="0" borderId="29" xfId="0" applyNumberFormat="1" applyBorder="1"/>
    <xf numFmtId="2" fontId="0" fillId="0" borderId="8" xfId="0" applyNumberFormat="1" applyBorder="1"/>
    <xf numFmtId="1" fontId="0" fillId="0" borderId="4" xfId="0" applyNumberFormat="1" applyFill="1" applyBorder="1"/>
    <xf numFmtId="1" fontId="0" fillId="0" borderId="12" xfId="0" applyNumberFormat="1" applyFill="1" applyBorder="1"/>
    <xf numFmtId="1" fontId="0" fillId="0" borderId="5" xfId="0" applyNumberFormat="1" applyFill="1" applyBorder="1"/>
    <xf numFmtId="164" fontId="0" fillId="0" borderId="18" xfId="0" applyNumberFormat="1" applyBorder="1"/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64" fontId="0" fillId="0" borderId="29" xfId="0" applyNumberFormat="1" applyBorder="1"/>
    <xf numFmtId="164" fontId="0" fillId="0" borderId="28" xfId="0" applyNumberFormat="1" applyBorder="1"/>
    <xf numFmtId="164" fontId="0" fillId="0" borderId="8" xfId="0" applyNumberFormat="1" applyBorder="1"/>
    <xf numFmtId="0" fontId="2" fillId="0" borderId="0" xfId="0" applyFont="1"/>
    <xf numFmtId="0" fontId="3" fillId="0" borderId="0" xfId="0" applyFont="1"/>
    <xf numFmtId="0" fontId="2" fillId="3" borderId="7" xfId="0" applyFont="1" applyFill="1" applyBorder="1"/>
    <xf numFmtId="0" fontId="2" fillId="4" borderId="7" xfId="0" applyFont="1" applyFill="1" applyBorder="1"/>
    <xf numFmtId="0" fontId="2" fillId="4" borderId="10" xfId="0" applyFont="1" applyFill="1" applyBorder="1"/>
    <xf numFmtId="164" fontId="2" fillId="5" borderId="8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/>
    </xf>
    <xf numFmtId="164" fontId="2" fillId="5" borderId="4" xfId="0" applyNumberFormat="1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/>
    </xf>
    <xf numFmtId="164" fontId="2" fillId="5" borderId="12" xfId="0" applyNumberFormat="1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/>
    </xf>
    <xf numFmtId="0" fontId="0" fillId="0" borderId="0" xfId="0" applyFill="1" applyBorder="1"/>
    <xf numFmtId="0" fontId="0" fillId="6" borderId="35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0" xfId="0" applyFont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1" fontId="0" fillId="6" borderId="35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6" borderId="35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2" fontId="0" fillId="6" borderId="35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65" fontId="0" fillId="6" borderId="35" xfId="0" applyNumberFormat="1" applyFill="1" applyBorder="1" applyAlignment="1">
      <alignment horizontal="center"/>
    </xf>
    <xf numFmtId="165" fontId="0" fillId="6" borderId="22" xfId="0" applyNumberFormat="1" applyFill="1" applyBorder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0" fillId="6" borderId="35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6" borderId="35" xfId="0" applyNumberFormat="1" applyFill="1" applyBorder="1" applyAlignment="1">
      <alignment horizontal="center" vertical="center"/>
    </xf>
    <xf numFmtId="165" fontId="7" fillId="6" borderId="37" xfId="1" applyNumberFormat="1" applyFont="1" applyFill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C19" sqref="C19"/>
    </sheetView>
  </sheetViews>
  <sheetFormatPr defaultRowHeight="15" x14ac:dyDescent="0.25"/>
  <sheetData>
    <row r="1" spans="1:2" ht="18.75" x14ac:dyDescent="0.3">
      <c r="A1" s="58" t="s">
        <v>36</v>
      </c>
      <c r="B1" s="58"/>
    </row>
    <row r="3" spans="1:2" x14ac:dyDescent="0.25">
      <c r="A3" t="s">
        <v>58</v>
      </c>
    </row>
    <row r="4" spans="1:2" x14ac:dyDescent="0.25">
      <c r="A4" t="s">
        <v>50</v>
      </c>
    </row>
    <row r="5" spans="1:2" x14ac:dyDescent="0.25">
      <c r="A5" t="s">
        <v>42</v>
      </c>
    </row>
    <row r="6" spans="1:2" x14ac:dyDescent="0.25">
      <c r="A6" t="s">
        <v>49</v>
      </c>
    </row>
    <row r="7" spans="1:2" x14ac:dyDescent="0.25">
      <c r="A7" t="s">
        <v>48</v>
      </c>
    </row>
    <row r="8" spans="1:2" x14ac:dyDescent="0.25">
      <c r="A8" t="s">
        <v>56</v>
      </c>
    </row>
    <row r="9" spans="1:2" x14ac:dyDescent="0.25">
      <c r="A9" t="s">
        <v>43</v>
      </c>
    </row>
    <row r="10" spans="1:2" x14ac:dyDescent="0.25">
      <c r="A10" t="s">
        <v>53</v>
      </c>
    </row>
    <row r="11" spans="1:2" x14ac:dyDescent="0.25">
      <c r="A11" t="s">
        <v>52</v>
      </c>
    </row>
    <row r="12" spans="1:2" x14ac:dyDescent="0.25">
      <c r="A12" t="s">
        <v>55</v>
      </c>
    </row>
    <row r="13" spans="1:2" x14ac:dyDescent="0.25">
      <c r="A13" t="s">
        <v>41</v>
      </c>
    </row>
    <row r="14" spans="1:2" x14ac:dyDescent="0.25">
      <c r="A14" t="s">
        <v>51</v>
      </c>
    </row>
    <row r="15" spans="1:2" x14ac:dyDescent="0.25">
      <c r="A15" t="s">
        <v>46</v>
      </c>
    </row>
    <row r="16" spans="1:2" x14ac:dyDescent="0.25">
      <c r="A16" t="s">
        <v>40</v>
      </c>
    </row>
    <row r="17" spans="1:1" x14ac:dyDescent="0.25">
      <c r="A17" t="s">
        <v>44</v>
      </c>
    </row>
    <row r="18" spans="1:1" x14ac:dyDescent="0.25">
      <c r="A18" t="s">
        <v>47</v>
      </c>
    </row>
    <row r="19" spans="1:1" x14ac:dyDescent="0.25">
      <c r="A19" t="s">
        <v>65</v>
      </c>
    </row>
    <row r="20" spans="1:1" x14ac:dyDescent="0.25">
      <c r="A20" t="s">
        <v>54</v>
      </c>
    </row>
    <row r="21" spans="1:1" x14ac:dyDescent="0.25">
      <c r="A21" t="s">
        <v>39</v>
      </c>
    </row>
    <row r="22" spans="1:1" x14ac:dyDescent="0.25">
      <c r="A22" t="s">
        <v>38</v>
      </c>
    </row>
    <row r="23" spans="1:1" x14ac:dyDescent="0.25">
      <c r="A23" t="s">
        <v>37</v>
      </c>
    </row>
    <row r="24" spans="1:1" x14ac:dyDescent="0.25">
      <c r="A24" s="57" t="s">
        <v>57</v>
      </c>
    </row>
    <row r="25" spans="1:1" x14ac:dyDescent="0.25">
      <c r="A25" s="57" t="s">
        <v>45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F19" sqref="F19"/>
    </sheetView>
  </sheetViews>
  <sheetFormatPr defaultRowHeight="15" x14ac:dyDescent="0.25"/>
  <cols>
    <col min="2" max="3" width="20.7109375" customWidth="1"/>
    <col min="5" max="5" width="8.85546875" style="6"/>
    <col min="7" max="7" width="8.85546875" style="6"/>
  </cols>
  <sheetData>
    <row r="1" spans="1:7" x14ac:dyDescent="0.25">
      <c r="A1" t="s">
        <v>64</v>
      </c>
    </row>
    <row r="3" spans="1:7" ht="15.75" thickBot="1" x14ac:dyDescent="0.3"/>
    <row r="4" spans="1:7" x14ac:dyDescent="0.25">
      <c r="C4" s="1"/>
      <c r="D4" s="93" t="s">
        <v>63</v>
      </c>
      <c r="E4" s="94"/>
      <c r="F4" s="94"/>
      <c r="G4" s="95"/>
    </row>
    <row r="5" spans="1:7" ht="15.75" thickBot="1" x14ac:dyDescent="0.3">
      <c r="B5" s="6" t="s">
        <v>20</v>
      </c>
      <c r="C5" s="1" t="s">
        <v>21</v>
      </c>
      <c r="D5" s="2" t="s">
        <v>12</v>
      </c>
      <c r="E5" s="22" t="s">
        <v>35</v>
      </c>
      <c r="F5" s="17" t="s">
        <v>13</v>
      </c>
      <c r="G5" s="19" t="s">
        <v>28</v>
      </c>
    </row>
    <row r="6" spans="1:7" x14ac:dyDescent="0.25">
      <c r="B6" s="3" t="s">
        <v>16</v>
      </c>
      <c r="C6" s="3" t="s">
        <v>16</v>
      </c>
      <c r="D6" s="4">
        <v>3.8259999999999996</v>
      </c>
      <c r="E6" s="23">
        <v>0.68899999999999995</v>
      </c>
      <c r="F6" s="18">
        <v>0.30767661594602874</v>
      </c>
      <c r="G6" s="20">
        <v>5</v>
      </c>
    </row>
    <row r="7" spans="1:7" x14ac:dyDescent="0.25">
      <c r="B7" s="60" t="s">
        <v>16</v>
      </c>
      <c r="C7" s="60" t="s">
        <v>17</v>
      </c>
      <c r="D7" s="62">
        <v>4.1848571428571431</v>
      </c>
      <c r="E7" s="63">
        <v>1.1479999999999999</v>
      </c>
      <c r="F7" s="64">
        <v>0.43360199154850515</v>
      </c>
      <c r="G7" s="65">
        <v>7</v>
      </c>
    </row>
    <row r="8" spans="1:7" x14ac:dyDescent="0.25">
      <c r="B8" s="59" t="s">
        <v>18</v>
      </c>
      <c r="C8" s="59" t="s">
        <v>16</v>
      </c>
      <c r="D8" s="5">
        <v>2.8893999999999997</v>
      </c>
      <c r="E8" s="24">
        <v>0.97299999999999998</v>
      </c>
      <c r="F8" s="16">
        <v>0.43543984659192619</v>
      </c>
      <c r="G8" s="21">
        <v>5</v>
      </c>
    </row>
    <row r="9" spans="1:7" x14ac:dyDescent="0.25">
      <c r="B9" s="60" t="s">
        <v>18</v>
      </c>
      <c r="C9" s="60" t="s">
        <v>17</v>
      </c>
      <c r="D9" s="62">
        <v>2.3091666666666666</v>
      </c>
      <c r="E9" s="63">
        <v>0.47299999999999998</v>
      </c>
      <c r="F9" s="64">
        <v>0.19319893316935707</v>
      </c>
      <c r="G9" s="65">
        <v>6</v>
      </c>
    </row>
    <row r="10" spans="1:7" x14ac:dyDescent="0.25">
      <c r="B10" s="59" t="s">
        <v>19</v>
      </c>
      <c r="C10" s="59" t="s">
        <v>16</v>
      </c>
      <c r="D10" s="5">
        <v>1.6143999999999998</v>
      </c>
      <c r="E10" s="24">
        <v>0.97899999999999998</v>
      </c>
      <c r="F10" s="16">
        <v>0.4375716627022368</v>
      </c>
      <c r="G10" s="21">
        <v>5</v>
      </c>
    </row>
    <row r="11" spans="1:7" ht="15.75" thickBot="1" x14ac:dyDescent="0.3">
      <c r="B11" s="61" t="s">
        <v>19</v>
      </c>
      <c r="C11" s="61" t="s">
        <v>17</v>
      </c>
      <c r="D11" s="66">
        <v>1.6336666666666666</v>
      </c>
      <c r="E11" s="67">
        <v>0.26</v>
      </c>
      <c r="F11" s="68">
        <v>0.10519875368927981</v>
      </c>
      <c r="G11" s="69">
        <v>6</v>
      </c>
    </row>
  </sheetData>
  <mergeCells count="1">
    <mergeCell ref="D4:G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H11" sqref="H11"/>
    </sheetView>
  </sheetViews>
  <sheetFormatPr defaultRowHeight="15" x14ac:dyDescent="0.25"/>
  <cols>
    <col min="2" max="13" width="10.7109375" customWidth="1"/>
  </cols>
  <sheetData>
    <row r="1" spans="1:13" x14ac:dyDescent="0.25">
      <c r="A1" t="s">
        <v>62</v>
      </c>
    </row>
    <row r="2" spans="1:13" ht="15.75" thickBot="1" x14ac:dyDescent="0.3"/>
    <row r="3" spans="1:13" ht="48" thickBot="1" x14ac:dyDescent="0.3">
      <c r="A3" s="34"/>
      <c r="B3" s="27" t="s">
        <v>0</v>
      </c>
      <c r="C3" s="28" t="s">
        <v>1</v>
      </c>
      <c r="D3" s="29" t="s">
        <v>11</v>
      </c>
      <c r="E3" s="29" t="s">
        <v>2</v>
      </c>
      <c r="F3" s="29" t="s">
        <v>3</v>
      </c>
      <c r="G3" s="29" t="s">
        <v>4</v>
      </c>
      <c r="H3" s="28" t="s">
        <v>5</v>
      </c>
      <c r="I3" s="28" t="s">
        <v>6</v>
      </c>
      <c r="J3" s="28" t="s">
        <v>7</v>
      </c>
      <c r="K3" s="28" t="s">
        <v>8</v>
      </c>
      <c r="L3" s="28" t="s">
        <v>9</v>
      </c>
      <c r="M3" s="30" t="s">
        <v>10</v>
      </c>
    </row>
    <row r="4" spans="1:13" x14ac:dyDescent="0.25">
      <c r="A4" s="13" t="s">
        <v>12</v>
      </c>
      <c r="B4" s="31">
        <v>28.297000000000001</v>
      </c>
      <c r="C4" s="26">
        <v>20.193999999999999</v>
      </c>
      <c r="D4" s="26">
        <v>3233</v>
      </c>
      <c r="E4" s="26" t="s">
        <v>90</v>
      </c>
      <c r="F4" s="26" t="s">
        <v>91</v>
      </c>
      <c r="G4" s="26" t="s">
        <v>91</v>
      </c>
      <c r="H4" s="26">
        <v>16.882999999999999</v>
      </c>
      <c r="I4" s="26">
        <v>16.077000000000002</v>
      </c>
      <c r="J4" s="26">
        <v>20.183</v>
      </c>
      <c r="K4" s="26">
        <v>21.648</v>
      </c>
      <c r="L4" s="26">
        <v>30.965</v>
      </c>
      <c r="M4" s="26">
        <v>68.391999999999996</v>
      </c>
    </row>
    <row r="5" spans="1:13" x14ac:dyDescent="0.25">
      <c r="A5" s="14" t="s">
        <v>35</v>
      </c>
      <c r="B5" s="32">
        <f>B6*2.449</f>
        <v>2.6032869999999999</v>
      </c>
      <c r="C5" s="25">
        <f>C6*2.449</f>
        <v>3.2890069999999998</v>
      </c>
      <c r="D5" s="25">
        <f>D6*1.732</f>
        <v>91.69207999999999</v>
      </c>
      <c r="E5" s="25">
        <v>0</v>
      </c>
      <c r="F5" s="25">
        <v>0</v>
      </c>
      <c r="G5" s="25">
        <v>0</v>
      </c>
      <c r="H5" s="25">
        <f t="shared" ref="H5:M5" si="0">H6*2.449</f>
        <v>4.0677889999999994</v>
      </c>
      <c r="I5" s="25">
        <f t="shared" si="0"/>
        <v>4.420445</v>
      </c>
      <c r="J5" s="25">
        <f t="shared" si="0"/>
        <v>9.3061999999999987</v>
      </c>
      <c r="K5" s="25">
        <f t="shared" si="0"/>
        <v>5.8408649999999991</v>
      </c>
      <c r="L5" s="25">
        <f t="shared" si="0"/>
        <v>9.2498729999999991</v>
      </c>
      <c r="M5" s="25">
        <f t="shared" si="0"/>
        <v>21.969978999999999</v>
      </c>
    </row>
    <row r="6" spans="1:13" x14ac:dyDescent="0.25">
      <c r="A6" s="14" t="s">
        <v>13</v>
      </c>
      <c r="B6" s="32">
        <v>1.0629999999999999</v>
      </c>
      <c r="C6" s="25">
        <v>1.343</v>
      </c>
      <c r="D6" s="25">
        <v>52.94</v>
      </c>
      <c r="E6" s="25">
        <v>0</v>
      </c>
      <c r="F6" s="25">
        <v>0</v>
      </c>
      <c r="G6" s="25">
        <v>0</v>
      </c>
      <c r="H6" s="25">
        <v>1.661</v>
      </c>
      <c r="I6" s="25">
        <v>1.8049999999999999</v>
      </c>
      <c r="J6" s="25">
        <v>3.8</v>
      </c>
      <c r="K6" s="25">
        <v>2.3849999999999998</v>
      </c>
      <c r="L6" s="25">
        <v>3.7770000000000001</v>
      </c>
      <c r="M6" s="25">
        <v>8.9710000000000001</v>
      </c>
    </row>
    <row r="7" spans="1:13" ht="15.75" thickBot="1" x14ac:dyDescent="0.3">
      <c r="A7" s="15" t="s">
        <v>34</v>
      </c>
      <c r="B7" s="33">
        <v>6</v>
      </c>
      <c r="C7" s="7">
        <v>6</v>
      </c>
      <c r="D7" s="7">
        <v>3</v>
      </c>
      <c r="E7" s="7">
        <v>3</v>
      </c>
      <c r="F7" s="7">
        <v>3</v>
      </c>
      <c r="G7" s="7">
        <v>3</v>
      </c>
      <c r="H7" s="7">
        <v>6</v>
      </c>
      <c r="I7" s="7">
        <v>6</v>
      </c>
      <c r="J7" s="7">
        <v>6</v>
      </c>
      <c r="K7" s="7">
        <v>6</v>
      </c>
      <c r="L7" s="7">
        <v>6</v>
      </c>
      <c r="M7" s="7">
        <v>6</v>
      </c>
    </row>
    <row r="9" spans="1:13" x14ac:dyDescent="0.25">
      <c r="E9" t="s">
        <v>92</v>
      </c>
    </row>
    <row r="10" spans="1:13" x14ac:dyDescent="0.25">
      <c r="E10" t="s">
        <v>93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A4" sqref="A4"/>
    </sheetView>
  </sheetViews>
  <sheetFormatPr defaultRowHeight="15" x14ac:dyDescent="0.25"/>
  <cols>
    <col min="2" max="12" width="10.7109375" customWidth="1"/>
  </cols>
  <sheetData>
    <row r="1" spans="1:12" x14ac:dyDescent="0.25">
      <c r="A1" t="s">
        <v>61</v>
      </c>
    </row>
    <row r="3" spans="1:12" ht="15.75" thickBot="1" x14ac:dyDescent="0.3"/>
    <row r="4" spans="1:12" ht="48" thickBot="1" x14ac:dyDescent="0.3">
      <c r="A4" s="40"/>
      <c r="B4" s="41" t="s">
        <v>0</v>
      </c>
      <c r="C4" s="28" t="s">
        <v>1</v>
      </c>
      <c r="D4" s="29" t="s">
        <v>11</v>
      </c>
      <c r="E4" s="29" t="s">
        <v>2</v>
      </c>
      <c r="F4" s="29" t="s">
        <v>3</v>
      </c>
      <c r="G4" s="29" t="s">
        <v>4</v>
      </c>
      <c r="H4" s="28" t="s">
        <v>5</v>
      </c>
      <c r="I4" s="28" t="s">
        <v>6</v>
      </c>
      <c r="J4" s="28" t="s">
        <v>7</v>
      </c>
      <c r="K4" s="28" t="s">
        <v>14</v>
      </c>
      <c r="L4" s="30" t="s">
        <v>15</v>
      </c>
    </row>
    <row r="5" spans="1:12" x14ac:dyDescent="0.25">
      <c r="A5" s="37" t="s">
        <v>12</v>
      </c>
      <c r="B5" s="38">
        <v>3.8740000000000001</v>
      </c>
      <c r="C5" s="39">
        <v>2.9350000000000001</v>
      </c>
      <c r="D5" s="39">
        <v>4.5960000000000001</v>
      </c>
      <c r="E5" s="39">
        <v>6.7910000000000004</v>
      </c>
      <c r="F5" s="39">
        <v>1.149</v>
      </c>
      <c r="G5" s="39">
        <v>0.53800000000000003</v>
      </c>
      <c r="H5" s="39">
        <v>2.617</v>
      </c>
      <c r="I5" s="39">
        <v>2.8479999999999999</v>
      </c>
      <c r="J5" s="39">
        <v>2.895</v>
      </c>
      <c r="K5" s="39">
        <v>2.766</v>
      </c>
      <c r="L5" s="42">
        <v>2.7759999999999998</v>
      </c>
    </row>
    <row r="6" spans="1:12" x14ac:dyDescent="0.25">
      <c r="A6" s="14" t="s">
        <v>35</v>
      </c>
      <c r="B6" s="36">
        <f>B7*2.449</f>
        <v>0.83021100000000003</v>
      </c>
      <c r="C6" s="35">
        <f>C7*2.449</f>
        <v>0.51428999999999991</v>
      </c>
      <c r="D6" s="35">
        <f>D7*1.732</f>
        <v>0.543848</v>
      </c>
      <c r="E6" s="35">
        <f t="shared" ref="E6:G6" si="0">E7*1.732</f>
        <v>3.32544</v>
      </c>
      <c r="F6" s="35">
        <f t="shared" si="0"/>
        <v>0.86946400000000001</v>
      </c>
      <c r="G6" s="35">
        <f t="shared" si="0"/>
        <v>0.30829599999999996</v>
      </c>
      <c r="H6" s="35">
        <f t="shared" ref="H6:L6" si="1">H7*2.449</f>
        <v>0.788578</v>
      </c>
      <c r="I6" s="35">
        <f t="shared" si="1"/>
        <v>0.81306800000000001</v>
      </c>
      <c r="J6" s="35">
        <f t="shared" si="1"/>
        <v>1.180418</v>
      </c>
      <c r="K6" s="35">
        <f t="shared" si="1"/>
        <v>0.75429199999999996</v>
      </c>
      <c r="L6" s="43">
        <f t="shared" si="1"/>
        <v>1.932261</v>
      </c>
    </row>
    <row r="7" spans="1:12" x14ac:dyDescent="0.25">
      <c r="A7" s="14" t="s">
        <v>13</v>
      </c>
      <c r="B7" s="36">
        <v>0.33900000000000002</v>
      </c>
      <c r="C7" s="35">
        <v>0.21</v>
      </c>
      <c r="D7" s="35">
        <v>0.314</v>
      </c>
      <c r="E7" s="35">
        <v>1.92</v>
      </c>
      <c r="F7" s="35">
        <v>0.502</v>
      </c>
      <c r="G7" s="35">
        <v>0.17799999999999999</v>
      </c>
      <c r="H7" s="35">
        <v>0.32200000000000001</v>
      </c>
      <c r="I7" s="35">
        <v>0.33200000000000002</v>
      </c>
      <c r="J7" s="35">
        <v>0.48199999999999998</v>
      </c>
      <c r="K7" s="35">
        <v>0.308</v>
      </c>
      <c r="L7" s="43">
        <v>0.78900000000000003</v>
      </c>
    </row>
    <row r="8" spans="1:12" ht="15.75" thickBot="1" x14ac:dyDescent="0.3">
      <c r="A8" s="15" t="s">
        <v>34</v>
      </c>
      <c r="B8" s="12">
        <v>6</v>
      </c>
      <c r="C8" s="10">
        <v>6</v>
      </c>
      <c r="D8" s="10">
        <v>3</v>
      </c>
      <c r="E8" s="10">
        <v>3</v>
      </c>
      <c r="F8" s="10">
        <v>3</v>
      </c>
      <c r="G8" s="10">
        <v>3</v>
      </c>
      <c r="H8" s="10">
        <v>6</v>
      </c>
      <c r="I8" s="10">
        <v>6</v>
      </c>
      <c r="J8" s="10">
        <v>6</v>
      </c>
      <c r="K8" s="10">
        <v>6</v>
      </c>
      <c r="L8" s="11">
        <v>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H23" sqref="H23"/>
    </sheetView>
  </sheetViews>
  <sheetFormatPr defaultRowHeight="15" x14ac:dyDescent="0.25"/>
  <sheetData>
    <row r="1" spans="1:10" x14ac:dyDescent="0.25">
      <c r="A1" t="s">
        <v>60</v>
      </c>
    </row>
    <row r="3" spans="1:10" ht="15.75" thickBot="1" x14ac:dyDescent="0.3"/>
    <row r="4" spans="1:10" x14ac:dyDescent="0.25">
      <c r="C4" s="96" t="s">
        <v>88</v>
      </c>
      <c r="D4" s="97"/>
      <c r="E4" s="97"/>
      <c r="F4" s="97"/>
      <c r="G4" s="97"/>
      <c r="H4" s="97"/>
      <c r="I4" s="97"/>
      <c r="J4" s="98"/>
    </row>
    <row r="5" spans="1:10" ht="15.75" thickBot="1" x14ac:dyDescent="0.3">
      <c r="B5" s="75" t="s">
        <v>85</v>
      </c>
      <c r="C5" s="44">
        <v>0</v>
      </c>
      <c r="D5" s="10">
        <v>0.01</v>
      </c>
      <c r="E5" s="10">
        <v>0.1</v>
      </c>
      <c r="F5" s="10">
        <v>0.3</v>
      </c>
      <c r="G5" s="10">
        <v>1</v>
      </c>
      <c r="H5" s="10">
        <v>3</v>
      </c>
      <c r="I5" s="10">
        <v>10</v>
      </c>
      <c r="J5" s="11">
        <v>30</v>
      </c>
    </row>
    <row r="6" spans="1:10" x14ac:dyDescent="0.25">
      <c r="B6" s="76" t="s">
        <v>12</v>
      </c>
      <c r="C6" s="45">
        <v>99.958333333333329</v>
      </c>
      <c r="D6" s="39">
        <v>96.743333333333339</v>
      </c>
      <c r="E6" s="39">
        <v>94.88</v>
      </c>
      <c r="F6" s="39">
        <v>93.929999999999993</v>
      </c>
      <c r="G6" s="39">
        <v>96.301666666666662</v>
      </c>
      <c r="H6" s="39">
        <v>86.993333333333339</v>
      </c>
      <c r="I6" s="39">
        <v>59.365000000000009</v>
      </c>
      <c r="J6" s="42">
        <v>34.176666666666669</v>
      </c>
    </row>
    <row r="7" spans="1:10" x14ac:dyDescent="0.25">
      <c r="B7" s="77" t="s">
        <v>35</v>
      </c>
      <c r="C7" s="46">
        <f>C8*2.449</f>
        <v>1.1861087364021272</v>
      </c>
      <c r="D7" s="35">
        <f t="shared" ref="D7:J7" si="0">D8*2.449</f>
        <v>3.4882430552907957</v>
      </c>
      <c r="E7" s="35">
        <f t="shared" si="0"/>
        <v>4.2164829690521293</v>
      </c>
      <c r="F7" s="35">
        <f t="shared" si="0"/>
        <v>3.6800683322532644</v>
      </c>
      <c r="G7" s="35">
        <f t="shared" si="0"/>
        <v>3.9800754230570514</v>
      </c>
      <c r="H7" s="35">
        <f t="shared" si="0"/>
        <v>10.962793181597549</v>
      </c>
      <c r="I7" s="35">
        <f t="shared" si="0"/>
        <v>35.029930628675388</v>
      </c>
      <c r="J7" s="43">
        <f t="shared" si="0"/>
        <v>16.862052575386279</v>
      </c>
    </row>
    <row r="8" spans="1:10" x14ac:dyDescent="0.25">
      <c r="B8" s="77" t="s">
        <v>13</v>
      </c>
      <c r="C8" s="46">
        <v>0.48432369800005198</v>
      </c>
      <c r="D8" s="35">
        <v>1.4243540446267031</v>
      </c>
      <c r="E8" s="35">
        <v>1.7217161980613025</v>
      </c>
      <c r="F8" s="35">
        <v>1.5026820466530275</v>
      </c>
      <c r="G8" s="35">
        <v>1.6251839212156194</v>
      </c>
      <c r="H8" s="35">
        <v>4.4764365788475091</v>
      </c>
      <c r="I8" s="35">
        <v>14.303769141966267</v>
      </c>
      <c r="J8" s="43">
        <v>6.8852807576097508</v>
      </c>
    </row>
    <row r="9" spans="1:10" ht="15.75" thickBot="1" x14ac:dyDescent="0.3">
      <c r="B9" s="78" t="s">
        <v>34</v>
      </c>
      <c r="C9" s="47">
        <v>6</v>
      </c>
      <c r="D9" s="48">
        <v>6</v>
      </c>
      <c r="E9" s="48">
        <v>6</v>
      </c>
      <c r="F9" s="48">
        <v>6</v>
      </c>
      <c r="G9" s="48">
        <v>6</v>
      </c>
      <c r="H9" s="48">
        <v>6</v>
      </c>
      <c r="I9" s="48">
        <v>6</v>
      </c>
      <c r="J9" s="49">
        <v>6</v>
      </c>
    </row>
  </sheetData>
  <mergeCells count="1">
    <mergeCell ref="C4:J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F15" sqref="F15"/>
    </sheetView>
  </sheetViews>
  <sheetFormatPr defaultRowHeight="15" x14ac:dyDescent="0.25"/>
  <sheetData>
    <row r="1" spans="1:8" x14ac:dyDescent="0.25">
      <c r="A1" t="s">
        <v>59</v>
      </c>
    </row>
    <row r="3" spans="1:8" ht="15.75" thickBot="1" x14ac:dyDescent="0.3"/>
    <row r="4" spans="1:8" ht="30.75" thickBot="1" x14ac:dyDescent="0.3">
      <c r="C4" s="51" t="s">
        <v>22</v>
      </c>
      <c r="D4" s="52" t="s">
        <v>23</v>
      </c>
      <c r="E4" s="52" t="s">
        <v>24</v>
      </c>
      <c r="F4" s="52" t="s">
        <v>25</v>
      </c>
      <c r="G4" s="52" t="s">
        <v>26</v>
      </c>
      <c r="H4" s="53" t="s">
        <v>27</v>
      </c>
    </row>
    <row r="5" spans="1:8" x14ac:dyDescent="0.25">
      <c r="B5" s="76" t="s">
        <v>12</v>
      </c>
      <c r="C5" s="54">
        <v>0.47639999999999999</v>
      </c>
      <c r="D5" s="50">
        <v>0.23</v>
      </c>
      <c r="E5" s="50">
        <v>0.47</v>
      </c>
      <c r="F5" s="50">
        <v>0.41599999999999998</v>
      </c>
      <c r="G5" s="50">
        <v>0.42799999999999999</v>
      </c>
      <c r="H5" s="55">
        <v>0.42199999999999999</v>
      </c>
    </row>
    <row r="6" spans="1:8" x14ac:dyDescent="0.25">
      <c r="B6" s="77" t="s">
        <v>35</v>
      </c>
      <c r="C6" s="56">
        <v>7.8E-2</v>
      </c>
      <c r="D6" s="8">
        <v>6.9000000000000006E-2</v>
      </c>
      <c r="E6" s="8">
        <v>4.2000000000000003E-2</v>
      </c>
      <c r="F6" s="8">
        <v>1.32E-2</v>
      </c>
      <c r="G6" s="8">
        <v>3.1E-2</v>
      </c>
      <c r="H6" s="9">
        <v>4.7E-2</v>
      </c>
    </row>
    <row r="7" spans="1:8" x14ac:dyDescent="0.25">
      <c r="B7" s="77" t="s">
        <v>13</v>
      </c>
      <c r="C7" s="56">
        <v>3.9E-2</v>
      </c>
      <c r="D7" s="8">
        <v>0.04</v>
      </c>
      <c r="E7" s="8">
        <v>2.1000000000000001E-2</v>
      </c>
      <c r="F7" s="8">
        <v>6.0000000000000001E-3</v>
      </c>
      <c r="G7" s="8">
        <v>1.4E-2</v>
      </c>
      <c r="H7" s="9">
        <v>2.1000000000000001E-2</v>
      </c>
    </row>
    <row r="8" spans="1:8" ht="15.75" thickBot="1" x14ac:dyDescent="0.3">
      <c r="B8" s="78" t="s">
        <v>28</v>
      </c>
      <c r="C8" s="44">
        <v>4</v>
      </c>
      <c r="D8" s="10">
        <v>3</v>
      </c>
      <c r="E8" s="10">
        <v>4</v>
      </c>
      <c r="F8" s="10">
        <v>4</v>
      </c>
      <c r="G8" s="10">
        <v>5</v>
      </c>
      <c r="H8" s="11">
        <v>5</v>
      </c>
    </row>
    <row r="10" spans="1:8" x14ac:dyDescent="0.25">
      <c r="B10" t="s">
        <v>22</v>
      </c>
      <c r="C10" t="s">
        <v>29</v>
      </c>
    </row>
    <row r="11" spans="1:8" x14ac:dyDescent="0.25">
      <c r="B11" t="s">
        <v>30</v>
      </c>
      <c r="C11" t="s">
        <v>31</v>
      </c>
    </row>
    <row r="12" spans="1:8" x14ac:dyDescent="0.25">
      <c r="B12" t="s">
        <v>32</v>
      </c>
      <c r="C12" t="s">
        <v>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9"/>
  <sheetViews>
    <sheetView topLeftCell="A9" zoomScale="140" zoomScaleNormal="140" workbookViewId="0">
      <selection activeCell="K66" sqref="K66"/>
    </sheetView>
  </sheetViews>
  <sheetFormatPr defaultRowHeight="15" x14ac:dyDescent="0.25"/>
  <cols>
    <col min="2" max="2" width="9.42578125" bestFit="1" customWidth="1"/>
  </cols>
  <sheetData>
    <row r="2" spans="1:9" x14ac:dyDescent="0.25">
      <c r="A2" s="75" t="s">
        <v>89</v>
      </c>
    </row>
    <row r="3" spans="1:9" x14ac:dyDescent="0.25">
      <c r="A3" t="s">
        <v>86</v>
      </c>
    </row>
    <row r="5" spans="1:9" ht="15.75" thickBot="1" x14ac:dyDescent="0.3">
      <c r="B5" s="75" t="s">
        <v>16</v>
      </c>
      <c r="F5" s="70"/>
      <c r="G5" s="70"/>
      <c r="H5" s="70"/>
    </row>
    <row r="6" spans="1:9" x14ac:dyDescent="0.25">
      <c r="A6" s="105" t="s">
        <v>66</v>
      </c>
      <c r="B6" s="101" t="s">
        <v>67</v>
      </c>
      <c r="C6" s="99" t="s">
        <v>68</v>
      </c>
      <c r="D6" s="99" t="s">
        <v>69</v>
      </c>
      <c r="E6" s="99" t="s">
        <v>70</v>
      </c>
      <c r="F6" s="99" t="s">
        <v>71</v>
      </c>
      <c r="G6" s="99" t="s">
        <v>72</v>
      </c>
      <c r="H6" s="101" t="s">
        <v>73</v>
      </c>
      <c r="I6" s="103" t="s">
        <v>74</v>
      </c>
    </row>
    <row r="7" spans="1:9" ht="15.75" thickBot="1" x14ac:dyDescent="0.3">
      <c r="A7" s="106"/>
      <c r="B7" s="102"/>
      <c r="C7" s="100"/>
      <c r="D7" s="100"/>
      <c r="E7" s="100"/>
      <c r="F7" s="100"/>
      <c r="G7" s="100"/>
      <c r="H7" s="102"/>
      <c r="I7" s="104"/>
    </row>
    <row r="8" spans="1:9" ht="15.75" thickBot="1" x14ac:dyDescent="0.3">
      <c r="A8" s="71">
        <v>41528</v>
      </c>
      <c r="B8" s="81">
        <v>305</v>
      </c>
      <c r="C8" s="86">
        <f>0.0462*1000</f>
        <v>46.199999999999996</v>
      </c>
      <c r="D8" s="86">
        <f>0.05*1000</f>
        <v>50</v>
      </c>
      <c r="E8" s="86">
        <f>0.0167*1000</f>
        <v>16.7</v>
      </c>
      <c r="F8" s="84">
        <f>0.0057*1000</f>
        <v>5.7</v>
      </c>
      <c r="G8" s="79">
        <f>0.1397*1000</f>
        <v>139.69999999999999</v>
      </c>
      <c r="H8" s="86">
        <v>12.683999999999999</v>
      </c>
      <c r="I8" s="86">
        <f>0.0225*1000</f>
        <v>22.5</v>
      </c>
    </row>
    <row r="9" spans="1:9" ht="15.75" thickBot="1" x14ac:dyDescent="0.3">
      <c r="A9" s="73">
        <v>41535</v>
      </c>
      <c r="B9" s="81">
        <v>338</v>
      </c>
      <c r="C9" s="86">
        <f>0.0464*1000</f>
        <v>46.4</v>
      </c>
      <c r="D9" s="86">
        <f>0.0295*1000</f>
        <v>29.5</v>
      </c>
      <c r="E9" s="86">
        <f>0.0153*1000</f>
        <v>15.299999999999999</v>
      </c>
      <c r="F9" s="84">
        <f>0.0038*1000</f>
        <v>3.8</v>
      </c>
      <c r="G9" s="79">
        <f>0.1729*1000</f>
        <v>172.9</v>
      </c>
      <c r="H9" s="86">
        <v>15.407</v>
      </c>
      <c r="I9" s="87">
        <f>1000*0.0263</f>
        <v>26.3</v>
      </c>
    </row>
    <row r="10" spans="1:9" ht="15.75" thickBot="1" x14ac:dyDescent="0.3">
      <c r="A10" s="74">
        <v>41544</v>
      </c>
      <c r="B10" s="81">
        <v>306.8</v>
      </c>
      <c r="C10" s="86">
        <f>0.0485*1000</f>
        <v>48.5</v>
      </c>
      <c r="D10" s="86">
        <f>0.0394*1000</f>
        <v>39.4</v>
      </c>
      <c r="E10" s="86">
        <f>0.016*1000</f>
        <v>16</v>
      </c>
      <c r="F10" s="84">
        <f>0.00273*1000</f>
        <v>2.73</v>
      </c>
      <c r="G10" s="79">
        <f>0.179*1000</f>
        <v>179</v>
      </c>
      <c r="H10" s="86">
        <v>12.96</v>
      </c>
      <c r="I10" s="86">
        <f>1000*0.0148</f>
        <v>14.8</v>
      </c>
    </row>
    <row r="11" spans="1:9" ht="15.75" thickBot="1" x14ac:dyDescent="0.3">
      <c r="A11" s="74">
        <v>41549</v>
      </c>
      <c r="B11" s="81">
        <v>317</v>
      </c>
      <c r="C11" s="86">
        <f>0.045*1000</f>
        <v>45</v>
      </c>
      <c r="D11" s="86">
        <f>0.0363*1000</f>
        <v>36.299999999999997</v>
      </c>
      <c r="E11" s="86">
        <f>0.016*1000</f>
        <v>16</v>
      </c>
      <c r="F11" s="84">
        <f>0.0057*1000</f>
        <v>5.7</v>
      </c>
      <c r="G11" s="79">
        <f>0.188*1000</f>
        <v>188</v>
      </c>
      <c r="H11" s="86">
        <v>13.644</v>
      </c>
      <c r="I11" s="86">
        <f>1000*0.0221</f>
        <v>22.1</v>
      </c>
    </row>
    <row r="12" spans="1:9" ht="15.75" thickBot="1" x14ac:dyDescent="0.3">
      <c r="A12" s="74">
        <v>41560</v>
      </c>
      <c r="B12" s="81">
        <v>288.7</v>
      </c>
      <c r="C12" s="86">
        <f>0.0383*1000</f>
        <v>38.299999999999997</v>
      </c>
      <c r="D12" s="86">
        <f>0.0295*1000</f>
        <v>29.5</v>
      </c>
      <c r="E12" s="86">
        <f>0.0161*1000</f>
        <v>16.100000000000001</v>
      </c>
      <c r="F12" s="84">
        <f>0.0047*1000</f>
        <v>4.7</v>
      </c>
      <c r="G12" s="79">
        <f>0.1529*1000</f>
        <v>152.9</v>
      </c>
      <c r="H12" s="86">
        <v>14.414999999999999</v>
      </c>
      <c r="I12" s="86">
        <f>1000*0.0133</f>
        <v>13.299999999999999</v>
      </c>
    </row>
    <row r="13" spans="1:9" x14ac:dyDescent="0.25">
      <c r="A13" s="75" t="s">
        <v>75</v>
      </c>
      <c r="B13" s="82">
        <f>AVERAGE(B8:B12)</f>
        <v>311.10000000000002</v>
      </c>
      <c r="C13" s="83">
        <f t="shared" ref="C13:I13" si="0">AVERAGE(C8:C12)</f>
        <v>44.879999999999995</v>
      </c>
      <c r="D13" s="83">
        <f t="shared" si="0"/>
        <v>36.94</v>
      </c>
      <c r="E13" s="83">
        <f t="shared" si="0"/>
        <v>16.02</v>
      </c>
      <c r="F13" s="85">
        <f t="shared" si="0"/>
        <v>4.5259999999999998</v>
      </c>
      <c r="G13" s="80">
        <f t="shared" si="0"/>
        <v>166.5</v>
      </c>
      <c r="H13" s="83">
        <f t="shared" si="0"/>
        <v>13.821999999999999</v>
      </c>
      <c r="I13" s="83">
        <f t="shared" si="0"/>
        <v>19.799999999999997</v>
      </c>
    </row>
    <row r="14" spans="1:9" x14ac:dyDescent="0.25">
      <c r="A14" s="75" t="s">
        <v>76</v>
      </c>
      <c r="B14" s="83">
        <f>STDEV(B8:B12)</f>
        <v>18.137530151594515</v>
      </c>
      <c r="C14" s="85">
        <f t="shared" ref="C14:I14" si="1">STDEV(C8:C12)</f>
        <v>3.8880586415330733</v>
      </c>
      <c r="D14" s="85">
        <f t="shared" si="1"/>
        <v>8.4813324424880303</v>
      </c>
      <c r="E14" s="85">
        <f t="shared" si="1"/>
        <v>0.49699094559156726</v>
      </c>
      <c r="F14" s="85">
        <f t="shared" si="1"/>
        <v>1.2786242606802056</v>
      </c>
      <c r="G14" s="85">
        <f t="shared" si="1"/>
        <v>19.765247278999595</v>
      </c>
      <c r="H14" s="85">
        <f t="shared" si="1"/>
        <v>1.1105906086402855</v>
      </c>
      <c r="I14" s="85">
        <f t="shared" si="1"/>
        <v>5.5244909267732725</v>
      </c>
    </row>
    <row r="15" spans="1:9" x14ac:dyDescent="0.25">
      <c r="A15" s="75" t="s">
        <v>13</v>
      </c>
      <c r="B15" s="85">
        <f>B14/SQRT(COUNT(B8:B12))</f>
        <v>8.1113500725834804</v>
      </c>
      <c r="C15" s="85">
        <f t="shared" ref="C15:I15" si="2">C14/SQRT(COUNT(C8:C12))</f>
        <v>1.7387926845946877</v>
      </c>
      <c r="D15" s="85">
        <f t="shared" si="2"/>
        <v>3.7929671762355119</v>
      </c>
      <c r="E15" s="85">
        <f t="shared" si="2"/>
        <v>0.22226110770892876</v>
      </c>
      <c r="F15" s="85">
        <f t="shared" si="2"/>
        <v>0.57181815291227023</v>
      </c>
      <c r="G15" s="85">
        <f t="shared" si="2"/>
        <v>8.8392873015871682</v>
      </c>
      <c r="H15" s="85">
        <f t="shared" si="2"/>
        <v>0.49667121921850871</v>
      </c>
      <c r="I15" s="85">
        <f t="shared" si="2"/>
        <v>2.4706274506691699</v>
      </c>
    </row>
    <row r="17" spans="1:9" ht="15.75" thickBot="1" x14ac:dyDescent="0.3">
      <c r="B17" s="75" t="s">
        <v>78</v>
      </c>
    </row>
    <row r="18" spans="1:9" ht="15.75" thickBot="1" x14ac:dyDescent="0.3">
      <c r="A18" s="71">
        <v>41523</v>
      </c>
      <c r="B18" s="81">
        <v>345</v>
      </c>
      <c r="C18" s="89">
        <f>1000*0.0813</f>
        <v>81.3</v>
      </c>
      <c r="D18" s="81">
        <f>1000*0.1833</f>
        <v>183.29999999999998</v>
      </c>
      <c r="E18" s="89">
        <f>1000*0.065</f>
        <v>65</v>
      </c>
      <c r="F18" s="89">
        <f>1000*0.031</f>
        <v>31</v>
      </c>
      <c r="G18" s="81">
        <f>1000*0.4384</f>
        <v>438.40000000000003</v>
      </c>
      <c r="H18" s="89">
        <v>14.887</v>
      </c>
      <c r="I18" s="89">
        <f>1000*0.0255</f>
        <v>25.5</v>
      </c>
    </row>
    <row r="19" spans="1:9" ht="15.75" thickBot="1" x14ac:dyDescent="0.3">
      <c r="A19" s="71">
        <v>41525</v>
      </c>
      <c r="B19" s="81">
        <v>328</v>
      </c>
      <c r="C19" s="89">
        <f>1000*0.0823</f>
        <v>82.3</v>
      </c>
      <c r="D19" s="81">
        <f>1000*0.1591</f>
        <v>159.1</v>
      </c>
      <c r="E19" s="89">
        <f>1000*0.0522</f>
        <v>52.2</v>
      </c>
      <c r="F19" s="89">
        <f>1000*0.018</f>
        <v>18</v>
      </c>
      <c r="G19" s="81">
        <f>1000*0.3512</f>
        <v>351.2</v>
      </c>
      <c r="H19" s="89">
        <v>13.57</v>
      </c>
      <c r="I19" s="89">
        <f>1000*0.0175</f>
        <v>17.5</v>
      </c>
    </row>
    <row r="20" spans="1:9" ht="15.75" thickBot="1" x14ac:dyDescent="0.3">
      <c r="A20" s="71" t="s">
        <v>77</v>
      </c>
      <c r="B20" s="81">
        <v>251</v>
      </c>
      <c r="C20" s="89">
        <f>1000*0.0739</f>
        <v>73.899999999999991</v>
      </c>
      <c r="D20" s="81">
        <f>1000*0.1102</f>
        <v>110.2</v>
      </c>
      <c r="E20" s="89">
        <f>1000*0.0486</f>
        <v>48.599999999999994</v>
      </c>
      <c r="F20" s="89">
        <f>1000*0.0167</f>
        <v>16.7</v>
      </c>
      <c r="G20" s="81">
        <f>1000*0.2817</f>
        <v>281.7</v>
      </c>
      <c r="H20" s="91">
        <v>9.6929999999999996</v>
      </c>
      <c r="I20" s="81" t="s">
        <v>87</v>
      </c>
    </row>
    <row r="21" spans="1:9" ht="15.75" thickBot="1" x14ac:dyDescent="0.3">
      <c r="A21" s="71">
        <v>41542</v>
      </c>
      <c r="B21" s="81">
        <v>335.3</v>
      </c>
      <c r="C21" s="89">
        <f>1000*0.06</f>
        <v>60</v>
      </c>
      <c r="D21" s="81">
        <f>1000*0.158</f>
        <v>158</v>
      </c>
      <c r="E21" s="89">
        <f>1000*0.0774</f>
        <v>77.399999999999991</v>
      </c>
      <c r="F21" s="89">
        <f>1000*0.0272</f>
        <v>27.2</v>
      </c>
      <c r="G21" s="81">
        <f>1000*0.3255</f>
        <v>325.5</v>
      </c>
      <c r="H21" s="89">
        <v>15.132</v>
      </c>
      <c r="I21" s="89">
        <f>1000*0.0201</f>
        <v>20.100000000000001</v>
      </c>
    </row>
    <row r="22" spans="1:9" ht="15.75" thickBot="1" x14ac:dyDescent="0.3">
      <c r="A22" s="71">
        <v>41547</v>
      </c>
      <c r="B22" s="81">
        <v>305</v>
      </c>
      <c r="C22" s="89">
        <f>1000*0.0825</f>
        <v>82.5</v>
      </c>
      <c r="D22" s="81">
        <f>1000*0.2026</f>
        <v>202.6</v>
      </c>
      <c r="E22" s="89">
        <f>1000*0.065</f>
        <v>65</v>
      </c>
      <c r="F22" s="89">
        <f>1000*0.0234</f>
        <v>23.400000000000002</v>
      </c>
      <c r="G22" s="81">
        <f>1000*0.2859</f>
        <v>285.89999999999998</v>
      </c>
      <c r="H22" s="89">
        <v>13.952</v>
      </c>
      <c r="I22" s="89">
        <f>1000*0.024</f>
        <v>24</v>
      </c>
    </row>
    <row r="23" spans="1:9" ht="15.75" thickBot="1" x14ac:dyDescent="0.3">
      <c r="A23" s="71">
        <v>41548</v>
      </c>
      <c r="B23" s="81">
        <v>315.60000000000002</v>
      </c>
      <c r="C23" s="89">
        <f>1000*0.0741</f>
        <v>74.099999999999994</v>
      </c>
      <c r="D23" s="81">
        <f>1000*0.1702</f>
        <v>170.2</v>
      </c>
      <c r="E23" s="89">
        <f>1000*0.0835</f>
        <v>83.5</v>
      </c>
      <c r="F23" s="89">
        <f>1000*0.0164</f>
        <v>16.400000000000002</v>
      </c>
      <c r="G23" s="81">
        <f>1000*0.2652</f>
        <v>265.2</v>
      </c>
      <c r="H23" s="89">
        <v>16.074000000000002</v>
      </c>
      <c r="I23" s="89">
        <f>1000*0.0234</f>
        <v>23.400000000000002</v>
      </c>
    </row>
    <row r="24" spans="1:9" ht="15.75" thickBot="1" x14ac:dyDescent="0.3">
      <c r="A24" s="71">
        <v>41553</v>
      </c>
      <c r="B24" s="81">
        <v>342.1</v>
      </c>
      <c r="C24" s="89">
        <f>1000*0.0643</f>
        <v>64.3</v>
      </c>
      <c r="D24" s="81">
        <f>1000*0.2267</f>
        <v>226.70000000000002</v>
      </c>
      <c r="E24" s="81">
        <f>1000*0.1002</f>
        <v>100.2</v>
      </c>
      <c r="F24" s="89">
        <f>1000*0.0208</f>
        <v>20.8</v>
      </c>
      <c r="G24" s="81">
        <f>1000*0.3255</f>
        <v>325.5</v>
      </c>
      <c r="H24" s="89">
        <v>16.192</v>
      </c>
      <c r="I24" s="89">
        <f>1000*0.0241</f>
        <v>24.1</v>
      </c>
    </row>
    <row r="25" spans="1:9" x14ac:dyDescent="0.25">
      <c r="A25" s="75" t="s">
        <v>75</v>
      </c>
      <c r="B25" s="82">
        <f>AVERAGE(B18:B24)</f>
        <v>317.42857142857144</v>
      </c>
      <c r="C25" s="88">
        <f t="shared" ref="C25:I25" si="3">AVERAGE(C18:C24)</f>
        <v>74.05714285714285</v>
      </c>
      <c r="D25" s="82">
        <f t="shared" si="3"/>
        <v>172.87142857142857</v>
      </c>
      <c r="E25" s="88">
        <f t="shared" si="3"/>
        <v>70.271428571428572</v>
      </c>
      <c r="F25" s="88">
        <f t="shared" si="3"/>
        <v>21.928571428571434</v>
      </c>
      <c r="G25" s="82">
        <f t="shared" si="3"/>
        <v>324.77142857142854</v>
      </c>
      <c r="H25" s="88">
        <f t="shared" si="3"/>
        <v>14.214285714285714</v>
      </c>
      <c r="I25" s="88">
        <f t="shared" si="3"/>
        <v>22.433333333333334</v>
      </c>
    </row>
    <row r="26" spans="1:9" x14ac:dyDescent="0.25">
      <c r="A26" s="75" t="s">
        <v>76</v>
      </c>
      <c r="B26" s="88">
        <f>STDEV(B18:B24)</f>
        <v>32.584695501912876</v>
      </c>
      <c r="C26" s="90">
        <f t="shared" ref="C26:I26" si="4">STDEV(C18:C24)</f>
        <v>8.9862593520806442</v>
      </c>
      <c r="D26" s="88">
        <f t="shared" si="4"/>
        <v>37.048873769914493</v>
      </c>
      <c r="E26" s="88">
        <f t="shared" si="4"/>
        <v>18.135298387924241</v>
      </c>
      <c r="F26" s="90">
        <f t="shared" si="4"/>
        <v>5.5805359018987337</v>
      </c>
      <c r="G26" s="88">
        <f t="shared" si="4"/>
        <v>58.489136150391879</v>
      </c>
      <c r="H26" s="90">
        <f t="shared" si="4"/>
        <v>2.2207565313263244</v>
      </c>
      <c r="I26" s="90">
        <f t="shared" si="4"/>
        <v>3.0117547487580545</v>
      </c>
    </row>
    <row r="27" spans="1:9" x14ac:dyDescent="0.25">
      <c r="A27" s="75" t="s">
        <v>13</v>
      </c>
      <c r="B27" s="88">
        <f>B26/SQRT(COUNT(B18:B24))</f>
        <v>12.315857263546636</v>
      </c>
      <c r="C27" s="90">
        <f t="shared" ref="C27:I27" si="5">C26/SQRT(COUNT(C18:C24))</f>
        <v>3.3964867803334</v>
      </c>
      <c r="D27" s="88">
        <f t="shared" si="5"/>
        <v>14.003158050031113</v>
      </c>
      <c r="E27" s="90">
        <f t="shared" si="5"/>
        <v>6.8544984980568735</v>
      </c>
      <c r="F27" s="90">
        <f t="shared" si="5"/>
        <v>2.1092443112702273</v>
      </c>
      <c r="G27" s="88">
        <f t="shared" si="5"/>
        <v>22.106815521847807</v>
      </c>
      <c r="H27" s="90">
        <f t="shared" si="5"/>
        <v>0.83936707204455363</v>
      </c>
      <c r="I27" s="90">
        <f t="shared" si="5"/>
        <v>1.2295437274768972</v>
      </c>
    </row>
    <row r="29" spans="1:9" ht="15.75" thickBot="1" x14ac:dyDescent="0.3">
      <c r="A29" t="s">
        <v>84</v>
      </c>
      <c r="B29" s="75" t="s">
        <v>79</v>
      </c>
    </row>
    <row r="30" spans="1:9" ht="15.75" thickBot="1" x14ac:dyDescent="0.3">
      <c r="A30" s="71">
        <v>41527</v>
      </c>
      <c r="B30" s="81">
        <v>274</v>
      </c>
      <c r="C30" s="89">
        <f>1000*0.0505</f>
        <v>50.5</v>
      </c>
      <c r="D30" s="89">
        <f>1000*0.0316</f>
        <v>31.6</v>
      </c>
      <c r="E30" s="89">
        <f>1000*0.0157</f>
        <v>15.7</v>
      </c>
      <c r="F30" s="91">
        <f>1000*0.007</f>
        <v>7</v>
      </c>
      <c r="G30" s="81">
        <f>1000*0.148</f>
        <v>148</v>
      </c>
      <c r="H30" s="89">
        <v>11.515000000000001</v>
      </c>
      <c r="I30" s="89">
        <f>1000*0.0168</f>
        <v>16.8</v>
      </c>
    </row>
    <row r="31" spans="1:9" ht="15.75" thickBot="1" x14ac:dyDescent="0.3">
      <c r="A31" s="71">
        <v>41533</v>
      </c>
      <c r="B31" s="81">
        <v>327</v>
      </c>
      <c r="C31" s="89">
        <f>1000*0.0479</f>
        <v>47.9</v>
      </c>
      <c r="D31" s="89">
        <f>1000*0.0333</f>
        <v>33.300000000000004</v>
      </c>
      <c r="E31" s="89">
        <f>1000*0.0167</f>
        <v>16.7</v>
      </c>
      <c r="F31" s="91">
        <f>1000*0.0048</f>
        <v>4.8</v>
      </c>
      <c r="G31" s="81">
        <f>1000*0.1877</f>
        <v>187.70000000000002</v>
      </c>
      <c r="H31" s="89">
        <v>12.359</v>
      </c>
      <c r="I31" s="89">
        <f>1000*0.0219</f>
        <v>21.9</v>
      </c>
    </row>
    <row r="32" spans="1:9" ht="15.75" thickBot="1" x14ac:dyDescent="0.3">
      <c r="A32" s="72">
        <v>41551</v>
      </c>
      <c r="B32" s="81">
        <v>304.2</v>
      </c>
      <c r="C32" s="89">
        <f>1000*0.0409</f>
        <v>40.9</v>
      </c>
      <c r="D32" s="89">
        <f>1000*0.0154</f>
        <v>15.4</v>
      </c>
      <c r="E32" s="91">
        <f>1000*0.007</f>
        <v>7</v>
      </c>
      <c r="F32" s="91">
        <f>1000*0.0016</f>
        <v>1.6</v>
      </c>
      <c r="G32" s="81">
        <f>1000*0.1366</f>
        <v>136.6</v>
      </c>
      <c r="H32" s="89">
        <v>13.156000000000001</v>
      </c>
      <c r="I32" s="92">
        <f>1000*0.0155</f>
        <v>15.5</v>
      </c>
    </row>
    <row r="33" spans="1:9" ht="15.75" thickBot="1" x14ac:dyDescent="0.3">
      <c r="A33" s="71">
        <v>41558</v>
      </c>
      <c r="B33" s="81">
        <v>284.8</v>
      </c>
      <c r="C33" s="89">
        <f>1000*0.0416</f>
        <v>41.6</v>
      </c>
      <c r="D33" s="89">
        <f>1000*0.0244</f>
        <v>24.400000000000002</v>
      </c>
      <c r="E33" s="89">
        <f>1000*0.0149</f>
        <v>14.9</v>
      </c>
      <c r="F33" s="91">
        <f>1000*0.0041</f>
        <v>4.1000000000000005</v>
      </c>
      <c r="G33" s="81">
        <f>1000*0.1424</f>
        <v>142.4</v>
      </c>
      <c r="H33" s="89">
        <v>11.582000000000001</v>
      </c>
      <c r="I33" s="89">
        <f>1000*0.02</f>
        <v>20</v>
      </c>
    </row>
    <row r="34" spans="1:9" ht="15.75" thickBot="1" x14ac:dyDescent="0.3">
      <c r="A34" s="71">
        <v>41562</v>
      </c>
      <c r="B34" s="81">
        <v>310.60000000000002</v>
      </c>
      <c r="C34" s="89">
        <f>1000*0.0473</f>
        <v>47.300000000000004</v>
      </c>
      <c r="D34" s="89">
        <f>1000*0.0484</f>
        <v>48.4</v>
      </c>
      <c r="E34" s="89">
        <f>1000*0.0134</f>
        <v>13.4</v>
      </c>
      <c r="F34" s="91">
        <f>1000*0.0074</f>
        <v>7.4</v>
      </c>
      <c r="G34" s="81">
        <f>1000*0.1484</f>
        <v>148.4</v>
      </c>
      <c r="H34" s="89">
        <v>12.992000000000001</v>
      </c>
      <c r="I34" s="89">
        <f>1000*0.0176</f>
        <v>17.600000000000001</v>
      </c>
    </row>
    <row r="35" spans="1:9" x14ac:dyDescent="0.25">
      <c r="A35" s="75" t="s">
        <v>75</v>
      </c>
      <c r="B35" s="82">
        <f>AVERAGE(B30:B34)</f>
        <v>300.12</v>
      </c>
      <c r="C35" s="88">
        <f t="shared" ref="C35:I35" si="6">AVERAGE(C30:C34)</f>
        <v>45.64</v>
      </c>
      <c r="D35" s="88">
        <f t="shared" si="6"/>
        <v>30.620000000000005</v>
      </c>
      <c r="E35" s="88">
        <f t="shared" si="6"/>
        <v>13.540000000000001</v>
      </c>
      <c r="F35" s="90">
        <f t="shared" si="6"/>
        <v>4.9799999999999995</v>
      </c>
      <c r="G35" s="82">
        <f t="shared" si="6"/>
        <v>152.62</v>
      </c>
      <c r="H35" s="88">
        <f t="shared" si="6"/>
        <v>12.3208</v>
      </c>
      <c r="I35" s="88">
        <f t="shared" si="6"/>
        <v>18.360000000000003</v>
      </c>
    </row>
    <row r="36" spans="1:9" x14ac:dyDescent="0.25">
      <c r="A36" s="75" t="s">
        <v>76</v>
      </c>
      <c r="B36" s="88">
        <f>STDEV(B30:B34)</f>
        <v>21.011711020285805</v>
      </c>
      <c r="C36" s="90">
        <f t="shared" ref="C36:I36" si="7">STDEV(C30:C34)</f>
        <v>4.1914198071775157</v>
      </c>
      <c r="D36" s="88">
        <f t="shared" si="7"/>
        <v>12.192292647406386</v>
      </c>
      <c r="E36" s="90">
        <f t="shared" si="7"/>
        <v>3.8500649345173397</v>
      </c>
      <c r="F36" s="90">
        <f t="shared" si="7"/>
        <v>2.3541452801388467</v>
      </c>
      <c r="G36" s="88">
        <f t="shared" si="7"/>
        <v>20.191879555900762</v>
      </c>
      <c r="H36" s="90">
        <f t="shared" si="7"/>
        <v>0.76561524279496951</v>
      </c>
      <c r="I36" s="90">
        <f t="shared" si="7"/>
        <v>2.5696303236068596</v>
      </c>
    </row>
    <row r="37" spans="1:9" x14ac:dyDescent="0.25">
      <c r="A37" s="75" t="s">
        <v>13</v>
      </c>
      <c r="B37" s="90">
        <f>B36/SQRT(COUNT(B30:B34))</f>
        <v>9.3967228329881038</v>
      </c>
      <c r="C37" s="90">
        <f t="shared" ref="C37:I37" si="8">C36/SQRT(COUNT(C30:C34))</f>
        <v>1.8744599222175971</v>
      </c>
      <c r="D37" s="90">
        <f t="shared" si="8"/>
        <v>5.4525590322343112</v>
      </c>
      <c r="E37" s="90">
        <f t="shared" si="8"/>
        <v>1.7218013822738094</v>
      </c>
      <c r="F37" s="90">
        <f t="shared" si="8"/>
        <v>1.0528057750601494</v>
      </c>
      <c r="G37" s="90">
        <f t="shared" si="8"/>
        <v>9.0300830560964727</v>
      </c>
      <c r="H37" s="90">
        <f t="shared" si="8"/>
        <v>0.34239354549991158</v>
      </c>
      <c r="I37" s="90">
        <f t="shared" si="8"/>
        <v>1.149173616125944</v>
      </c>
    </row>
    <row r="39" spans="1:9" ht="15.75" thickBot="1" x14ac:dyDescent="0.3">
      <c r="A39" t="s">
        <v>81</v>
      </c>
      <c r="B39" s="75" t="s">
        <v>82</v>
      </c>
    </row>
    <row r="40" spans="1:9" ht="15.75" thickBot="1" x14ac:dyDescent="0.3">
      <c r="A40" s="71">
        <v>41529</v>
      </c>
      <c r="B40" s="81">
        <v>298</v>
      </c>
      <c r="C40" s="89">
        <f>1000*0.0712</f>
        <v>71.2</v>
      </c>
      <c r="D40" s="81">
        <f>1000*0.222</f>
        <v>222</v>
      </c>
      <c r="E40" s="89">
        <f>1000*0.0702</f>
        <v>70.2</v>
      </c>
      <c r="F40" s="89">
        <f>1000*0.0161</f>
        <v>16.100000000000001</v>
      </c>
      <c r="G40" s="81">
        <f>1000*0.277</f>
        <v>277</v>
      </c>
      <c r="H40" s="89">
        <v>14.1921</v>
      </c>
      <c r="I40" s="89">
        <f>1000*0.0152</f>
        <v>15.2</v>
      </c>
    </row>
    <row r="41" spans="1:9" ht="15.75" thickBot="1" x14ac:dyDescent="0.3">
      <c r="A41" s="71">
        <v>41537</v>
      </c>
      <c r="B41" s="81">
        <v>326</v>
      </c>
      <c r="C41" s="89">
        <f>1000*0.081</f>
        <v>81</v>
      </c>
      <c r="D41" s="81">
        <f>1000*0.208</f>
        <v>208</v>
      </c>
      <c r="E41" s="89">
        <f>1000*0.0936</f>
        <v>93.600000000000009</v>
      </c>
      <c r="F41" s="89">
        <f>1000*0.03</f>
        <v>30</v>
      </c>
      <c r="G41" s="81">
        <f>1000*0.3394</f>
        <v>339.4</v>
      </c>
      <c r="H41" s="89">
        <v>14.231999999999999</v>
      </c>
      <c r="I41" s="89">
        <f>1000*0.0202</f>
        <v>20.2</v>
      </c>
    </row>
    <row r="42" spans="1:9" ht="15.75" thickBot="1" x14ac:dyDescent="0.3">
      <c r="A42" s="71">
        <v>41545</v>
      </c>
      <c r="B42" s="81">
        <v>297.8</v>
      </c>
      <c r="C42" s="89">
        <f>1000*0.0681</f>
        <v>68.099999999999994</v>
      </c>
      <c r="D42" s="81">
        <f>1000*0.1467</f>
        <v>146.69999999999999</v>
      </c>
      <c r="E42" s="89">
        <f>1000*0.0664</f>
        <v>66.400000000000006</v>
      </c>
      <c r="F42" s="89">
        <f>1000*0.0193</f>
        <v>19.3</v>
      </c>
      <c r="G42" s="81">
        <f>1000*0.3123</f>
        <v>312.3</v>
      </c>
      <c r="H42" s="89">
        <v>15.148999999999999</v>
      </c>
      <c r="I42" s="89">
        <f>1000*0.0186</f>
        <v>18.599999999999998</v>
      </c>
    </row>
    <row r="43" spans="1:9" ht="15.75" thickBot="1" x14ac:dyDescent="0.3">
      <c r="A43" s="71">
        <v>41554</v>
      </c>
      <c r="B43" s="81">
        <v>323</v>
      </c>
      <c r="C43" s="89">
        <f>1000*0.0652</f>
        <v>65.199999999999989</v>
      </c>
      <c r="D43" s="81">
        <f>1000*0.2043</f>
        <v>204.3</v>
      </c>
      <c r="E43" s="89">
        <f>1000*0.0715</f>
        <v>71.5</v>
      </c>
      <c r="F43" s="89">
        <f>1000*0.0247</f>
        <v>24.7</v>
      </c>
      <c r="G43" s="81">
        <f>1000*0.2808</f>
        <v>280.8</v>
      </c>
      <c r="H43" s="89">
        <v>16.638999999999999</v>
      </c>
      <c r="I43" s="89">
        <f>1000*0.023</f>
        <v>23</v>
      </c>
    </row>
    <row r="44" spans="1:9" ht="15.75" thickBot="1" x14ac:dyDescent="0.3">
      <c r="A44" s="71">
        <v>41555</v>
      </c>
      <c r="B44" s="81">
        <v>328.5</v>
      </c>
      <c r="C44" s="89">
        <f>1000*0.0835</f>
        <v>83.5</v>
      </c>
      <c r="D44" s="81">
        <f>1000*0.2379</f>
        <v>237.9</v>
      </c>
      <c r="E44" s="89">
        <f>1000*0.0694</f>
        <v>69.400000000000006</v>
      </c>
      <c r="F44" s="89">
        <f>1000*0.0219</f>
        <v>21.9</v>
      </c>
      <c r="G44" s="81">
        <f>1000*0.3245</f>
        <v>324.5</v>
      </c>
      <c r="H44" s="89">
        <v>16.786999999999999</v>
      </c>
      <c r="I44" s="89">
        <f>1000*0.0231</f>
        <v>23.099999999999998</v>
      </c>
    </row>
    <row r="45" spans="1:9" ht="15.75" thickBot="1" x14ac:dyDescent="0.3">
      <c r="A45" s="71">
        <v>41556</v>
      </c>
      <c r="B45" s="81">
        <v>318.60000000000002</v>
      </c>
      <c r="C45" s="89">
        <f>1000*0.0763</f>
        <v>76.300000000000011</v>
      </c>
      <c r="D45" s="81">
        <f>1000*0.2181</f>
        <v>218.1</v>
      </c>
      <c r="E45" s="89">
        <f>1000*0.0741</f>
        <v>74.099999999999994</v>
      </c>
      <c r="F45" s="89">
        <f>1000*0.0317</f>
        <v>31.7</v>
      </c>
      <c r="G45" s="81">
        <f>1000*0.3088</f>
        <v>308.8</v>
      </c>
      <c r="H45" s="89">
        <v>15.88</v>
      </c>
      <c r="I45" s="89">
        <f>1000*0.0198</f>
        <v>19.8</v>
      </c>
    </row>
    <row r="46" spans="1:9" x14ac:dyDescent="0.25">
      <c r="A46" s="75" t="s">
        <v>75</v>
      </c>
      <c r="B46" s="82">
        <f>AVERAGE(B40:B45)</f>
        <v>315.31666666666666</v>
      </c>
      <c r="C46" s="88">
        <f t="shared" ref="C46:I46" si="9">AVERAGE(C40:C45)</f>
        <v>74.216666666666669</v>
      </c>
      <c r="D46" s="82">
        <f t="shared" si="9"/>
        <v>206.16666666666666</v>
      </c>
      <c r="E46" s="88">
        <f t="shared" si="9"/>
        <v>74.2</v>
      </c>
      <c r="F46" s="88">
        <f t="shared" si="9"/>
        <v>23.95</v>
      </c>
      <c r="G46" s="82">
        <f t="shared" si="9"/>
        <v>307.13333333333333</v>
      </c>
      <c r="H46" s="88">
        <f t="shared" si="9"/>
        <v>15.479849999999999</v>
      </c>
      <c r="I46" s="88">
        <f t="shared" si="9"/>
        <v>19.983333333333331</v>
      </c>
    </row>
    <row r="47" spans="1:9" x14ac:dyDescent="0.25">
      <c r="A47" s="75" t="s">
        <v>76</v>
      </c>
      <c r="B47" s="88">
        <f>STDEV(B40:B45)</f>
        <v>13.888472438200921</v>
      </c>
      <c r="C47" s="90">
        <f t="shared" ref="C47:I47" si="10">STDEV(C40:C45)</f>
        <v>7.2711530493221455</v>
      </c>
      <c r="D47" s="88">
        <f t="shared" si="10"/>
        <v>31.442752212022935</v>
      </c>
      <c r="E47" s="90">
        <f t="shared" si="10"/>
        <v>9.8340225747147194</v>
      </c>
      <c r="F47" s="90">
        <f t="shared" si="10"/>
        <v>6.0774172145739778</v>
      </c>
      <c r="G47" s="88">
        <f t="shared" si="10"/>
        <v>24.38718242574706</v>
      </c>
      <c r="H47" s="90">
        <f t="shared" si="10"/>
        <v>1.1434405340899891</v>
      </c>
      <c r="I47" s="90">
        <f t="shared" si="10"/>
        <v>2.9559544425898552</v>
      </c>
    </row>
    <row r="48" spans="1:9" x14ac:dyDescent="0.25">
      <c r="A48" s="75" t="s">
        <v>13</v>
      </c>
      <c r="B48" s="90">
        <f>B47/SQRT(COUNT(B40:B45))</f>
        <v>5.6699451300500057</v>
      </c>
      <c r="C48" s="90">
        <f t="shared" ref="C48:I48" si="11">C47/SQRT(COUNT(C40:C45))</f>
        <v>2.9684358020868706</v>
      </c>
      <c r="D48" s="88">
        <f t="shared" si="11"/>
        <v>12.836449838037211</v>
      </c>
      <c r="E48" s="90">
        <f t="shared" si="11"/>
        <v>4.0147229045103208</v>
      </c>
      <c r="F48" s="90">
        <f t="shared" si="11"/>
        <v>2.4810951882854786</v>
      </c>
      <c r="G48" s="88">
        <f t="shared" si="11"/>
        <v>9.9560255345416024</v>
      </c>
      <c r="H48" s="90">
        <f t="shared" si="11"/>
        <v>0.46680764328932461</v>
      </c>
      <c r="I48" s="90">
        <f t="shared" si="11"/>
        <v>1.2067633478763695</v>
      </c>
    </row>
    <row r="50" spans="1:9" ht="15.75" thickBot="1" x14ac:dyDescent="0.3">
      <c r="B50" s="75" t="s">
        <v>83</v>
      </c>
    </row>
    <row r="51" spans="1:9" ht="15.75" thickBot="1" x14ac:dyDescent="0.3">
      <c r="A51" s="71">
        <v>41526</v>
      </c>
      <c r="B51" s="81">
        <v>297</v>
      </c>
      <c r="C51" s="89">
        <f>1000*0.054</f>
        <v>54</v>
      </c>
      <c r="D51" s="89">
        <f>1000*0.0295</f>
        <v>29.5</v>
      </c>
      <c r="E51" s="89">
        <f>1000*0.0107</f>
        <v>10.7</v>
      </c>
      <c r="F51" s="91">
        <f>1000*0.0056</f>
        <v>5.6</v>
      </c>
      <c r="G51" s="81">
        <f>1000*0.1377</f>
        <v>137.69999999999999</v>
      </c>
      <c r="H51" s="89">
        <v>12.888</v>
      </c>
      <c r="I51" s="89">
        <f>1000*0.023</f>
        <v>23</v>
      </c>
    </row>
    <row r="52" spans="1:9" ht="15.75" thickBot="1" x14ac:dyDescent="0.3">
      <c r="A52" s="71">
        <v>41531</v>
      </c>
      <c r="B52" s="81">
        <v>293</v>
      </c>
      <c r="C52" s="89">
        <f>1000*0.0488</f>
        <v>48.800000000000004</v>
      </c>
      <c r="D52" s="89">
        <f>1000*0.0302</f>
        <v>30.200000000000003</v>
      </c>
      <c r="E52" s="89">
        <f>1000*0.0127</f>
        <v>12.7</v>
      </c>
      <c r="F52" s="91">
        <f>1000*0.0032</f>
        <v>3.2</v>
      </c>
      <c r="G52" s="81">
        <f>1000*0.1303</f>
        <v>130.30000000000001</v>
      </c>
      <c r="H52" s="89">
        <v>12.497</v>
      </c>
      <c r="I52" s="89">
        <f>1000*0.0177</f>
        <v>17.7</v>
      </c>
    </row>
    <row r="53" spans="1:9" ht="15.75" thickBot="1" x14ac:dyDescent="0.3">
      <c r="A53" s="71">
        <v>41532</v>
      </c>
      <c r="B53" s="81">
        <v>318</v>
      </c>
      <c r="C53" s="89">
        <f>1000*0.046</f>
        <v>46</v>
      </c>
      <c r="D53" s="89">
        <f>1000*0.0305</f>
        <v>30.5</v>
      </c>
      <c r="E53" s="89">
        <f>1000*0.0128</f>
        <v>12.8</v>
      </c>
      <c r="F53" s="91">
        <f>1000*0.0049</f>
        <v>4.8999999999999995</v>
      </c>
      <c r="G53" s="81">
        <f>1000*0.1641</f>
        <v>164.1</v>
      </c>
      <c r="H53" s="89">
        <v>15.375999999999999</v>
      </c>
      <c r="I53" s="89">
        <f>1000*0.0195</f>
        <v>19.5</v>
      </c>
    </row>
    <row r="54" spans="1:9" ht="15.75" thickBot="1" x14ac:dyDescent="0.3">
      <c r="A54" s="71">
        <v>41546</v>
      </c>
      <c r="B54" s="81">
        <v>311.5</v>
      </c>
      <c r="C54" s="89">
        <f>1000*0.0474</f>
        <v>47.4</v>
      </c>
      <c r="D54" s="89">
        <f>1000*0.03</f>
        <v>30</v>
      </c>
      <c r="E54" s="89">
        <f>1000*0.0154</f>
        <v>15.4</v>
      </c>
      <c r="F54" s="91">
        <f>1000*0.0076</f>
        <v>7.6</v>
      </c>
      <c r="G54" s="81">
        <f>1000*0.1819</f>
        <v>181.9</v>
      </c>
      <c r="H54" s="89">
        <v>15.782</v>
      </c>
      <c r="I54" s="89">
        <f>1000*0.0201</f>
        <v>20.100000000000001</v>
      </c>
    </row>
    <row r="55" spans="1:9" ht="15.75" thickBot="1" x14ac:dyDescent="0.3">
      <c r="A55" s="71">
        <v>41559</v>
      </c>
      <c r="B55" s="81">
        <v>320.39999999999998</v>
      </c>
      <c r="C55" s="89">
        <f>1000*0.0314</f>
        <v>31.4</v>
      </c>
      <c r="D55" s="89">
        <f>1000*0.0265</f>
        <v>26.5</v>
      </c>
      <c r="E55" s="89">
        <f>1000*0.0165</f>
        <v>16.5</v>
      </c>
      <c r="F55" s="91">
        <f>1000*0.003</f>
        <v>3</v>
      </c>
      <c r="G55" s="81">
        <f>1000*0.1497</f>
        <v>149.69999999999999</v>
      </c>
      <c r="H55" s="89">
        <v>17.242999999999999</v>
      </c>
      <c r="I55" s="89">
        <f>1000*0.0215</f>
        <v>21.5</v>
      </c>
    </row>
    <row r="56" spans="1:9" x14ac:dyDescent="0.25">
      <c r="A56" s="75" t="s">
        <v>75</v>
      </c>
      <c r="B56" s="82">
        <f>AVERAGE(B51:B55)</f>
        <v>307.98</v>
      </c>
      <c r="C56" s="88">
        <f t="shared" ref="C56:I56" si="12">AVERAGE(C51:C55)</f>
        <v>45.52</v>
      </c>
      <c r="D56" s="88">
        <f t="shared" si="12"/>
        <v>29.339999999999996</v>
      </c>
      <c r="E56" s="88">
        <f t="shared" si="12"/>
        <v>13.62</v>
      </c>
      <c r="F56" s="90">
        <f t="shared" si="12"/>
        <v>4.8599999999999994</v>
      </c>
      <c r="G56" s="82">
        <f t="shared" si="12"/>
        <v>152.74</v>
      </c>
      <c r="H56" s="88">
        <f t="shared" si="12"/>
        <v>14.757199999999997</v>
      </c>
      <c r="I56" s="88">
        <f t="shared" si="12"/>
        <v>20.360000000000003</v>
      </c>
    </row>
    <row r="57" spans="1:9" x14ac:dyDescent="0.25">
      <c r="A57" s="75" t="s">
        <v>76</v>
      </c>
      <c r="B57" s="88">
        <f>STDEV(B51:B55)</f>
        <v>12.369397721797123</v>
      </c>
      <c r="C57" s="90">
        <f t="shared" ref="C57:I57" si="13">STDEV(C51:C55)</f>
        <v>8.4529284866251722</v>
      </c>
      <c r="D57" s="90">
        <f t="shared" si="13"/>
        <v>1.6288032416470692</v>
      </c>
      <c r="E57" s="90">
        <f t="shared" si="13"/>
        <v>2.3188359148503825</v>
      </c>
      <c r="F57" s="90">
        <f t="shared" si="13"/>
        <v>1.8889150324988147</v>
      </c>
      <c r="G57" s="88">
        <f t="shared" si="13"/>
        <v>20.726504770462292</v>
      </c>
      <c r="H57" s="90">
        <f t="shared" si="13"/>
        <v>2.0133766910342619</v>
      </c>
      <c r="I57" s="90">
        <f t="shared" si="13"/>
        <v>2.0094775440397439</v>
      </c>
    </row>
    <row r="58" spans="1:9" x14ac:dyDescent="0.25">
      <c r="A58" s="75" t="s">
        <v>13</v>
      </c>
      <c r="B58" s="90">
        <f>B57/SQRT(COUNT(B51:B55))</f>
        <v>5.5317628293338794</v>
      </c>
      <c r="C58" s="90">
        <f t="shared" ref="C58:I58" si="14">C57/SQRT(COUNT(C51:C55))</f>
        <v>3.7802645410076612</v>
      </c>
      <c r="D58" s="90">
        <f t="shared" si="14"/>
        <v>0.72842295405897262</v>
      </c>
      <c r="E58" s="90">
        <f t="shared" si="14"/>
        <v>1.0370149468546739</v>
      </c>
      <c r="F58" s="90">
        <f t="shared" si="14"/>
        <v>0.84474848327771479</v>
      </c>
      <c r="G58" s="90">
        <f t="shared" si="14"/>
        <v>9.2691747205454718</v>
      </c>
      <c r="H58" s="90">
        <f t="shared" si="14"/>
        <v>0.90040942909324018</v>
      </c>
      <c r="I58" s="90">
        <f t="shared" si="14"/>
        <v>0.89866567754643889</v>
      </c>
    </row>
    <row r="60" spans="1:9" ht="15.75" thickBot="1" x14ac:dyDescent="0.3">
      <c r="B60" s="75" t="s">
        <v>80</v>
      </c>
    </row>
    <row r="61" spans="1:9" ht="15.75" thickBot="1" x14ac:dyDescent="0.3">
      <c r="A61" s="71">
        <v>41534</v>
      </c>
      <c r="B61" s="81">
        <v>293</v>
      </c>
      <c r="C61" s="89">
        <f>1000*0.0679</f>
        <v>67.900000000000006</v>
      </c>
      <c r="D61" s="81">
        <f>1000*0.188</f>
        <v>188</v>
      </c>
      <c r="E61" s="89">
        <f>1000*0.08</f>
        <v>80</v>
      </c>
      <c r="F61" s="89">
        <f>1000*0.0173</f>
        <v>17.3</v>
      </c>
      <c r="G61" s="81">
        <f>1000*0.2573</f>
        <v>257.29999999999995</v>
      </c>
      <c r="H61" s="89">
        <v>13.028</v>
      </c>
      <c r="I61" s="89">
        <f>1000*0.0257</f>
        <v>25.7</v>
      </c>
    </row>
    <row r="62" spans="1:9" ht="15.75" thickBot="1" x14ac:dyDescent="0.3">
      <c r="A62" s="71">
        <v>41536</v>
      </c>
      <c r="B62" s="81">
        <v>349</v>
      </c>
      <c r="C62" s="89">
        <f>1000*0.0772</f>
        <v>77.2</v>
      </c>
      <c r="D62" s="81">
        <f>1000*0.158</f>
        <v>158</v>
      </c>
      <c r="E62" s="89">
        <f>1000*0.076</f>
        <v>76</v>
      </c>
      <c r="F62" s="89">
        <f>1000*0.0312</f>
        <v>31.2</v>
      </c>
      <c r="G62" s="81">
        <f>1000*0.3233</f>
        <v>323.29999999999995</v>
      </c>
      <c r="H62" s="89">
        <v>16.300999999999998</v>
      </c>
      <c r="I62" s="89">
        <f>1000*0.0241</f>
        <v>24.1</v>
      </c>
    </row>
    <row r="63" spans="1:9" ht="15.75" thickBot="1" x14ac:dyDescent="0.3">
      <c r="A63" s="71">
        <v>41540</v>
      </c>
      <c r="B63" s="81">
        <v>305</v>
      </c>
      <c r="C63" s="89">
        <f>1000*0.0771</f>
        <v>77.100000000000009</v>
      </c>
      <c r="D63" s="81">
        <f>1000*0.228</f>
        <v>228</v>
      </c>
      <c r="E63" s="81">
        <f>1000*0.1042</f>
        <v>104.2</v>
      </c>
      <c r="F63" s="89">
        <f>1000*0.0255</f>
        <v>25.5</v>
      </c>
      <c r="G63" s="81">
        <f>1000*0.3295</f>
        <v>329.5</v>
      </c>
      <c r="H63" s="89">
        <v>14.119</v>
      </c>
      <c r="I63" s="89">
        <f>1000*0.0175</f>
        <v>17.5</v>
      </c>
    </row>
    <row r="64" spans="1:9" ht="15.75" thickBot="1" x14ac:dyDescent="0.3">
      <c r="A64" s="74">
        <v>41552</v>
      </c>
      <c r="B64" s="81">
        <v>292.3</v>
      </c>
      <c r="C64" s="89">
        <f>1000*0.0718</f>
        <v>71.8</v>
      </c>
      <c r="D64" s="81">
        <f>1000*0.1651</f>
        <v>165.1</v>
      </c>
      <c r="E64" s="89">
        <f>1000*0.0818</f>
        <v>81.8</v>
      </c>
      <c r="F64" s="89">
        <f>1000*0.0196</f>
        <v>19.599999999999998</v>
      </c>
      <c r="G64" s="81">
        <f>1000*0.2989</f>
        <v>298.89999999999998</v>
      </c>
      <c r="H64" s="89">
        <v>14.2</v>
      </c>
      <c r="I64" s="89">
        <f>1000*0.0251</f>
        <v>25.1</v>
      </c>
    </row>
    <row r="65" spans="1:9" ht="15.75" thickBot="1" x14ac:dyDescent="0.3">
      <c r="A65" s="74">
        <v>41557</v>
      </c>
      <c r="B65" s="81">
        <v>358.7</v>
      </c>
      <c r="C65" s="89">
        <f>1000*0.0725</f>
        <v>72.5</v>
      </c>
      <c r="D65" s="81">
        <f>1000*0.156</f>
        <v>156</v>
      </c>
      <c r="E65" s="89">
        <f>1000*0.0642</f>
        <v>64.199999999999989</v>
      </c>
      <c r="F65" s="89">
        <f>1000*0.0281</f>
        <v>28.1</v>
      </c>
      <c r="G65" s="81">
        <f>1000*0.3931</f>
        <v>393.1</v>
      </c>
      <c r="H65" s="89">
        <v>16.469000000000001</v>
      </c>
      <c r="I65" s="89">
        <f>1000*0.0195</f>
        <v>19.5</v>
      </c>
    </row>
    <row r="66" spans="1:9" ht="15.75" thickBot="1" x14ac:dyDescent="0.3">
      <c r="A66" s="74">
        <v>41561</v>
      </c>
      <c r="B66" s="81">
        <v>291.60000000000002</v>
      </c>
      <c r="C66" s="89">
        <f>1000*0.0657</f>
        <v>65.699999999999989</v>
      </c>
      <c r="D66" s="81">
        <f>1000*0.1864</f>
        <v>186.4</v>
      </c>
      <c r="E66" s="81">
        <f>1000*0.1101</f>
        <v>110.10000000000001</v>
      </c>
      <c r="F66" s="89">
        <f>1000*0.0306</f>
        <v>30.599999999999998</v>
      </c>
      <c r="G66" s="81">
        <f>1000*0.3075</f>
        <v>307.5</v>
      </c>
      <c r="H66" s="89">
        <v>16.074999999999999</v>
      </c>
      <c r="I66" s="89">
        <f>1000*0.0179</f>
        <v>17.899999999999999</v>
      </c>
    </row>
    <row r="67" spans="1:9" x14ac:dyDescent="0.25">
      <c r="A67" s="75" t="s">
        <v>75</v>
      </c>
      <c r="B67" s="82">
        <f>AVERAGE(B61:B66)</f>
        <v>314.93333333333334</v>
      </c>
      <c r="C67" s="88">
        <f t="shared" ref="C67:I67" si="15">AVERAGE(C61:C66)</f>
        <v>72.033333333333346</v>
      </c>
      <c r="D67" s="82">
        <f t="shared" si="15"/>
        <v>180.25</v>
      </c>
      <c r="E67" s="88">
        <f t="shared" si="15"/>
        <v>86.05</v>
      </c>
      <c r="F67" s="88">
        <f t="shared" si="15"/>
        <v>25.383333333333329</v>
      </c>
      <c r="G67" s="82">
        <f t="shared" si="15"/>
        <v>318.26666666666665</v>
      </c>
      <c r="H67" s="88">
        <f t="shared" si="15"/>
        <v>15.031999999999998</v>
      </c>
      <c r="I67" s="88">
        <f t="shared" si="15"/>
        <v>21.633333333333336</v>
      </c>
    </row>
    <row r="68" spans="1:9" x14ac:dyDescent="0.25">
      <c r="A68" s="75" t="s">
        <v>76</v>
      </c>
      <c r="B68" s="88">
        <f>STDEV(B61:B66)</f>
        <v>30.700206296809572</v>
      </c>
      <c r="C68" s="90">
        <f t="shared" ref="C68:I68" si="16">STDEV(C61:C66)</f>
        <v>4.6868610675660856</v>
      </c>
      <c r="D68" s="88">
        <f t="shared" si="16"/>
        <v>27.168345551394921</v>
      </c>
      <c r="E68" s="88">
        <f t="shared" si="16"/>
        <v>17.555141696950258</v>
      </c>
      <c r="F68" s="90">
        <f t="shared" si="16"/>
        <v>5.7832228615769932</v>
      </c>
      <c r="G68" s="88">
        <f t="shared" si="16"/>
        <v>44.630647168360149</v>
      </c>
      <c r="H68" s="90">
        <f t="shared" si="16"/>
        <v>1.4356174978036453</v>
      </c>
      <c r="I68" s="90">
        <f t="shared" si="16"/>
        <v>3.7473546224859127</v>
      </c>
    </row>
    <row r="69" spans="1:9" x14ac:dyDescent="0.25">
      <c r="A69" s="75" t="s">
        <v>13</v>
      </c>
      <c r="B69" s="88">
        <f>B68/SQRT(COUNT(B61:B66))</f>
        <v>12.533306737560432</v>
      </c>
      <c r="C69" s="90">
        <f t="shared" ref="C69:I69" si="17">C68/SQRT(COUNT(C61:C66))</f>
        <v>1.9134030184754907</v>
      </c>
      <c r="D69" s="88">
        <f t="shared" si="17"/>
        <v>11.091430626088476</v>
      </c>
      <c r="E69" s="90">
        <f t="shared" si="17"/>
        <v>7.1668565866308231</v>
      </c>
      <c r="F69" s="90">
        <f t="shared" si="17"/>
        <v>2.3609908466103375</v>
      </c>
      <c r="G69" s="88">
        <f t="shared" si="17"/>
        <v>18.220385408778881</v>
      </c>
      <c r="H69" s="90">
        <f t="shared" si="17"/>
        <v>0.58608838923834683</v>
      </c>
      <c r="I69" s="90">
        <f t="shared" si="17"/>
        <v>1.5298511183917287</v>
      </c>
    </row>
  </sheetData>
  <mergeCells count="9">
    <mergeCell ref="G6:G7"/>
    <mergeCell ref="H6:H7"/>
    <mergeCell ref="I6:I7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Abbreviations</vt:lpstr>
      <vt:lpstr>Thyroid Hormone (T4) Figure 1</vt:lpstr>
      <vt:lpstr>Estrogen RIA Figure 2</vt:lpstr>
      <vt:lpstr>Testosterone RIA Figure 3</vt:lpstr>
      <vt:lpstr>Cytotoxicity Figure 4</vt:lpstr>
      <vt:lpstr>Aromatase Figure 5</vt:lpstr>
      <vt:lpstr>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Farmer, William</dc:creator>
  <cp:lastModifiedBy>newuser</cp:lastModifiedBy>
  <dcterms:created xsi:type="dcterms:W3CDTF">2017-09-14T19:02:54Z</dcterms:created>
  <dcterms:modified xsi:type="dcterms:W3CDTF">2018-01-29T19:37:13Z</dcterms:modified>
</cp:coreProperties>
</file>